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vekokel/Projects/carp_v2/seed_kits/legacy_wrangling_v4/raw/"/>
    </mc:Choice>
  </mc:AlternateContent>
  <xr:revisionPtr revIDLastSave="0" documentId="8_{EAD9EBEC-A716-564A-B14D-D3B1C8354A19}" xr6:coauthVersionLast="47" xr6:coauthVersionMax="47" xr10:uidLastSave="{00000000-0000-0000-0000-000000000000}"/>
  <bookViews>
    <workbookView xWindow="0" yWindow="620" windowWidth="64000" windowHeight="35380" xr2:uid="{00000000-000D-0000-FFFF-FFFF00000000}"/>
  </bookViews>
  <sheets>
    <sheet name="Master Imaging list" sheetId="1" r:id="rId1"/>
    <sheet name="Weekly ZF Imaging Plan" sheetId="2" r:id="rId2"/>
    <sheet name="Visual imaging schedule" sheetId="3" r:id="rId3"/>
    <sheet name="Dev Timescales" sheetId="4" r:id="rId4"/>
    <sheet name="Orientations" sheetId="5" r:id="rId5"/>
    <sheet name="DM_fish" sheetId="6" r:id="rId6"/>
    <sheet name="external_fish" sheetId="7" r:id="rId7"/>
    <sheet name="Image_Locations" sheetId="8" r:id="rId8"/>
    <sheet name="Injections" sheetId="9" r:id="rId9"/>
    <sheet name="imaging_filters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0" l="1"/>
  <c r="K2" i="10"/>
  <c r="Y540" i="9"/>
  <c r="S540" i="9"/>
  <c r="M540" i="9"/>
  <c r="G540" i="9"/>
  <c r="Y539" i="9"/>
  <c r="S539" i="9"/>
  <c r="M539" i="9"/>
  <c r="G539" i="9"/>
  <c r="Y538" i="9"/>
  <c r="S538" i="9"/>
  <c r="M538" i="9"/>
  <c r="G538" i="9"/>
  <c r="Y537" i="9"/>
  <c r="S537" i="9"/>
  <c r="M537" i="9"/>
  <c r="G537" i="9"/>
  <c r="Y536" i="9"/>
  <c r="S536" i="9"/>
  <c r="M536" i="9"/>
  <c r="G536" i="9"/>
  <c r="Y535" i="9"/>
  <c r="S535" i="9"/>
  <c r="M535" i="9"/>
  <c r="G535" i="9"/>
  <c r="Y534" i="9"/>
  <c r="S534" i="9"/>
  <c r="M534" i="9"/>
  <c r="G534" i="9"/>
  <c r="Y533" i="9"/>
  <c r="S533" i="9"/>
  <c r="M533" i="9"/>
  <c r="G533" i="9"/>
  <c r="Y532" i="9"/>
  <c r="S532" i="9"/>
  <c r="M532" i="9"/>
  <c r="G532" i="9"/>
  <c r="Y531" i="9"/>
  <c r="S531" i="9"/>
  <c r="M531" i="9"/>
  <c r="G531" i="9"/>
  <c r="Y530" i="9"/>
  <c r="S530" i="9"/>
  <c r="M530" i="9"/>
  <c r="G530" i="9"/>
  <c r="Y529" i="9"/>
  <c r="S529" i="9"/>
  <c r="M529" i="9"/>
  <c r="G529" i="9"/>
  <c r="Y528" i="9"/>
  <c r="S528" i="9"/>
  <c r="M528" i="9"/>
  <c r="G528" i="9"/>
  <c r="Y527" i="9"/>
  <c r="S527" i="9"/>
  <c r="M527" i="9"/>
  <c r="G527" i="9"/>
  <c r="Y526" i="9"/>
  <c r="S526" i="9"/>
  <c r="M526" i="9"/>
  <c r="G526" i="9"/>
  <c r="Y525" i="9"/>
  <c r="S525" i="9"/>
  <c r="M525" i="9"/>
  <c r="G525" i="9"/>
  <c r="Y524" i="9"/>
  <c r="S524" i="9"/>
  <c r="M524" i="9"/>
  <c r="G524" i="9"/>
  <c r="Y523" i="9"/>
  <c r="S523" i="9"/>
  <c r="M523" i="9"/>
  <c r="G523" i="9"/>
  <c r="Y522" i="9"/>
  <c r="S522" i="9"/>
  <c r="M522" i="9"/>
  <c r="G522" i="9"/>
  <c r="Y521" i="9"/>
  <c r="S521" i="9"/>
  <c r="M521" i="9"/>
  <c r="G521" i="9"/>
  <c r="Y520" i="9"/>
  <c r="S520" i="9"/>
  <c r="M520" i="9"/>
  <c r="G520" i="9"/>
  <c r="Y519" i="9"/>
  <c r="S519" i="9"/>
  <c r="M519" i="9"/>
  <c r="G519" i="9"/>
  <c r="Y518" i="9"/>
  <c r="S518" i="9"/>
  <c r="M518" i="9"/>
  <c r="G518" i="9"/>
  <c r="Y517" i="9"/>
  <c r="S517" i="9"/>
  <c r="M517" i="9"/>
  <c r="G517" i="9"/>
  <c r="Y516" i="9"/>
  <c r="S516" i="9"/>
  <c r="M516" i="9"/>
  <c r="G516" i="9"/>
  <c r="Y515" i="9"/>
  <c r="S515" i="9"/>
  <c r="M515" i="9"/>
  <c r="G515" i="9"/>
  <c r="Y514" i="9"/>
  <c r="S514" i="9"/>
  <c r="M514" i="9"/>
  <c r="G514" i="9"/>
  <c r="Y513" i="9"/>
  <c r="S513" i="9"/>
  <c r="M513" i="9"/>
  <c r="G513" i="9"/>
  <c r="Y512" i="9"/>
  <c r="S512" i="9"/>
  <c r="M512" i="9"/>
  <c r="G512" i="9"/>
  <c r="Y511" i="9"/>
  <c r="S511" i="9"/>
  <c r="M511" i="9"/>
  <c r="G511" i="9"/>
  <c r="Y510" i="9"/>
  <c r="S510" i="9"/>
  <c r="M510" i="9"/>
  <c r="G510" i="9"/>
  <c r="Y509" i="9"/>
  <c r="S509" i="9"/>
  <c r="M509" i="9"/>
  <c r="G509" i="9"/>
  <c r="Y508" i="9"/>
  <c r="S508" i="9"/>
  <c r="M508" i="9"/>
  <c r="G508" i="9"/>
  <c r="Y507" i="9"/>
  <c r="S507" i="9"/>
  <c r="M507" i="9"/>
  <c r="G507" i="9"/>
  <c r="Y506" i="9"/>
  <c r="S506" i="9"/>
  <c r="M506" i="9"/>
  <c r="G506" i="9"/>
  <c r="Y505" i="9"/>
  <c r="S505" i="9"/>
  <c r="M505" i="9"/>
  <c r="G505" i="9"/>
  <c r="Y504" i="9"/>
  <c r="S504" i="9"/>
  <c r="M504" i="9"/>
  <c r="G504" i="9"/>
  <c r="Y503" i="9"/>
  <c r="S503" i="9"/>
  <c r="M503" i="9"/>
  <c r="G503" i="9"/>
  <c r="Y502" i="9"/>
  <c r="S502" i="9"/>
  <c r="M502" i="9"/>
  <c r="G502" i="9"/>
  <c r="Y501" i="9"/>
  <c r="S501" i="9"/>
  <c r="M501" i="9"/>
  <c r="G501" i="9"/>
  <c r="Y500" i="9"/>
  <c r="S500" i="9"/>
  <c r="M500" i="9"/>
  <c r="G500" i="9"/>
  <c r="Y499" i="9"/>
  <c r="S499" i="9"/>
  <c r="M499" i="9"/>
  <c r="G499" i="9"/>
  <c r="Y498" i="9"/>
  <c r="S498" i="9"/>
  <c r="M498" i="9"/>
  <c r="G498" i="9"/>
  <c r="Y497" i="9"/>
  <c r="S497" i="9"/>
  <c r="M497" i="9"/>
  <c r="G497" i="9"/>
  <c r="Y496" i="9"/>
  <c r="S496" i="9"/>
  <c r="M496" i="9"/>
  <c r="G496" i="9"/>
  <c r="Y495" i="9"/>
  <c r="S495" i="9"/>
  <c r="M495" i="9"/>
  <c r="G495" i="9"/>
  <c r="Y494" i="9"/>
  <c r="S494" i="9"/>
  <c r="M494" i="9"/>
  <c r="G494" i="9"/>
  <c r="Y493" i="9"/>
  <c r="S493" i="9"/>
  <c r="M493" i="9"/>
  <c r="G493" i="9"/>
  <c r="Y492" i="9"/>
  <c r="S492" i="9"/>
  <c r="M492" i="9"/>
  <c r="G492" i="9"/>
  <c r="Y491" i="9"/>
  <c r="S491" i="9"/>
  <c r="M491" i="9"/>
  <c r="G491" i="9"/>
  <c r="Y490" i="9"/>
  <c r="S490" i="9"/>
  <c r="M490" i="9"/>
  <c r="G490" i="9"/>
  <c r="Y489" i="9"/>
  <c r="S489" i="9"/>
  <c r="M489" i="9"/>
  <c r="G489" i="9"/>
  <c r="Y488" i="9"/>
  <c r="S488" i="9"/>
  <c r="M488" i="9"/>
  <c r="G488" i="9"/>
  <c r="Y487" i="9"/>
  <c r="S487" i="9"/>
  <c r="M487" i="9"/>
  <c r="G487" i="9"/>
  <c r="Y486" i="9"/>
  <c r="S486" i="9"/>
  <c r="M486" i="9"/>
  <c r="G486" i="9"/>
  <c r="Y485" i="9"/>
  <c r="S485" i="9"/>
  <c r="M485" i="9"/>
  <c r="G485" i="9"/>
  <c r="Y484" i="9"/>
  <c r="S484" i="9"/>
  <c r="M484" i="9"/>
  <c r="G484" i="9"/>
  <c r="Y483" i="9"/>
  <c r="S483" i="9"/>
  <c r="M483" i="9"/>
  <c r="G483" i="9"/>
  <c r="Y482" i="9"/>
  <c r="S482" i="9"/>
  <c r="M482" i="9"/>
  <c r="G482" i="9"/>
  <c r="Y481" i="9"/>
  <c r="S481" i="9"/>
  <c r="M481" i="9"/>
  <c r="G481" i="9"/>
  <c r="Y480" i="9"/>
  <c r="S480" i="9"/>
  <c r="M480" i="9"/>
  <c r="G480" i="9"/>
  <c r="Y479" i="9"/>
  <c r="S479" i="9"/>
  <c r="M479" i="9"/>
  <c r="G479" i="9"/>
  <c r="Y478" i="9"/>
  <c r="S478" i="9"/>
  <c r="M478" i="9"/>
  <c r="G478" i="9"/>
  <c r="Y477" i="9"/>
  <c r="S477" i="9"/>
  <c r="M477" i="9"/>
  <c r="G477" i="9"/>
  <c r="Y476" i="9"/>
  <c r="S476" i="9"/>
  <c r="M476" i="9"/>
  <c r="G476" i="9"/>
  <c r="Y475" i="9"/>
  <c r="S475" i="9"/>
  <c r="M475" i="9"/>
  <c r="G475" i="9"/>
  <c r="Y474" i="9"/>
  <c r="S474" i="9"/>
  <c r="M474" i="9"/>
  <c r="G474" i="9"/>
  <c r="Y473" i="9"/>
  <c r="S473" i="9"/>
  <c r="M473" i="9"/>
  <c r="G473" i="9"/>
  <c r="Y472" i="9"/>
  <c r="S472" i="9"/>
  <c r="M472" i="9"/>
  <c r="G472" i="9"/>
  <c r="Y471" i="9"/>
  <c r="S471" i="9"/>
  <c r="M471" i="9"/>
  <c r="G471" i="9"/>
  <c r="Y470" i="9"/>
  <c r="S470" i="9"/>
  <c r="M470" i="9"/>
  <c r="G470" i="9"/>
  <c r="Y469" i="9"/>
  <c r="S469" i="9"/>
  <c r="M469" i="9"/>
  <c r="G469" i="9"/>
  <c r="Y468" i="9"/>
  <c r="S468" i="9"/>
  <c r="M468" i="9"/>
  <c r="G468" i="9"/>
  <c r="Y467" i="9"/>
  <c r="S467" i="9"/>
  <c r="M467" i="9"/>
  <c r="G467" i="9"/>
  <c r="Y466" i="9"/>
  <c r="S466" i="9"/>
  <c r="M466" i="9"/>
  <c r="G466" i="9"/>
  <c r="Y465" i="9"/>
  <c r="S465" i="9"/>
  <c r="M465" i="9"/>
  <c r="G465" i="9"/>
  <c r="Y464" i="9"/>
  <c r="S464" i="9"/>
  <c r="M464" i="9"/>
  <c r="G464" i="9"/>
  <c r="Y463" i="9"/>
  <c r="S463" i="9"/>
  <c r="M463" i="9"/>
  <c r="G463" i="9"/>
  <c r="Y462" i="9"/>
  <c r="S462" i="9"/>
  <c r="M462" i="9"/>
  <c r="G462" i="9"/>
  <c r="Y461" i="9"/>
  <c r="S461" i="9"/>
  <c r="M461" i="9"/>
  <c r="G461" i="9"/>
  <c r="Y460" i="9"/>
  <c r="S460" i="9"/>
  <c r="M460" i="9"/>
  <c r="G460" i="9"/>
  <c r="Y459" i="9"/>
  <c r="S459" i="9"/>
  <c r="M459" i="9"/>
  <c r="G459" i="9"/>
  <c r="Y458" i="9"/>
  <c r="S458" i="9"/>
  <c r="M458" i="9"/>
  <c r="G458" i="9"/>
  <c r="Y457" i="9"/>
  <c r="S457" i="9"/>
  <c r="M457" i="9"/>
  <c r="G457" i="9"/>
  <c r="Y456" i="9"/>
  <c r="S456" i="9"/>
  <c r="M456" i="9"/>
  <c r="G456" i="9"/>
  <c r="Y455" i="9"/>
  <c r="S455" i="9"/>
  <c r="M455" i="9"/>
  <c r="G455" i="9"/>
  <c r="Y454" i="9"/>
  <c r="S454" i="9"/>
  <c r="M454" i="9"/>
  <c r="G454" i="9"/>
  <c r="Y453" i="9"/>
  <c r="S453" i="9"/>
  <c r="M453" i="9"/>
  <c r="G453" i="9"/>
  <c r="Y452" i="9"/>
  <c r="S452" i="9"/>
  <c r="M452" i="9"/>
  <c r="G452" i="9"/>
  <c r="Y451" i="9"/>
  <c r="S451" i="9"/>
  <c r="M451" i="9"/>
  <c r="G451" i="9"/>
  <c r="Y450" i="9"/>
  <c r="S450" i="9"/>
  <c r="M450" i="9"/>
  <c r="G450" i="9"/>
  <c r="Y449" i="9"/>
  <c r="S449" i="9"/>
  <c r="M449" i="9"/>
  <c r="G449" i="9"/>
  <c r="Y448" i="9"/>
  <c r="S448" i="9"/>
  <c r="M448" i="9"/>
  <c r="G448" i="9"/>
  <c r="Y447" i="9"/>
  <c r="S447" i="9"/>
  <c r="M447" i="9"/>
  <c r="G447" i="9"/>
  <c r="Y446" i="9"/>
  <c r="S446" i="9"/>
  <c r="M446" i="9"/>
  <c r="G446" i="9"/>
  <c r="Y445" i="9"/>
  <c r="S445" i="9"/>
  <c r="M445" i="9"/>
  <c r="G445" i="9"/>
  <c r="Y444" i="9"/>
  <c r="S444" i="9"/>
  <c r="M444" i="9"/>
  <c r="G444" i="9"/>
  <c r="Y443" i="9"/>
  <c r="S443" i="9"/>
  <c r="M443" i="9"/>
  <c r="G443" i="9"/>
  <c r="Y442" i="9"/>
  <c r="S442" i="9"/>
  <c r="M442" i="9"/>
  <c r="G442" i="9"/>
  <c r="Y441" i="9"/>
  <c r="S441" i="9"/>
  <c r="M441" i="9"/>
  <c r="G441" i="9"/>
  <c r="Y440" i="9"/>
  <c r="S440" i="9"/>
  <c r="M440" i="9"/>
  <c r="G440" i="9"/>
  <c r="Y439" i="9"/>
  <c r="S439" i="9"/>
  <c r="M439" i="9"/>
  <c r="G439" i="9"/>
  <c r="Y438" i="9"/>
  <c r="S438" i="9"/>
  <c r="M438" i="9"/>
  <c r="G438" i="9"/>
  <c r="Y437" i="9"/>
  <c r="S437" i="9"/>
  <c r="M437" i="9"/>
  <c r="G437" i="9"/>
  <c r="Y436" i="9"/>
  <c r="S436" i="9"/>
  <c r="M436" i="9"/>
  <c r="G436" i="9"/>
  <c r="Y435" i="9"/>
  <c r="S435" i="9"/>
  <c r="M435" i="9"/>
  <c r="G435" i="9"/>
  <c r="Y434" i="9"/>
  <c r="S434" i="9"/>
  <c r="M434" i="9"/>
  <c r="G434" i="9"/>
  <c r="Y433" i="9"/>
  <c r="S433" i="9"/>
  <c r="M433" i="9"/>
  <c r="G433" i="9"/>
  <c r="Y432" i="9"/>
  <c r="S432" i="9"/>
  <c r="M432" i="9"/>
  <c r="G432" i="9"/>
  <c r="Y431" i="9"/>
  <c r="S431" i="9"/>
  <c r="M431" i="9"/>
  <c r="G431" i="9"/>
  <c r="Y430" i="9"/>
  <c r="S430" i="9"/>
  <c r="M430" i="9"/>
  <c r="G430" i="9"/>
  <c r="Y429" i="9"/>
  <c r="S429" i="9"/>
  <c r="M429" i="9"/>
  <c r="G429" i="9"/>
  <c r="Y428" i="9"/>
  <c r="S428" i="9"/>
  <c r="M428" i="9"/>
  <c r="G428" i="9"/>
  <c r="Y427" i="9"/>
  <c r="S427" i="9"/>
  <c r="M427" i="9"/>
  <c r="G427" i="9"/>
  <c r="Y426" i="9"/>
  <c r="S426" i="9"/>
  <c r="M426" i="9"/>
  <c r="G426" i="9"/>
  <c r="Y425" i="9"/>
  <c r="S425" i="9"/>
  <c r="M425" i="9"/>
  <c r="G425" i="9"/>
  <c r="Y424" i="9"/>
  <c r="S424" i="9"/>
  <c r="M424" i="9"/>
  <c r="G424" i="9"/>
  <c r="Y423" i="9"/>
  <c r="S423" i="9"/>
  <c r="M423" i="9"/>
  <c r="G423" i="9"/>
  <c r="Y422" i="9"/>
  <c r="S422" i="9"/>
  <c r="M422" i="9"/>
  <c r="G422" i="9"/>
  <c r="Y421" i="9"/>
  <c r="S421" i="9"/>
  <c r="M421" i="9"/>
  <c r="G421" i="9"/>
  <c r="Y420" i="9"/>
  <c r="S420" i="9"/>
  <c r="M420" i="9"/>
  <c r="G420" i="9"/>
  <c r="Y419" i="9"/>
  <c r="S419" i="9"/>
  <c r="M419" i="9"/>
  <c r="G419" i="9"/>
  <c r="Y418" i="9"/>
  <c r="S418" i="9"/>
  <c r="M418" i="9"/>
  <c r="G418" i="9"/>
  <c r="Y417" i="9"/>
  <c r="S417" i="9"/>
  <c r="M417" i="9"/>
  <c r="G417" i="9"/>
  <c r="Y416" i="9"/>
  <c r="S416" i="9"/>
  <c r="M416" i="9"/>
  <c r="G416" i="9"/>
  <c r="Y415" i="9"/>
  <c r="S415" i="9"/>
  <c r="M415" i="9"/>
  <c r="G415" i="9"/>
  <c r="Y414" i="9"/>
  <c r="S414" i="9"/>
  <c r="M414" i="9"/>
  <c r="G414" i="9"/>
  <c r="Y413" i="9"/>
  <c r="S413" i="9"/>
  <c r="M413" i="9"/>
  <c r="G413" i="9"/>
  <c r="Y412" i="9"/>
  <c r="S412" i="9"/>
  <c r="M412" i="9"/>
  <c r="G412" i="9"/>
  <c r="Y411" i="9"/>
  <c r="S411" i="9"/>
  <c r="M411" i="9"/>
  <c r="G411" i="9"/>
  <c r="Y410" i="9"/>
  <c r="S410" i="9"/>
  <c r="M410" i="9"/>
  <c r="G410" i="9"/>
  <c r="Y409" i="9"/>
  <c r="S409" i="9"/>
  <c r="M409" i="9"/>
  <c r="G409" i="9"/>
  <c r="Y408" i="9"/>
  <c r="S408" i="9"/>
  <c r="M408" i="9"/>
  <c r="G408" i="9"/>
  <c r="Y407" i="9"/>
  <c r="S407" i="9"/>
  <c r="M407" i="9"/>
  <c r="G407" i="9"/>
  <c r="Y406" i="9"/>
  <c r="S406" i="9"/>
  <c r="M406" i="9"/>
  <c r="G406" i="9"/>
  <c r="Y405" i="9"/>
  <c r="S405" i="9"/>
  <c r="M405" i="9"/>
  <c r="G405" i="9"/>
  <c r="Y404" i="9"/>
  <c r="S404" i="9"/>
  <c r="M404" i="9"/>
  <c r="G404" i="9"/>
  <c r="Y403" i="9"/>
  <c r="S403" i="9"/>
  <c r="M403" i="9"/>
  <c r="G403" i="9"/>
  <c r="Y402" i="9"/>
  <c r="S402" i="9"/>
  <c r="M402" i="9"/>
  <c r="G402" i="9"/>
  <c r="Y401" i="9"/>
  <c r="S401" i="9"/>
  <c r="M401" i="9"/>
  <c r="G401" i="9"/>
  <c r="Y400" i="9"/>
  <c r="S400" i="9"/>
  <c r="M400" i="9"/>
  <c r="G400" i="9"/>
  <c r="Y399" i="9"/>
  <c r="S399" i="9"/>
  <c r="M399" i="9"/>
  <c r="G399" i="9"/>
  <c r="Y398" i="9"/>
  <c r="S398" i="9"/>
  <c r="M398" i="9"/>
  <c r="G398" i="9"/>
  <c r="Y397" i="9"/>
  <c r="S397" i="9"/>
  <c r="M397" i="9"/>
  <c r="G397" i="9"/>
  <c r="Y396" i="9"/>
  <c r="S396" i="9"/>
  <c r="M396" i="9"/>
  <c r="G396" i="9"/>
  <c r="Y395" i="9"/>
  <c r="S395" i="9"/>
  <c r="M395" i="9"/>
  <c r="G395" i="9"/>
  <c r="Y394" i="9"/>
  <c r="S394" i="9"/>
  <c r="M394" i="9"/>
  <c r="G394" i="9"/>
  <c r="Y393" i="9"/>
  <c r="S393" i="9"/>
  <c r="M393" i="9"/>
  <c r="G393" i="9"/>
  <c r="Y392" i="9"/>
  <c r="S392" i="9"/>
  <c r="M392" i="9"/>
  <c r="G392" i="9"/>
  <c r="Y391" i="9"/>
  <c r="S391" i="9"/>
  <c r="M391" i="9"/>
  <c r="G391" i="9"/>
  <c r="Y390" i="9"/>
  <c r="S390" i="9"/>
  <c r="M390" i="9"/>
  <c r="G390" i="9"/>
  <c r="Y389" i="9"/>
  <c r="S389" i="9"/>
  <c r="M389" i="9"/>
  <c r="G389" i="9"/>
  <c r="Y388" i="9"/>
  <c r="S388" i="9"/>
  <c r="M388" i="9"/>
  <c r="G388" i="9"/>
  <c r="Y387" i="9"/>
  <c r="S387" i="9"/>
  <c r="M387" i="9"/>
  <c r="G387" i="9"/>
  <c r="Y386" i="9"/>
  <c r="S386" i="9"/>
  <c r="M386" i="9"/>
  <c r="G386" i="9"/>
  <c r="Y385" i="9"/>
  <c r="S385" i="9"/>
  <c r="M385" i="9"/>
  <c r="G385" i="9"/>
  <c r="Y384" i="9"/>
  <c r="S384" i="9"/>
  <c r="M384" i="9"/>
  <c r="G384" i="9"/>
  <c r="Y383" i="9"/>
  <c r="S383" i="9"/>
  <c r="M383" i="9"/>
  <c r="G383" i="9"/>
  <c r="Y382" i="9"/>
  <c r="S382" i="9"/>
  <c r="M382" i="9"/>
  <c r="G382" i="9"/>
  <c r="Y381" i="9"/>
  <c r="S381" i="9"/>
  <c r="M381" i="9"/>
  <c r="G381" i="9"/>
  <c r="Y380" i="9"/>
  <c r="S380" i="9"/>
  <c r="M380" i="9"/>
  <c r="G380" i="9"/>
  <c r="Y379" i="9"/>
  <c r="S379" i="9"/>
  <c r="M379" i="9"/>
  <c r="G379" i="9"/>
  <c r="Y378" i="9"/>
  <c r="S378" i="9"/>
  <c r="M378" i="9"/>
  <c r="G378" i="9"/>
  <c r="Y377" i="9"/>
  <c r="S377" i="9"/>
  <c r="M377" i="9"/>
  <c r="G377" i="9"/>
  <c r="Y376" i="9"/>
  <c r="S376" i="9"/>
  <c r="M376" i="9"/>
  <c r="G376" i="9"/>
  <c r="Y375" i="9"/>
  <c r="S375" i="9"/>
  <c r="M375" i="9"/>
  <c r="G375" i="9"/>
  <c r="Y374" i="9"/>
  <c r="S374" i="9"/>
  <c r="M374" i="9"/>
  <c r="G374" i="9"/>
  <c r="Y373" i="9"/>
  <c r="S373" i="9"/>
  <c r="M373" i="9"/>
  <c r="G373" i="9"/>
  <c r="Y372" i="9"/>
  <c r="S372" i="9"/>
  <c r="M372" i="9"/>
  <c r="G372" i="9"/>
  <c r="Y371" i="9"/>
  <c r="S371" i="9"/>
  <c r="M371" i="9"/>
  <c r="G371" i="9"/>
  <c r="Y370" i="9"/>
  <c r="S370" i="9"/>
  <c r="M370" i="9"/>
  <c r="G370" i="9"/>
  <c r="Y369" i="9"/>
  <c r="S369" i="9"/>
  <c r="M369" i="9"/>
  <c r="G369" i="9"/>
  <c r="Y368" i="9"/>
  <c r="S368" i="9"/>
  <c r="M368" i="9"/>
  <c r="G368" i="9"/>
  <c r="Y367" i="9"/>
  <c r="S367" i="9"/>
  <c r="M367" i="9"/>
  <c r="G367" i="9"/>
  <c r="Y366" i="9"/>
  <c r="S366" i="9"/>
  <c r="M366" i="9"/>
  <c r="G366" i="9"/>
  <c r="Y365" i="9"/>
  <c r="S365" i="9"/>
  <c r="M365" i="9"/>
  <c r="G365" i="9"/>
  <c r="Y364" i="9"/>
  <c r="S364" i="9"/>
  <c r="M364" i="9"/>
  <c r="G364" i="9"/>
  <c r="Y363" i="9"/>
  <c r="S363" i="9"/>
  <c r="M363" i="9"/>
  <c r="G363" i="9"/>
  <c r="Y362" i="9"/>
  <c r="S362" i="9"/>
  <c r="M362" i="9"/>
  <c r="G362" i="9"/>
  <c r="Y361" i="9"/>
  <c r="S361" i="9"/>
  <c r="M361" i="9"/>
  <c r="G361" i="9"/>
  <c r="Y360" i="9"/>
  <c r="S360" i="9"/>
  <c r="M360" i="9"/>
  <c r="G360" i="9"/>
  <c r="Y359" i="9"/>
  <c r="S359" i="9"/>
  <c r="M359" i="9"/>
  <c r="G359" i="9"/>
  <c r="Y358" i="9"/>
  <c r="S358" i="9"/>
  <c r="M358" i="9"/>
  <c r="G358" i="9"/>
  <c r="Y357" i="9"/>
  <c r="S357" i="9"/>
  <c r="M357" i="9"/>
  <c r="G357" i="9"/>
  <c r="Y356" i="9"/>
  <c r="S356" i="9"/>
  <c r="M356" i="9"/>
  <c r="G356" i="9"/>
  <c r="Y355" i="9"/>
  <c r="S355" i="9"/>
  <c r="M355" i="9"/>
  <c r="G355" i="9"/>
  <c r="Y354" i="9"/>
  <c r="S354" i="9"/>
  <c r="M354" i="9"/>
  <c r="G354" i="9"/>
  <c r="Y353" i="9"/>
  <c r="S353" i="9"/>
  <c r="M353" i="9"/>
  <c r="G353" i="9"/>
  <c r="Y352" i="9"/>
  <c r="S352" i="9"/>
  <c r="M352" i="9"/>
  <c r="G352" i="9"/>
  <c r="Y351" i="9"/>
  <c r="S351" i="9"/>
  <c r="M351" i="9"/>
  <c r="G351" i="9"/>
  <c r="Y350" i="9"/>
  <c r="S350" i="9"/>
  <c r="M350" i="9"/>
  <c r="G350" i="9"/>
  <c r="Y349" i="9"/>
  <c r="S349" i="9"/>
  <c r="M349" i="9"/>
  <c r="G349" i="9"/>
  <c r="Y348" i="9"/>
  <c r="S348" i="9"/>
  <c r="M348" i="9"/>
  <c r="G348" i="9"/>
  <c r="Y347" i="9"/>
  <c r="S347" i="9"/>
  <c r="M347" i="9"/>
  <c r="G347" i="9"/>
  <c r="Y346" i="9"/>
  <c r="S346" i="9"/>
  <c r="M346" i="9"/>
  <c r="G346" i="9"/>
  <c r="Y345" i="9"/>
  <c r="S345" i="9"/>
  <c r="M345" i="9"/>
  <c r="G345" i="9"/>
  <c r="Y344" i="9"/>
  <c r="S344" i="9"/>
  <c r="M344" i="9"/>
  <c r="G344" i="9"/>
  <c r="Y343" i="9"/>
  <c r="S343" i="9"/>
  <c r="M343" i="9"/>
  <c r="G343" i="9"/>
  <c r="Y342" i="9"/>
  <c r="S342" i="9"/>
  <c r="M342" i="9"/>
  <c r="G342" i="9"/>
  <c r="Y341" i="9"/>
  <c r="S341" i="9"/>
  <c r="M341" i="9"/>
  <c r="G341" i="9"/>
  <c r="Y340" i="9"/>
  <c r="S340" i="9"/>
  <c r="M340" i="9"/>
  <c r="G340" i="9"/>
  <c r="Y339" i="9"/>
  <c r="S339" i="9"/>
  <c r="M339" i="9"/>
  <c r="G339" i="9"/>
  <c r="Y338" i="9"/>
  <c r="S338" i="9"/>
  <c r="M338" i="9"/>
  <c r="G338" i="9"/>
  <c r="Y337" i="9"/>
  <c r="S337" i="9"/>
  <c r="M337" i="9"/>
  <c r="G337" i="9"/>
  <c r="Y336" i="9"/>
  <c r="S336" i="9"/>
  <c r="M336" i="9"/>
  <c r="G336" i="9"/>
  <c r="Y335" i="9"/>
  <c r="S335" i="9"/>
  <c r="M335" i="9"/>
  <c r="G335" i="9"/>
  <c r="Y334" i="9"/>
  <c r="S334" i="9"/>
  <c r="M334" i="9"/>
  <c r="G334" i="9"/>
  <c r="Y333" i="9"/>
  <c r="S333" i="9"/>
  <c r="M333" i="9"/>
  <c r="G333" i="9"/>
  <c r="Y332" i="9"/>
  <c r="S332" i="9"/>
  <c r="M332" i="9"/>
  <c r="G332" i="9"/>
  <c r="Y331" i="9"/>
  <c r="S331" i="9"/>
  <c r="M331" i="9"/>
  <c r="G331" i="9"/>
  <c r="Y330" i="9"/>
  <c r="S330" i="9"/>
  <c r="M330" i="9"/>
  <c r="G330" i="9"/>
  <c r="Y329" i="9"/>
  <c r="S329" i="9"/>
  <c r="M329" i="9"/>
  <c r="G329" i="9"/>
  <c r="Y328" i="9"/>
  <c r="S328" i="9"/>
  <c r="M328" i="9"/>
  <c r="G328" i="9"/>
  <c r="Y327" i="9"/>
  <c r="S327" i="9"/>
  <c r="M327" i="9"/>
  <c r="G327" i="9"/>
  <c r="Y326" i="9"/>
  <c r="S326" i="9"/>
  <c r="M326" i="9"/>
  <c r="G326" i="9"/>
  <c r="Y325" i="9"/>
  <c r="S325" i="9"/>
  <c r="M325" i="9"/>
  <c r="G325" i="9"/>
  <c r="Y324" i="9"/>
  <c r="S324" i="9"/>
  <c r="M324" i="9"/>
  <c r="G324" i="9"/>
  <c r="Y323" i="9"/>
  <c r="S323" i="9"/>
  <c r="M323" i="9"/>
  <c r="G323" i="9"/>
  <c r="Y322" i="9"/>
  <c r="S322" i="9"/>
  <c r="M322" i="9"/>
  <c r="G322" i="9"/>
  <c r="Y321" i="9"/>
  <c r="S321" i="9"/>
  <c r="M321" i="9"/>
  <c r="G321" i="9"/>
  <c r="Y320" i="9"/>
  <c r="S320" i="9"/>
  <c r="M320" i="9"/>
  <c r="G320" i="9"/>
  <c r="Y319" i="9"/>
  <c r="S319" i="9"/>
  <c r="M319" i="9"/>
  <c r="G319" i="9"/>
  <c r="Y318" i="9"/>
  <c r="S318" i="9"/>
  <c r="M318" i="9"/>
  <c r="G318" i="9"/>
  <c r="Y317" i="9"/>
  <c r="S317" i="9"/>
  <c r="M317" i="9"/>
  <c r="G317" i="9"/>
  <c r="Y316" i="9"/>
  <c r="S316" i="9"/>
  <c r="M316" i="9"/>
  <c r="G316" i="9"/>
  <c r="Y315" i="9"/>
  <c r="S315" i="9"/>
  <c r="M315" i="9"/>
  <c r="G315" i="9"/>
  <c r="Y314" i="9"/>
  <c r="S314" i="9"/>
  <c r="M314" i="9"/>
  <c r="G314" i="9"/>
  <c r="Y313" i="9"/>
  <c r="S313" i="9"/>
  <c r="M313" i="9"/>
  <c r="G313" i="9"/>
  <c r="Y312" i="9"/>
  <c r="S312" i="9"/>
  <c r="M312" i="9"/>
  <c r="G312" i="9"/>
  <c r="Y311" i="9"/>
  <c r="S311" i="9"/>
  <c r="M311" i="9"/>
  <c r="G311" i="9"/>
  <c r="Y310" i="9"/>
  <c r="S310" i="9"/>
  <c r="M310" i="9"/>
  <c r="G310" i="9"/>
  <c r="Y309" i="9"/>
  <c r="S309" i="9"/>
  <c r="M309" i="9"/>
  <c r="G309" i="9"/>
  <c r="Y308" i="9"/>
  <c r="S308" i="9"/>
  <c r="M308" i="9"/>
  <c r="G308" i="9"/>
  <c r="Y307" i="9"/>
  <c r="S307" i="9"/>
  <c r="M307" i="9"/>
  <c r="G307" i="9"/>
  <c r="Y306" i="9"/>
  <c r="S306" i="9"/>
  <c r="M306" i="9"/>
  <c r="G306" i="9"/>
  <c r="Y305" i="9"/>
  <c r="S305" i="9"/>
  <c r="M305" i="9"/>
  <c r="G305" i="9"/>
  <c r="Y304" i="9"/>
  <c r="S304" i="9"/>
  <c r="M304" i="9"/>
  <c r="G304" i="9"/>
  <c r="Y303" i="9"/>
  <c r="S303" i="9"/>
  <c r="M303" i="9"/>
  <c r="G303" i="9"/>
  <c r="Y302" i="9"/>
  <c r="S302" i="9"/>
  <c r="M302" i="9"/>
  <c r="G302" i="9"/>
  <c r="Y301" i="9"/>
  <c r="S301" i="9"/>
  <c r="M301" i="9"/>
  <c r="G301" i="9"/>
  <c r="Y300" i="9"/>
  <c r="S300" i="9"/>
  <c r="M300" i="9"/>
  <c r="G300" i="9"/>
  <c r="Y299" i="9"/>
  <c r="S299" i="9"/>
  <c r="M299" i="9"/>
  <c r="G299" i="9"/>
  <c r="Y298" i="9"/>
  <c r="S298" i="9"/>
  <c r="M298" i="9"/>
  <c r="G298" i="9"/>
  <c r="Y297" i="9"/>
  <c r="S297" i="9"/>
  <c r="M297" i="9"/>
  <c r="G297" i="9"/>
  <c r="Y296" i="9"/>
  <c r="S296" i="9"/>
  <c r="M296" i="9"/>
  <c r="G296" i="9"/>
  <c r="Y295" i="9"/>
  <c r="S295" i="9"/>
  <c r="M295" i="9"/>
  <c r="G295" i="9"/>
  <c r="Y294" i="9"/>
  <c r="S294" i="9"/>
  <c r="M294" i="9"/>
  <c r="G294" i="9"/>
  <c r="Y293" i="9"/>
  <c r="S293" i="9"/>
  <c r="M293" i="9"/>
  <c r="G293" i="9"/>
  <c r="Y292" i="9"/>
  <c r="S292" i="9"/>
  <c r="M292" i="9"/>
  <c r="G292" i="9"/>
  <c r="Y291" i="9"/>
  <c r="S291" i="9"/>
  <c r="M291" i="9"/>
  <c r="G291" i="9"/>
  <c r="Y290" i="9"/>
  <c r="S290" i="9"/>
  <c r="M290" i="9"/>
  <c r="G290" i="9"/>
  <c r="Y289" i="9"/>
  <c r="S289" i="9"/>
  <c r="M289" i="9"/>
  <c r="G289" i="9"/>
  <c r="Y288" i="9"/>
  <c r="S288" i="9"/>
  <c r="M288" i="9"/>
  <c r="G288" i="9"/>
  <c r="Y287" i="9"/>
  <c r="S287" i="9"/>
  <c r="M287" i="9"/>
  <c r="G287" i="9"/>
  <c r="Y286" i="9"/>
  <c r="S286" i="9"/>
  <c r="M286" i="9"/>
  <c r="G286" i="9"/>
  <c r="Y285" i="9"/>
  <c r="S285" i="9"/>
  <c r="M285" i="9"/>
  <c r="G285" i="9"/>
  <c r="Y284" i="9"/>
  <c r="S284" i="9"/>
  <c r="M284" i="9"/>
  <c r="G284" i="9"/>
  <c r="Y283" i="9"/>
  <c r="S283" i="9"/>
  <c r="M283" i="9"/>
  <c r="G283" i="9"/>
  <c r="Y282" i="9"/>
  <c r="S282" i="9"/>
  <c r="M282" i="9"/>
  <c r="G282" i="9"/>
  <c r="Y281" i="9"/>
  <c r="S281" i="9"/>
  <c r="M281" i="9"/>
  <c r="G281" i="9"/>
  <c r="Y280" i="9"/>
  <c r="S280" i="9"/>
  <c r="M280" i="9"/>
  <c r="G280" i="9"/>
  <c r="Y279" i="9"/>
  <c r="S279" i="9"/>
  <c r="M279" i="9"/>
  <c r="G279" i="9"/>
  <c r="Y278" i="9"/>
  <c r="S278" i="9"/>
  <c r="M278" i="9"/>
  <c r="G278" i="9"/>
  <c r="Y277" i="9"/>
  <c r="S277" i="9"/>
  <c r="M277" i="9"/>
  <c r="G277" i="9"/>
  <c r="Y276" i="9"/>
  <c r="S276" i="9"/>
  <c r="M276" i="9"/>
  <c r="G276" i="9"/>
  <c r="Y275" i="9"/>
  <c r="S275" i="9"/>
  <c r="M275" i="9"/>
  <c r="G275" i="9"/>
  <c r="Y274" i="9"/>
  <c r="S274" i="9"/>
  <c r="M274" i="9"/>
  <c r="G274" i="9"/>
  <c r="Y273" i="9"/>
  <c r="S273" i="9"/>
  <c r="M273" i="9"/>
  <c r="G273" i="9"/>
  <c r="Y272" i="9"/>
  <c r="S272" i="9"/>
  <c r="M272" i="9"/>
  <c r="G272" i="9"/>
  <c r="Y271" i="9"/>
  <c r="S271" i="9"/>
  <c r="M271" i="9"/>
  <c r="G271" i="9"/>
  <c r="Y270" i="9"/>
  <c r="S270" i="9"/>
  <c r="M270" i="9"/>
  <c r="G270" i="9"/>
  <c r="Y269" i="9"/>
  <c r="S269" i="9"/>
  <c r="M269" i="9"/>
  <c r="G269" i="9"/>
  <c r="Y268" i="9"/>
  <c r="S268" i="9"/>
  <c r="M268" i="9"/>
  <c r="G268" i="9"/>
  <c r="Y267" i="9"/>
  <c r="S267" i="9"/>
  <c r="M267" i="9"/>
  <c r="G267" i="9"/>
  <c r="Y266" i="9"/>
  <c r="S266" i="9"/>
  <c r="M266" i="9"/>
  <c r="G266" i="9"/>
  <c r="Y265" i="9"/>
  <c r="S265" i="9"/>
  <c r="M265" i="9"/>
  <c r="G265" i="9"/>
  <c r="Y264" i="9"/>
  <c r="S264" i="9"/>
  <c r="M264" i="9"/>
  <c r="G264" i="9"/>
  <c r="Y263" i="9"/>
  <c r="S263" i="9"/>
  <c r="M263" i="9"/>
  <c r="G263" i="9"/>
  <c r="Y262" i="9"/>
  <c r="S262" i="9"/>
  <c r="M262" i="9"/>
  <c r="G262" i="9"/>
  <c r="Y261" i="9"/>
  <c r="S261" i="9"/>
  <c r="M261" i="9"/>
  <c r="G261" i="9"/>
  <c r="Y260" i="9"/>
  <c r="S260" i="9"/>
  <c r="M260" i="9"/>
  <c r="G260" i="9"/>
  <c r="Y259" i="9"/>
  <c r="S259" i="9"/>
  <c r="M259" i="9"/>
  <c r="G259" i="9"/>
  <c r="Y258" i="9"/>
  <c r="S258" i="9"/>
  <c r="M258" i="9"/>
  <c r="G258" i="9"/>
  <c r="Y257" i="9"/>
  <c r="S257" i="9"/>
  <c r="M257" i="9"/>
  <c r="G257" i="9"/>
  <c r="Y256" i="9"/>
  <c r="S256" i="9"/>
  <c r="M256" i="9"/>
  <c r="G256" i="9"/>
  <c r="Y255" i="9"/>
  <c r="S255" i="9"/>
  <c r="M255" i="9"/>
  <c r="G255" i="9"/>
  <c r="Y254" i="9"/>
  <c r="S254" i="9"/>
  <c r="M254" i="9"/>
  <c r="G254" i="9"/>
  <c r="Y253" i="9"/>
  <c r="S253" i="9"/>
  <c r="M253" i="9"/>
  <c r="G253" i="9"/>
  <c r="Y252" i="9"/>
  <c r="S252" i="9"/>
  <c r="M252" i="9"/>
  <c r="G252" i="9"/>
  <c r="Y251" i="9"/>
  <c r="S251" i="9"/>
  <c r="M251" i="9"/>
  <c r="G251" i="9"/>
  <c r="Y250" i="9"/>
  <c r="S250" i="9"/>
  <c r="M250" i="9"/>
  <c r="G250" i="9"/>
  <c r="Y249" i="9"/>
  <c r="S249" i="9"/>
  <c r="M249" i="9"/>
  <c r="G249" i="9"/>
  <c r="Y248" i="9"/>
  <c r="S248" i="9"/>
  <c r="M248" i="9"/>
  <c r="G248" i="9"/>
  <c r="Y247" i="9"/>
  <c r="S247" i="9"/>
  <c r="M247" i="9"/>
  <c r="G247" i="9"/>
  <c r="Y246" i="9"/>
  <c r="S246" i="9"/>
  <c r="M246" i="9"/>
  <c r="G246" i="9"/>
  <c r="Y245" i="9"/>
  <c r="S245" i="9"/>
  <c r="M245" i="9"/>
  <c r="G245" i="9"/>
  <c r="Y244" i="9"/>
  <c r="S244" i="9"/>
  <c r="M244" i="9"/>
  <c r="G244" i="9"/>
  <c r="Y243" i="9"/>
  <c r="S243" i="9"/>
  <c r="M243" i="9"/>
  <c r="G243" i="9"/>
  <c r="Y242" i="9"/>
  <c r="S242" i="9"/>
  <c r="M242" i="9"/>
  <c r="G242" i="9"/>
  <c r="Y241" i="9"/>
  <c r="S241" i="9"/>
  <c r="M241" i="9"/>
  <c r="G241" i="9"/>
  <c r="Y240" i="9"/>
  <c r="S240" i="9"/>
  <c r="M240" i="9"/>
  <c r="G240" i="9"/>
  <c r="Y239" i="9"/>
  <c r="S239" i="9"/>
  <c r="M239" i="9"/>
  <c r="G239" i="9"/>
  <c r="Y238" i="9"/>
  <c r="S238" i="9"/>
  <c r="M238" i="9"/>
  <c r="G238" i="9"/>
  <c r="Y237" i="9"/>
  <c r="S237" i="9"/>
  <c r="M237" i="9"/>
  <c r="G237" i="9"/>
  <c r="Y236" i="9"/>
  <c r="S236" i="9"/>
  <c r="M236" i="9"/>
  <c r="G236" i="9"/>
  <c r="Y235" i="9"/>
  <c r="S235" i="9"/>
  <c r="M235" i="9"/>
  <c r="G235" i="9"/>
  <c r="Y234" i="9"/>
  <c r="S234" i="9"/>
  <c r="M234" i="9"/>
  <c r="G234" i="9"/>
  <c r="Y233" i="9"/>
  <c r="S233" i="9"/>
  <c r="M233" i="9"/>
  <c r="G233" i="9"/>
  <c r="Y232" i="9"/>
  <c r="S232" i="9"/>
  <c r="M232" i="9"/>
  <c r="G232" i="9"/>
  <c r="Y231" i="9"/>
  <c r="S231" i="9"/>
  <c r="M231" i="9"/>
  <c r="G231" i="9"/>
  <c r="Y230" i="9"/>
  <c r="S230" i="9"/>
  <c r="M230" i="9"/>
  <c r="G230" i="9"/>
  <c r="Y229" i="9"/>
  <c r="S229" i="9"/>
  <c r="M229" i="9"/>
  <c r="G229" i="9"/>
  <c r="Y228" i="9"/>
  <c r="S228" i="9"/>
  <c r="M228" i="9"/>
  <c r="G228" i="9"/>
  <c r="Y227" i="9"/>
  <c r="S227" i="9"/>
  <c r="M227" i="9"/>
  <c r="G227" i="9"/>
  <c r="Y226" i="9"/>
  <c r="S226" i="9"/>
  <c r="M226" i="9"/>
  <c r="G226" i="9"/>
  <c r="Y225" i="9"/>
  <c r="S225" i="9"/>
  <c r="M225" i="9"/>
  <c r="G225" i="9"/>
  <c r="Y224" i="9"/>
  <c r="S224" i="9"/>
  <c r="M224" i="9"/>
  <c r="G224" i="9"/>
  <c r="Y223" i="9"/>
  <c r="S223" i="9"/>
  <c r="M223" i="9"/>
  <c r="G223" i="9"/>
  <c r="Y222" i="9"/>
  <c r="S222" i="9"/>
  <c r="M222" i="9"/>
  <c r="G222" i="9"/>
  <c r="Y221" i="9"/>
  <c r="S221" i="9"/>
  <c r="M221" i="9"/>
  <c r="G221" i="9"/>
  <c r="Y220" i="9"/>
  <c r="S220" i="9"/>
  <c r="M220" i="9"/>
  <c r="G220" i="9"/>
  <c r="Y219" i="9"/>
  <c r="S219" i="9"/>
  <c r="M219" i="9"/>
  <c r="G219" i="9"/>
  <c r="Y218" i="9"/>
  <c r="S218" i="9"/>
  <c r="M218" i="9"/>
  <c r="G218" i="9"/>
  <c r="Y217" i="9"/>
  <c r="S217" i="9"/>
  <c r="M217" i="9"/>
  <c r="G217" i="9"/>
  <c r="Y216" i="9"/>
  <c r="S216" i="9"/>
  <c r="M216" i="9"/>
  <c r="G216" i="9"/>
  <c r="Y215" i="9"/>
  <c r="S215" i="9"/>
  <c r="M215" i="9"/>
  <c r="G215" i="9"/>
  <c r="Y214" i="9"/>
  <c r="S214" i="9"/>
  <c r="M214" i="9"/>
  <c r="G214" i="9"/>
  <c r="Y213" i="9"/>
  <c r="S213" i="9"/>
  <c r="M213" i="9"/>
  <c r="G213" i="9"/>
  <c r="Y212" i="9"/>
  <c r="S212" i="9"/>
  <c r="M212" i="9"/>
  <c r="G212" i="9"/>
  <c r="Y211" i="9"/>
  <c r="S211" i="9"/>
  <c r="M211" i="9"/>
  <c r="G211" i="9"/>
  <c r="Y210" i="9"/>
  <c r="S210" i="9"/>
  <c r="M210" i="9"/>
  <c r="G210" i="9"/>
  <c r="Y209" i="9"/>
  <c r="S209" i="9"/>
  <c r="M209" i="9"/>
  <c r="G209" i="9"/>
  <c r="Y208" i="9"/>
  <c r="S208" i="9"/>
  <c r="M208" i="9"/>
  <c r="G208" i="9"/>
  <c r="Y207" i="9"/>
  <c r="S207" i="9"/>
  <c r="M207" i="9"/>
  <c r="G207" i="9"/>
  <c r="Y206" i="9"/>
  <c r="S206" i="9"/>
  <c r="M206" i="9"/>
  <c r="G206" i="9"/>
  <c r="Y205" i="9"/>
  <c r="S205" i="9"/>
  <c r="M205" i="9"/>
  <c r="G205" i="9"/>
  <c r="Y204" i="9"/>
  <c r="S204" i="9"/>
  <c r="M204" i="9"/>
  <c r="G204" i="9"/>
  <c r="Y203" i="9"/>
  <c r="S203" i="9"/>
  <c r="M203" i="9"/>
  <c r="G203" i="9"/>
  <c r="Y202" i="9"/>
  <c r="S202" i="9"/>
  <c r="M202" i="9"/>
  <c r="G202" i="9"/>
  <c r="Y201" i="9"/>
  <c r="S201" i="9"/>
  <c r="M201" i="9"/>
  <c r="G201" i="9"/>
  <c r="Y200" i="9"/>
  <c r="S200" i="9"/>
  <c r="M200" i="9"/>
  <c r="G200" i="9"/>
  <c r="Y199" i="9"/>
  <c r="S199" i="9"/>
  <c r="M199" i="9"/>
  <c r="G199" i="9"/>
  <c r="Y198" i="9"/>
  <c r="S198" i="9"/>
  <c r="M198" i="9"/>
  <c r="G198" i="9"/>
  <c r="Y197" i="9"/>
  <c r="S197" i="9"/>
  <c r="M197" i="9"/>
  <c r="G197" i="9"/>
  <c r="Y196" i="9"/>
  <c r="S196" i="9"/>
  <c r="M196" i="9"/>
  <c r="G196" i="9"/>
  <c r="Y195" i="9"/>
  <c r="S195" i="9"/>
  <c r="M195" i="9"/>
  <c r="G195" i="9"/>
  <c r="Y194" i="9"/>
  <c r="S194" i="9"/>
  <c r="M194" i="9"/>
  <c r="G194" i="9"/>
  <c r="Y193" i="9"/>
  <c r="S193" i="9"/>
  <c r="M193" i="9"/>
  <c r="G193" i="9"/>
  <c r="Y192" i="9"/>
  <c r="S192" i="9"/>
  <c r="M192" i="9"/>
  <c r="G192" i="9"/>
  <c r="Y191" i="9"/>
  <c r="S191" i="9"/>
  <c r="M191" i="9"/>
  <c r="G191" i="9"/>
  <c r="Y190" i="9"/>
  <c r="S190" i="9"/>
  <c r="M190" i="9"/>
  <c r="G190" i="9"/>
  <c r="Y189" i="9"/>
  <c r="S189" i="9"/>
  <c r="M189" i="9"/>
  <c r="G189" i="9"/>
  <c r="Y188" i="9"/>
  <c r="S188" i="9"/>
  <c r="M188" i="9"/>
  <c r="G188" i="9"/>
  <c r="Y187" i="9"/>
  <c r="S187" i="9"/>
  <c r="M187" i="9"/>
  <c r="G187" i="9"/>
  <c r="Y186" i="9"/>
  <c r="S186" i="9"/>
  <c r="M186" i="9"/>
  <c r="G186" i="9"/>
  <c r="Y185" i="9"/>
  <c r="S185" i="9"/>
  <c r="M185" i="9"/>
  <c r="G185" i="9"/>
  <c r="Y184" i="9"/>
  <c r="S184" i="9"/>
  <c r="M184" i="9"/>
  <c r="G184" i="9"/>
  <c r="Y183" i="9"/>
  <c r="S183" i="9"/>
  <c r="M183" i="9"/>
  <c r="G183" i="9"/>
  <c r="Y182" i="9"/>
  <c r="S182" i="9"/>
  <c r="M182" i="9"/>
  <c r="G182" i="9"/>
  <c r="Y181" i="9"/>
  <c r="S181" i="9"/>
  <c r="M181" i="9"/>
  <c r="G181" i="9"/>
  <c r="Y180" i="9"/>
  <c r="S180" i="9"/>
  <c r="M180" i="9"/>
  <c r="G180" i="9"/>
  <c r="Y179" i="9"/>
  <c r="S179" i="9"/>
  <c r="M179" i="9"/>
  <c r="G179" i="9"/>
  <c r="Y178" i="9"/>
  <c r="S178" i="9"/>
  <c r="M178" i="9"/>
  <c r="G178" i="9"/>
  <c r="Y177" i="9"/>
  <c r="S177" i="9"/>
  <c r="M177" i="9"/>
  <c r="G177" i="9"/>
  <c r="Y176" i="9"/>
  <c r="S176" i="9"/>
  <c r="M176" i="9"/>
  <c r="G176" i="9"/>
  <c r="Y175" i="9"/>
  <c r="S175" i="9"/>
  <c r="M175" i="9"/>
  <c r="G175" i="9"/>
  <c r="Y174" i="9"/>
  <c r="S174" i="9"/>
  <c r="M174" i="9"/>
  <c r="G174" i="9"/>
  <c r="Y173" i="9"/>
  <c r="S173" i="9"/>
  <c r="M173" i="9"/>
  <c r="G173" i="9"/>
  <c r="Y172" i="9"/>
  <c r="S172" i="9"/>
  <c r="M172" i="9"/>
  <c r="G172" i="9"/>
  <c r="Y171" i="9"/>
  <c r="S171" i="9"/>
  <c r="M171" i="9"/>
  <c r="G171" i="9"/>
  <c r="Y170" i="9"/>
  <c r="S170" i="9"/>
  <c r="M170" i="9"/>
  <c r="G170" i="9"/>
  <c r="Y169" i="9"/>
  <c r="S169" i="9"/>
  <c r="M169" i="9"/>
  <c r="G169" i="9"/>
  <c r="Y168" i="9"/>
  <c r="S168" i="9"/>
  <c r="M168" i="9"/>
  <c r="G168" i="9"/>
  <c r="Y167" i="9"/>
  <c r="S167" i="9"/>
  <c r="M167" i="9"/>
  <c r="G167" i="9"/>
  <c r="Y166" i="9"/>
  <c r="S166" i="9"/>
  <c r="M166" i="9"/>
  <c r="G166" i="9"/>
  <c r="Y165" i="9"/>
  <c r="S165" i="9"/>
  <c r="M165" i="9"/>
  <c r="G165" i="9"/>
  <c r="Y164" i="9"/>
  <c r="S164" i="9"/>
  <c r="M164" i="9"/>
  <c r="G164" i="9"/>
  <c r="Y163" i="9"/>
  <c r="S163" i="9"/>
  <c r="M163" i="9"/>
  <c r="G163" i="9"/>
  <c r="Y162" i="9"/>
  <c r="S162" i="9"/>
  <c r="M162" i="9"/>
  <c r="G162" i="9"/>
  <c r="Y161" i="9"/>
  <c r="S161" i="9"/>
  <c r="M161" i="9"/>
  <c r="G161" i="9"/>
  <c r="Y160" i="9"/>
  <c r="S160" i="9"/>
  <c r="M160" i="9"/>
  <c r="G160" i="9"/>
  <c r="Y159" i="9"/>
  <c r="S159" i="9"/>
  <c r="M159" i="9"/>
  <c r="G159" i="9"/>
  <c r="Y158" i="9"/>
  <c r="S158" i="9"/>
  <c r="M158" i="9"/>
  <c r="G158" i="9"/>
  <c r="Y157" i="9"/>
  <c r="S157" i="9"/>
  <c r="M157" i="9"/>
  <c r="G157" i="9"/>
  <c r="Y156" i="9"/>
  <c r="S156" i="9"/>
  <c r="M156" i="9"/>
  <c r="G156" i="9"/>
  <c r="Y155" i="9"/>
  <c r="S155" i="9"/>
  <c r="M155" i="9"/>
  <c r="G155" i="9"/>
  <c r="Y154" i="9"/>
  <c r="S154" i="9"/>
  <c r="M154" i="9"/>
  <c r="G154" i="9"/>
  <c r="Y153" i="9"/>
  <c r="S153" i="9"/>
  <c r="M153" i="9"/>
  <c r="G153" i="9"/>
  <c r="Y152" i="9"/>
  <c r="S152" i="9"/>
  <c r="M152" i="9"/>
  <c r="G152" i="9"/>
  <c r="Y151" i="9"/>
  <c r="S151" i="9"/>
  <c r="M151" i="9"/>
  <c r="G151" i="9"/>
  <c r="Y150" i="9"/>
  <c r="S150" i="9"/>
  <c r="M150" i="9"/>
  <c r="G150" i="9"/>
  <c r="Y149" i="9"/>
  <c r="S149" i="9"/>
  <c r="M149" i="9"/>
  <c r="G149" i="9"/>
  <c r="Y148" i="9"/>
  <c r="S148" i="9"/>
  <c r="M148" i="9"/>
  <c r="G148" i="9"/>
  <c r="Y147" i="9"/>
  <c r="S147" i="9"/>
  <c r="M147" i="9"/>
  <c r="G147" i="9"/>
  <c r="Y146" i="9"/>
  <c r="S146" i="9"/>
  <c r="M146" i="9"/>
  <c r="G146" i="9"/>
  <c r="Y145" i="9"/>
  <c r="S145" i="9"/>
  <c r="M145" i="9"/>
  <c r="G145" i="9"/>
  <c r="Y144" i="9"/>
  <c r="S144" i="9"/>
  <c r="M144" i="9"/>
  <c r="G144" i="9"/>
  <c r="Y143" i="9"/>
  <c r="S143" i="9"/>
  <c r="M143" i="9"/>
  <c r="G143" i="9"/>
  <c r="Y142" i="9"/>
  <c r="S142" i="9"/>
  <c r="M142" i="9"/>
  <c r="G142" i="9"/>
  <c r="Y141" i="9"/>
  <c r="S141" i="9"/>
  <c r="M141" i="9"/>
  <c r="G141" i="9"/>
  <c r="Y140" i="9"/>
  <c r="S140" i="9"/>
  <c r="M140" i="9"/>
  <c r="G140" i="9"/>
  <c r="Y139" i="9"/>
  <c r="S139" i="9"/>
  <c r="M139" i="9"/>
  <c r="G139" i="9"/>
  <c r="Y138" i="9"/>
  <c r="S138" i="9"/>
  <c r="M138" i="9"/>
  <c r="G138" i="9"/>
  <c r="Y137" i="9"/>
  <c r="S137" i="9"/>
  <c r="M137" i="9"/>
  <c r="G137" i="9"/>
  <c r="Y136" i="9"/>
  <c r="S136" i="9"/>
  <c r="M136" i="9"/>
  <c r="G136" i="9"/>
  <c r="Y135" i="9"/>
  <c r="S135" i="9"/>
  <c r="M135" i="9"/>
  <c r="G135" i="9"/>
  <c r="Y134" i="9"/>
  <c r="S134" i="9"/>
  <c r="M134" i="9"/>
  <c r="G134" i="9"/>
  <c r="Y133" i="9"/>
  <c r="S133" i="9"/>
  <c r="M133" i="9"/>
  <c r="G133" i="9"/>
  <c r="Y132" i="9"/>
  <c r="S132" i="9"/>
  <c r="M132" i="9"/>
  <c r="G132" i="9"/>
  <c r="Y131" i="9"/>
  <c r="S131" i="9"/>
  <c r="M131" i="9"/>
  <c r="G131" i="9"/>
  <c r="Y130" i="9"/>
  <c r="S130" i="9"/>
  <c r="M130" i="9"/>
  <c r="G130" i="9"/>
  <c r="Y129" i="9"/>
  <c r="S129" i="9"/>
  <c r="M129" i="9"/>
  <c r="G129" i="9"/>
  <c r="Y128" i="9"/>
  <c r="S128" i="9"/>
  <c r="M128" i="9"/>
  <c r="G128" i="9"/>
  <c r="Y127" i="9"/>
  <c r="S127" i="9"/>
  <c r="M127" i="9"/>
  <c r="G127" i="9"/>
  <c r="Y126" i="9"/>
  <c r="S126" i="9"/>
  <c r="M126" i="9"/>
  <c r="G126" i="9"/>
  <c r="Y125" i="9"/>
  <c r="S125" i="9"/>
  <c r="M125" i="9"/>
  <c r="G125" i="9"/>
  <c r="Y124" i="9"/>
  <c r="S124" i="9"/>
  <c r="M124" i="9"/>
  <c r="G124" i="9"/>
  <c r="Y123" i="9"/>
  <c r="S123" i="9"/>
  <c r="M123" i="9"/>
  <c r="G123" i="9"/>
  <c r="Y122" i="9"/>
  <c r="S122" i="9"/>
  <c r="M122" i="9"/>
  <c r="G122" i="9"/>
  <c r="Y121" i="9"/>
  <c r="S121" i="9"/>
  <c r="M121" i="9"/>
  <c r="G121" i="9"/>
  <c r="Y120" i="9"/>
  <c r="S120" i="9"/>
  <c r="M120" i="9"/>
  <c r="G120" i="9"/>
  <c r="Y119" i="9"/>
  <c r="S119" i="9"/>
  <c r="M119" i="9"/>
  <c r="G119" i="9"/>
  <c r="Y118" i="9"/>
  <c r="S118" i="9"/>
  <c r="M118" i="9"/>
  <c r="G118" i="9"/>
  <c r="Y117" i="9"/>
  <c r="S117" i="9"/>
  <c r="M117" i="9"/>
  <c r="G117" i="9"/>
  <c r="Y116" i="9"/>
  <c r="S116" i="9"/>
  <c r="M116" i="9"/>
  <c r="G116" i="9"/>
  <c r="Y115" i="9"/>
  <c r="S115" i="9"/>
  <c r="M115" i="9"/>
  <c r="G115" i="9"/>
  <c r="Y114" i="9"/>
  <c r="S114" i="9"/>
  <c r="M114" i="9"/>
  <c r="G114" i="9"/>
  <c r="Y113" i="9"/>
  <c r="S113" i="9"/>
  <c r="M113" i="9"/>
  <c r="G113" i="9"/>
  <c r="Y112" i="9"/>
  <c r="S112" i="9"/>
  <c r="M112" i="9"/>
  <c r="G112" i="9"/>
  <c r="Y111" i="9"/>
  <c r="S111" i="9"/>
  <c r="M111" i="9"/>
  <c r="G111" i="9"/>
  <c r="Y110" i="9"/>
  <c r="S110" i="9"/>
  <c r="M110" i="9"/>
  <c r="G110" i="9"/>
  <c r="Y109" i="9"/>
  <c r="S109" i="9"/>
  <c r="M109" i="9"/>
  <c r="G109" i="9"/>
  <c r="Y108" i="9"/>
  <c r="S108" i="9"/>
  <c r="M108" i="9"/>
  <c r="G108" i="9"/>
  <c r="Y107" i="9"/>
  <c r="S107" i="9"/>
  <c r="M107" i="9"/>
  <c r="G107" i="9"/>
  <c r="Y106" i="9"/>
  <c r="S106" i="9"/>
  <c r="M106" i="9"/>
  <c r="G106" i="9"/>
  <c r="Y105" i="9"/>
  <c r="S105" i="9"/>
  <c r="M105" i="9"/>
  <c r="G105" i="9"/>
  <c r="Y104" i="9"/>
  <c r="S104" i="9"/>
  <c r="M104" i="9"/>
  <c r="G104" i="9"/>
  <c r="Y103" i="9"/>
  <c r="S103" i="9"/>
  <c r="M103" i="9"/>
  <c r="G103" i="9"/>
  <c r="Y102" i="9"/>
  <c r="S102" i="9"/>
  <c r="M102" i="9"/>
  <c r="G102" i="9"/>
  <c r="Y101" i="9"/>
  <c r="S101" i="9"/>
  <c r="M101" i="9"/>
  <c r="G101" i="9"/>
  <c r="Y100" i="9"/>
  <c r="S100" i="9"/>
  <c r="M100" i="9"/>
  <c r="G100" i="9"/>
  <c r="Y99" i="9"/>
  <c r="S99" i="9"/>
  <c r="M99" i="9"/>
  <c r="G99" i="9"/>
  <c r="Y98" i="9"/>
  <c r="S98" i="9"/>
  <c r="M98" i="9"/>
  <c r="G98" i="9"/>
  <c r="Y97" i="9"/>
  <c r="S97" i="9"/>
  <c r="M97" i="9"/>
  <c r="G97" i="9"/>
  <c r="Y96" i="9"/>
  <c r="S96" i="9"/>
  <c r="M96" i="9"/>
  <c r="G96" i="9"/>
  <c r="Y95" i="9"/>
  <c r="S95" i="9"/>
  <c r="M95" i="9"/>
  <c r="G95" i="9"/>
  <c r="Y94" i="9"/>
  <c r="S94" i="9"/>
  <c r="M94" i="9"/>
  <c r="G94" i="9"/>
  <c r="Y93" i="9"/>
  <c r="S93" i="9"/>
  <c r="M93" i="9"/>
  <c r="G93" i="9"/>
  <c r="Y92" i="9"/>
  <c r="S92" i="9"/>
  <c r="M92" i="9"/>
  <c r="G92" i="9"/>
  <c r="Y91" i="9"/>
  <c r="S91" i="9"/>
  <c r="M91" i="9"/>
  <c r="G91" i="9"/>
  <c r="Y90" i="9"/>
  <c r="S90" i="9"/>
  <c r="M90" i="9"/>
  <c r="G90" i="9"/>
  <c r="Y89" i="9"/>
  <c r="S89" i="9"/>
  <c r="M89" i="9"/>
  <c r="G89" i="9"/>
  <c r="Y88" i="9"/>
  <c r="S88" i="9"/>
  <c r="M88" i="9"/>
  <c r="G88" i="9"/>
  <c r="Y87" i="9"/>
  <c r="S87" i="9"/>
  <c r="M87" i="9"/>
  <c r="G87" i="9"/>
  <c r="Y86" i="9"/>
  <c r="S86" i="9"/>
  <c r="M86" i="9"/>
  <c r="G86" i="9"/>
  <c r="Y85" i="9"/>
  <c r="S85" i="9"/>
  <c r="M85" i="9"/>
  <c r="G85" i="9"/>
  <c r="Y84" i="9"/>
  <c r="S84" i="9"/>
  <c r="M84" i="9"/>
  <c r="G84" i="9"/>
  <c r="Y83" i="9"/>
  <c r="S83" i="9"/>
  <c r="M83" i="9"/>
  <c r="G83" i="9"/>
  <c r="Y82" i="9"/>
  <c r="S82" i="9"/>
  <c r="M82" i="9"/>
  <c r="G82" i="9"/>
  <c r="Y81" i="9"/>
  <c r="S81" i="9"/>
  <c r="M81" i="9"/>
  <c r="G81" i="9"/>
  <c r="Y80" i="9"/>
  <c r="S80" i="9"/>
  <c r="M80" i="9"/>
  <c r="G80" i="9"/>
  <c r="Y79" i="9"/>
  <c r="S79" i="9"/>
  <c r="M79" i="9"/>
  <c r="G79" i="9"/>
  <c r="Y78" i="9"/>
  <c r="S78" i="9"/>
  <c r="M78" i="9"/>
  <c r="G78" i="9"/>
  <c r="Y77" i="9"/>
  <c r="S77" i="9"/>
  <c r="M77" i="9"/>
  <c r="G77" i="9"/>
  <c r="Y76" i="9"/>
  <c r="S76" i="9"/>
  <c r="M76" i="9"/>
  <c r="G76" i="9"/>
  <c r="Y75" i="9"/>
  <c r="S75" i="9"/>
  <c r="M75" i="9"/>
  <c r="G75" i="9"/>
  <c r="Y74" i="9"/>
  <c r="S74" i="9"/>
  <c r="M74" i="9"/>
  <c r="G74" i="9"/>
  <c r="Y73" i="9"/>
  <c r="S73" i="9"/>
  <c r="M73" i="9"/>
  <c r="G73" i="9"/>
  <c r="Y72" i="9"/>
  <c r="S72" i="9"/>
  <c r="M72" i="9"/>
  <c r="G72" i="9"/>
  <c r="Y71" i="9"/>
  <c r="S71" i="9"/>
  <c r="M71" i="9"/>
  <c r="G71" i="9"/>
  <c r="Y70" i="9"/>
  <c r="S70" i="9"/>
  <c r="M70" i="9"/>
  <c r="G70" i="9"/>
  <c r="Y69" i="9"/>
  <c r="S69" i="9"/>
  <c r="M69" i="9"/>
  <c r="G69" i="9"/>
  <c r="Y68" i="9"/>
  <c r="S68" i="9"/>
  <c r="M68" i="9"/>
  <c r="G68" i="9"/>
  <c r="Y67" i="9"/>
  <c r="S67" i="9"/>
  <c r="M67" i="9"/>
  <c r="G67" i="9"/>
  <c r="Y66" i="9"/>
  <c r="S66" i="9"/>
  <c r="M66" i="9"/>
  <c r="G66" i="9"/>
  <c r="Y65" i="9"/>
  <c r="S65" i="9"/>
  <c r="M65" i="9"/>
  <c r="G65" i="9"/>
  <c r="Y64" i="9"/>
  <c r="S64" i="9"/>
  <c r="M64" i="9"/>
  <c r="G64" i="9"/>
  <c r="Y63" i="9"/>
  <c r="S63" i="9"/>
  <c r="M63" i="9"/>
  <c r="G63" i="9"/>
  <c r="Y62" i="9"/>
  <c r="S62" i="9"/>
  <c r="M62" i="9"/>
  <c r="G62" i="9"/>
  <c r="Y61" i="9"/>
  <c r="S61" i="9"/>
  <c r="M61" i="9"/>
  <c r="J61" i="9"/>
  <c r="I61" i="9"/>
  <c r="H61" i="9"/>
  <c r="G61" i="9"/>
  <c r="Y60" i="9"/>
  <c r="S60" i="9"/>
  <c r="M60" i="9"/>
  <c r="J60" i="9"/>
  <c r="I60" i="9"/>
  <c r="H60" i="9"/>
  <c r="G60" i="9"/>
  <c r="Y59" i="9"/>
  <c r="S59" i="9"/>
  <c r="M59" i="9"/>
  <c r="J59" i="9"/>
  <c r="I59" i="9"/>
  <c r="H59" i="9"/>
  <c r="G59" i="9"/>
  <c r="Y58" i="9"/>
  <c r="S58" i="9"/>
  <c r="M58" i="9"/>
  <c r="J58" i="9"/>
  <c r="I58" i="9"/>
  <c r="H58" i="9"/>
  <c r="G58" i="9"/>
  <c r="Y57" i="9"/>
  <c r="S57" i="9"/>
  <c r="M57" i="9"/>
  <c r="J57" i="9"/>
  <c r="I57" i="9"/>
  <c r="H57" i="9"/>
  <c r="G57" i="9"/>
  <c r="Y56" i="9"/>
  <c r="S56" i="9"/>
  <c r="M56" i="9"/>
  <c r="J56" i="9"/>
  <c r="I56" i="9"/>
  <c r="H56" i="9"/>
  <c r="G56" i="9"/>
  <c r="Y55" i="9"/>
  <c r="S55" i="9"/>
  <c r="M55" i="9"/>
  <c r="J55" i="9"/>
  <c r="I55" i="9"/>
  <c r="H55" i="9"/>
  <c r="G55" i="9"/>
  <c r="Y54" i="9"/>
  <c r="S54" i="9"/>
  <c r="M54" i="9"/>
  <c r="J54" i="9"/>
  <c r="I54" i="9"/>
  <c r="H54" i="9"/>
  <c r="G54" i="9"/>
  <c r="Y53" i="9"/>
  <c r="S53" i="9"/>
  <c r="M53" i="9"/>
  <c r="J53" i="9"/>
  <c r="I53" i="9"/>
  <c r="H53" i="9"/>
  <c r="G53" i="9"/>
  <c r="Y52" i="9"/>
  <c r="S52" i="9"/>
  <c r="M52" i="9"/>
  <c r="J52" i="9"/>
  <c r="I52" i="9"/>
  <c r="H52" i="9"/>
  <c r="G52" i="9"/>
  <c r="C52" i="9"/>
  <c r="B52" i="9"/>
  <c r="Y51" i="9"/>
  <c r="S51" i="9"/>
  <c r="M51" i="9"/>
  <c r="J51" i="9"/>
  <c r="I51" i="9"/>
  <c r="H51" i="9"/>
  <c r="G51" i="9"/>
  <c r="D51" i="9"/>
  <c r="C51" i="9"/>
  <c r="B51" i="9"/>
  <c r="Y50" i="9"/>
  <c r="S50" i="9"/>
  <c r="M50" i="9"/>
  <c r="J50" i="9"/>
  <c r="I50" i="9"/>
  <c r="H50" i="9"/>
  <c r="G50" i="9"/>
  <c r="D50" i="9"/>
  <c r="C50" i="9"/>
  <c r="B50" i="9"/>
  <c r="Y49" i="9"/>
  <c r="S49" i="9"/>
  <c r="M49" i="9"/>
  <c r="J49" i="9"/>
  <c r="I49" i="9"/>
  <c r="H49" i="9"/>
  <c r="G49" i="9"/>
  <c r="D49" i="9"/>
  <c r="C49" i="9"/>
  <c r="B49" i="9"/>
  <c r="Y48" i="9"/>
  <c r="S48" i="9"/>
  <c r="M48" i="9"/>
  <c r="H48" i="9"/>
  <c r="G48" i="9"/>
  <c r="D48" i="9"/>
  <c r="C48" i="9"/>
  <c r="B48" i="9"/>
  <c r="Y47" i="9"/>
  <c r="S47" i="9"/>
  <c r="M47" i="9"/>
  <c r="J47" i="9"/>
  <c r="I47" i="9"/>
  <c r="H47" i="9"/>
  <c r="G47" i="9"/>
  <c r="D47" i="9"/>
  <c r="C47" i="9"/>
  <c r="B47" i="9"/>
  <c r="Y46" i="9"/>
  <c r="S46" i="9"/>
  <c r="M46" i="9"/>
  <c r="J46" i="9"/>
  <c r="I46" i="9"/>
  <c r="H46" i="9"/>
  <c r="G46" i="9"/>
  <c r="D46" i="9"/>
  <c r="C46" i="9"/>
  <c r="B46" i="9"/>
  <c r="Y45" i="9"/>
  <c r="S45" i="9"/>
  <c r="M45" i="9"/>
  <c r="J45" i="9"/>
  <c r="I45" i="9"/>
  <c r="H45" i="9"/>
  <c r="G45" i="9"/>
  <c r="D45" i="9"/>
  <c r="C45" i="9"/>
  <c r="B45" i="9"/>
  <c r="Y44" i="9"/>
  <c r="S44" i="9"/>
  <c r="M44" i="9"/>
  <c r="J44" i="9"/>
  <c r="I44" i="9"/>
  <c r="H44" i="9"/>
  <c r="G44" i="9"/>
  <c r="D44" i="9"/>
  <c r="C44" i="9"/>
  <c r="B44" i="9"/>
  <c r="Y43" i="9"/>
  <c r="S43" i="9"/>
  <c r="M43" i="9"/>
  <c r="J43" i="9"/>
  <c r="I43" i="9"/>
  <c r="H43" i="9"/>
  <c r="G43" i="9"/>
  <c r="D43" i="9"/>
  <c r="C43" i="9"/>
  <c r="B43" i="9"/>
  <c r="Y42" i="9"/>
  <c r="S42" i="9"/>
  <c r="M42" i="9"/>
  <c r="J42" i="9"/>
  <c r="I42" i="9"/>
  <c r="H42" i="9"/>
  <c r="G42" i="9"/>
  <c r="D42" i="9"/>
  <c r="C42" i="9"/>
  <c r="B42" i="9"/>
  <c r="Y41" i="9"/>
  <c r="S41" i="9"/>
  <c r="M41" i="9"/>
  <c r="J41" i="9"/>
  <c r="I41" i="9"/>
  <c r="H41" i="9"/>
  <c r="G41" i="9"/>
  <c r="D41" i="9"/>
  <c r="C41" i="9"/>
  <c r="B41" i="9"/>
  <c r="Y40" i="9"/>
  <c r="S40" i="9"/>
  <c r="M40" i="9"/>
  <c r="J40" i="9"/>
  <c r="I40" i="9"/>
  <c r="H40" i="9"/>
  <c r="G40" i="9"/>
  <c r="D40" i="9"/>
  <c r="C40" i="9"/>
  <c r="B40" i="9"/>
  <c r="Y39" i="9"/>
  <c r="S39" i="9"/>
  <c r="M39" i="9"/>
  <c r="J39" i="9"/>
  <c r="I39" i="9"/>
  <c r="H39" i="9"/>
  <c r="G39" i="9"/>
  <c r="D39" i="9"/>
  <c r="C39" i="9"/>
  <c r="B39" i="9"/>
  <c r="Y38" i="9"/>
  <c r="S38" i="9"/>
  <c r="M38" i="9"/>
  <c r="J38" i="9"/>
  <c r="I38" i="9"/>
  <c r="H38" i="9"/>
  <c r="G38" i="9"/>
  <c r="D38" i="9"/>
  <c r="C38" i="9"/>
  <c r="B38" i="9"/>
  <c r="Y37" i="9"/>
  <c r="S37" i="9"/>
  <c r="M37" i="9"/>
  <c r="J37" i="9"/>
  <c r="I37" i="9"/>
  <c r="H37" i="9"/>
  <c r="G37" i="9"/>
  <c r="D37" i="9"/>
  <c r="C37" i="9"/>
  <c r="B37" i="9"/>
  <c r="Y36" i="9"/>
  <c r="S36" i="9"/>
  <c r="M36" i="9"/>
  <c r="J36" i="9"/>
  <c r="I36" i="9"/>
  <c r="H36" i="9"/>
  <c r="G36" i="9"/>
  <c r="D36" i="9"/>
  <c r="C36" i="9"/>
  <c r="B36" i="9"/>
  <c r="Y35" i="9"/>
  <c r="S35" i="9"/>
  <c r="M35" i="9"/>
  <c r="J35" i="9"/>
  <c r="I35" i="9"/>
  <c r="H35" i="9"/>
  <c r="G35" i="9"/>
  <c r="B35" i="9"/>
  <c r="Y34" i="9"/>
  <c r="S34" i="9"/>
  <c r="M34" i="9"/>
  <c r="J34" i="9"/>
  <c r="I34" i="9"/>
  <c r="H34" i="9"/>
  <c r="G34" i="9"/>
  <c r="B34" i="9"/>
  <c r="Y33" i="9"/>
  <c r="S33" i="9"/>
  <c r="M33" i="9"/>
  <c r="J33" i="9"/>
  <c r="I33" i="9"/>
  <c r="H33" i="9"/>
  <c r="G33" i="9"/>
  <c r="B33" i="9"/>
  <c r="Y32" i="9"/>
  <c r="S32" i="9"/>
  <c r="M32" i="9"/>
  <c r="J32" i="9"/>
  <c r="I32" i="9"/>
  <c r="H32" i="9"/>
  <c r="G32" i="9"/>
  <c r="B32" i="9"/>
  <c r="Y31" i="9"/>
  <c r="S31" i="9"/>
  <c r="M31" i="9"/>
  <c r="J31" i="9"/>
  <c r="I31" i="9"/>
  <c r="H31" i="9"/>
  <c r="G31" i="9"/>
  <c r="B31" i="9"/>
  <c r="Y30" i="9"/>
  <c r="S30" i="9"/>
  <c r="M30" i="9"/>
  <c r="J30" i="9"/>
  <c r="I30" i="9"/>
  <c r="H30" i="9"/>
  <c r="G30" i="9"/>
  <c r="B30" i="9"/>
  <c r="Y29" i="9"/>
  <c r="S29" i="9"/>
  <c r="M29" i="9"/>
  <c r="J29" i="9"/>
  <c r="I29" i="9"/>
  <c r="H29" i="9"/>
  <c r="G29" i="9"/>
  <c r="B29" i="9"/>
  <c r="Y28" i="9"/>
  <c r="S28" i="9"/>
  <c r="M28" i="9"/>
  <c r="J28" i="9"/>
  <c r="I28" i="9"/>
  <c r="H28" i="9"/>
  <c r="G28" i="9"/>
  <c r="B28" i="9"/>
  <c r="Y27" i="9"/>
  <c r="S27" i="9"/>
  <c r="M27" i="9"/>
  <c r="J27" i="9"/>
  <c r="I27" i="9"/>
  <c r="H27" i="9"/>
  <c r="G27" i="9"/>
  <c r="B27" i="9"/>
  <c r="Y26" i="9"/>
  <c r="S26" i="9"/>
  <c r="M26" i="9"/>
  <c r="J26" i="9"/>
  <c r="I26" i="9"/>
  <c r="H26" i="9"/>
  <c r="G26" i="9"/>
  <c r="B26" i="9"/>
  <c r="Y25" i="9"/>
  <c r="S25" i="9"/>
  <c r="M25" i="9"/>
  <c r="J25" i="9"/>
  <c r="I25" i="9"/>
  <c r="H25" i="9"/>
  <c r="G25" i="9"/>
  <c r="B25" i="9"/>
  <c r="Y24" i="9"/>
  <c r="S24" i="9"/>
  <c r="M24" i="9"/>
  <c r="J24" i="9"/>
  <c r="I24" i="9"/>
  <c r="H24" i="9"/>
  <c r="G24" i="9"/>
  <c r="B24" i="9"/>
  <c r="Y23" i="9"/>
  <c r="S23" i="9"/>
  <c r="M23" i="9"/>
  <c r="J23" i="9"/>
  <c r="I23" i="9"/>
  <c r="H23" i="9"/>
  <c r="G23" i="9"/>
  <c r="B23" i="9"/>
  <c r="Y22" i="9"/>
  <c r="S22" i="9"/>
  <c r="M22" i="9"/>
  <c r="J22" i="9"/>
  <c r="I22" i="9"/>
  <c r="H22" i="9"/>
  <c r="G22" i="9"/>
  <c r="B22" i="9"/>
  <c r="Y21" i="9"/>
  <c r="S21" i="9"/>
  <c r="M21" i="9"/>
  <c r="J21" i="9"/>
  <c r="I21" i="9"/>
  <c r="H21" i="9"/>
  <c r="G21" i="9"/>
  <c r="B21" i="9"/>
  <c r="Y20" i="9"/>
  <c r="S20" i="9"/>
  <c r="M20" i="9"/>
  <c r="J20" i="9"/>
  <c r="I20" i="9"/>
  <c r="H20" i="9"/>
  <c r="G20" i="9"/>
  <c r="B20" i="9"/>
  <c r="Y19" i="9"/>
  <c r="S19" i="9"/>
  <c r="M19" i="9"/>
  <c r="J19" i="9"/>
  <c r="I19" i="9"/>
  <c r="H19" i="9"/>
  <c r="G19" i="9"/>
  <c r="B19" i="9"/>
  <c r="Y18" i="9"/>
  <c r="S18" i="9"/>
  <c r="M18" i="9"/>
  <c r="J18" i="9"/>
  <c r="I18" i="9"/>
  <c r="H18" i="9"/>
  <c r="G18" i="9"/>
  <c r="B18" i="9"/>
  <c r="Y17" i="9"/>
  <c r="S17" i="9"/>
  <c r="M17" i="9"/>
  <c r="J17" i="9"/>
  <c r="I17" i="9"/>
  <c r="H17" i="9"/>
  <c r="G17" i="9"/>
  <c r="B17" i="9"/>
  <c r="Y16" i="9"/>
  <c r="S16" i="9"/>
  <c r="M16" i="9"/>
  <c r="J16" i="9"/>
  <c r="I16" i="9"/>
  <c r="H16" i="9"/>
  <c r="G16" i="9"/>
  <c r="B16" i="9"/>
  <c r="Y15" i="9"/>
  <c r="S15" i="9"/>
  <c r="M15" i="9"/>
  <c r="J15" i="9"/>
  <c r="I15" i="9"/>
  <c r="H15" i="9"/>
  <c r="G15" i="9"/>
  <c r="B15" i="9"/>
  <c r="Y14" i="9"/>
  <c r="S14" i="9"/>
  <c r="M14" i="9"/>
  <c r="J14" i="9"/>
  <c r="I14" i="9"/>
  <c r="H14" i="9"/>
  <c r="G14" i="9"/>
  <c r="B14" i="9"/>
  <c r="Y13" i="9"/>
  <c r="S13" i="9"/>
  <c r="M13" i="9"/>
  <c r="J13" i="9"/>
  <c r="I13" i="9"/>
  <c r="H13" i="9"/>
  <c r="G13" i="9"/>
  <c r="D13" i="9"/>
  <c r="C13" i="9"/>
  <c r="B13" i="9"/>
  <c r="Y12" i="9"/>
  <c r="S12" i="9"/>
  <c r="M12" i="9"/>
  <c r="J12" i="9"/>
  <c r="I12" i="9"/>
  <c r="H12" i="9"/>
  <c r="G12" i="9"/>
  <c r="D12" i="9"/>
  <c r="C12" i="9"/>
  <c r="B12" i="9"/>
  <c r="Y11" i="9"/>
  <c r="S11" i="9"/>
  <c r="M11" i="9"/>
  <c r="J11" i="9"/>
  <c r="I11" i="9"/>
  <c r="H11" i="9"/>
  <c r="G11" i="9"/>
  <c r="B11" i="9"/>
  <c r="Y10" i="9"/>
  <c r="S10" i="9"/>
  <c r="M10" i="9"/>
  <c r="H10" i="9"/>
  <c r="G10" i="9"/>
  <c r="B10" i="9"/>
  <c r="Y9" i="9"/>
  <c r="S9" i="9"/>
  <c r="M9" i="9"/>
  <c r="H9" i="9"/>
  <c r="G9" i="9"/>
  <c r="C9" i="9"/>
  <c r="B9" i="9"/>
  <c r="Y8" i="9"/>
  <c r="S8" i="9"/>
  <c r="M8" i="9"/>
  <c r="J8" i="9"/>
  <c r="I8" i="9"/>
  <c r="H8" i="9"/>
  <c r="G8" i="9"/>
  <c r="D8" i="9"/>
  <c r="C8" i="9"/>
  <c r="B8" i="9"/>
  <c r="Y7" i="9"/>
  <c r="S7" i="9"/>
  <c r="M7" i="9"/>
  <c r="J7" i="9"/>
  <c r="I7" i="9"/>
  <c r="H7" i="9"/>
  <c r="G7" i="9"/>
  <c r="D7" i="9"/>
  <c r="C7" i="9"/>
  <c r="B7" i="9"/>
  <c r="Y6" i="9"/>
  <c r="S6" i="9"/>
  <c r="M6" i="9"/>
  <c r="J6" i="9"/>
  <c r="I6" i="9"/>
  <c r="H6" i="9"/>
  <c r="G6" i="9"/>
  <c r="D6" i="9"/>
  <c r="C6" i="9"/>
  <c r="B6" i="9"/>
  <c r="Y5" i="9"/>
  <c r="S5" i="9"/>
  <c r="M5" i="9"/>
  <c r="J5" i="9"/>
  <c r="I5" i="9"/>
  <c r="H5" i="9"/>
  <c r="G5" i="9"/>
  <c r="D5" i="9"/>
  <c r="C5" i="9"/>
  <c r="B5" i="9"/>
  <c r="Y4" i="9"/>
  <c r="V4" i="9"/>
  <c r="T4" i="9"/>
  <c r="S4" i="9"/>
  <c r="M4" i="9"/>
  <c r="J4" i="9"/>
  <c r="I4" i="9"/>
  <c r="H4" i="9"/>
  <c r="G4" i="9"/>
  <c r="D4" i="9"/>
  <c r="C4" i="9"/>
  <c r="B4" i="9"/>
  <c r="Y3" i="9"/>
  <c r="T3" i="9"/>
  <c r="S3" i="9"/>
  <c r="M3" i="9"/>
  <c r="J3" i="9"/>
  <c r="I3" i="9"/>
  <c r="H3" i="9"/>
  <c r="G3" i="9"/>
  <c r="F3" i="9"/>
  <c r="E3" i="9"/>
  <c r="D3" i="9"/>
  <c r="C3" i="9"/>
  <c r="B3" i="9"/>
  <c r="Y2" i="9"/>
  <c r="T2" i="9"/>
  <c r="S2" i="9"/>
  <c r="N2" i="9"/>
  <c r="M2" i="9"/>
  <c r="J2" i="9"/>
  <c r="I2" i="9"/>
  <c r="H2" i="9"/>
  <c r="G2" i="9"/>
  <c r="D2" i="9"/>
  <c r="C2" i="9"/>
  <c r="B2" i="9"/>
  <c r="X1" i="9"/>
  <c r="W1" i="9"/>
  <c r="V1" i="9"/>
  <c r="U1" i="9"/>
  <c r="T1" i="9"/>
  <c r="R1" i="9"/>
  <c r="Q1" i="9"/>
  <c r="P1" i="9"/>
  <c r="O1" i="9"/>
  <c r="N1" i="9"/>
  <c r="L1" i="9"/>
  <c r="K1" i="9"/>
  <c r="J1" i="9"/>
  <c r="I1" i="9"/>
  <c r="H1" i="9"/>
  <c r="F1" i="9"/>
  <c r="E1" i="9"/>
  <c r="D1" i="9"/>
  <c r="C1" i="9"/>
  <c r="B1" i="9"/>
  <c r="B44" i="7"/>
  <c r="B43" i="7"/>
  <c r="B42" i="7"/>
  <c r="B41" i="7"/>
  <c r="B40" i="7"/>
  <c r="B39" i="7"/>
  <c r="B38" i="7"/>
  <c r="B37" i="7"/>
  <c r="B36" i="7"/>
  <c r="E35" i="7"/>
  <c r="D35" i="7"/>
  <c r="C35" i="7"/>
  <c r="B35" i="7"/>
  <c r="E34" i="7"/>
  <c r="D34" i="7"/>
  <c r="C34" i="7" s="1"/>
  <c r="B34" i="7"/>
  <c r="E33" i="7"/>
  <c r="D33" i="7"/>
  <c r="C33" i="7" s="1"/>
  <c r="B33" i="7"/>
  <c r="E32" i="7"/>
  <c r="D32" i="7"/>
  <c r="C32" i="7" s="1"/>
  <c r="B32" i="7"/>
  <c r="E31" i="7"/>
  <c r="C31" i="7" s="1"/>
  <c r="D31" i="7"/>
  <c r="B31" i="7"/>
  <c r="E30" i="7"/>
  <c r="D30" i="7"/>
  <c r="C30" i="7" s="1"/>
  <c r="B30" i="7"/>
  <c r="E29" i="7"/>
  <c r="C29" i="7" s="1"/>
  <c r="D29" i="7"/>
  <c r="B29" i="7"/>
  <c r="E28" i="7"/>
  <c r="C28" i="7" s="1"/>
  <c r="D28" i="7"/>
  <c r="B28" i="7"/>
  <c r="E27" i="7"/>
  <c r="C27" i="7" s="1"/>
  <c r="D27" i="7"/>
  <c r="B27" i="7"/>
  <c r="E26" i="7"/>
  <c r="C26" i="7" s="1"/>
  <c r="D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C22" i="7" s="1"/>
  <c r="D22" i="7"/>
  <c r="B22" i="7"/>
  <c r="E21" i="7"/>
  <c r="C21" i="7" s="1"/>
  <c r="D21" i="7"/>
  <c r="B21" i="7"/>
  <c r="E20" i="7"/>
  <c r="C20" i="7" s="1"/>
  <c r="D20" i="7"/>
  <c r="B20" i="7"/>
  <c r="E19" i="7"/>
  <c r="C19" i="7" s="1"/>
  <c r="D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C15" i="7" s="1"/>
  <c r="D15" i="7"/>
  <c r="B15" i="7"/>
  <c r="E14" i="7"/>
  <c r="C14" i="7" s="1"/>
  <c r="D14" i="7"/>
  <c r="B14" i="7"/>
  <c r="E13" i="7"/>
  <c r="C13" i="7" s="1"/>
  <c r="D13" i="7"/>
  <c r="B13" i="7"/>
  <c r="E12" i="7"/>
  <c r="C12" i="7" s="1"/>
  <c r="D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C8" i="7" s="1"/>
  <c r="D8" i="7"/>
  <c r="B8" i="7"/>
  <c r="E7" i="7"/>
  <c r="C7" i="7" s="1"/>
  <c r="D7" i="7"/>
  <c r="B7" i="7"/>
  <c r="E6" i="7"/>
  <c r="C6" i="7" s="1"/>
  <c r="D6" i="7"/>
  <c r="B6" i="7"/>
  <c r="E5" i="7"/>
  <c r="C5" i="7" s="1"/>
  <c r="D5" i="7"/>
  <c r="B5" i="7"/>
  <c r="P4" i="7"/>
  <c r="O4" i="7"/>
  <c r="L4" i="7"/>
  <c r="K4" i="7"/>
  <c r="D4" i="7" s="1"/>
  <c r="C4" i="7" s="1"/>
  <c r="J4" i="7"/>
  <c r="H4" i="7"/>
  <c r="G4" i="7"/>
  <c r="F4" i="7"/>
  <c r="E4" i="7"/>
  <c r="B4" i="7"/>
  <c r="P3" i="7"/>
  <c r="O3" i="7"/>
  <c r="F3" i="7"/>
  <c r="E3" i="7"/>
  <c r="D3" i="7"/>
  <c r="C3" i="7" s="1"/>
  <c r="B3" i="7"/>
  <c r="G2" i="7"/>
  <c r="F2" i="7"/>
  <c r="E2" i="7"/>
  <c r="D2" i="7"/>
  <c r="C2" i="7"/>
  <c r="B2" i="7"/>
  <c r="A2" i="7" a="1"/>
  <c r="A5" i="7" s="1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41" i="6"/>
  <c r="D141" i="6"/>
  <c r="C141" i="6"/>
  <c r="B141" i="6"/>
  <c r="L140" i="6"/>
  <c r="K140" i="6"/>
  <c r="I140" i="6"/>
  <c r="G140" i="6"/>
  <c r="F140" i="6"/>
  <c r="E140" i="6"/>
  <c r="D140" i="6" s="1"/>
  <c r="C140" i="6" s="1"/>
  <c r="B140" i="6"/>
  <c r="Q139" i="6"/>
  <c r="L139" i="6"/>
  <c r="K139" i="6"/>
  <c r="I139" i="6"/>
  <c r="G139" i="6"/>
  <c r="E139" i="6"/>
  <c r="D139" i="6"/>
  <c r="C139" i="6" s="1"/>
  <c r="B139" i="6"/>
  <c r="P138" i="6"/>
  <c r="L138" i="6"/>
  <c r="K138" i="6"/>
  <c r="D138" i="6" s="1"/>
  <c r="C138" i="6" s="1"/>
  <c r="J138" i="6"/>
  <c r="I138" i="6"/>
  <c r="F138" i="6"/>
  <c r="E138" i="6"/>
  <c r="B138" i="6"/>
  <c r="Q137" i="6"/>
  <c r="P137" i="6"/>
  <c r="O137" i="6"/>
  <c r="N137" i="6"/>
  <c r="L137" i="6"/>
  <c r="K137" i="6"/>
  <c r="D137" i="6" s="1"/>
  <c r="C137" i="6" s="1"/>
  <c r="J137" i="6"/>
  <c r="I137" i="6"/>
  <c r="G137" i="6"/>
  <c r="F137" i="6"/>
  <c r="E137" i="6"/>
  <c r="B137" i="6"/>
  <c r="Q136" i="6"/>
  <c r="P136" i="6"/>
  <c r="O136" i="6"/>
  <c r="N136" i="6"/>
  <c r="M136" i="6"/>
  <c r="L136" i="6"/>
  <c r="K136" i="6"/>
  <c r="D136" i="6" s="1"/>
  <c r="C136" i="6" s="1"/>
  <c r="J136" i="6"/>
  <c r="I136" i="6"/>
  <c r="H136" i="6"/>
  <c r="G136" i="6"/>
  <c r="F136" i="6"/>
  <c r="E136" i="6"/>
  <c r="B136" i="6"/>
  <c r="P135" i="6"/>
  <c r="O135" i="6"/>
  <c r="N135" i="6"/>
  <c r="L135" i="6"/>
  <c r="K135" i="6"/>
  <c r="D135" i="6" s="1"/>
  <c r="C135" i="6" s="1"/>
  <c r="J135" i="6"/>
  <c r="I135" i="6"/>
  <c r="G135" i="6"/>
  <c r="E135" i="6"/>
  <c r="B135" i="6"/>
  <c r="Q134" i="6"/>
  <c r="P134" i="6"/>
  <c r="O134" i="6"/>
  <c r="N134" i="6"/>
  <c r="M134" i="6"/>
  <c r="L134" i="6"/>
  <c r="K134" i="6"/>
  <c r="D134" i="6" s="1"/>
  <c r="C134" i="6" s="1"/>
  <c r="J134" i="6"/>
  <c r="I134" i="6"/>
  <c r="G134" i="6"/>
  <c r="F134" i="6"/>
  <c r="E134" i="6"/>
  <c r="B134" i="6"/>
  <c r="Q133" i="6"/>
  <c r="P133" i="6"/>
  <c r="O133" i="6"/>
  <c r="N133" i="6"/>
  <c r="L133" i="6"/>
  <c r="K133" i="6"/>
  <c r="D133" i="6" s="1"/>
  <c r="C133" i="6" s="1"/>
  <c r="J133" i="6"/>
  <c r="I133" i="6"/>
  <c r="G133" i="6"/>
  <c r="F133" i="6"/>
  <c r="E133" i="6"/>
  <c r="B133" i="6"/>
  <c r="Q132" i="6"/>
  <c r="P132" i="6"/>
  <c r="O132" i="6"/>
  <c r="N132" i="6"/>
  <c r="L132" i="6"/>
  <c r="K132" i="6"/>
  <c r="D132" i="6" s="1"/>
  <c r="C132" i="6" s="1"/>
  <c r="J132" i="6"/>
  <c r="I132" i="6"/>
  <c r="G132" i="6"/>
  <c r="F132" i="6"/>
  <c r="E132" i="6"/>
  <c r="B132" i="6"/>
  <c r="Q131" i="6"/>
  <c r="P131" i="6"/>
  <c r="O131" i="6"/>
  <c r="N131" i="6"/>
  <c r="L131" i="6"/>
  <c r="K131" i="6"/>
  <c r="D131" i="6" s="1"/>
  <c r="C131" i="6" s="1"/>
  <c r="J131" i="6"/>
  <c r="I131" i="6"/>
  <c r="G131" i="6"/>
  <c r="F131" i="6"/>
  <c r="E131" i="6"/>
  <c r="B131" i="6"/>
  <c r="Q130" i="6"/>
  <c r="P130" i="6"/>
  <c r="O130" i="6"/>
  <c r="N130" i="6"/>
  <c r="L130" i="6"/>
  <c r="K130" i="6"/>
  <c r="D130" i="6" s="1"/>
  <c r="C130" i="6" s="1"/>
  <c r="J130" i="6"/>
  <c r="I130" i="6"/>
  <c r="G130" i="6"/>
  <c r="F130" i="6"/>
  <c r="E130" i="6"/>
  <c r="B130" i="6"/>
  <c r="P129" i="6"/>
  <c r="O129" i="6"/>
  <c r="N129" i="6"/>
  <c r="L129" i="6"/>
  <c r="K129" i="6"/>
  <c r="D129" i="6" s="1"/>
  <c r="C129" i="6" s="1"/>
  <c r="J129" i="6"/>
  <c r="I129" i="6"/>
  <c r="G129" i="6"/>
  <c r="F129" i="6"/>
  <c r="E129" i="6"/>
  <c r="B129" i="6"/>
  <c r="P128" i="6"/>
  <c r="O128" i="6"/>
  <c r="N128" i="6"/>
  <c r="L128" i="6"/>
  <c r="K128" i="6"/>
  <c r="J128" i="6"/>
  <c r="I128" i="6"/>
  <c r="G128" i="6"/>
  <c r="F128" i="6"/>
  <c r="E128" i="6"/>
  <c r="D128" i="6" s="1"/>
  <c r="C128" i="6" s="1"/>
  <c r="B128" i="6"/>
  <c r="Q127" i="6"/>
  <c r="L127" i="6"/>
  <c r="K127" i="6"/>
  <c r="D127" i="6" s="1"/>
  <c r="C127" i="6" s="1"/>
  <c r="J127" i="6"/>
  <c r="I127" i="6"/>
  <c r="H127" i="6"/>
  <c r="G127" i="6"/>
  <c r="F127" i="6"/>
  <c r="E127" i="6"/>
  <c r="B127" i="6"/>
  <c r="L126" i="6"/>
  <c r="K126" i="6"/>
  <c r="J126" i="6"/>
  <c r="I126" i="6"/>
  <c r="H126" i="6"/>
  <c r="G126" i="6"/>
  <c r="F126" i="6"/>
  <c r="E126" i="6"/>
  <c r="D126" i="6"/>
  <c r="C126" i="6" s="1"/>
  <c r="B126" i="6"/>
  <c r="Q125" i="6"/>
  <c r="L125" i="6"/>
  <c r="K125" i="6"/>
  <c r="J125" i="6"/>
  <c r="I125" i="6"/>
  <c r="H125" i="6"/>
  <c r="G125" i="6"/>
  <c r="F125" i="6"/>
  <c r="E125" i="6"/>
  <c r="D125" i="6"/>
  <c r="C125" i="6" s="1"/>
  <c r="B125" i="6"/>
  <c r="L124" i="6"/>
  <c r="K124" i="6"/>
  <c r="D124" i="6" s="1"/>
  <c r="C124" i="6" s="1"/>
  <c r="J124" i="6"/>
  <c r="I124" i="6"/>
  <c r="H124" i="6"/>
  <c r="G124" i="6"/>
  <c r="F124" i="6"/>
  <c r="E124" i="6"/>
  <c r="B124" i="6"/>
  <c r="L123" i="6"/>
  <c r="K123" i="6"/>
  <c r="J123" i="6"/>
  <c r="I123" i="6"/>
  <c r="H123" i="6"/>
  <c r="G123" i="6"/>
  <c r="F123" i="6"/>
  <c r="E123" i="6"/>
  <c r="D123" i="6"/>
  <c r="C123" i="6" s="1"/>
  <c r="B123" i="6"/>
  <c r="L122" i="6"/>
  <c r="K122" i="6"/>
  <c r="J122" i="6"/>
  <c r="I122" i="6"/>
  <c r="H122" i="6"/>
  <c r="G122" i="6"/>
  <c r="F122" i="6"/>
  <c r="E122" i="6"/>
  <c r="D122" i="6"/>
  <c r="C122" i="6"/>
  <c r="B122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 s="1"/>
  <c r="B121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D120" i="6" s="1"/>
  <c r="C120" i="6" s="1"/>
  <c r="J120" i="6"/>
  <c r="I120" i="6"/>
  <c r="H120" i="6"/>
  <c r="G120" i="6"/>
  <c r="F120" i="6"/>
  <c r="E120" i="6"/>
  <c r="B120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J119" i="6"/>
  <c r="I119" i="6"/>
  <c r="H119" i="6"/>
  <c r="G119" i="6"/>
  <c r="F119" i="6"/>
  <c r="E119" i="6"/>
  <c r="D119" i="6"/>
  <c r="C119" i="6" s="1"/>
  <c r="B119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 s="1"/>
  <c r="C118" i="6" s="1"/>
  <c r="B118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P116" i="6"/>
  <c r="O116" i="6"/>
  <c r="N116" i="6"/>
  <c r="M116" i="6"/>
  <c r="L116" i="6"/>
  <c r="J116" i="6"/>
  <c r="I116" i="6"/>
  <c r="H116" i="6"/>
  <c r="G116" i="6"/>
  <c r="F116" i="6"/>
  <c r="E116" i="6"/>
  <c r="D116" i="6"/>
  <c r="C116" i="6"/>
  <c r="B116" i="6"/>
  <c r="M115" i="6"/>
  <c r="K115" i="6"/>
  <c r="I115" i="6"/>
  <c r="H115" i="6"/>
  <c r="F115" i="6"/>
  <c r="E115" i="6"/>
  <c r="D115" i="6"/>
  <c r="C115" i="6" s="1"/>
  <c r="B115" i="6"/>
  <c r="Q114" i="6"/>
  <c r="P114" i="6"/>
  <c r="O114" i="6"/>
  <c r="N114" i="6"/>
  <c r="L114" i="6"/>
  <c r="K114" i="6"/>
  <c r="D114" i="6" s="1"/>
  <c r="C114" i="6" s="1"/>
  <c r="I114" i="6"/>
  <c r="G114" i="6"/>
  <c r="F114" i="6"/>
  <c r="E114" i="6"/>
  <c r="B114" i="6"/>
  <c r="Q113" i="6"/>
  <c r="P113" i="6"/>
  <c r="O113" i="6"/>
  <c r="N113" i="6"/>
  <c r="L113" i="6"/>
  <c r="K113" i="6"/>
  <c r="D113" i="6" s="1"/>
  <c r="C113" i="6" s="1"/>
  <c r="I113" i="6"/>
  <c r="G113" i="6"/>
  <c r="F113" i="6"/>
  <c r="E113" i="6"/>
  <c r="B113" i="6"/>
  <c r="L112" i="6"/>
  <c r="J112" i="6"/>
  <c r="G112" i="6"/>
  <c r="F112" i="6"/>
  <c r="E112" i="6"/>
  <c r="D112" i="6"/>
  <c r="C112" i="6" s="1"/>
  <c r="B112" i="6"/>
  <c r="L111" i="6"/>
  <c r="J111" i="6"/>
  <c r="G111" i="6"/>
  <c r="F111" i="6"/>
  <c r="E111" i="6"/>
  <c r="D111" i="6"/>
  <c r="C111" i="6" s="1"/>
  <c r="B111" i="6"/>
  <c r="L110" i="6"/>
  <c r="G110" i="6"/>
  <c r="F110" i="6"/>
  <c r="E110" i="6"/>
  <c r="C110" i="6" s="1"/>
  <c r="D110" i="6"/>
  <c r="B110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 s="1"/>
  <c r="B109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D108" i="6" s="1"/>
  <c r="C108" i="6" s="1"/>
  <c r="J108" i="6"/>
  <c r="I108" i="6"/>
  <c r="H108" i="6"/>
  <c r="G108" i="6"/>
  <c r="F108" i="6"/>
  <c r="E108" i="6"/>
  <c r="B108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 s="1"/>
  <c r="B107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D106" i="6" s="1"/>
  <c r="C106" i="6" s="1"/>
  <c r="J106" i="6"/>
  <c r="I106" i="6"/>
  <c r="H106" i="6"/>
  <c r="G106" i="6"/>
  <c r="F106" i="6"/>
  <c r="E106" i="6"/>
  <c r="B106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D105" i="6" s="1"/>
  <c r="C105" i="6" s="1"/>
  <c r="J105" i="6"/>
  <c r="I105" i="6"/>
  <c r="H105" i="6"/>
  <c r="G105" i="6"/>
  <c r="F105" i="6"/>
  <c r="E105" i="6"/>
  <c r="B105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 s="1"/>
  <c r="B103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D102" i="6" s="1"/>
  <c r="C102" i="6" s="1"/>
  <c r="J102" i="6"/>
  <c r="I102" i="6"/>
  <c r="H102" i="6"/>
  <c r="G102" i="6"/>
  <c r="F102" i="6"/>
  <c r="E102" i="6"/>
  <c r="B102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 s="1"/>
  <c r="C101" i="6" s="1"/>
  <c r="B101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D100" i="6" s="1"/>
  <c r="C100" i="6" s="1"/>
  <c r="J100" i="6"/>
  <c r="I100" i="6"/>
  <c r="H100" i="6"/>
  <c r="G100" i="6"/>
  <c r="F100" i="6"/>
  <c r="E100" i="6"/>
  <c r="B100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J99" i="6"/>
  <c r="I99" i="6"/>
  <c r="H99" i="6"/>
  <c r="G99" i="6"/>
  <c r="F99" i="6"/>
  <c r="E99" i="6"/>
  <c r="C99" i="6" s="1"/>
  <c r="D99" i="6"/>
  <c r="B99" i="6"/>
  <c r="Q98" i="6"/>
  <c r="P98" i="6"/>
  <c r="O98" i="6"/>
  <c r="N98" i="6"/>
  <c r="L98" i="6"/>
  <c r="K98" i="6"/>
  <c r="J98" i="6"/>
  <c r="I98" i="6"/>
  <c r="G98" i="6"/>
  <c r="E98" i="6"/>
  <c r="D98" i="6"/>
  <c r="C98" i="6" s="1"/>
  <c r="B98" i="6"/>
  <c r="Q97" i="6"/>
  <c r="P97" i="6"/>
  <c r="O97" i="6"/>
  <c r="N97" i="6"/>
  <c r="L97" i="6"/>
  <c r="J97" i="6"/>
  <c r="I97" i="6"/>
  <c r="G97" i="6"/>
  <c r="E97" i="6"/>
  <c r="D97" i="6"/>
  <c r="C97" i="6" s="1"/>
  <c r="B97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 s="1"/>
  <c r="B96" i="6"/>
  <c r="S95" i="6"/>
  <c r="R95" i="6"/>
  <c r="Q95" i="6"/>
  <c r="P95" i="6"/>
  <c r="O95" i="6"/>
  <c r="N95" i="6"/>
  <c r="M95" i="6"/>
  <c r="L95" i="6"/>
  <c r="K95" i="6"/>
  <c r="D95" i="6" s="1"/>
  <c r="C95" i="6" s="1"/>
  <c r="J95" i="6"/>
  <c r="I95" i="6"/>
  <c r="H95" i="6"/>
  <c r="G95" i="6"/>
  <c r="F95" i="6"/>
  <c r="E95" i="6"/>
  <c r="B95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 s="1"/>
  <c r="B94" i="6"/>
  <c r="S93" i="6"/>
  <c r="R93" i="6"/>
  <c r="Q93" i="6"/>
  <c r="P93" i="6"/>
  <c r="O93" i="6"/>
  <c r="N93" i="6"/>
  <c r="M93" i="6"/>
  <c r="L93" i="6"/>
  <c r="J93" i="6"/>
  <c r="I93" i="6"/>
  <c r="H93" i="6"/>
  <c r="G93" i="6"/>
  <c r="F93" i="6"/>
  <c r="E93" i="6"/>
  <c r="D93" i="6"/>
  <c r="C93" i="6"/>
  <c r="B93" i="6"/>
  <c r="U92" i="6"/>
  <c r="T92" i="6"/>
  <c r="S92" i="6"/>
  <c r="R92" i="6"/>
  <c r="P92" i="6"/>
  <c r="O92" i="6"/>
  <c r="N92" i="6"/>
  <c r="L92" i="6"/>
  <c r="K92" i="6"/>
  <c r="J92" i="6"/>
  <c r="I92" i="6"/>
  <c r="G92" i="6"/>
  <c r="F92" i="6"/>
  <c r="E92" i="6"/>
  <c r="D92" i="6"/>
  <c r="C92" i="6" s="1"/>
  <c r="B92" i="6"/>
  <c r="U91" i="6"/>
  <c r="T91" i="6"/>
  <c r="S91" i="6"/>
  <c r="R91" i="6"/>
  <c r="P91" i="6"/>
  <c r="O91" i="6"/>
  <c r="N91" i="6"/>
  <c r="L91" i="6"/>
  <c r="J91" i="6"/>
  <c r="I91" i="6"/>
  <c r="G91" i="6"/>
  <c r="F91" i="6"/>
  <c r="E91" i="6"/>
  <c r="D91" i="6"/>
  <c r="C91" i="6" s="1"/>
  <c r="B91" i="6"/>
  <c r="S90" i="6"/>
  <c r="R90" i="6"/>
  <c r="Q90" i="6"/>
  <c r="P90" i="6"/>
  <c r="O90" i="6"/>
  <c r="N90" i="6"/>
  <c r="M90" i="6"/>
  <c r="L90" i="6"/>
  <c r="J90" i="6"/>
  <c r="I90" i="6"/>
  <c r="H90" i="6"/>
  <c r="G90" i="6"/>
  <c r="F90" i="6"/>
  <c r="E90" i="6"/>
  <c r="D90" i="6"/>
  <c r="C90" i="6"/>
  <c r="B90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 s="1"/>
  <c r="C89" i="6" s="1"/>
  <c r="B89" i="6"/>
  <c r="S88" i="6"/>
  <c r="R88" i="6"/>
  <c r="Q88" i="6"/>
  <c r="P88" i="6"/>
  <c r="O88" i="6"/>
  <c r="N88" i="6"/>
  <c r="M88" i="6"/>
  <c r="L88" i="6"/>
  <c r="J88" i="6"/>
  <c r="I88" i="6"/>
  <c r="H88" i="6"/>
  <c r="G88" i="6"/>
  <c r="F88" i="6"/>
  <c r="E88" i="6"/>
  <c r="D88" i="6"/>
  <c r="C88" i="6" s="1"/>
  <c r="B88" i="6"/>
  <c r="S87" i="6"/>
  <c r="R87" i="6"/>
  <c r="Q87" i="6"/>
  <c r="P87" i="6"/>
  <c r="O87" i="6"/>
  <c r="N87" i="6"/>
  <c r="M87" i="6"/>
  <c r="L87" i="6"/>
  <c r="J87" i="6"/>
  <c r="I87" i="6"/>
  <c r="H87" i="6"/>
  <c r="G87" i="6"/>
  <c r="F87" i="6"/>
  <c r="E87" i="6"/>
  <c r="C87" i="6" s="1"/>
  <c r="D87" i="6"/>
  <c r="B87" i="6"/>
  <c r="U86" i="6"/>
  <c r="T86" i="6"/>
  <c r="S86" i="6"/>
  <c r="R86" i="6"/>
  <c r="Q86" i="6"/>
  <c r="P86" i="6"/>
  <c r="O86" i="6"/>
  <c r="N86" i="6"/>
  <c r="M86" i="6"/>
  <c r="L86" i="6"/>
  <c r="J86" i="6"/>
  <c r="I86" i="6"/>
  <c r="H86" i="6"/>
  <c r="G86" i="6"/>
  <c r="F86" i="6"/>
  <c r="E86" i="6"/>
  <c r="D86" i="6"/>
  <c r="C86" i="6" s="1"/>
  <c r="B86" i="6"/>
  <c r="U85" i="6"/>
  <c r="T85" i="6"/>
  <c r="S85" i="6"/>
  <c r="R85" i="6"/>
  <c r="Q85" i="6"/>
  <c r="P85" i="6"/>
  <c r="O85" i="6"/>
  <c r="N85" i="6"/>
  <c r="M85" i="6"/>
  <c r="L85" i="6"/>
  <c r="J85" i="6"/>
  <c r="I85" i="6"/>
  <c r="H85" i="6"/>
  <c r="G85" i="6"/>
  <c r="F85" i="6"/>
  <c r="E85" i="6"/>
  <c r="D85" i="6"/>
  <c r="C85" i="6"/>
  <c r="B85" i="6"/>
  <c r="U84" i="6"/>
  <c r="T84" i="6"/>
  <c r="S84" i="6"/>
  <c r="R84" i="6"/>
  <c r="Q84" i="6"/>
  <c r="P84" i="6"/>
  <c r="O84" i="6"/>
  <c r="N84" i="6"/>
  <c r="M84" i="6"/>
  <c r="L84" i="6"/>
  <c r="J84" i="6"/>
  <c r="I84" i="6"/>
  <c r="H84" i="6"/>
  <c r="G84" i="6"/>
  <c r="F84" i="6"/>
  <c r="E84" i="6"/>
  <c r="D84" i="6"/>
  <c r="C84" i="6" s="1"/>
  <c r="B84" i="6"/>
  <c r="S83" i="6"/>
  <c r="R83" i="6"/>
  <c r="Q83" i="6"/>
  <c r="P83" i="6"/>
  <c r="O83" i="6"/>
  <c r="N83" i="6"/>
  <c r="M83" i="6"/>
  <c r="L83" i="6"/>
  <c r="J83" i="6"/>
  <c r="I83" i="6"/>
  <c r="H83" i="6"/>
  <c r="G83" i="6"/>
  <c r="F83" i="6"/>
  <c r="E83" i="6"/>
  <c r="D83" i="6"/>
  <c r="C83" i="6"/>
  <c r="B83" i="6"/>
  <c r="U82" i="6"/>
  <c r="T82" i="6"/>
  <c r="S82" i="6"/>
  <c r="R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 s="1"/>
  <c r="C82" i="6" s="1"/>
  <c r="B82" i="6"/>
  <c r="U81" i="6"/>
  <c r="T81" i="6"/>
  <c r="S81" i="6"/>
  <c r="R81" i="6"/>
  <c r="Q81" i="6"/>
  <c r="P81" i="6"/>
  <c r="O81" i="6"/>
  <c r="N81" i="6"/>
  <c r="M81" i="6"/>
  <c r="L81" i="6"/>
  <c r="J81" i="6"/>
  <c r="I81" i="6"/>
  <c r="H81" i="6"/>
  <c r="G81" i="6"/>
  <c r="F81" i="6"/>
  <c r="E81" i="6"/>
  <c r="C81" i="6" s="1"/>
  <c r="D81" i="6"/>
  <c r="B81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J80" i="6"/>
  <c r="I80" i="6"/>
  <c r="H80" i="6"/>
  <c r="G80" i="6"/>
  <c r="F80" i="6"/>
  <c r="E80" i="6"/>
  <c r="D80" i="6"/>
  <c r="C80" i="6" s="1"/>
  <c r="B80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J79" i="6"/>
  <c r="I79" i="6"/>
  <c r="H79" i="6"/>
  <c r="G79" i="6"/>
  <c r="F79" i="6"/>
  <c r="C79" i="6" s="1"/>
  <c r="E79" i="6"/>
  <c r="D79" i="6"/>
  <c r="B79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J78" i="6"/>
  <c r="I78" i="6"/>
  <c r="H78" i="6"/>
  <c r="G78" i="6"/>
  <c r="F78" i="6"/>
  <c r="E78" i="6"/>
  <c r="D78" i="6"/>
  <c r="C78" i="6"/>
  <c r="B78" i="6"/>
  <c r="S77" i="6"/>
  <c r="R77" i="6"/>
  <c r="Q77" i="6"/>
  <c r="P77" i="6"/>
  <c r="O77" i="6"/>
  <c r="N77" i="6"/>
  <c r="M77" i="6"/>
  <c r="L77" i="6"/>
  <c r="J77" i="6"/>
  <c r="I77" i="6"/>
  <c r="H77" i="6"/>
  <c r="G77" i="6"/>
  <c r="F77" i="6"/>
  <c r="E77" i="6"/>
  <c r="D77" i="6"/>
  <c r="C77" i="6" s="1"/>
  <c r="B77" i="6"/>
  <c r="S76" i="6"/>
  <c r="R76" i="6"/>
  <c r="Q76" i="6"/>
  <c r="P76" i="6"/>
  <c r="O76" i="6"/>
  <c r="N76" i="6"/>
  <c r="M76" i="6"/>
  <c r="L76" i="6"/>
  <c r="J76" i="6"/>
  <c r="I76" i="6"/>
  <c r="H76" i="6"/>
  <c r="G76" i="6"/>
  <c r="F76" i="6"/>
  <c r="C76" i="6" s="1"/>
  <c r="E76" i="6"/>
  <c r="D76" i="6"/>
  <c r="B76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J75" i="6"/>
  <c r="I75" i="6"/>
  <c r="H75" i="6"/>
  <c r="G75" i="6"/>
  <c r="F75" i="6"/>
  <c r="E75" i="6"/>
  <c r="D75" i="6"/>
  <c r="C75" i="6"/>
  <c r="B75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J74" i="6"/>
  <c r="I74" i="6"/>
  <c r="H74" i="6"/>
  <c r="G74" i="6"/>
  <c r="F74" i="6"/>
  <c r="E74" i="6"/>
  <c r="D74" i="6"/>
  <c r="C74" i="6"/>
  <c r="B74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J73" i="6"/>
  <c r="I73" i="6"/>
  <c r="H73" i="6"/>
  <c r="G73" i="6"/>
  <c r="F73" i="6"/>
  <c r="E73" i="6"/>
  <c r="C73" i="6" s="1"/>
  <c r="D73" i="6"/>
  <c r="B73" i="6"/>
  <c r="S72" i="6"/>
  <c r="R72" i="6"/>
  <c r="Q72" i="6"/>
  <c r="P72" i="6"/>
  <c r="O72" i="6"/>
  <c r="N72" i="6"/>
  <c r="M72" i="6"/>
  <c r="L72" i="6"/>
  <c r="J72" i="6"/>
  <c r="I72" i="6"/>
  <c r="H72" i="6"/>
  <c r="G72" i="6"/>
  <c r="F72" i="6"/>
  <c r="E72" i="6"/>
  <c r="D72" i="6"/>
  <c r="C72" i="6" s="1"/>
  <c r="B72" i="6"/>
  <c r="S71" i="6"/>
  <c r="R71" i="6"/>
  <c r="Q71" i="6"/>
  <c r="P71" i="6"/>
  <c r="O71" i="6"/>
  <c r="N71" i="6"/>
  <c r="M71" i="6"/>
  <c r="L71" i="6"/>
  <c r="J71" i="6"/>
  <c r="I71" i="6"/>
  <c r="H71" i="6"/>
  <c r="G71" i="6"/>
  <c r="F71" i="6"/>
  <c r="E71" i="6"/>
  <c r="D71" i="6"/>
  <c r="C71" i="6"/>
  <c r="B71" i="6"/>
  <c r="S70" i="6"/>
  <c r="R70" i="6"/>
  <c r="Q70" i="6"/>
  <c r="P70" i="6"/>
  <c r="O70" i="6"/>
  <c r="N70" i="6"/>
  <c r="M70" i="6"/>
  <c r="L70" i="6"/>
  <c r="J70" i="6"/>
  <c r="I70" i="6"/>
  <c r="H70" i="6"/>
  <c r="G70" i="6"/>
  <c r="F70" i="6"/>
  <c r="E70" i="6"/>
  <c r="D70" i="6"/>
  <c r="C70" i="6"/>
  <c r="B70" i="6"/>
  <c r="U69" i="6"/>
  <c r="T69" i="6"/>
  <c r="S69" i="6"/>
  <c r="R69" i="6"/>
  <c r="Q69" i="6"/>
  <c r="P69" i="6"/>
  <c r="O69" i="6"/>
  <c r="N69" i="6"/>
  <c r="L69" i="6"/>
  <c r="K69" i="6"/>
  <c r="D69" i="6" s="1"/>
  <c r="C69" i="6" s="1"/>
  <c r="J69" i="6"/>
  <c r="I69" i="6"/>
  <c r="G69" i="6"/>
  <c r="E69" i="6"/>
  <c r="B69" i="6"/>
  <c r="U68" i="6"/>
  <c r="T68" i="6"/>
  <c r="S68" i="6"/>
  <c r="R68" i="6"/>
  <c r="Q68" i="6"/>
  <c r="P68" i="6"/>
  <c r="O68" i="6"/>
  <c r="N68" i="6"/>
  <c r="M68" i="6"/>
  <c r="L68" i="6"/>
  <c r="K68" i="6"/>
  <c r="D68" i="6" s="1"/>
  <c r="C68" i="6" s="1"/>
  <c r="J68" i="6"/>
  <c r="I68" i="6"/>
  <c r="H68" i="6"/>
  <c r="G68" i="6"/>
  <c r="F68" i="6"/>
  <c r="E68" i="6"/>
  <c r="B68" i="6"/>
  <c r="S67" i="6"/>
  <c r="R67" i="6"/>
  <c r="Q67" i="6"/>
  <c r="P67" i="6"/>
  <c r="O67" i="6"/>
  <c r="N67" i="6"/>
  <c r="L67" i="6"/>
  <c r="K67" i="6"/>
  <c r="J67" i="6"/>
  <c r="I67" i="6"/>
  <c r="G67" i="6"/>
  <c r="F67" i="6"/>
  <c r="E67" i="6"/>
  <c r="D67" i="6"/>
  <c r="C67" i="6"/>
  <c r="B67" i="6"/>
  <c r="S66" i="6"/>
  <c r="R66" i="6"/>
  <c r="Q66" i="6"/>
  <c r="P66" i="6"/>
  <c r="O66" i="6"/>
  <c r="N66" i="6"/>
  <c r="L66" i="6"/>
  <c r="K66" i="6"/>
  <c r="D66" i="6" s="1"/>
  <c r="C66" i="6" s="1"/>
  <c r="J66" i="6"/>
  <c r="I66" i="6"/>
  <c r="G66" i="6"/>
  <c r="F66" i="6"/>
  <c r="E66" i="6"/>
  <c r="B66" i="6"/>
  <c r="S65" i="6"/>
  <c r="R65" i="6"/>
  <c r="Q65" i="6"/>
  <c r="P65" i="6"/>
  <c r="O65" i="6"/>
  <c r="N65" i="6"/>
  <c r="L65" i="6"/>
  <c r="K65" i="6"/>
  <c r="J65" i="6"/>
  <c r="I65" i="6"/>
  <c r="G65" i="6"/>
  <c r="F65" i="6"/>
  <c r="E65" i="6"/>
  <c r="D65" i="6"/>
  <c r="C65" i="6" s="1"/>
  <c r="B65" i="6"/>
  <c r="S64" i="6"/>
  <c r="R64" i="6"/>
  <c r="Q64" i="6"/>
  <c r="P64" i="6"/>
  <c r="O64" i="6"/>
  <c r="N64" i="6"/>
  <c r="L64" i="6"/>
  <c r="K64" i="6"/>
  <c r="D64" i="6" s="1"/>
  <c r="C64" i="6" s="1"/>
  <c r="J64" i="6"/>
  <c r="I64" i="6"/>
  <c r="G64" i="6"/>
  <c r="F64" i="6"/>
  <c r="E64" i="6"/>
  <c r="B64" i="6"/>
  <c r="S63" i="6"/>
  <c r="R63" i="6"/>
  <c r="Q63" i="6"/>
  <c r="P63" i="6"/>
  <c r="O63" i="6"/>
  <c r="N63" i="6"/>
  <c r="L63" i="6"/>
  <c r="K63" i="6"/>
  <c r="J63" i="6"/>
  <c r="I63" i="6"/>
  <c r="G63" i="6"/>
  <c r="F63" i="6"/>
  <c r="E63" i="6"/>
  <c r="D63" i="6" s="1"/>
  <c r="C63" i="6" s="1"/>
  <c r="B63" i="6"/>
  <c r="S62" i="6"/>
  <c r="R62" i="6"/>
  <c r="Q62" i="6"/>
  <c r="P62" i="6"/>
  <c r="O62" i="6"/>
  <c r="N62" i="6"/>
  <c r="L62" i="6"/>
  <c r="K62" i="6"/>
  <c r="D62" i="6" s="1"/>
  <c r="C62" i="6" s="1"/>
  <c r="J62" i="6"/>
  <c r="I62" i="6"/>
  <c r="G62" i="6"/>
  <c r="F62" i="6"/>
  <c r="E62" i="6"/>
  <c r="B62" i="6"/>
  <c r="S61" i="6"/>
  <c r="R61" i="6"/>
  <c r="Q61" i="6"/>
  <c r="P61" i="6"/>
  <c r="O61" i="6"/>
  <c r="N61" i="6"/>
  <c r="M61" i="6"/>
  <c r="L61" i="6"/>
  <c r="K61" i="6"/>
  <c r="D61" i="6" s="1"/>
  <c r="C61" i="6" s="1"/>
  <c r="J61" i="6"/>
  <c r="I61" i="6"/>
  <c r="H61" i="6"/>
  <c r="G61" i="6"/>
  <c r="F61" i="6"/>
  <c r="E61" i="6"/>
  <c r="B61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 s="1"/>
  <c r="B60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D59" i="6" s="1"/>
  <c r="C59" i="6" s="1"/>
  <c r="J59" i="6"/>
  <c r="I59" i="6"/>
  <c r="H59" i="6"/>
  <c r="G59" i="6"/>
  <c r="F59" i="6"/>
  <c r="E59" i="6"/>
  <c r="B59" i="6"/>
  <c r="X58" i="6"/>
  <c r="W58" i="6"/>
  <c r="V58" i="6"/>
  <c r="U58" i="6"/>
  <c r="T58" i="6"/>
  <c r="S58" i="6"/>
  <c r="R58" i="6"/>
  <c r="Q58" i="6"/>
  <c r="P58" i="6"/>
  <c r="O58" i="6"/>
  <c r="N58" i="6"/>
  <c r="L58" i="6"/>
  <c r="K58" i="6"/>
  <c r="J58" i="6"/>
  <c r="I58" i="6"/>
  <c r="H58" i="6"/>
  <c r="G58" i="6"/>
  <c r="F58" i="6"/>
  <c r="E58" i="6"/>
  <c r="D58" i="6"/>
  <c r="C58" i="6" s="1"/>
  <c r="B58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D57" i="6" s="1"/>
  <c r="C57" i="6" s="1"/>
  <c r="J57" i="6"/>
  <c r="I57" i="6"/>
  <c r="H57" i="6"/>
  <c r="G57" i="6"/>
  <c r="F57" i="6"/>
  <c r="E57" i="6"/>
  <c r="B57" i="6"/>
  <c r="X56" i="6"/>
  <c r="W56" i="6"/>
  <c r="V56" i="6"/>
  <c r="U56" i="6"/>
  <c r="T56" i="6"/>
  <c r="S56" i="6"/>
  <c r="R56" i="6"/>
  <c r="Q56" i="6"/>
  <c r="P56" i="6"/>
  <c r="O56" i="6"/>
  <c r="N56" i="6"/>
  <c r="L56" i="6"/>
  <c r="K56" i="6"/>
  <c r="D56" i="6" s="1"/>
  <c r="C56" i="6" s="1"/>
  <c r="J56" i="6"/>
  <c r="I56" i="6"/>
  <c r="H56" i="6"/>
  <c r="G56" i="6"/>
  <c r="F56" i="6"/>
  <c r="E56" i="6"/>
  <c r="B56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 s="1"/>
  <c r="C55" i="6" s="1"/>
  <c r="B55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D54" i="6" s="1"/>
  <c r="C54" i="6" s="1"/>
  <c r="J54" i="6"/>
  <c r="I54" i="6"/>
  <c r="H54" i="6"/>
  <c r="G54" i="6"/>
  <c r="F54" i="6"/>
  <c r="E54" i="6"/>
  <c r="B54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 s="1"/>
  <c r="B53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 s="1"/>
  <c r="B52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D51" i="6" s="1"/>
  <c r="C51" i="6" s="1"/>
  <c r="J51" i="6"/>
  <c r="I51" i="6"/>
  <c r="H51" i="6"/>
  <c r="G51" i="6"/>
  <c r="F51" i="6"/>
  <c r="E51" i="6"/>
  <c r="B51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D50" i="6" s="1"/>
  <c r="C50" i="6" s="1"/>
  <c r="J50" i="6"/>
  <c r="I50" i="6"/>
  <c r="H50" i="6"/>
  <c r="G50" i="6"/>
  <c r="F50" i="6"/>
  <c r="E50" i="6"/>
  <c r="B50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D48" i="6" s="1"/>
  <c r="C48" i="6" s="1"/>
  <c r="J48" i="6"/>
  <c r="I48" i="6"/>
  <c r="H48" i="6"/>
  <c r="G48" i="6"/>
  <c r="F48" i="6"/>
  <c r="E48" i="6"/>
  <c r="B48" i="6"/>
  <c r="X47" i="6"/>
  <c r="W47" i="6"/>
  <c r="V47" i="6"/>
  <c r="U47" i="6"/>
  <c r="T47" i="6"/>
  <c r="S47" i="6"/>
  <c r="R47" i="6"/>
  <c r="Q47" i="6"/>
  <c r="P47" i="6"/>
  <c r="O47" i="6"/>
  <c r="N47" i="6"/>
  <c r="L47" i="6"/>
  <c r="K47" i="6"/>
  <c r="J47" i="6"/>
  <c r="I47" i="6"/>
  <c r="H47" i="6"/>
  <c r="G47" i="6"/>
  <c r="F47" i="6"/>
  <c r="E47" i="6"/>
  <c r="D47" i="6" s="1"/>
  <c r="C47" i="6" s="1"/>
  <c r="B47" i="6"/>
  <c r="X46" i="6"/>
  <c r="W46" i="6"/>
  <c r="V46" i="6"/>
  <c r="U46" i="6"/>
  <c r="T46" i="6"/>
  <c r="S46" i="6"/>
  <c r="R46" i="6"/>
  <c r="Q46" i="6"/>
  <c r="P46" i="6"/>
  <c r="O46" i="6"/>
  <c r="N46" i="6"/>
  <c r="L46" i="6"/>
  <c r="K46" i="6"/>
  <c r="D46" i="6" s="1"/>
  <c r="C46" i="6" s="1"/>
  <c r="J46" i="6"/>
  <c r="I46" i="6"/>
  <c r="H46" i="6"/>
  <c r="G46" i="6"/>
  <c r="F46" i="6"/>
  <c r="E46" i="6"/>
  <c r="B46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 s="1"/>
  <c r="B45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 s="1"/>
  <c r="B44" i="6"/>
  <c r="X43" i="6"/>
  <c r="W43" i="6"/>
  <c r="V43" i="6"/>
  <c r="U43" i="6"/>
  <c r="T43" i="6"/>
  <c r="S43" i="6"/>
  <c r="R43" i="6"/>
  <c r="Q43" i="6"/>
  <c r="P43" i="6"/>
  <c r="O43" i="6"/>
  <c r="N43" i="6"/>
  <c r="L43" i="6"/>
  <c r="K43" i="6"/>
  <c r="D43" i="6" s="1"/>
  <c r="C43" i="6" s="1"/>
  <c r="J43" i="6"/>
  <c r="I43" i="6"/>
  <c r="H43" i="6"/>
  <c r="G43" i="6"/>
  <c r="F43" i="6"/>
  <c r="E43" i="6"/>
  <c r="B43" i="6"/>
  <c r="X42" i="6"/>
  <c r="W42" i="6"/>
  <c r="V42" i="6"/>
  <c r="U42" i="6"/>
  <c r="T42" i="6"/>
  <c r="S42" i="6"/>
  <c r="R42" i="6"/>
  <c r="Q42" i="6"/>
  <c r="P42" i="6"/>
  <c r="O42" i="6"/>
  <c r="N42" i="6"/>
  <c r="L42" i="6"/>
  <c r="K42" i="6"/>
  <c r="J42" i="6"/>
  <c r="I42" i="6"/>
  <c r="H42" i="6"/>
  <c r="G42" i="6"/>
  <c r="F42" i="6"/>
  <c r="E42" i="6"/>
  <c r="D42" i="6" s="1"/>
  <c r="C42" i="6" s="1"/>
  <c r="B42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 s="1"/>
  <c r="C41" i="6" s="1"/>
  <c r="B41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D40" i="6" s="1"/>
  <c r="C40" i="6" s="1"/>
  <c r="J40" i="6"/>
  <c r="I40" i="6"/>
  <c r="H40" i="6"/>
  <c r="G40" i="6"/>
  <c r="F40" i="6"/>
  <c r="E40" i="6"/>
  <c r="B40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 s="1"/>
  <c r="C39" i="6" s="1"/>
  <c r="B39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D38" i="6" s="1"/>
  <c r="C38" i="6" s="1"/>
  <c r="J38" i="6"/>
  <c r="I38" i="6"/>
  <c r="H38" i="6"/>
  <c r="G38" i="6"/>
  <c r="F38" i="6"/>
  <c r="E38" i="6"/>
  <c r="B38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 s="1"/>
  <c r="B37" i="6"/>
  <c r="S36" i="6"/>
  <c r="R36" i="6"/>
  <c r="Q36" i="6"/>
  <c r="P36" i="6"/>
  <c r="O36" i="6"/>
  <c r="N36" i="6"/>
  <c r="L36" i="6"/>
  <c r="K36" i="6"/>
  <c r="D36" i="6" s="1"/>
  <c r="C36" i="6" s="1"/>
  <c r="J36" i="6"/>
  <c r="I36" i="6"/>
  <c r="G36" i="6"/>
  <c r="F36" i="6"/>
  <c r="E36" i="6"/>
  <c r="B36" i="6"/>
  <c r="S35" i="6"/>
  <c r="R35" i="6"/>
  <c r="Q35" i="6"/>
  <c r="P35" i="6"/>
  <c r="O35" i="6"/>
  <c r="N35" i="6"/>
  <c r="M35" i="6"/>
  <c r="L35" i="6"/>
  <c r="K35" i="6"/>
  <c r="D35" i="6" s="1"/>
  <c r="C35" i="6" s="1"/>
  <c r="J35" i="6"/>
  <c r="I35" i="6"/>
  <c r="H35" i="6"/>
  <c r="G35" i="6"/>
  <c r="F35" i="6"/>
  <c r="E35" i="6"/>
  <c r="B35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 s="1"/>
  <c r="C34" i="6" s="1"/>
  <c r="B34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D33" i="6" s="1"/>
  <c r="C33" i="6" s="1"/>
  <c r="J33" i="6"/>
  <c r="I33" i="6"/>
  <c r="H33" i="6"/>
  <c r="G33" i="6"/>
  <c r="F33" i="6"/>
  <c r="E33" i="6"/>
  <c r="B33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 s="1"/>
  <c r="B32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 s="1"/>
  <c r="B31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D30" i="6" s="1"/>
  <c r="C30" i="6" s="1"/>
  <c r="J30" i="6"/>
  <c r="I30" i="6"/>
  <c r="H30" i="6"/>
  <c r="G30" i="6"/>
  <c r="F30" i="6"/>
  <c r="E30" i="6"/>
  <c r="B30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D29" i="6" s="1"/>
  <c r="C29" i="6" s="1"/>
  <c r="J29" i="6"/>
  <c r="I29" i="6"/>
  <c r="H29" i="6"/>
  <c r="G29" i="6"/>
  <c r="F29" i="6"/>
  <c r="E29" i="6"/>
  <c r="B29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D27" i="6" s="1"/>
  <c r="C27" i="6" s="1"/>
  <c r="J27" i="6"/>
  <c r="I27" i="6"/>
  <c r="H27" i="6"/>
  <c r="G27" i="6"/>
  <c r="F27" i="6"/>
  <c r="E27" i="6"/>
  <c r="B27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 s="1"/>
  <c r="B26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D25" i="6" s="1"/>
  <c r="C25" i="6" s="1"/>
  <c r="J25" i="6"/>
  <c r="I25" i="6"/>
  <c r="H25" i="6"/>
  <c r="G25" i="6"/>
  <c r="F25" i="6"/>
  <c r="E25" i="6"/>
  <c r="B25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D24" i="6" s="1"/>
  <c r="C24" i="6" s="1"/>
  <c r="J24" i="6"/>
  <c r="I24" i="6"/>
  <c r="H24" i="6"/>
  <c r="G24" i="6"/>
  <c r="F24" i="6"/>
  <c r="E24" i="6"/>
  <c r="B24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 s="1"/>
  <c r="C23" i="6" s="1"/>
  <c r="B23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 s="1"/>
  <c r="C22" i="6" s="1"/>
  <c r="B22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D21" i="6" s="1"/>
  <c r="C21" i="6" s="1"/>
  <c r="J21" i="6"/>
  <c r="I21" i="6"/>
  <c r="H21" i="6"/>
  <c r="G21" i="6"/>
  <c r="F21" i="6"/>
  <c r="E21" i="6"/>
  <c r="B21" i="6"/>
  <c r="X20" i="6"/>
  <c r="W20" i="6"/>
  <c r="V20" i="6"/>
  <c r="U20" i="6"/>
  <c r="T20" i="6"/>
  <c r="S20" i="6"/>
  <c r="R20" i="6"/>
  <c r="Q20" i="6"/>
  <c r="P20" i="6"/>
  <c r="O20" i="6"/>
  <c r="N20" i="6"/>
  <c r="L20" i="6"/>
  <c r="K20" i="6"/>
  <c r="J20" i="6"/>
  <c r="I20" i="6"/>
  <c r="H20" i="6"/>
  <c r="G20" i="6"/>
  <c r="F20" i="6"/>
  <c r="E20" i="6"/>
  <c r="D20" i="6"/>
  <c r="C20" i="6" s="1"/>
  <c r="B20" i="6"/>
  <c r="X19" i="6"/>
  <c r="W19" i="6"/>
  <c r="V19" i="6"/>
  <c r="U19" i="6"/>
  <c r="T19" i="6"/>
  <c r="S19" i="6"/>
  <c r="R19" i="6"/>
  <c r="Q19" i="6"/>
  <c r="P19" i="6"/>
  <c r="O19" i="6"/>
  <c r="N19" i="6"/>
  <c r="L19" i="6"/>
  <c r="K19" i="6"/>
  <c r="D19" i="6" s="1"/>
  <c r="C19" i="6" s="1"/>
  <c r="J19" i="6"/>
  <c r="I19" i="6"/>
  <c r="H19" i="6"/>
  <c r="G19" i="6"/>
  <c r="F19" i="6"/>
  <c r="E19" i="6"/>
  <c r="B19" i="6"/>
  <c r="X18" i="6"/>
  <c r="W18" i="6"/>
  <c r="V18" i="6"/>
  <c r="U18" i="6"/>
  <c r="T18" i="6"/>
  <c r="S18" i="6"/>
  <c r="R18" i="6"/>
  <c r="Q18" i="6"/>
  <c r="P18" i="6"/>
  <c r="O18" i="6"/>
  <c r="N18" i="6"/>
  <c r="L18" i="6"/>
  <c r="K18" i="6"/>
  <c r="J18" i="6"/>
  <c r="I18" i="6"/>
  <c r="H18" i="6"/>
  <c r="G18" i="6"/>
  <c r="F18" i="6"/>
  <c r="E18" i="6"/>
  <c r="D18" i="6" s="1"/>
  <c r="C18" i="6" s="1"/>
  <c r="B18" i="6"/>
  <c r="X17" i="6"/>
  <c r="W17" i="6"/>
  <c r="V17" i="6"/>
  <c r="U17" i="6"/>
  <c r="T17" i="6"/>
  <c r="S17" i="6"/>
  <c r="R17" i="6"/>
  <c r="Q17" i="6"/>
  <c r="P17" i="6"/>
  <c r="O17" i="6"/>
  <c r="N17" i="6"/>
  <c r="L17" i="6"/>
  <c r="K17" i="6"/>
  <c r="D17" i="6" s="1"/>
  <c r="C17" i="6" s="1"/>
  <c r="J17" i="6"/>
  <c r="I17" i="6"/>
  <c r="H17" i="6"/>
  <c r="G17" i="6"/>
  <c r="F17" i="6"/>
  <c r="E17" i="6"/>
  <c r="B17" i="6"/>
  <c r="X16" i="6"/>
  <c r="W16" i="6"/>
  <c r="V16" i="6"/>
  <c r="U16" i="6"/>
  <c r="T16" i="6"/>
  <c r="S16" i="6"/>
  <c r="R16" i="6"/>
  <c r="Q16" i="6"/>
  <c r="P16" i="6"/>
  <c r="O16" i="6"/>
  <c r="N16" i="6"/>
  <c r="L16" i="6"/>
  <c r="K16" i="6"/>
  <c r="D16" i="6" s="1"/>
  <c r="C16" i="6" s="1"/>
  <c r="J16" i="6"/>
  <c r="I16" i="6"/>
  <c r="H16" i="6"/>
  <c r="G16" i="6"/>
  <c r="F16" i="6"/>
  <c r="E16" i="6"/>
  <c r="B16" i="6"/>
  <c r="X15" i="6"/>
  <c r="W15" i="6"/>
  <c r="V15" i="6"/>
  <c r="U15" i="6"/>
  <c r="T15" i="6"/>
  <c r="S15" i="6"/>
  <c r="R15" i="6"/>
  <c r="Q15" i="6"/>
  <c r="P15" i="6"/>
  <c r="O15" i="6"/>
  <c r="N15" i="6"/>
  <c r="L15" i="6"/>
  <c r="K15" i="6"/>
  <c r="D15" i="6" s="1"/>
  <c r="C15" i="6" s="1"/>
  <c r="J15" i="6"/>
  <c r="I15" i="6"/>
  <c r="H15" i="6"/>
  <c r="G15" i="6"/>
  <c r="F15" i="6"/>
  <c r="E15" i="6"/>
  <c r="B15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 s="1"/>
  <c r="C14" i="6" s="1"/>
  <c r="B14" i="6"/>
  <c r="S13" i="6"/>
  <c r="R13" i="6"/>
  <c r="Q13" i="6"/>
  <c r="P13" i="6"/>
  <c r="O13" i="6"/>
  <c r="N13" i="6"/>
  <c r="M13" i="6"/>
  <c r="L13" i="6"/>
  <c r="K13" i="6"/>
  <c r="D13" i="6" s="1"/>
  <c r="C13" i="6" s="1"/>
  <c r="J13" i="6"/>
  <c r="I13" i="6"/>
  <c r="H13" i="6"/>
  <c r="G13" i="6"/>
  <c r="F13" i="6"/>
  <c r="E13" i="6"/>
  <c r="B13" i="6"/>
  <c r="S12" i="6"/>
  <c r="R12" i="6"/>
  <c r="Q12" i="6"/>
  <c r="P12" i="6"/>
  <c r="O12" i="6"/>
  <c r="N12" i="6"/>
  <c r="M12" i="6"/>
  <c r="L12" i="6"/>
  <c r="K12" i="6"/>
  <c r="D12" i="6" s="1"/>
  <c r="C12" i="6" s="1"/>
  <c r="J12" i="6"/>
  <c r="I12" i="6"/>
  <c r="H12" i="6"/>
  <c r="G12" i="6"/>
  <c r="F12" i="6"/>
  <c r="E12" i="6"/>
  <c r="B12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 s="1"/>
  <c r="B11" i="6"/>
  <c r="S10" i="6"/>
  <c r="R10" i="6"/>
  <c r="Q10" i="6"/>
  <c r="P10" i="6"/>
  <c r="O10" i="6"/>
  <c r="N10" i="6"/>
  <c r="M10" i="6"/>
  <c r="L10" i="6"/>
  <c r="K10" i="6"/>
  <c r="D10" i="6" s="1"/>
  <c r="C10" i="6" s="1"/>
  <c r="J10" i="6"/>
  <c r="I10" i="6"/>
  <c r="H10" i="6"/>
  <c r="G10" i="6"/>
  <c r="F10" i="6"/>
  <c r="E10" i="6"/>
  <c r="B10" i="6"/>
  <c r="S9" i="6"/>
  <c r="R9" i="6"/>
  <c r="Q9" i="6"/>
  <c r="P9" i="6"/>
  <c r="O9" i="6"/>
  <c r="N9" i="6"/>
  <c r="M9" i="6"/>
  <c r="L9" i="6"/>
  <c r="K9" i="6"/>
  <c r="D9" i="6" s="1"/>
  <c r="C9" i="6" s="1"/>
  <c r="J9" i="6"/>
  <c r="I9" i="6"/>
  <c r="H9" i="6"/>
  <c r="G9" i="6"/>
  <c r="F9" i="6"/>
  <c r="E9" i="6"/>
  <c r="B9" i="6"/>
  <c r="S8" i="6"/>
  <c r="R8" i="6"/>
  <c r="Q8" i="6"/>
  <c r="P8" i="6"/>
  <c r="O8" i="6"/>
  <c r="N8" i="6"/>
  <c r="M8" i="6"/>
  <c r="L8" i="6"/>
  <c r="K8" i="6"/>
  <c r="D8" i="6" s="1"/>
  <c r="C8" i="6" s="1"/>
  <c r="J8" i="6"/>
  <c r="I8" i="6"/>
  <c r="H8" i="6"/>
  <c r="G8" i="6"/>
  <c r="F8" i="6"/>
  <c r="E8" i="6"/>
  <c r="B8" i="6"/>
  <c r="S7" i="6"/>
  <c r="R7" i="6"/>
  <c r="Q7" i="6"/>
  <c r="P7" i="6"/>
  <c r="O7" i="6"/>
  <c r="N7" i="6"/>
  <c r="L7" i="6"/>
  <c r="K7" i="6"/>
  <c r="J7" i="6"/>
  <c r="I7" i="6"/>
  <c r="H7" i="6"/>
  <c r="G7" i="6"/>
  <c r="F7" i="6"/>
  <c r="E7" i="6"/>
  <c r="D7" i="6" s="1"/>
  <c r="C7" i="6" s="1"/>
  <c r="B7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 s="1"/>
  <c r="B6" i="6"/>
  <c r="S5" i="6"/>
  <c r="R5" i="6"/>
  <c r="Q5" i="6"/>
  <c r="P5" i="6"/>
  <c r="O5" i="6"/>
  <c r="N5" i="6"/>
  <c r="M5" i="6"/>
  <c r="L5" i="6"/>
  <c r="K5" i="6"/>
  <c r="D5" i="6" s="1"/>
  <c r="C5" i="6" s="1"/>
  <c r="J5" i="6"/>
  <c r="I5" i="6"/>
  <c r="H5" i="6"/>
  <c r="G5" i="6"/>
  <c r="F5" i="6"/>
  <c r="E5" i="6"/>
  <c r="B5" i="6"/>
  <c r="S4" i="6"/>
  <c r="R4" i="6"/>
  <c r="Q4" i="6"/>
  <c r="P4" i="6"/>
  <c r="O4" i="6"/>
  <c r="N4" i="6"/>
  <c r="L4" i="6"/>
  <c r="K4" i="6"/>
  <c r="D4" i="6" s="1"/>
  <c r="C4" i="6" s="1"/>
  <c r="J4" i="6"/>
  <c r="I4" i="6"/>
  <c r="H4" i="6"/>
  <c r="G4" i="6"/>
  <c r="F4" i="6"/>
  <c r="E4" i="6"/>
  <c r="B4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 s="1"/>
  <c r="C3" i="6" s="1"/>
  <c r="B3" i="6"/>
  <c r="S2" i="6"/>
  <c r="R2" i="6"/>
  <c r="Q2" i="6"/>
  <c r="P2" i="6"/>
  <c r="O2" i="6"/>
  <c r="N2" i="6"/>
  <c r="M2" i="6"/>
  <c r="L2" i="6"/>
  <c r="K2" i="6"/>
  <c r="D2" i="6" s="1"/>
  <c r="C2" i="6" s="1"/>
  <c r="J2" i="6"/>
  <c r="I2" i="6"/>
  <c r="H2" i="6"/>
  <c r="G2" i="6"/>
  <c r="F2" i="6"/>
  <c r="E2" i="6"/>
  <c r="B2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I4" i="3"/>
  <c r="H4" i="3"/>
  <c r="G4" i="3"/>
  <c r="F4" i="3"/>
  <c r="D4" i="3"/>
  <c r="C4" i="3"/>
  <c r="I3" i="3"/>
  <c r="H3" i="3"/>
  <c r="G3" i="3"/>
  <c r="F3" i="3"/>
  <c r="E3" i="3"/>
  <c r="E4" i="3" s="1"/>
  <c r="D3" i="3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A519" i="1"/>
  <c r="R518" i="1"/>
  <c r="A518" i="1"/>
  <c r="R517" i="1"/>
  <c r="A517" i="1"/>
  <c r="R516" i="1"/>
  <c r="A516" i="1"/>
  <c r="R515" i="1"/>
  <c r="A515" i="1"/>
  <c r="R514" i="1"/>
  <c r="A514" i="1"/>
  <c r="R513" i="1"/>
  <c r="A513" i="1"/>
  <c r="R512" i="1"/>
  <c r="A512" i="1"/>
  <c r="R511" i="1"/>
  <c r="A511" i="1"/>
  <c r="R510" i="1"/>
  <c r="A510" i="1"/>
  <c r="R509" i="1"/>
  <c r="A509" i="1"/>
  <c r="R508" i="1"/>
  <c r="A508" i="1"/>
  <c r="R507" i="1"/>
  <c r="A507" i="1"/>
  <c r="R506" i="1"/>
  <c r="A506" i="1"/>
  <c r="R505" i="1"/>
  <c r="A505" i="1"/>
  <c r="R504" i="1"/>
  <c r="A504" i="1"/>
  <c r="R503" i="1"/>
  <c r="A503" i="1"/>
  <c r="R502" i="1"/>
  <c r="A502" i="1"/>
  <c r="R501" i="1"/>
  <c r="A501" i="1"/>
  <c r="R500" i="1"/>
  <c r="A500" i="1"/>
  <c r="R499" i="1"/>
  <c r="A499" i="1"/>
  <c r="R498" i="1"/>
  <c r="A498" i="1"/>
  <c r="R497" i="1"/>
  <c r="A497" i="1"/>
  <c r="R496" i="1"/>
  <c r="A496" i="1"/>
  <c r="R495" i="1"/>
  <c r="A495" i="1"/>
  <c r="R494" i="1"/>
  <c r="A494" i="1"/>
  <c r="R493" i="1"/>
  <c r="A493" i="1"/>
  <c r="R492" i="1"/>
  <c r="A492" i="1"/>
  <c r="R491" i="1"/>
  <c r="A491" i="1"/>
  <c r="R490" i="1"/>
  <c r="A490" i="1"/>
  <c r="R489" i="1"/>
  <c r="A489" i="1"/>
  <c r="R488" i="1"/>
  <c r="A488" i="1"/>
  <c r="R487" i="1"/>
  <c r="A487" i="1"/>
  <c r="R486" i="1"/>
  <c r="A486" i="1"/>
  <c r="R485" i="1"/>
  <c r="A485" i="1"/>
  <c r="R484" i="1"/>
  <c r="A484" i="1"/>
  <c r="R483" i="1"/>
  <c r="A483" i="1"/>
  <c r="R482" i="1"/>
  <c r="A482" i="1"/>
  <c r="R481" i="1"/>
  <c r="A481" i="1"/>
  <c r="R480" i="1"/>
  <c r="A480" i="1"/>
  <c r="R479" i="1"/>
  <c r="A479" i="1"/>
  <c r="R478" i="1"/>
  <c r="A478" i="1"/>
  <c r="R477" i="1"/>
  <c r="A477" i="1"/>
  <c r="R476" i="1"/>
  <c r="A476" i="1"/>
  <c r="R475" i="1"/>
  <c r="A475" i="1"/>
  <c r="R474" i="1"/>
  <c r="A474" i="1"/>
  <c r="R473" i="1"/>
  <c r="A473" i="1"/>
  <c r="R472" i="1"/>
  <c r="A472" i="1"/>
  <c r="R471" i="1"/>
  <c r="A471" i="1"/>
  <c r="R470" i="1"/>
  <c r="A470" i="1"/>
  <c r="R469" i="1"/>
  <c r="A469" i="1"/>
  <c r="R468" i="1"/>
  <c r="A468" i="1"/>
  <c r="R467" i="1"/>
  <c r="A467" i="1"/>
  <c r="R466" i="1"/>
  <c r="A466" i="1"/>
  <c r="R465" i="1"/>
  <c r="A465" i="1"/>
  <c r="R464" i="1"/>
  <c r="A464" i="1"/>
  <c r="R463" i="1"/>
  <c r="A463" i="1"/>
  <c r="R462" i="1"/>
  <c r="A462" i="1"/>
  <c r="R461" i="1"/>
  <c r="A461" i="1"/>
  <c r="R460" i="1"/>
  <c r="A460" i="1"/>
  <c r="R459" i="1"/>
  <c r="A459" i="1"/>
  <c r="R458" i="1"/>
  <c r="A458" i="1"/>
  <c r="R457" i="1"/>
  <c r="A457" i="1"/>
  <c r="R456" i="1"/>
  <c r="A456" i="1"/>
  <c r="R455" i="1"/>
  <c r="A455" i="1"/>
  <c r="R454" i="1"/>
  <c r="A454" i="1"/>
  <c r="R453" i="1"/>
  <c r="A453" i="1"/>
  <c r="R452" i="1"/>
  <c r="A452" i="1"/>
  <c r="R451" i="1"/>
  <c r="A451" i="1"/>
  <c r="R450" i="1"/>
  <c r="A450" i="1"/>
  <c r="R449" i="1"/>
  <c r="A449" i="1"/>
  <c r="R448" i="1"/>
  <c r="A448" i="1"/>
  <c r="R447" i="1"/>
  <c r="A447" i="1"/>
  <c r="R446" i="1"/>
  <c r="A446" i="1"/>
  <c r="R445" i="1"/>
  <c r="A445" i="1"/>
  <c r="R444" i="1"/>
  <c r="A444" i="1"/>
  <c r="R443" i="1"/>
  <c r="A443" i="1"/>
  <c r="R442" i="1"/>
  <c r="A442" i="1"/>
  <c r="R441" i="1"/>
  <c r="A441" i="1"/>
  <c r="R440" i="1"/>
  <c r="A440" i="1"/>
  <c r="R439" i="1"/>
  <c r="A439" i="1"/>
  <c r="R438" i="1"/>
  <c r="A438" i="1"/>
  <c r="R437" i="1"/>
  <c r="A437" i="1"/>
  <c r="R436" i="1"/>
  <c r="A436" i="1"/>
  <c r="R435" i="1"/>
  <c r="A435" i="1"/>
  <c r="R434" i="1"/>
  <c r="A434" i="1"/>
  <c r="R433" i="1"/>
  <c r="A433" i="1"/>
  <c r="R432" i="1"/>
  <c r="A432" i="1"/>
  <c r="R431" i="1"/>
  <c r="A431" i="1"/>
  <c r="R430" i="1"/>
  <c r="A430" i="1"/>
  <c r="R429" i="1"/>
  <c r="A429" i="1"/>
  <c r="R428" i="1"/>
  <c r="A428" i="1"/>
  <c r="R427" i="1"/>
  <c r="A427" i="1"/>
  <c r="R426" i="1"/>
  <c r="A426" i="1"/>
  <c r="R425" i="1"/>
  <c r="A425" i="1"/>
  <c r="R424" i="1"/>
  <c r="A424" i="1"/>
  <c r="R423" i="1"/>
  <c r="A423" i="1"/>
  <c r="R422" i="1"/>
  <c r="A422" i="1"/>
  <c r="R421" i="1"/>
  <c r="A421" i="1"/>
  <c r="R420" i="1"/>
  <c r="A420" i="1"/>
  <c r="R419" i="1"/>
  <c r="A419" i="1"/>
  <c r="R418" i="1"/>
  <c r="A418" i="1"/>
  <c r="R417" i="1"/>
  <c r="A417" i="1"/>
  <c r="R416" i="1"/>
  <c r="A416" i="1"/>
  <c r="R415" i="1"/>
  <c r="A415" i="1"/>
  <c r="R414" i="1"/>
  <c r="A414" i="1"/>
  <c r="R413" i="1"/>
  <c r="A413" i="1"/>
  <c r="R412" i="1"/>
  <c r="A412" i="1"/>
  <c r="R411" i="1"/>
  <c r="A411" i="1"/>
  <c r="R410" i="1"/>
  <c r="A410" i="1"/>
  <c r="R409" i="1"/>
  <c r="A409" i="1"/>
  <c r="R408" i="1"/>
  <c r="A408" i="1"/>
  <c r="R407" i="1"/>
  <c r="A407" i="1"/>
  <c r="R406" i="1"/>
  <c r="A406" i="1"/>
  <c r="R405" i="1"/>
  <c r="A405" i="1"/>
  <c r="R404" i="1"/>
  <c r="A404" i="1"/>
  <c r="R403" i="1"/>
  <c r="A403" i="1"/>
  <c r="R402" i="1"/>
  <c r="A402" i="1"/>
  <c r="R401" i="1"/>
  <c r="A401" i="1"/>
  <c r="R400" i="1"/>
  <c r="A400" i="1"/>
  <c r="R399" i="1"/>
  <c r="A399" i="1"/>
  <c r="R398" i="1"/>
  <c r="A398" i="1"/>
  <c r="R397" i="1"/>
  <c r="A397" i="1"/>
  <c r="R396" i="1"/>
  <c r="A396" i="1"/>
  <c r="R395" i="1"/>
  <c r="A395" i="1"/>
  <c r="R394" i="1"/>
  <c r="A394" i="1"/>
  <c r="R393" i="1"/>
  <c r="A393" i="1"/>
  <c r="R392" i="1"/>
  <c r="A392" i="1"/>
  <c r="R391" i="1"/>
  <c r="A391" i="1"/>
  <c r="R390" i="1"/>
  <c r="A390" i="1"/>
  <c r="R389" i="1"/>
  <c r="A389" i="1"/>
  <c r="R388" i="1"/>
  <c r="A388" i="1"/>
  <c r="R387" i="1"/>
  <c r="A387" i="1"/>
  <c r="R386" i="1"/>
  <c r="A386" i="1"/>
  <c r="U385" i="1"/>
  <c r="R385" i="1"/>
  <c r="A385" i="1"/>
  <c r="R384" i="1"/>
  <c r="A384" i="1"/>
  <c r="R383" i="1"/>
  <c r="A383" i="1"/>
  <c r="R382" i="1"/>
  <c r="A382" i="1"/>
  <c r="R381" i="1"/>
  <c r="A381" i="1"/>
  <c r="R380" i="1"/>
  <c r="A380" i="1"/>
  <c r="R379" i="1"/>
  <c r="A379" i="1"/>
  <c r="R378" i="1"/>
  <c r="A378" i="1"/>
  <c r="R377" i="1"/>
  <c r="A377" i="1"/>
  <c r="R376" i="1"/>
  <c r="A376" i="1"/>
  <c r="R375" i="1"/>
  <c r="A375" i="1"/>
  <c r="R374" i="1"/>
  <c r="A374" i="1"/>
  <c r="R373" i="1"/>
  <c r="A373" i="1"/>
  <c r="R372" i="1"/>
  <c r="A372" i="1"/>
  <c r="R371" i="1"/>
  <c r="A371" i="1"/>
  <c r="R370" i="1"/>
  <c r="A370" i="1"/>
  <c r="R369" i="1"/>
  <c r="A369" i="1"/>
  <c r="R368" i="1"/>
  <c r="A368" i="1"/>
  <c r="R367" i="1"/>
  <c r="A367" i="1"/>
  <c r="R366" i="1"/>
  <c r="A366" i="1"/>
  <c r="R365" i="1"/>
  <c r="A365" i="1"/>
  <c r="R364" i="1"/>
  <c r="A364" i="1"/>
  <c r="R363" i="1"/>
  <c r="A363" i="1"/>
  <c r="R362" i="1"/>
  <c r="A362" i="1"/>
  <c r="R361" i="1"/>
  <c r="A361" i="1"/>
  <c r="R360" i="1"/>
  <c r="A360" i="1"/>
  <c r="R359" i="1"/>
  <c r="A359" i="1"/>
  <c r="R358" i="1"/>
  <c r="A358" i="1"/>
  <c r="R357" i="1"/>
  <c r="A357" i="1"/>
  <c r="R356" i="1"/>
  <c r="A356" i="1"/>
  <c r="R355" i="1"/>
  <c r="A355" i="1"/>
  <c r="R354" i="1"/>
  <c r="A354" i="1"/>
  <c r="R353" i="1"/>
  <c r="A353" i="1"/>
  <c r="R352" i="1"/>
  <c r="A352" i="1"/>
  <c r="Z351" i="1"/>
  <c r="Y351" i="1"/>
  <c r="S351" i="1"/>
  <c r="R351" i="1"/>
  <c r="A351" i="1"/>
  <c r="Z350" i="1"/>
  <c r="Y350" i="1"/>
  <c r="S350" i="1"/>
  <c r="R350" i="1"/>
  <c r="A350" i="1"/>
  <c r="Z349" i="1"/>
  <c r="Y349" i="1"/>
  <c r="S349" i="1"/>
  <c r="R349" i="1"/>
  <c r="A349" i="1"/>
  <c r="Z348" i="1"/>
  <c r="Y348" i="1"/>
  <c r="S348" i="1"/>
  <c r="R348" i="1"/>
  <c r="Z347" i="1"/>
  <c r="Y347" i="1"/>
  <c r="S347" i="1"/>
  <c r="R347" i="1"/>
  <c r="A347" i="1"/>
  <c r="Z346" i="1"/>
  <c r="Y346" i="1"/>
  <c r="S346" i="1"/>
  <c r="R346" i="1"/>
  <c r="A346" i="1"/>
  <c r="Z345" i="1"/>
  <c r="Y345" i="1"/>
  <c r="S345" i="1"/>
  <c r="R345" i="1"/>
  <c r="A345" i="1"/>
  <c r="Z344" i="1"/>
  <c r="Y344" i="1"/>
  <c r="S344" i="1"/>
  <c r="R344" i="1"/>
  <c r="A344" i="1"/>
  <c r="Z343" i="1"/>
  <c r="Y343" i="1"/>
  <c r="S343" i="1"/>
  <c r="R343" i="1"/>
  <c r="A343" i="1"/>
  <c r="Z342" i="1"/>
  <c r="Y342" i="1"/>
  <c r="S342" i="1"/>
  <c r="R342" i="1"/>
  <c r="A342" i="1"/>
  <c r="Z341" i="1"/>
  <c r="Y341" i="1"/>
  <c r="S341" i="1"/>
  <c r="R341" i="1"/>
  <c r="A341" i="1"/>
  <c r="Z340" i="1"/>
  <c r="Y340" i="1"/>
  <c r="S340" i="1"/>
  <c r="R340" i="1"/>
  <c r="A340" i="1"/>
  <c r="Z339" i="1"/>
  <c r="Y339" i="1"/>
  <c r="S339" i="1"/>
  <c r="R339" i="1"/>
  <c r="A339" i="1"/>
  <c r="Z338" i="1"/>
  <c r="Y338" i="1"/>
  <c r="S338" i="1"/>
  <c r="R338" i="1"/>
  <c r="A338" i="1"/>
  <c r="Z337" i="1"/>
  <c r="Y337" i="1"/>
  <c r="S337" i="1"/>
  <c r="R337" i="1"/>
  <c r="A337" i="1"/>
  <c r="Z336" i="1"/>
  <c r="Y336" i="1"/>
  <c r="S336" i="1"/>
  <c r="R336" i="1"/>
  <c r="A336" i="1"/>
  <c r="Z335" i="1"/>
  <c r="Y335" i="1"/>
  <c r="S335" i="1"/>
  <c r="R335" i="1"/>
  <c r="A335" i="1"/>
  <c r="Z334" i="1"/>
  <c r="Y334" i="1"/>
  <c r="S334" i="1"/>
  <c r="R334" i="1"/>
  <c r="A334" i="1"/>
  <c r="Z333" i="1"/>
  <c r="Y333" i="1"/>
  <c r="S333" i="1"/>
  <c r="R333" i="1"/>
  <c r="A333" i="1"/>
  <c r="Z332" i="1"/>
  <c r="Y332" i="1"/>
  <c r="S332" i="1"/>
  <c r="R332" i="1"/>
  <c r="A332" i="1"/>
  <c r="Z331" i="1"/>
  <c r="Y331" i="1"/>
  <c r="S331" i="1"/>
  <c r="R331" i="1"/>
  <c r="A331" i="1"/>
  <c r="Z330" i="1"/>
  <c r="Y330" i="1"/>
  <c r="S330" i="1"/>
  <c r="R330" i="1"/>
  <c r="A330" i="1"/>
  <c r="Z329" i="1"/>
  <c r="Y329" i="1"/>
  <c r="S329" i="1"/>
  <c r="R329" i="1"/>
  <c r="A329" i="1"/>
  <c r="Z328" i="1"/>
  <c r="Y328" i="1"/>
  <c r="S328" i="1"/>
  <c r="R328" i="1"/>
  <c r="A328" i="1"/>
  <c r="Z327" i="1"/>
  <c r="Y327" i="1"/>
  <c r="S327" i="1"/>
  <c r="R327" i="1"/>
  <c r="A327" i="1"/>
  <c r="Z326" i="1"/>
  <c r="Y326" i="1"/>
  <c r="S326" i="1"/>
  <c r="R326" i="1"/>
  <c r="A326" i="1"/>
  <c r="Z325" i="1"/>
  <c r="Y325" i="1"/>
  <c r="S325" i="1"/>
  <c r="R325" i="1"/>
  <c r="A325" i="1"/>
  <c r="Z324" i="1"/>
  <c r="Y324" i="1"/>
  <c r="S324" i="1"/>
  <c r="R324" i="1"/>
  <c r="A324" i="1"/>
  <c r="Z323" i="1"/>
  <c r="Y323" i="1"/>
  <c r="S323" i="1"/>
  <c r="R323" i="1"/>
  <c r="A323" i="1"/>
  <c r="Z322" i="1"/>
  <c r="Y322" i="1"/>
  <c r="S322" i="1"/>
  <c r="R322" i="1"/>
  <c r="A322" i="1"/>
  <c r="Z321" i="1"/>
  <c r="Y321" i="1"/>
  <c r="S321" i="1"/>
  <c r="R321" i="1"/>
  <c r="Z320" i="1"/>
  <c r="Y320" i="1"/>
  <c r="S320" i="1"/>
  <c r="R320" i="1"/>
  <c r="A320" i="1"/>
  <c r="Z319" i="1"/>
  <c r="Y319" i="1"/>
  <c r="S319" i="1"/>
  <c r="R319" i="1"/>
  <c r="A319" i="1"/>
  <c r="Z318" i="1"/>
  <c r="Y318" i="1"/>
  <c r="S318" i="1"/>
  <c r="R318" i="1"/>
  <c r="A318" i="1"/>
  <c r="Z317" i="1"/>
  <c r="Y317" i="1"/>
  <c r="S317" i="1"/>
  <c r="R317" i="1"/>
  <c r="A317" i="1"/>
  <c r="Z316" i="1"/>
  <c r="Y316" i="1"/>
  <c r="S316" i="1"/>
  <c r="R316" i="1"/>
  <c r="A316" i="1"/>
  <c r="Z315" i="1"/>
  <c r="Y315" i="1"/>
  <c r="S315" i="1"/>
  <c r="R315" i="1"/>
  <c r="A315" i="1"/>
  <c r="Z314" i="1"/>
  <c r="Y314" i="1"/>
  <c r="S314" i="1"/>
  <c r="R314" i="1"/>
  <c r="A314" i="1"/>
  <c r="Z313" i="1"/>
  <c r="Y313" i="1"/>
  <c r="S313" i="1"/>
  <c r="R313" i="1"/>
  <c r="A313" i="1"/>
  <c r="Z312" i="1"/>
  <c r="Y312" i="1"/>
  <c r="S312" i="1"/>
  <c r="R312" i="1"/>
  <c r="A312" i="1"/>
  <c r="Z311" i="1"/>
  <c r="Y311" i="1"/>
  <c r="S311" i="1"/>
  <c r="R311" i="1"/>
  <c r="A311" i="1"/>
  <c r="Z310" i="1"/>
  <c r="Y310" i="1"/>
  <c r="S310" i="1"/>
  <c r="R310" i="1"/>
  <c r="A310" i="1"/>
  <c r="Z309" i="1"/>
  <c r="Y309" i="1"/>
  <c r="S309" i="1"/>
  <c r="R309" i="1"/>
  <c r="A309" i="1"/>
  <c r="Z308" i="1"/>
  <c r="Y308" i="1"/>
  <c r="S308" i="1"/>
  <c r="R308" i="1"/>
  <c r="A308" i="1"/>
  <c r="Z307" i="1"/>
  <c r="Y307" i="1"/>
  <c r="S307" i="1"/>
  <c r="R307" i="1"/>
  <c r="A307" i="1"/>
  <c r="Z306" i="1"/>
  <c r="Y306" i="1"/>
  <c r="S306" i="1"/>
  <c r="R306" i="1"/>
  <c r="A306" i="1"/>
  <c r="Z305" i="1"/>
  <c r="Y305" i="1"/>
  <c r="S305" i="1"/>
  <c r="R305" i="1"/>
  <c r="A305" i="1"/>
  <c r="Z304" i="1"/>
  <c r="Y304" i="1"/>
  <c r="S304" i="1"/>
  <c r="R304" i="1"/>
  <c r="A304" i="1"/>
  <c r="Z303" i="1"/>
  <c r="Y303" i="1"/>
  <c r="S303" i="1"/>
  <c r="R303" i="1"/>
  <c r="A303" i="1"/>
  <c r="Z302" i="1"/>
  <c r="Y302" i="1"/>
  <c r="S302" i="1"/>
  <c r="R302" i="1"/>
  <c r="A302" i="1"/>
  <c r="Z301" i="1"/>
  <c r="Y301" i="1"/>
  <c r="S301" i="1"/>
  <c r="R301" i="1"/>
  <c r="A301" i="1"/>
  <c r="Z300" i="1"/>
  <c r="Y300" i="1"/>
  <c r="S300" i="1"/>
  <c r="R300" i="1"/>
  <c r="A300" i="1"/>
  <c r="Z299" i="1"/>
  <c r="Y299" i="1"/>
  <c r="S299" i="1"/>
  <c r="R299" i="1"/>
  <c r="A299" i="1"/>
  <c r="Z298" i="1"/>
  <c r="Y298" i="1"/>
  <c r="S298" i="1"/>
  <c r="R298" i="1"/>
  <c r="A298" i="1"/>
  <c r="Z297" i="1"/>
  <c r="Y297" i="1"/>
  <c r="S297" i="1"/>
  <c r="R297" i="1"/>
  <c r="A297" i="1"/>
  <c r="Z296" i="1"/>
  <c r="Y296" i="1"/>
  <c r="S296" i="1"/>
  <c r="R296" i="1"/>
  <c r="A296" i="1"/>
  <c r="Z295" i="1"/>
  <c r="Y295" i="1"/>
  <c r="S295" i="1"/>
  <c r="R295" i="1"/>
  <c r="A295" i="1"/>
  <c r="Z294" i="1"/>
  <c r="Y294" i="1"/>
  <c r="S294" i="1"/>
  <c r="R294" i="1"/>
  <c r="A294" i="1"/>
  <c r="Z293" i="1"/>
  <c r="Y293" i="1"/>
  <c r="S293" i="1"/>
  <c r="R293" i="1"/>
  <c r="A293" i="1"/>
  <c r="Z292" i="1"/>
  <c r="Y292" i="1"/>
  <c r="S292" i="1"/>
  <c r="R292" i="1"/>
  <c r="A292" i="1"/>
  <c r="Z291" i="1"/>
  <c r="Y291" i="1"/>
  <c r="S291" i="1"/>
  <c r="R291" i="1"/>
  <c r="A291" i="1"/>
  <c r="Z290" i="1"/>
  <c r="Y290" i="1"/>
  <c r="S290" i="1"/>
  <c r="R290" i="1"/>
  <c r="A290" i="1"/>
  <c r="Z289" i="1"/>
  <c r="Y289" i="1"/>
  <c r="S289" i="1"/>
  <c r="R289" i="1"/>
  <c r="A289" i="1"/>
  <c r="Z288" i="1"/>
  <c r="Y288" i="1"/>
  <c r="S288" i="1"/>
  <c r="R288" i="1"/>
  <c r="A288" i="1"/>
  <c r="Z287" i="1"/>
  <c r="Y287" i="1"/>
  <c r="S287" i="1"/>
  <c r="R287" i="1"/>
  <c r="A287" i="1"/>
  <c r="Z286" i="1"/>
  <c r="Y286" i="1"/>
  <c r="S286" i="1"/>
  <c r="R286" i="1"/>
  <c r="A286" i="1"/>
  <c r="Z285" i="1"/>
  <c r="Y285" i="1"/>
  <c r="S285" i="1"/>
  <c r="R285" i="1"/>
  <c r="A285" i="1"/>
  <c r="Z284" i="1"/>
  <c r="Y284" i="1"/>
  <c r="S284" i="1"/>
  <c r="R284" i="1"/>
  <c r="A284" i="1"/>
  <c r="Z283" i="1"/>
  <c r="Y283" i="1"/>
  <c r="S283" i="1"/>
  <c r="R283" i="1"/>
  <c r="A283" i="1"/>
  <c r="Z282" i="1"/>
  <c r="Y282" i="1"/>
  <c r="S282" i="1"/>
  <c r="R282" i="1"/>
  <c r="A282" i="1"/>
  <c r="Z281" i="1"/>
  <c r="Y281" i="1"/>
  <c r="S281" i="1"/>
  <c r="R281" i="1"/>
  <c r="A281" i="1"/>
  <c r="Z280" i="1"/>
  <c r="Y280" i="1"/>
  <c r="S280" i="1"/>
  <c r="R280" i="1"/>
  <c r="A280" i="1"/>
  <c r="Z279" i="1"/>
  <c r="Y279" i="1"/>
  <c r="S279" i="1"/>
  <c r="R279" i="1"/>
  <c r="A279" i="1"/>
  <c r="Z278" i="1"/>
  <c r="Y278" i="1"/>
  <c r="S278" i="1"/>
  <c r="R278" i="1"/>
  <c r="A278" i="1"/>
  <c r="Z277" i="1"/>
  <c r="Y277" i="1"/>
  <c r="S277" i="1"/>
  <c r="R277" i="1"/>
  <c r="A277" i="1"/>
  <c r="Z276" i="1"/>
  <c r="Y276" i="1"/>
  <c r="S276" i="1"/>
  <c r="R276" i="1"/>
  <c r="A276" i="1"/>
  <c r="Z275" i="1"/>
  <c r="Y275" i="1"/>
  <c r="S275" i="1"/>
  <c r="R275" i="1"/>
  <c r="A275" i="1"/>
  <c r="Z274" i="1"/>
  <c r="Y274" i="1"/>
  <c r="S274" i="1"/>
  <c r="R274" i="1"/>
  <c r="A274" i="1"/>
  <c r="Z273" i="1"/>
  <c r="Y273" i="1"/>
  <c r="S273" i="1"/>
  <c r="R273" i="1"/>
  <c r="A273" i="1"/>
  <c r="Z272" i="1"/>
  <c r="Y272" i="1"/>
  <c r="S272" i="1"/>
  <c r="R272" i="1"/>
  <c r="A272" i="1"/>
  <c r="Z271" i="1"/>
  <c r="Y271" i="1"/>
  <c r="S271" i="1"/>
  <c r="R271" i="1"/>
  <c r="A271" i="1"/>
  <c r="Z270" i="1"/>
  <c r="Y270" i="1"/>
  <c r="S270" i="1"/>
  <c r="R270" i="1"/>
  <c r="A270" i="1"/>
  <c r="Z269" i="1"/>
  <c r="Y269" i="1"/>
  <c r="S269" i="1"/>
  <c r="R269" i="1"/>
  <c r="A269" i="1"/>
  <c r="Z268" i="1"/>
  <c r="Y268" i="1"/>
  <c r="S268" i="1"/>
  <c r="R268" i="1"/>
  <c r="A268" i="1"/>
  <c r="Z267" i="1"/>
  <c r="Y267" i="1"/>
  <c r="S267" i="1"/>
  <c r="R267" i="1"/>
  <c r="A267" i="1"/>
  <c r="Z266" i="1"/>
  <c r="Y266" i="1"/>
  <c r="S266" i="1"/>
  <c r="R266" i="1"/>
  <c r="A266" i="1"/>
  <c r="Z265" i="1"/>
  <c r="Y265" i="1"/>
  <c r="S265" i="1"/>
  <c r="R265" i="1"/>
  <c r="A265" i="1"/>
  <c r="Z264" i="1"/>
  <c r="Y264" i="1"/>
  <c r="S264" i="1"/>
  <c r="R264" i="1"/>
  <c r="A264" i="1"/>
  <c r="Z263" i="1"/>
  <c r="Y263" i="1"/>
  <c r="S263" i="1"/>
  <c r="R263" i="1"/>
  <c r="A263" i="1"/>
  <c r="Z262" i="1"/>
  <c r="Y262" i="1"/>
  <c r="S262" i="1"/>
  <c r="R262" i="1"/>
  <c r="A262" i="1"/>
  <c r="Z261" i="1"/>
  <c r="Y261" i="1"/>
  <c r="S261" i="1"/>
  <c r="R261" i="1"/>
  <c r="A261" i="1"/>
  <c r="Z260" i="1"/>
  <c r="Y260" i="1"/>
  <c r="S260" i="1"/>
  <c r="R260" i="1"/>
  <c r="A260" i="1"/>
  <c r="Z259" i="1"/>
  <c r="Y259" i="1"/>
  <c r="S259" i="1"/>
  <c r="R259" i="1"/>
  <c r="A259" i="1"/>
  <c r="Z258" i="1"/>
  <c r="Y258" i="1"/>
  <c r="S258" i="1"/>
  <c r="R258" i="1"/>
  <c r="A258" i="1"/>
  <c r="Z257" i="1"/>
  <c r="Y257" i="1"/>
  <c r="S257" i="1"/>
  <c r="R257" i="1"/>
  <c r="A257" i="1"/>
  <c r="Z256" i="1"/>
  <c r="Y256" i="1"/>
  <c r="S256" i="1"/>
  <c r="R256" i="1"/>
  <c r="A256" i="1"/>
  <c r="Z255" i="1"/>
  <c r="Y255" i="1"/>
  <c r="S255" i="1"/>
  <c r="R255" i="1"/>
  <c r="A255" i="1"/>
  <c r="Z254" i="1"/>
  <c r="Y254" i="1"/>
  <c r="S254" i="1"/>
  <c r="R254" i="1"/>
  <c r="A254" i="1"/>
  <c r="Z253" i="1"/>
  <c r="Y253" i="1"/>
  <c r="S253" i="1"/>
  <c r="R253" i="1"/>
  <c r="A253" i="1"/>
  <c r="Z252" i="1"/>
  <c r="Y252" i="1"/>
  <c r="S252" i="1"/>
  <c r="R252" i="1"/>
  <c r="A252" i="1"/>
  <c r="Z251" i="1"/>
  <c r="Y251" i="1"/>
  <c r="S251" i="1"/>
  <c r="R251" i="1"/>
  <c r="A251" i="1"/>
  <c r="Z250" i="1"/>
  <c r="Y250" i="1"/>
  <c r="S250" i="1"/>
  <c r="R250" i="1"/>
  <c r="A250" i="1"/>
  <c r="Z249" i="1"/>
  <c r="Y249" i="1"/>
  <c r="S249" i="1"/>
  <c r="R249" i="1"/>
  <c r="A249" i="1"/>
  <c r="Z248" i="1"/>
  <c r="Y248" i="1"/>
  <c r="S248" i="1"/>
  <c r="R248" i="1"/>
  <c r="A248" i="1"/>
  <c r="Z247" i="1"/>
  <c r="Y247" i="1"/>
  <c r="S247" i="1"/>
  <c r="R247" i="1"/>
  <c r="A247" i="1"/>
  <c r="Z246" i="1"/>
  <c r="Y246" i="1"/>
  <c r="S246" i="1"/>
  <c r="R246" i="1"/>
  <c r="A246" i="1"/>
  <c r="Z245" i="1"/>
  <c r="Y245" i="1"/>
  <c r="S245" i="1"/>
  <c r="R245" i="1"/>
  <c r="A245" i="1"/>
  <c r="Z244" i="1"/>
  <c r="Y244" i="1"/>
  <c r="S244" i="1"/>
  <c r="R244" i="1"/>
  <c r="A244" i="1"/>
  <c r="Z243" i="1"/>
  <c r="Y243" i="1"/>
  <c r="S243" i="1"/>
  <c r="R243" i="1"/>
  <c r="A243" i="1"/>
  <c r="Z242" i="1"/>
  <c r="Y242" i="1"/>
  <c r="S242" i="1"/>
  <c r="R242" i="1"/>
  <c r="Z241" i="1"/>
  <c r="Y241" i="1"/>
  <c r="S241" i="1"/>
  <c r="R241" i="1"/>
  <c r="Z240" i="1"/>
  <c r="Y240" i="1"/>
  <c r="S240" i="1"/>
  <c r="R240" i="1"/>
  <c r="Z239" i="1"/>
  <c r="Y239" i="1"/>
  <c r="S239" i="1"/>
  <c r="R239" i="1"/>
  <c r="A239" i="1"/>
  <c r="Z238" i="1"/>
  <c r="Y238" i="1"/>
  <c r="S238" i="1"/>
  <c r="R238" i="1"/>
  <c r="A238" i="1"/>
  <c r="Z237" i="1"/>
  <c r="Y237" i="1"/>
  <c r="S237" i="1"/>
  <c r="R237" i="1"/>
  <c r="A237" i="1"/>
  <c r="Z236" i="1"/>
  <c r="Y236" i="1"/>
  <c r="S236" i="1"/>
  <c r="R236" i="1"/>
  <c r="Z235" i="1"/>
  <c r="Y235" i="1"/>
  <c r="S235" i="1"/>
  <c r="R235" i="1"/>
  <c r="A235" i="1"/>
  <c r="Z234" i="1"/>
  <c r="Y234" i="1"/>
  <c r="S234" i="1"/>
  <c r="R234" i="1"/>
  <c r="A234" i="1"/>
  <c r="Z233" i="1"/>
  <c r="Y233" i="1"/>
  <c r="S233" i="1"/>
  <c r="R233" i="1"/>
  <c r="A233" i="1"/>
  <c r="Z232" i="1"/>
  <c r="Y232" i="1"/>
  <c r="S232" i="1"/>
  <c r="R232" i="1"/>
  <c r="A232" i="1"/>
  <c r="Z231" i="1"/>
  <c r="Y231" i="1"/>
  <c r="S231" i="1"/>
  <c r="R231" i="1"/>
  <c r="A231" i="1"/>
  <c r="Z230" i="1"/>
  <c r="Y230" i="1"/>
  <c r="S230" i="1"/>
  <c r="R230" i="1"/>
  <c r="A230" i="1"/>
  <c r="Z229" i="1"/>
  <c r="Y229" i="1"/>
  <c r="S229" i="1"/>
  <c r="R229" i="1"/>
  <c r="A229" i="1"/>
  <c r="Z228" i="1"/>
  <c r="Y228" i="1"/>
  <c r="S228" i="1"/>
  <c r="R228" i="1"/>
  <c r="A228" i="1"/>
  <c r="Z227" i="1"/>
  <c r="Y227" i="1"/>
  <c r="S227" i="1"/>
  <c r="R227" i="1"/>
  <c r="A227" i="1"/>
  <c r="Z226" i="1"/>
  <c r="Y226" i="1"/>
  <c r="S226" i="1"/>
  <c r="R226" i="1"/>
  <c r="A226" i="1"/>
  <c r="Z225" i="1"/>
  <c r="Y225" i="1"/>
  <c r="S225" i="1"/>
  <c r="R225" i="1"/>
  <c r="A225" i="1"/>
  <c r="Z224" i="1"/>
  <c r="Y224" i="1"/>
  <c r="S224" i="1"/>
  <c r="R224" i="1"/>
  <c r="A224" i="1"/>
  <c r="Z223" i="1"/>
  <c r="Y223" i="1"/>
  <c r="S223" i="1"/>
  <c r="R223" i="1"/>
  <c r="A223" i="1"/>
  <c r="Z222" i="1"/>
  <c r="Y222" i="1"/>
  <c r="S222" i="1"/>
  <c r="R222" i="1"/>
  <c r="A222" i="1"/>
  <c r="Z221" i="1"/>
  <c r="Y221" i="1"/>
  <c r="S221" i="1"/>
  <c r="R221" i="1"/>
  <c r="A221" i="1"/>
  <c r="Z220" i="1"/>
  <c r="Y220" i="1"/>
  <c r="S220" i="1"/>
  <c r="R220" i="1"/>
  <c r="A220" i="1"/>
  <c r="Z219" i="1"/>
  <c r="Y219" i="1"/>
  <c r="S219" i="1"/>
  <c r="R219" i="1"/>
  <c r="A219" i="1"/>
  <c r="Z218" i="1"/>
  <c r="Y218" i="1"/>
  <c r="S218" i="1"/>
  <c r="R218" i="1"/>
  <c r="A218" i="1"/>
  <c r="Z217" i="1"/>
  <c r="Y217" i="1"/>
  <c r="S217" i="1"/>
  <c r="R217" i="1"/>
  <c r="A217" i="1"/>
  <c r="Z216" i="1"/>
  <c r="Y216" i="1"/>
  <c r="S216" i="1"/>
  <c r="R216" i="1"/>
  <c r="A216" i="1"/>
  <c r="Z215" i="1"/>
  <c r="Y215" i="1"/>
  <c r="S215" i="1"/>
  <c r="R215" i="1"/>
  <c r="A215" i="1"/>
  <c r="Z214" i="1"/>
  <c r="Y214" i="1"/>
  <c r="S214" i="1"/>
  <c r="R214" i="1"/>
  <c r="A214" i="1"/>
  <c r="Z213" i="1"/>
  <c r="Y213" i="1"/>
  <c r="S213" i="1"/>
  <c r="R213" i="1"/>
  <c r="A213" i="1"/>
  <c r="Z212" i="1"/>
  <c r="Y212" i="1"/>
  <c r="S212" i="1"/>
  <c r="R212" i="1"/>
  <c r="A212" i="1"/>
  <c r="Z211" i="1"/>
  <c r="Y211" i="1"/>
  <c r="S211" i="1"/>
  <c r="R211" i="1"/>
  <c r="A211" i="1"/>
  <c r="Z210" i="1"/>
  <c r="Y210" i="1"/>
  <c r="S210" i="1"/>
  <c r="R210" i="1"/>
  <c r="Z209" i="1"/>
  <c r="Y209" i="1"/>
  <c r="S209" i="1"/>
  <c r="R209" i="1"/>
  <c r="A209" i="1"/>
  <c r="Z208" i="1"/>
  <c r="Y208" i="1"/>
  <c r="S208" i="1"/>
  <c r="R208" i="1"/>
  <c r="A208" i="1"/>
  <c r="Z207" i="1"/>
  <c r="Y207" i="1"/>
  <c r="S207" i="1"/>
  <c r="R207" i="1"/>
  <c r="A207" i="1"/>
  <c r="Z206" i="1"/>
  <c r="Y206" i="1"/>
  <c r="S206" i="1"/>
  <c r="R206" i="1"/>
  <c r="A206" i="1"/>
  <c r="Z205" i="1"/>
  <c r="Y205" i="1"/>
  <c r="S205" i="1"/>
  <c r="R205" i="1"/>
  <c r="A205" i="1"/>
  <c r="Z204" i="1"/>
  <c r="Y204" i="1"/>
  <c r="S204" i="1"/>
  <c r="R204" i="1"/>
  <c r="A204" i="1"/>
  <c r="Z203" i="1"/>
  <c r="Y203" i="1"/>
  <c r="S203" i="1"/>
  <c r="R203" i="1"/>
  <c r="A203" i="1"/>
  <c r="Z202" i="1"/>
  <c r="Y202" i="1"/>
  <c r="S202" i="1"/>
  <c r="R202" i="1"/>
  <c r="A202" i="1"/>
  <c r="Z201" i="1"/>
  <c r="Y201" i="1"/>
  <c r="S201" i="1"/>
  <c r="R201" i="1"/>
  <c r="A201" i="1"/>
  <c r="Z200" i="1"/>
  <c r="Y200" i="1"/>
  <c r="S200" i="1"/>
  <c r="R200" i="1"/>
  <c r="A200" i="1"/>
  <c r="Z199" i="1"/>
  <c r="Y199" i="1"/>
  <c r="S199" i="1"/>
  <c r="R199" i="1"/>
  <c r="A199" i="1"/>
  <c r="Z198" i="1"/>
  <c r="Y198" i="1"/>
  <c r="S198" i="1"/>
  <c r="R198" i="1"/>
  <c r="A198" i="1"/>
  <c r="Z197" i="1"/>
  <c r="Y197" i="1"/>
  <c r="S197" i="1"/>
  <c r="R197" i="1"/>
  <c r="A197" i="1"/>
  <c r="Z196" i="1"/>
  <c r="Y196" i="1"/>
  <c r="S196" i="1"/>
  <c r="R196" i="1"/>
  <c r="A196" i="1"/>
  <c r="Z195" i="1"/>
  <c r="Y195" i="1"/>
  <c r="S195" i="1"/>
  <c r="R195" i="1"/>
  <c r="A195" i="1"/>
  <c r="Z194" i="1"/>
  <c r="Y194" i="1"/>
  <c r="S194" i="1"/>
  <c r="R194" i="1"/>
  <c r="A194" i="1"/>
  <c r="Z193" i="1"/>
  <c r="Y193" i="1"/>
  <c r="S193" i="1"/>
  <c r="R193" i="1"/>
  <c r="A193" i="1"/>
  <c r="Z192" i="1"/>
  <c r="Y192" i="1"/>
  <c r="S192" i="1"/>
  <c r="R192" i="1"/>
  <c r="A192" i="1"/>
  <c r="Z191" i="1"/>
  <c r="Y191" i="1"/>
  <c r="S191" i="1"/>
  <c r="A191" i="1"/>
  <c r="Z190" i="1"/>
  <c r="Y190" i="1"/>
  <c r="S190" i="1"/>
  <c r="R190" i="1"/>
  <c r="A190" i="1"/>
  <c r="Z189" i="1"/>
  <c r="Y189" i="1"/>
  <c r="S189" i="1"/>
  <c r="R189" i="1"/>
  <c r="A189" i="1"/>
  <c r="Z188" i="1"/>
  <c r="Y188" i="1"/>
  <c r="S188" i="1"/>
  <c r="R188" i="1"/>
  <c r="A188" i="1"/>
  <c r="Z187" i="1"/>
  <c r="Y187" i="1"/>
  <c r="S187" i="1"/>
  <c r="R187" i="1"/>
  <c r="A187" i="1"/>
  <c r="Z186" i="1"/>
  <c r="Y186" i="1"/>
  <c r="S186" i="1"/>
  <c r="R186" i="1"/>
  <c r="A186" i="1"/>
  <c r="Z185" i="1"/>
  <c r="Y185" i="1"/>
  <c r="S185" i="1"/>
  <c r="R185" i="1"/>
  <c r="A185" i="1"/>
  <c r="Z184" i="1"/>
  <c r="Y184" i="1"/>
  <c r="S184" i="1"/>
  <c r="R184" i="1"/>
  <c r="A184" i="1"/>
  <c r="Z183" i="1"/>
  <c r="Y183" i="1"/>
  <c r="S183" i="1"/>
  <c r="R183" i="1"/>
  <c r="A183" i="1"/>
  <c r="Z182" i="1"/>
  <c r="Y182" i="1"/>
  <c r="S182" i="1"/>
  <c r="R182" i="1"/>
  <c r="A182" i="1"/>
  <c r="Z181" i="1"/>
  <c r="Y181" i="1"/>
  <c r="S181" i="1"/>
  <c r="R181" i="1"/>
  <c r="A181" i="1"/>
  <c r="Z180" i="1"/>
  <c r="Y180" i="1"/>
  <c r="S180" i="1"/>
  <c r="R180" i="1"/>
  <c r="A180" i="1"/>
  <c r="Z179" i="1"/>
  <c r="Y179" i="1"/>
  <c r="S179" i="1"/>
  <c r="R179" i="1"/>
  <c r="A179" i="1"/>
  <c r="Z178" i="1"/>
  <c r="Y178" i="1"/>
  <c r="S178" i="1"/>
  <c r="R178" i="1"/>
  <c r="A178" i="1"/>
  <c r="Z177" i="1"/>
  <c r="Y177" i="1"/>
  <c r="S177" i="1"/>
  <c r="R177" i="1"/>
  <c r="A177" i="1"/>
  <c r="Z176" i="1"/>
  <c r="Y176" i="1"/>
  <c r="S176" i="1"/>
  <c r="R176" i="1"/>
  <c r="A176" i="1"/>
  <c r="Z175" i="1"/>
  <c r="Y175" i="1"/>
  <c r="S175" i="1"/>
  <c r="R175" i="1"/>
  <c r="A175" i="1"/>
  <c r="Z174" i="1"/>
  <c r="Y174" i="1"/>
  <c r="S174" i="1"/>
  <c r="R174" i="1"/>
  <c r="A174" i="1"/>
  <c r="Z173" i="1"/>
  <c r="Y173" i="1"/>
  <c r="S173" i="1"/>
  <c r="R173" i="1"/>
  <c r="A173" i="1"/>
  <c r="Z172" i="1"/>
  <c r="S172" i="1"/>
  <c r="R172" i="1"/>
  <c r="A172" i="1"/>
  <c r="Z171" i="1"/>
  <c r="S171" i="1"/>
  <c r="R171" i="1"/>
  <c r="A171" i="1"/>
  <c r="Z170" i="1"/>
  <c r="S170" i="1"/>
  <c r="R170" i="1"/>
  <c r="A170" i="1"/>
  <c r="S169" i="1"/>
  <c r="R169" i="1"/>
  <c r="A169" i="1"/>
  <c r="Z168" i="1"/>
  <c r="S168" i="1"/>
  <c r="R168" i="1"/>
  <c r="A168" i="1"/>
  <c r="S167" i="1"/>
  <c r="R167" i="1"/>
  <c r="A167" i="1"/>
  <c r="S166" i="1"/>
  <c r="R166" i="1"/>
  <c r="A166" i="1"/>
  <c r="S162" i="1"/>
  <c r="R162" i="1"/>
  <c r="S160" i="1"/>
  <c r="R160" i="1"/>
  <c r="A160" i="1"/>
  <c r="S159" i="1"/>
  <c r="R159" i="1"/>
  <c r="A159" i="1"/>
  <c r="S158" i="1"/>
  <c r="R158" i="1"/>
  <c r="S157" i="1"/>
  <c r="R157" i="1"/>
  <c r="A157" i="1"/>
  <c r="S156" i="1"/>
  <c r="R156" i="1"/>
  <c r="A156" i="1"/>
  <c r="S155" i="1"/>
  <c r="R155" i="1"/>
  <c r="A155" i="1"/>
  <c r="S154" i="1"/>
  <c r="R154" i="1"/>
  <c r="A154" i="1"/>
  <c r="S151" i="1"/>
  <c r="R151" i="1"/>
  <c r="A151" i="1"/>
  <c r="S150" i="1"/>
  <c r="R150" i="1"/>
  <c r="A150" i="1"/>
  <c r="S148" i="1"/>
  <c r="R148" i="1"/>
  <c r="S146" i="1"/>
  <c r="R146" i="1"/>
  <c r="S145" i="1"/>
  <c r="R145" i="1"/>
  <c r="S140" i="1"/>
  <c r="R140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A118" i="1"/>
  <c r="R117" i="1"/>
  <c r="A117" i="1"/>
  <c r="R116" i="1"/>
  <c r="A116" i="1"/>
  <c r="R115" i="1"/>
  <c r="R114" i="1"/>
  <c r="R113" i="1"/>
  <c r="R112" i="1"/>
  <c r="R111" i="1"/>
  <c r="R110" i="1"/>
  <c r="R109" i="1"/>
  <c r="R108" i="1"/>
  <c r="R107" i="1"/>
  <c r="X239" i="1" l="1"/>
  <c r="X237" i="1"/>
  <c r="W235" i="1"/>
  <c r="W233" i="1"/>
  <c r="W231" i="1"/>
  <c r="W229" i="1"/>
  <c r="W227" i="1"/>
  <c r="W225" i="1"/>
  <c r="W223" i="1"/>
  <c r="W221" i="1"/>
  <c r="W219" i="1"/>
  <c r="W217" i="1"/>
  <c r="W215" i="1"/>
  <c r="W213" i="1"/>
  <c r="W211" i="1"/>
  <c r="X180" i="1"/>
  <c r="X319" i="1"/>
  <c r="X317" i="1"/>
  <c r="X315" i="1"/>
  <c r="X313" i="1"/>
  <c r="X311" i="1"/>
  <c r="X309" i="1"/>
  <c r="X307" i="1"/>
  <c r="X305" i="1"/>
  <c r="X303" i="1"/>
  <c r="X301" i="1"/>
  <c r="X299" i="1"/>
  <c r="X297" i="1"/>
  <c r="X295" i="1"/>
  <c r="X293" i="1"/>
  <c r="X291" i="1"/>
  <c r="X289" i="1"/>
  <c r="X287" i="1"/>
  <c r="X285" i="1"/>
  <c r="X283" i="1"/>
  <c r="X281" i="1"/>
  <c r="X279" i="1"/>
  <c r="X277" i="1"/>
  <c r="X275" i="1"/>
  <c r="X273" i="1"/>
  <c r="X271" i="1"/>
  <c r="X269" i="1"/>
  <c r="X267" i="1"/>
  <c r="X265" i="1"/>
  <c r="X263" i="1"/>
  <c r="X261" i="1"/>
  <c r="X259" i="1"/>
  <c r="X257" i="1"/>
  <c r="X255" i="1"/>
  <c r="X253" i="1"/>
  <c r="X251" i="1"/>
  <c r="X249" i="1"/>
  <c r="X247" i="1"/>
  <c r="X245" i="1"/>
  <c r="X243" i="1"/>
  <c r="W241" i="1"/>
  <c r="X347" i="1"/>
  <c r="X345" i="1"/>
  <c r="X343" i="1"/>
  <c r="X341" i="1"/>
  <c r="X339" i="1"/>
  <c r="X337" i="1"/>
  <c r="X335" i="1"/>
  <c r="X333" i="1"/>
  <c r="X331" i="1"/>
  <c r="X329" i="1"/>
  <c r="X327" i="1"/>
  <c r="X325" i="1"/>
  <c r="X323" i="1"/>
  <c r="X321" i="1"/>
  <c r="W319" i="1"/>
  <c r="W317" i="1"/>
  <c r="W315" i="1"/>
  <c r="W313" i="1"/>
  <c r="W311" i="1"/>
  <c r="W309" i="1"/>
  <c r="W307" i="1"/>
  <c r="W305" i="1"/>
  <c r="W303" i="1"/>
  <c r="W301" i="1"/>
  <c r="W299" i="1"/>
  <c r="W297" i="1"/>
  <c r="W295" i="1"/>
  <c r="W293" i="1"/>
  <c r="W291" i="1"/>
  <c r="W289" i="1"/>
  <c r="W287" i="1"/>
  <c r="W285" i="1"/>
  <c r="W283" i="1"/>
  <c r="W281" i="1"/>
  <c r="W279" i="1"/>
  <c r="W277" i="1"/>
  <c r="W275" i="1"/>
  <c r="W273" i="1"/>
  <c r="W271" i="1"/>
  <c r="W269" i="1"/>
  <c r="W267" i="1"/>
  <c r="W265" i="1"/>
  <c r="W263" i="1"/>
  <c r="W261" i="1"/>
  <c r="W259" i="1"/>
  <c r="W257" i="1"/>
  <c r="W255" i="1"/>
  <c r="W253" i="1"/>
  <c r="W251" i="1"/>
  <c r="W249" i="1"/>
  <c r="W247" i="1"/>
  <c r="W245" i="1"/>
  <c r="W243" i="1"/>
  <c r="X351" i="1"/>
  <c r="X349" i="1"/>
  <c r="W347" i="1"/>
  <c r="W345" i="1"/>
  <c r="W343" i="1"/>
  <c r="W341" i="1"/>
  <c r="W339" i="1"/>
  <c r="W337" i="1"/>
  <c r="W335" i="1"/>
  <c r="W333" i="1"/>
  <c r="W331" i="1"/>
  <c r="W329" i="1"/>
  <c r="W327" i="1"/>
  <c r="W325" i="1"/>
  <c r="W323" i="1"/>
  <c r="W321" i="1"/>
  <c r="X208" i="1"/>
  <c r="X206" i="1"/>
  <c r="X204" i="1"/>
  <c r="X202" i="1"/>
  <c r="X200" i="1"/>
  <c r="X198" i="1"/>
  <c r="X196" i="1"/>
  <c r="X194" i="1"/>
  <c r="X192" i="1"/>
  <c r="W190" i="1"/>
  <c r="W188" i="1"/>
  <c r="W186" i="1"/>
  <c r="W184" i="1"/>
  <c r="W182" i="1"/>
  <c r="W180" i="1"/>
  <c r="W178" i="1"/>
  <c r="W176" i="1"/>
  <c r="W174" i="1"/>
  <c r="W240" i="1"/>
  <c r="W351" i="1"/>
  <c r="W349" i="1"/>
  <c r="X234" i="1"/>
  <c r="X232" i="1"/>
  <c r="X230" i="1"/>
  <c r="X228" i="1"/>
  <c r="X226" i="1"/>
  <c r="X224" i="1"/>
  <c r="X222" i="1"/>
  <c r="X220" i="1"/>
  <c r="X218" i="1"/>
  <c r="X216" i="1"/>
  <c r="X214" i="1"/>
  <c r="X212" i="1"/>
  <c r="X210" i="1"/>
  <c r="W208" i="1"/>
  <c r="W206" i="1"/>
  <c r="W204" i="1"/>
  <c r="W202" i="1"/>
  <c r="W200" i="1"/>
  <c r="W198" i="1"/>
  <c r="W196" i="1"/>
  <c r="W194" i="1"/>
  <c r="W192" i="1"/>
  <c r="W171" i="1"/>
  <c r="X184" i="1"/>
  <c r="W172" i="1"/>
  <c r="X238" i="1"/>
  <c r="X236" i="1"/>
  <c r="W234" i="1"/>
  <c r="W232" i="1"/>
  <c r="W230" i="1"/>
  <c r="W228" i="1"/>
  <c r="W226" i="1"/>
  <c r="W224" i="1"/>
  <c r="W222" i="1"/>
  <c r="W220" i="1"/>
  <c r="W218" i="1"/>
  <c r="W216" i="1"/>
  <c r="W214" i="1"/>
  <c r="W212" i="1"/>
  <c r="W210" i="1"/>
  <c r="X240" i="1"/>
  <c r="W238" i="1"/>
  <c r="X186" i="1"/>
  <c r="X176" i="1"/>
  <c r="W236" i="1"/>
  <c r="X190" i="1"/>
  <c r="X178" i="1"/>
  <c r="X171" i="1"/>
  <c r="X172" i="1"/>
  <c r="X182" i="1"/>
  <c r="X320" i="1"/>
  <c r="X318" i="1"/>
  <c r="X316" i="1"/>
  <c r="X314" i="1"/>
  <c r="X312" i="1"/>
  <c r="X310" i="1"/>
  <c r="X308" i="1"/>
  <c r="X306" i="1"/>
  <c r="X304" i="1"/>
  <c r="X302" i="1"/>
  <c r="X300" i="1"/>
  <c r="X298" i="1"/>
  <c r="X296" i="1"/>
  <c r="X294" i="1"/>
  <c r="X292" i="1"/>
  <c r="X290" i="1"/>
  <c r="X288" i="1"/>
  <c r="X286" i="1"/>
  <c r="X284" i="1"/>
  <c r="X282" i="1"/>
  <c r="X280" i="1"/>
  <c r="X278" i="1"/>
  <c r="X276" i="1"/>
  <c r="X274" i="1"/>
  <c r="X272" i="1"/>
  <c r="X270" i="1"/>
  <c r="X268" i="1"/>
  <c r="X266" i="1"/>
  <c r="X264" i="1"/>
  <c r="X262" i="1"/>
  <c r="X260" i="1"/>
  <c r="X258" i="1"/>
  <c r="X256" i="1"/>
  <c r="X254" i="1"/>
  <c r="X252" i="1"/>
  <c r="X250" i="1"/>
  <c r="X248" i="1"/>
  <c r="X246" i="1"/>
  <c r="X244" i="1"/>
  <c r="X242" i="1"/>
  <c r="X346" i="1"/>
  <c r="X344" i="1"/>
  <c r="X342" i="1"/>
  <c r="X340" i="1"/>
  <c r="X338" i="1"/>
  <c r="X336" i="1"/>
  <c r="X334" i="1"/>
  <c r="X332" i="1"/>
  <c r="X330" i="1"/>
  <c r="X328" i="1"/>
  <c r="X326" i="1"/>
  <c r="X324" i="1"/>
  <c r="X322" i="1"/>
  <c r="W320" i="1"/>
  <c r="W318" i="1"/>
  <c r="W316" i="1"/>
  <c r="W314" i="1"/>
  <c r="W312" i="1"/>
  <c r="W310" i="1"/>
  <c r="W308" i="1"/>
  <c r="W306" i="1"/>
  <c r="W304" i="1"/>
  <c r="W302" i="1"/>
  <c r="W300" i="1"/>
  <c r="W298" i="1"/>
  <c r="W296" i="1"/>
  <c r="W294" i="1"/>
  <c r="W292" i="1"/>
  <c r="W290" i="1"/>
  <c r="W288" i="1"/>
  <c r="W286" i="1"/>
  <c r="W284" i="1"/>
  <c r="W282" i="1"/>
  <c r="W280" i="1"/>
  <c r="W278" i="1"/>
  <c r="W276" i="1"/>
  <c r="W274" i="1"/>
  <c r="W272" i="1"/>
  <c r="W270" i="1"/>
  <c r="W268" i="1"/>
  <c r="W266" i="1"/>
  <c r="W264" i="1"/>
  <c r="W262" i="1"/>
  <c r="W260" i="1"/>
  <c r="W258" i="1"/>
  <c r="W256" i="1"/>
  <c r="W254" i="1"/>
  <c r="W252" i="1"/>
  <c r="W250" i="1"/>
  <c r="W248" i="1"/>
  <c r="W246" i="1"/>
  <c r="W244" i="1"/>
  <c r="W242" i="1"/>
  <c r="X189" i="1"/>
  <c r="X187" i="1"/>
  <c r="X185" i="1"/>
  <c r="X183" i="1"/>
  <c r="X181" i="1"/>
  <c r="X179" i="1"/>
  <c r="X177" i="1"/>
  <c r="X175" i="1"/>
  <c r="X173" i="1"/>
  <c r="X188" i="1"/>
  <c r="X174" i="1"/>
  <c r="X350" i="1"/>
  <c r="X348" i="1"/>
  <c r="W346" i="1"/>
  <c r="W344" i="1"/>
  <c r="W342" i="1"/>
  <c r="W340" i="1"/>
  <c r="W338" i="1"/>
  <c r="W336" i="1"/>
  <c r="W334" i="1"/>
  <c r="W332" i="1"/>
  <c r="W330" i="1"/>
  <c r="W328" i="1"/>
  <c r="W326" i="1"/>
  <c r="W324" i="1"/>
  <c r="W322" i="1"/>
  <c r="X209" i="1"/>
  <c r="X207" i="1"/>
  <c r="X205" i="1"/>
  <c r="X203" i="1"/>
  <c r="X201" i="1"/>
  <c r="X199" i="1"/>
  <c r="X197" i="1"/>
  <c r="X195" i="1"/>
  <c r="X193" i="1"/>
  <c r="X191" i="1"/>
  <c r="W189" i="1"/>
  <c r="W187" i="1"/>
  <c r="W185" i="1"/>
  <c r="W183" i="1"/>
  <c r="W181" i="1"/>
  <c r="W179" i="1"/>
  <c r="W177" i="1"/>
  <c r="W175" i="1"/>
  <c r="W173" i="1"/>
  <c r="X241" i="1"/>
  <c r="W350" i="1"/>
  <c r="W348" i="1"/>
  <c r="X235" i="1"/>
  <c r="X233" i="1"/>
  <c r="X231" i="1"/>
  <c r="X229" i="1"/>
  <c r="X227" i="1"/>
  <c r="X225" i="1"/>
  <c r="X223" i="1"/>
  <c r="X221" i="1"/>
  <c r="X219" i="1"/>
  <c r="X217" i="1"/>
  <c r="X215" i="1"/>
  <c r="X213" i="1"/>
  <c r="X211" i="1"/>
  <c r="W209" i="1"/>
  <c r="W207" i="1"/>
  <c r="W205" i="1"/>
  <c r="W203" i="1"/>
  <c r="W201" i="1"/>
  <c r="W199" i="1"/>
  <c r="W197" i="1"/>
  <c r="W195" i="1"/>
  <c r="W193" i="1"/>
  <c r="W191" i="1"/>
  <c r="W239" i="1"/>
  <c r="W237" i="1"/>
  <c r="X170" i="1"/>
  <c r="A2" i="7"/>
  <c r="A3" i="7"/>
  <c r="A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000-000001000000}">
      <text>
        <r>
          <rPr>
            <sz val="10"/>
            <color rgb="FF000000"/>
            <rFont val="Arial"/>
            <scheme val="minor"/>
          </rPr>
          <t>Primary key.  These values must be unique.</t>
        </r>
      </text>
    </comment>
    <comment ref="U236" authorId="0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 (compression from now on)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10"/>
            <color rgb="FF000000"/>
            <rFont val="Arial"/>
            <scheme val="minor"/>
          </rPr>
          <t xml:space="preserve">The data in green is pulling from Dave's sheet:
https://docs.google.com/spreadsheets/d/1458f4-GkyML2z-1bvHCzaFbD7yQ8l37XUJsO63XH9oo/edit?gid=0#gid=0
The data in red is parsed row-by-row from the green data.
The data in white are the unique fish from the red here (and the red from the "external_fish" sheet).
 </t>
        </r>
      </text>
    </comment>
    <comment ref="E1" authorId="0" shapeId="0" xr:uid="{00000000-0006-0000-0500-000002000000}">
      <text>
        <r>
          <rPr>
            <sz val="10"/>
            <color rgb="FF000000"/>
            <rFont val="Arial"/>
            <scheme val="minor"/>
          </rPr>
          <t>Search for capital "F" then number in the Notes.  If not there, then call this F1.</t>
        </r>
      </text>
    </comment>
    <comment ref="F1" authorId="0" shapeId="0" xr:uid="{00000000-0006-0000-0500-000003000000}">
      <text>
        <r>
          <rPr>
            <sz val="10"/>
            <color rgb="FF000000"/>
            <rFont val="Arial"/>
            <scheme val="minor"/>
          </rPr>
          <t xml:space="preserve">Scraped from Dave's fish sheet (new changes should automatically appear here)
https://docs.google.com/spreadsheets/d/1458f4-GkyML2z-1bvHCzaFbD7yQ8l37XUJsO63XH9oo/edit
</t>
        </r>
      </text>
    </comment>
  </commentList>
</comments>
</file>

<file path=xl/sharedStrings.xml><?xml version="1.0" encoding="utf-8"?>
<sst xmlns="http://schemas.openxmlformats.org/spreadsheetml/2006/main" count="3379" uniqueCount="1087">
  <si>
    <t>date_mount</t>
  </si>
  <si>
    <t>mount_id</t>
  </si>
  <si>
    <t>ZF female genotype</t>
  </si>
  <si>
    <t>ZF male genotype</t>
  </si>
  <si>
    <t>additional plasmids injected</t>
  </si>
  <si>
    <t>additional mRNAs injected</t>
  </si>
  <si>
    <t>additonal proteins injected</t>
  </si>
  <si>
    <t>additonal dye and chemicals</t>
  </si>
  <si>
    <t>Date born</t>
  </si>
  <si>
    <t>Time mounted</t>
  </si>
  <si>
    <t>Mounting Orientation</t>
  </si>
  <si>
    <t>Date screened/Initial feedback</t>
  </si>
  <si>
    <t>Date imaged</t>
  </si>
  <si>
    <t>Time placed in scope</t>
  </si>
  <si>
    <t>Start of imaging time</t>
  </si>
  <si>
    <t>End of imaging time</t>
  </si>
  <si>
    <t>Imaged Locations</t>
  </si>
  <si>
    <t>Unique Targets with blanks</t>
  </si>
  <si>
    <t>Unique Targets</t>
  </si>
  <si>
    <t>Data location</t>
  </si>
  <si>
    <t>Dataset size (GB) - raw data only</t>
  </si>
  <si>
    <t>Camera Filters</t>
  </si>
  <si>
    <t>JSON excite map for ZF male</t>
  </si>
  <si>
    <t>JSON excite map for ZF female</t>
  </si>
  <si>
    <t>JSON excite map for plasmid</t>
  </si>
  <si>
    <t>JSON excite map for mRNA</t>
  </si>
  <si>
    <t>comments</t>
  </si>
  <si>
    <t>Data evaluation comments</t>
  </si>
  <si>
    <t>ef1a:2xLynk:tdmSG(J) (F1 of allele 302)</t>
  </si>
  <si>
    <t>tdmScarlet3S2:H2B-tol2 (F1 of allele 324)</t>
  </si>
  <si>
    <t>None</t>
  </si>
  <si>
    <t>LHDH</t>
  </si>
  <si>
    <t>casper</t>
  </si>
  <si>
    <t>coral_rna_mix_120</t>
  </si>
  <si>
    <t>DH</t>
  </si>
  <si>
    <t>coral_rna_mix_600</t>
  </si>
  <si>
    <t>muscle, notochord, spinal_cord, skin, tail, blood  vessel</t>
  </si>
  <si>
    <t>X:\abcabc\Korra_Foundation\20251217_mem-histone</t>
  </si>
  <si>
    <t>X:\abcabc\Aang_Foundation\20251217_mem-histone</t>
  </si>
  <si>
    <t>ef1a:2xLynk:tdmSG(J) (F1 of allele 301)</t>
  </si>
  <si>
    <t>X:\abcabc\Aang_Foundation\20251216_mem-histone</t>
  </si>
  <si>
    <t>brain, skin, hindbrain, spinal_cord, muscle, notochord</t>
  </si>
  <si>
    <t>X:\abcabc\Korra_Foundation\20251216_mem-histone</t>
  </si>
  <si>
    <t>skin, muscle, tail, neuromast, notochord, blood  vessel, spinal_cord, hindbrain</t>
  </si>
  <si>
    <t>X:\abcabc\Aang_Foundation\20251212_mem-histone</t>
  </si>
  <si>
    <t>X:\abcabc\Korra_Foundation\20251212_mem-histone</t>
  </si>
  <si>
    <t>X:\abcabc\Korra_Foundation\20251211_mem-histone</t>
  </si>
  <si>
    <t>X:\abcabc\Aang_Foundation\20251211_mem-histone</t>
  </si>
  <si>
    <t xml:space="preserve"> (F1 of allele 361)</t>
  </si>
  <si>
    <t>X:\abcabc\Exploratory_fish\20251211_microtubule</t>
  </si>
  <si>
    <t>muscle, tail, notochord, spinal_cord, hindbrain, skin</t>
  </si>
  <si>
    <t>X:\abcabc\Aang_Foundation\20251210_mem-histone</t>
  </si>
  <si>
    <t>X:\abcabc\Korra_Foundation\20251210_mem-histone</t>
  </si>
  <si>
    <t>X:\abcabc\Aang_Foundation\20251209_mem-histone</t>
  </si>
  <si>
    <t>skin, muscle, tail, notochord, spinal_cord, hindbrain</t>
  </si>
  <si>
    <t>X:\abcabc\Korra_Foundation\20251209_mem-histone</t>
  </si>
  <si>
    <t>VTUHD</t>
  </si>
  <si>
    <t>brain, skin, muscle, tail</t>
  </si>
  <si>
    <t>X:\abcabc\Korra_Foundation\20251208_mem-histone</t>
  </si>
  <si>
    <t>X:\abcabc\Aang_Foundation\20251208_mem</t>
  </si>
  <si>
    <t>X:\abcabc\Korra_Foundation\20241205_mem-histone</t>
  </si>
  <si>
    <t>X:\abcabc\Aang_Foundation\20251205_mem-histone</t>
  </si>
  <si>
    <t>Tg(pDQM155)346 ef1a-extended:DHB:tdmSG-tol2 (cell cycle indicator) (F1 of allele 346)</t>
  </si>
  <si>
    <t>memrane tdmScarlet3S2 (F1 of allele 325)</t>
  </si>
  <si>
    <t>mScarlet3-S2:H2B</t>
  </si>
  <si>
    <t>X:\abcabc\Aang_Foundation\20251204_cdk_sensor_red_mem_red_nuc</t>
  </si>
  <si>
    <t>X:\abcabc\Korra_Foundation\20251204_mem_histone</t>
  </si>
  <si>
    <t>pDQM141(ef1a:linker:mGold2t:linker-attB (tol2))</t>
  </si>
  <si>
    <t>skin, muscle, tail, neuromast, notochord, spinal_cord, hindbrain</t>
  </si>
  <si>
    <t>X:\abcabc\Aang_Foundation\20251203_mem-cytosolic</t>
  </si>
  <si>
    <t>X:\abcabc\Korra_Foundation\20251203_mem-cytosolic</t>
  </si>
  <si>
    <t>brain, skin, ear</t>
  </si>
  <si>
    <t>X:\abcabc\Korra_Foundation\20251202_mem-cytosolic</t>
  </si>
  <si>
    <t>X:\abcabc\Aang_Foundation\20251202_mem-cytosolic</t>
  </si>
  <si>
    <t>X:\abcabc\Aang_Foundation\20251128_mem-histone</t>
  </si>
  <si>
    <t>skin, muscle, tail, neuromast, notochord, blood  vessel, spinal_cord</t>
  </si>
  <si>
    <t>X:\abcabc\Korra_Foundation\20251128_mem-histone</t>
  </si>
  <si>
    <t>LHUH</t>
  </si>
  <si>
    <t>X:\abcabc\Aang_Foundation\20251126_mem-histone</t>
  </si>
  <si>
    <t>X:\abcabc\Korra_Foundation\20251126_mem-histone</t>
  </si>
  <si>
    <t>X:\abcabc\Aang_Foundation\20251125_mem-histone</t>
  </si>
  <si>
    <t>X:\abcabc\Korra_Foundation\20251125_mem-histone</t>
  </si>
  <si>
    <t>skin, muscle, tail, neuromast, notochord, blood  vessel</t>
  </si>
  <si>
    <t>X:\abcabc\Aang_Foundation\20251124_mem-histone</t>
  </si>
  <si>
    <t>X:\abcabc\Korra_Foundation\20251124_mem-histone</t>
  </si>
  <si>
    <t>skin, spinal_cord, hindbrain, brain, muscle, tail, neuromast</t>
  </si>
  <si>
    <t>X:\abcabc\Korra_Foundation\20251121_mem-histone</t>
  </si>
  <si>
    <t>skin, spinal_cord, hindbrain, brain, muscle</t>
  </si>
  <si>
    <t>X:\abcabc\Korra_Foundation\20251117_mem-histone</t>
  </si>
  <si>
    <t>ef1a:2xLynk:tdmChilada (F1 of allele 315)</t>
  </si>
  <si>
    <t>MGCO-01(ef1a-2Xcox8A-linker-mStayGold-SV40-attb-tol2)</t>
  </si>
  <si>
    <t>X:\abcabc\Korra_Foundation\20251113_mem-mito_mount1</t>
  </si>
  <si>
    <t>X:\abcabc\Korra_Foundation\20251113_mem-mito_mount2</t>
  </si>
  <si>
    <t>skin, muscle, blood  vessel, tail, notochord</t>
  </si>
  <si>
    <t>X:\abcabc\Korra_Foundation\20251113_mem-histone</t>
  </si>
  <si>
    <t>skin, spinal_cord, hindbrain, brain, muscle, blood  vessel, tail</t>
  </si>
  <si>
    <t>X:\abcabc\Korra_Foundation\20251112_mem-mito</t>
  </si>
  <si>
    <t>MGCO-60-Factin-A2UCOE-attb_entire+PDQM148-mStayGold-C4-moesin</t>
  </si>
  <si>
    <t>X:\abcabc\Exploratory_fish\20251112_mem-moesin</t>
  </si>
  <si>
    <t>X:\abcabc\Aang_Foundation\20251107_mem-mito</t>
  </si>
  <si>
    <t>X:\abcabc\Korra_Foundation\20251110_mem-histone</t>
  </si>
  <si>
    <t>2xCox8A:mSG</t>
  </si>
  <si>
    <t>X:\abcabc\Aang_Foundation\20251106_mem-mito</t>
  </si>
  <si>
    <t>purposefully mixed orientations</t>
  </si>
  <si>
    <t>X:\abcabc\Aang_Foundation\20251105_mem-mito</t>
  </si>
  <si>
    <t>X:\abcabc\Korra_Foundation\20251106_mem-mito</t>
  </si>
  <si>
    <t>X:\abcabc\Korra_Foundation\20251029_mem-histone</t>
  </si>
  <si>
    <t>casper/rnf</t>
  </si>
  <si>
    <t>MGCO-49_peroxisome-A2UCOE-ef1aextra-mStayGold-SKL</t>
  </si>
  <si>
    <t>X:\abcabc\Aang_Foundation\20251029_peroxi</t>
  </si>
  <si>
    <t>LHR</t>
  </si>
  <si>
    <t>X:\abcabc\Aang_Foundation\20251028_mem-mito</t>
  </si>
  <si>
    <t>low snr</t>
  </si>
  <si>
    <t>X:\abcabc\Aang_Foundation\20251028_mem-peroxi</t>
  </si>
  <si>
    <t>weak membrane</t>
  </si>
  <si>
    <t>MGCO-52-peroxisome-A2UCOE-attb_entire+pDQM147-ABCDpmp70-mStayGold</t>
  </si>
  <si>
    <t>X:\abcabc\Aang_Foundation\20251028_mem-peroxi2</t>
  </si>
  <si>
    <t>X:\abcabc\Korra_Foundation\20251027_mem-histone</t>
  </si>
  <si>
    <t>X:\abcabc\Aang_Foundation\20251027_mem-histone</t>
  </si>
  <si>
    <t>MGCO-53-ER-A2UCOE-attb_entire+pDQM147-calnexin-mStayGold</t>
  </si>
  <si>
    <t>X:\abcabc\Exploratory_fish\20251025_er</t>
  </si>
  <si>
    <t>experimental fish, not for training, low snr</t>
  </si>
  <si>
    <t>tdmScarlet3S2 (F1 of allele 325)</t>
  </si>
  <si>
    <t>MGCO-51-lamellipodia-A2UCOE-attb_entire+PDQM148-mStayGold-C4-cortactin</t>
  </si>
  <si>
    <t>membrane, lamellipodia, actin</t>
  </si>
  <si>
    <t>X:\abcabc\Exploratory_fish\20251025_lamellipodia_F-actin</t>
  </si>
  <si>
    <t>experimental fish, not for training. Almost all expression in the yolk</t>
  </si>
  <si>
    <t>membrane, nuclei</t>
  </si>
  <si>
    <t>X:\abcabc\Korra_Foundation\20251024_mem-histone</t>
  </si>
  <si>
    <t>membrane, mitochondria</t>
  </si>
  <si>
    <t>X:\abcabc\Aang_Foundation\20251023_mem-mito</t>
  </si>
  <si>
    <t>X:\abcabc\Korra_Foundation\20251022_mem-histone</t>
  </si>
  <si>
    <t>X:\abcabc\Aang_Foundation\20251022_mem-mito</t>
  </si>
  <si>
    <t>MGCO35 (F1 of allele 336)</t>
  </si>
  <si>
    <t>X:\abcabc\Exploratory_fish\20251023_mScarlet3S2_2Xcox8A</t>
  </si>
  <si>
    <t>experimental fish, not for training</t>
  </si>
  <si>
    <t>X:\abcabc\Aang_Foundation\20251021_mem-mito</t>
  </si>
  <si>
    <t>X:\abcabc\Aang_Foundation\20251021_mem-mito_v2</t>
  </si>
  <si>
    <t>muscle, hindbrain, skin, blood  vessel</t>
  </si>
  <si>
    <t>X:\abcabc\Aang_Foundation\20251020_mem-histone</t>
  </si>
  <si>
    <t>skin, hindbrain, muscle, blood  vessel</t>
  </si>
  <si>
    <t>X:\abcabc\Korra_Foundation\20251020_mem-histone</t>
  </si>
  <si>
    <t>possible motion blur from fish twitching</t>
  </si>
  <si>
    <t>MGCO50(microtubule-A2UCOE-attb_entire+pDQM147-EB3-mStayGold)</t>
  </si>
  <si>
    <t>X:\abcabc\Korra_Foundation\20251017_microtubules</t>
  </si>
  <si>
    <t>low snr, data not suitable for training, only for fish feedback purposes</t>
  </si>
  <si>
    <t>MGCO54(nuclearenvelope-A2UCOE-attb_entire+pDQM147-LEMD2-mStayGold)</t>
  </si>
  <si>
    <t>X:\abcabc\Aang_Foundation\20251017_nuclear_envelope</t>
  </si>
  <si>
    <t>skin, muscle, tail, blood  vessel</t>
  </si>
  <si>
    <t>X:\abcabc\Korra_Foundation\20251016_mem-histone</t>
  </si>
  <si>
    <t>MGCO-28(ef1a-extended-2Xcox8A-linker-mStayGold-SV40-attb-tol2)</t>
  </si>
  <si>
    <t>blood  vessel</t>
  </si>
  <si>
    <t>X:\abcabc\Aang_Foundation\20251016_mem-mito_v2</t>
  </si>
  <si>
    <t>X:\abcabc\Korra_Foundation\20251015_mem-histone</t>
  </si>
  <si>
    <t>X:\abcabc\Aang_Foundation\20251015_mem-histone</t>
  </si>
  <si>
    <t>skin, muscle</t>
  </si>
  <si>
    <t>X:\abcabc\Aang_Foundation\20251016_mem-mito</t>
  </si>
  <si>
    <t>mito channel low snr</t>
  </si>
  <si>
    <t>X:\abcabc\Aang_Foundation\20251013_mem-histone</t>
  </si>
  <si>
    <t>X:\abcabc\Korra_Foundation\20251013_mem-histone</t>
  </si>
  <si>
    <t>X:\abcabc\Korra_Foundation\20251010_mem-histone</t>
  </si>
  <si>
    <t>X:\abcabc\Aang_Foundation\20251010_mem-mito</t>
  </si>
  <si>
    <t>ef1a:&lt;cryaa:mSc&gt;mKate2/mCitrine/Electra2/mKOK/mTFP1 (F1 of allele 310)</t>
  </si>
  <si>
    <t>ef1a:&lt;cryaa:mSc&gt;mKate2/mCitrine/Electra2/mKOK/mTFP1 (F1 of allele 317)</t>
  </si>
  <si>
    <t>ef1a:&lt;cryaa:mSc&gt;mKate2/mCitrine/Electra2/mKOK/mTFP1 (F1 of allele 309)</t>
  </si>
  <si>
    <t>MGCO28</t>
  </si>
  <si>
    <t>MGCO01</t>
  </si>
  <si>
    <t>skin, spinal_cord, muscle</t>
  </si>
  <si>
    <t>X:\abcabc\Aang_Foundation\20251001_mem-histone</t>
  </si>
  <si>
    <t>X:\abcabc\Aang_Foundation\20250926_mem-mito</t>
  </si>
  <si>
    <t>from Swinburne lab - tank ID 344 (F1 of allele 45385)</t>
  </si>
  <si>
    <t>X:\abcabc\Aang_Foundation\20250925_mem-mito</t>
  </si>
  <si>
    <t>X:\abcabc\Aang_Foundation\20250924_mem-mito</t>
  </si>
  <si>
    <t>X:\abcabc\Aang_Foundation\20250922_mem-mito</t>
  </si>
  <si>
    <t>X:\abcabc\Aang_Foundation\20250919_mem-mito</t>
  </si>
  <si>
    <t>skin, spinal_cord, hindbrain, brain, muscle, tail</t>
  </si>
  <si>
    <t>X:\abcabc\Aang_Foundation\20250918_mem-mito</t>
  </si>
  <si>
    <t>top</t>
  </si>
  <si>
    <t>X:\abcabc\Aang_Foundation\20250917_mem-mito</t>
  </si>
  <si>
    <t>bottom</t>
  </si>
  <si>
    <t>ef1a:2xLynk:tdm:Halo</t>
  </si>
  <si>
    <t>X:\abcabc\Aang_Foundation\20250915_mem-mito</t>
  </si>
  <si>
    <t>X:\abcabc\Aang_Foundation\20250912_mem-mito</t>
  </si>
  <si>
    <t>X:\abcabc\Aang_Foundation\20250911_mem-mito</t>
  </si>
  <si>
    <t>X:\abcabc\Aang_Foundation\20250908_mem-mito</t>
  </si>
  <si>
    <t>ef1a:2xLynk:tdm:mChilada</t>
  </si>
  <si>
    <t>skin, spinal_cord, hindbrain, brain, muscle, neuromast</t>
  </si>
  <si>
    <t>mem:tdmChilada</t>
  </si>
  <si>
    <t>HC-9 Lifeact:mStayGold</t>
  </si>
  <si>
    <t>low SNR</t>
  </si>
  <si>
    <t>X:\abcabc\Aang_Foundation\20250905_lifeact-mSG</t>
  </si>
  <si>
    <t>ef1a-extended:2xLynk:tdmScarlet3-S2-tol2 (F1 of allele 325)</t>
  </si>
  <si>
    <t>X:\abcabc\Aang_Foundation\20250904_lifeact-mSG</t>
  </si>
  <si>
    <t>2025-W36-1</t>
  </si>
  <si>
    <t>X:\abcabc\Aang_Foundation\20250903_lifeact-mSG</t>
  </si>
  <si>
    <t>2025-W36-2</t>
  </si>
  <si>
    <t>tandem mem:mStayGold</t>
  </si>
  <si>
    <t>HC-2 2:NLS-mScarlet3</t>
  </si>
  <si>
    <t>2025-W35-7</t>
  </si>
  <si>
    <t>csp/pIGLET 14a</t>
  </si>
  <si>
    <t>MGCO34(lifeact-mStayGold)</t>
  </si>
  <si>
    <t>good</t>
  </si>
  <si>
    <t>X:\abcabc\Janelia_Fish\20250903_lifeact-mSG</t>
  </si>
  <si>
    <t>mem/nuclei</t>
  </si>
  <si>
    <t>2025-W35-6</t>
  </si>
  <si>
    <t>Lifeact:mSG</t>
  </si>
  <si>
    <t>X:\abcabc\Aang_Foundation\20250828_mem_actin</t>
  </si>
  <si>
    <t>2025-W35-3</t>
  </si>
  <si>
    <t>X:\abcabc\Aang_Foundation\20250827_mem_actin</t>
  </si>
  <si>
    <t>tdmScarlet3S2 (F2 of allele 325)</t>
  </si>
  <si>
    <t>no green signal</t>
  </si>
  <si>
    <t>mSG:alpha-tub</t>
  </si>
  <si>
    <t>X:\abcabc\Aang_Foundation\20250826_mem_actin</t>
  </si>
  <si>
    <t>ef1a-extended:2xCox8A:mStayGold</t>
  </si>
  <si>
    <t>X:\abcabc\Exploratory_fish\20250825_mgco28_mito-mSG</t>
  </si>
  <si>
    <t>tandem mem:mStayGold; tdmChilada:Histone</t>
  </si>
  <si>
    <t>X:\abcabc\Exploratory_fish\20250825_pqdm065_mem-histone</t>
  </si>
  <si>
    <t>tandem mem:mStayGold; tdmChilada(MAGPV):Histone</t>
  </si>
  <si>
    <t>X:\abcabc\Exploratory_fish\20250825_pqdm094_mem-histone</t>
  </si>
  <si>
    <t>ef1a-extended:mStayGold:sec61b</t>
  </si>
  <si>
    <t>X:\abcabc\Exploratory_fish\20250825_mgco29_er-msg</t>
  </si>
  <si>
    <t>skin, spinal_cord, hindbrain, muscle, blood  vessel</t>
  </si>
  <si>
    <t>X:\abcabc\Aang_Foundation\20250821_mem_mito</t>
  </si>
  <si>
    <t>ef1a:mCardinal (iCodon)</t>
  </si>
  <si>
    <t>X:\abcabc\Exploratory_fish\20250822_PDQM145</t>
  </si>
  <si>
    <t>skin, spinal_cord, hindbrain, brain</t>
  </si>
  <si>
    <t>mSG:MYH10</t>
  </si>
  <si>
    <t>ef1a-extended:alphatubulin:mStayGold</t>
  </si>
  <si>
    <t>X:\abcabc\Janelia_Fish\20250821_tubulin-mSG</t>
  </si>
  <si>
    <t>skin, muscle, spinal_cord, hindbrain, tail</t>
  </si>
  <si>
    <t>X:\abcabc\Aang_Foundation\20250819_mem_mito</t>
  </si>
  <si>
    <t>mSG:sec61b</t>
  </si>
  <si>
    <t>skin, muscle, spinal_cord, hindbrain</t>
  </si>
  <si>
    <t>X:\abcabc\Aang_Foundation\20250819_mem_ER</t>
  </si>
  <si>
    <t>ef1a:linker:mKate2:linker-attB</t>
  </si>
  <si>
    <t>ef1a-extended:LAMP1:mStayGold</t>
  </si>
  <si>
    <t>ef1a-extended:mScarlet3S2:sec61b</t>
  </si>
  <si>
    <t>ef1a-extended:2xCox8A:mScarlet3S2</t>
  </si>
  <si>
    <t>ef1a:2xLynk:tdm:mHalo</t>
  </si>
  <si>
    <t>TGN:mSG</t>
  </si>
  <si>
    <t>JF635</t>
  </si>
  <si>
    <t>LAMP1:mSG</t>
  </si>
  <si>
    <t>2xCox8A:mScarlet3S2</t>
  </si>
  <si>
    <t>mScarlet3S2:sec61b</t>
  </si>
  <si>
    <t>ef1a:E2Crimson (iCodon)</t>
  </si>
  <si>
    <t>membrane mChilada</t>
  </si>
  <si>
    <t>DT</t>
  </si>
  <si>
    <t>X:\abcabc\Aang_Foundation\20250808_mem_organelle</t>
  </si>
  <si>
    <t>heatshock PhiC</t>
  </si>
  <si>
    <t>ef1a-extended:TNG46:mStayGold</t>
  </si>
  <si>
    <t>membrane Halo</t>
  </si>
  <si>
    <t>skin, muscle, spinal_cord</t>
  </si>
  <si>
    <t>X:\abcabc\Aang_Foundation\20250805_lifeact_mem-halo</t>
  </si>
  <si>
    <t>ef1a:2xLynk:tdmSG(J) (F2 of allele 301)</t>
  </si>
  <si>
    <t>X:\abcabc\Korra_Foundation\20250805_mem-histone</t>
  </si>
  <si>
    <t>X:\abcabc\Aang_Foundation\20250805_mito_mem-halo</t>
  </si>
  <si>
    <t>tdmChilada:PCNA</t>
  </si>
  <si>
    <t>LHDT</t>
  </si>
  <si>
    <t>skin, muscle, spinal_cord, notochord, neuromast</t>
  </si>
  <si>
    <t>X:\abcabc\Korra_Foundation\20250801_mem-PCNA\fish3_72hpf_roi1</t>
  </si>
  <si>
    <t>X:\abcabc\Korra_Foundation\20250801_mem-PCNA</t>
  </si>
  <si>
    <t>skin, muscle, spinal_cord, notochord, neuromast, hindbrain</t>
  </si>
  <si>
    <t>X:\abcabc\Korra_Foundation\20250728_mem-histone</t>
  </si>
  <si>
    <t>skin, muscle, spinal_cord, neuromast, hindbrain</t>
  </si>
  <si>
    <t>X:\abcabc\Korra_Foundation\20250724_mem-mchilada_er-mSG</t>
  </si>
  <si>
    <t>X:\abcabc\Aang_Foundation\20250723_er-mSG_mem-mChilada</t>
  </si>
  <si>
    <t>X:\abcabc\Korra_Foundation\20250723_mem-halo_ER-mSG\fish3_48hpf</t>
  </si>
  <si>
    <t>JF 635</t>
  </si>
  <si>
    <t>X:\abcabc\Aang_Foundation\20250722_mem-halo_er-mSG</t>
  </si>
  <si>
    <t>X:\abcabc\Aang_Foundation\20250722_mrna_mito-mSG_mem-mChilada</t>
  </si>
  <si>
    <t>RNA::MGCO-04</t>
  </si>
  <si>
    <t>ef1a-extended:Halo:sec61b</t>
  </si>
  <si>
    <t>X:\abcabc\Korra_Foundation\20250715_mem_organelle</t>
  </si>
  <si>
    <t>brain, skin, muscle, hindbrain, spinal_cord</t>
  </si>
  <si>
    <t>ef1a-extended:2xCox8A:Halo</t>
  </si>
  <si>
    <t>Jim (F2 of allele 316)</t>
  </si>
  <si>
    <t>Ben (F2 of allele 310)</t>
  </si>
  <si>
    <t>phiC-NLS, 2xLynk:mSG</t>
  </si>
  <si>
    <t>skittlez x 10</t>
  </si>
  <si>
    <t>X:\abcabc\Korra_Foundation\20250627_skittlez and 20250625_skittlez</t>
  </si>
  <si>
    <t>skilltez</t>
  </si>
  <si>
    <t>VHUHE</t>
  </si>
  <si>
    <t>brain, skin, muscle, hindbrain</t>
  </si>
  <si>
    <t>X:\abcabc\Korra_Foundation\20250626_mem-histone\fish1_48hpf_brain</t>
  </si>
  <si>
    <t>hindbrain, spinal_cord, skin, muscle, tail, blood  vessel</t>
  </si>
  <si>
    <t>X:\abcabc\Korra_Foundation\20250626_mem-histone\fish3_48hpf_hindbrain-to-tail</t>
  </si>
  <si>
    <t>Abe (F2 of allele 309)</t>
  </si>
  <si>
    <t>this cross is high in 514, which causes difficulty for mSG channel</t>
  </si>
  <si>
    <t>hindbrain, brain, spinal_cord, skin, muscle</t>
  </si>
  <si>
    <t>X:\abcabc\Korra_Foundation\20250624_skittlez_Chris_x_Liam</t>
  </si>
  <si>
    <t>Ken (F2 of allele 320)</t>
  </si>
  <si>
    <t>Isaac (F2 of allele 314)</t>
  </si>
  <si>
    <t>skittlez x 4</t>
  </si>
  <si>
    <t>hindbrain, brain, spinal_cord, skin</t>
  </si>
  <si>
    <t>X:\abcabc\Korra_Foundation\20250624_skittlez_Issac_x_Ken</t>
  </si>
  <si>
    <t>Liam (F2 of allele 321)</t>
  </si>
  <si>
    <t>Chris (F1 of allele 317)</t>
  </si>
  <si>
    <t>hindbrain, brain, spinal_cord, skin, muscle, eye</t>
  </si>
  <si>
    <t>Dennis (F2 of allele 318)</t>
  </si>
  <si>
    <t>skittlez x 5</t>
  </si>
  <si>
    <t>spinal_cord, skin, muscle, hindbrain, brain, tail, ear, eye</t>
  </si>
  <si>
    <t>X:\abcabc\Korra_Foundation\20250619_skittlez</t>
  </si>
  <si>
    <t>skittlez x 11 (23 ROI)</t>
  </si>
  <si>
    <t>X:\abcabc\Korra_Foundation\20250618_skittlez</t>
  </si>
  <si>
    <t>ear, muscle, skin, brain, hindbrain</t>
  </si>
  <si>
    <t>X:\abcabc\Korra_Foundation\20250616_mem-histone\fish_24hpf</t>
  </si>
  <si>
    <t>ear, muscle, skin, blood  vessel</t>
  </si>
  <si>
    <t>X:\abcabc\Korra_Foundation\20250616_mem-histone\fish1</t>
  </si>
  <si>
    <t>this cross is very good</t>
  </si>
  <si>
    <t>skittlez x 15</t>
  </si>
  <si>
    <t>X:\abcabc\Korra_Foundation\20250613_skittlez</t>
  </si>
  <si>
    <t>spinal_cord, skin, muscle, hindbrain, brain, tail, ear</t>
  </si>
  <si>
    <t>X:\abcabc\Korra_Foundation\20250612_skittlez</t>
  </si>
  <si>
    <t>VT</t>
  </si>
  <si>
    <t>brain, eye, tail</t>
  </si>
  <si>
    <t>X:\abcabc\Korra_Foundation\20250609_mem-histone\fish2_24hpf_roi1-2</t>
  </si>
  <si>
    <t>spinal_cord, skin, muscle, hindbrain, brain, notochord</t>
  </si>
  <si>
    <t>X:\abcabc\Korra_Foundation\20250609_mem-histone\fish3-6\</t>
  </si>
  <si>
    <t>spinal_cord, skin, muscle, hindbrain, tail, neuromast, blood  vessel</t>
  </si>
  <si>
    <t>X:\abcabc\Korra_Foundation\20250609_mem-histone\fish11_72hpf_roi1</t>
  </si>
  <si>
    <t>spinal_cord, skin, muscle, hindbrain, brain, eye, tail</t>
  </si>
  <si>
    <t>X:\abcabc\Korra_Foundation\20250606_skittlez</t>
  </si>
  <si>
    <t>skittlez x 14</t>
  </si>
  <si>
    <t>X:\abcabc\Korra_Foundation\20250605_skittlez</t>
  </si>
  <si>
    <t>skittlez x 17</t>
  </si>
  <si>
    <t>spinal_cord, skin, muscle, hindbrain, brain, tail</t>
  </si>
  <si>
    <t>X:\abcabc\Korra_Foundation\20250603_skittlez</t>
  </si>
  <si>
    <t>ef1a:2xLynk:tdmSG(J) (F2 of allele 302)</t>
  </si>
  <si>
    <t>spinal_cord, skin, muscle, neuromast, notochord, blood  vessel</t>
  </si>
  <si>
    <t>X:\abcabc\Korra_Foundation\20250602_mem</t>
  </si>
  <si>
    <t>8:45 AM (day+2)</t>
  </si>
  <si>
    <t>spinal_cord, skin, muscle, hindbrain, tail, neuromast</t>
  </si>
  <si>
    <t>X:\abcabc\Korra_Foundation\20250530_mem-histone\</t>
  </si>
  <si>
    <t>spinal_cord, skin, muscle, hindbrain</t>
  </si>
  <si>
    <t>X:\abcabc\Korra_Foundation\20250528_mem-histone\fish1</t>
  </si>
  <si>
    <t>phiC-NLS, 2xLynk:mSG, mChilada:H2B</t>
  </si>
  <si>
    <t>spinal_cord, skin, muscle, hindbrain, notochord, brain, tail, eye</t>
  </si>
  <si>
    <t>X:\abcabc\Korra_Foundation\20250529_skittlez</t>
  </si>
  <si>
    <t>skittles test</t>
  </si>
  <si>
    <t>X:\abcabc\Korra_Foundation\20250528_skittlez\fish1</t>
  </si>
  <si>
    <t>fish only has 560 cytosolic signal</t>
  </si>
  <si>
    <t>skin, brain</t>
  </si>
  <si>
    <t>X:\abcabc\Korra_Foundation\20250528_mem-histone\fish2</t>
  </si>
  <si>
    <t>X:\abcabc\Korra_Foundation\20250528_mem-histone\fish3</t>
  </si>
  <si>
    <t>over the weekend</t>
  </si>
  <si>
    <t>skin, hindbrain, ear, brain, notochord</t>
  </si>
  <si>
    <t>X:\abcabc\Korra_Foundation\20250523_mem_histone\fish5</t>
  </si>
  <si>
    <t>fish x 4</t>
  </si>
  <si>
    <t>spinal_cord, skin, muscle, hindbrain, notochord, brain, tail</t>
  </si>
  <si>
    <t>X:\abcabc\Korra_Foundation\20250523_mem_histone\fish1-4</t>
  </si>
  <si>
    <t>skittlez x 9</t>
  </si>
  <si>
    <t>spinal_cord, skin, muscle, tail, hindbrain, ear, brain, notochord</t>
  </si>
  <si>
    <t>X:\abcabc\Korra_Foundation\20250522_skittlez</t>
  </si>
  <si>
    <t>skin, muscle, spinal_cord, notochord</t>
  </si>
  <si>
    <t>X:\abcabc\Korra_Foundation\20250520_mem_histone\fish2</t>
  </si>
  <si>
    <t>phiC-NLS</t>
  </si>
  <si>
    <t>X:\abcabc\Korra_Foundation\20250521_skittles_no-membrane</t>
  </si>
  <si>
    <t>LHUT</t>
  </si>
  <si>
    <t>skin, muscle, tail</t>
  </si>
  <si>
    <t>X:\abcabc\Korra_Foundation\20250520_mem_histone\fish4</t>
  </si>
  <si>
    <t>X:\abcabc\Korra_Foundation\20250520_mem_histone\fish5</t>
  </si>
  <si>
    <t>skin, muscle, tail, hindbrain, spinal_cord</t>
  </si>
  <si>
    <t>fish died overnight. data deleted</t>
  </si>
  <si>
    <t>spinal_cord, skin, muscle, tail, hindbrain, ear</t>
  </si>
  <si>
    <t>X:\abcabc\Korra_Foundation\20250513_skittles (fish12-16)</t>
  </si>
  <si>
    <t>2:30:00 AM (day+1)</t>
  </si>
  <si>
    <t>spinal_cord, skin, muscle, tail</t>
  </si>
  <si>
    <t>X:\abcabc\Korra_Foundation\20250513_skittles (fish4,5)</t>
  </si>
  <si>
    <t>X:\abcabc\Korra_Foundation\20250513_skittles(fish1-3)</t>
  </si>
  <si>
    <t>2xLynk:mChilada, 2xLynk:mSG, Lifeact:Halo</t>
  </si>
  <si>
    <t>X:\abcabc\Korra_Foundation\20250505_fish_transplant\0509_fish1_transmSG_lifeactHalo</t>
  </si>
  <si>
    <t>mchilada too weak. only transplant is imaged</t>
  </si>
  <si>
    <t>X:\abcabc\Korra_Foundation\20250505_fish_transplant\0509_fish2_transmSG_lifeactHalo</t>
  </si>
  <si>
    <t>2xLynk:mChilada, 2xLynk:mSG</t>
  </si>
  <si>
    <t>X:\abcabc\Korra_Foundation\20250505_fish_transplant\0508_fish1_mem-mchilada_transmSG</t>
  </si>
  <si>
    <t>X:\abcabc\Korra_Foundation\20250505_fish_transplant\0508_fish2_mem-mchilada_transmSG</t>
  </si>
  <si>
    <t>Lifeact:Halo, 2xLynk:mSG</t>
  </si>
  <si>
    <t>X:\abcabc\Korra_Foundation\20250505_fish_transplant\0507_fish1_mchilada_mitoHalo_transmSG</t>
  </si>
  <si>
    <t>LAMP1:mSG, 2xLynk:mScarlet3-S2</t>
  </si>
  <si>
    <t>X:\abcabc\Korra_Foundation\20250505_fish_transplant\0506_fish1_memSG_lamp-SG_transmSC_14somite</t>
  </si>
  <si>
    <t>Vimentin:Halo, 2xLynk:mScarlet3-S2</t>
  </si>
  <si>
    <t>9:50 AM (day+1)</t>
  </si>
  <si>
    <t>X:\abcabc\Korra_Foundation\20250505_fish_transplant\0506_fish2_memSG_vemHalo_transmSC</t>
  </si>
  <si>
    <t>5 AM (day+1)</t>
  </si>
  <si>
    <t>X:\abcabc\Korra_Foundation\20250505_fish_transplant\0505_fish1_14somite</t>
  </si>
  <si>
    <t>ef1a:mGold2s</t>
  </si>
  <si>
    <t>hindbrain, spinal_cord, skin, muscle, notochord, blood  vessel</t>
  </si>
  <si>
    <t>X:\abcabc\Korra_Foundation\20250429_mem_cytosol\fish4_mem-halo_48hpf</t>
  </si>
  <si>
    <t>mem-halo lasts about 20 timepoints</t>
  </si>
  <si>
    <t>hindbrain, spinal_cord, skin, muscle</t>
  </si>
  <si>
    <t>X:\abcabc\Korra_Foundation\20250429_mem_cytosol\fish2_48hpf</t>
  </si>
  <si>
    <t>spinal_cord, skin, muscle, notochord, hindbrain</t>
  </si>
  <si>
    <t>X:\abcabc\Korra_Foundation\20250429_mem_cytosol\fish3_mem-halo_24hpf</t>
  </si>
  <si>
    <t>VHUHD</t>
  </si>
  <si>
    <t>10:20 AM (day+1)</t>
  </si>
  <si>
    <t>brain</t>
  </si>
  <si>
    <t>X:\abcabc\Korra_Foundation\20250429_mem_cytosol\fish1_24hpf</t>
  </si>
  <si>
    <t>spinal_cord, skin, muscle, tail, notochord, hindbrain, blood  vessel</t>
  </si>
  <si>
    <t>X:\abcabc\Korra_Foundation\20250428_mem_histone\fish1_72hpf</t>
  </si>
  <si>
    <t>real time background substraction applied: data stores on Vast from now on</t>
  </si>
  <si>
    <t>mGold2 cytosolic test (140)</t>
  </si>
  <si>
    <t>U:\Data\20240911_Korra_Foundation\20250424_mGold2_cytosolic</t>
  </si>
  <si>
    <t>ef1a:mGold2t</t>
  </si>
  <si>
    <t>mGold2 cytosolic test (141)</t>
  </si>
  <si>
    <t>hindbrain, spinal_cord, skin, muscle, notochord, tail</t>
  </si>
  <si>
    <t>U:\Data\20240911_Korra_Foundation\20250424_mGold2_cytosolic\141_largeFOV</t>
  </si>
  <si>
    <t>mosaic cytosolic large FOV long duration imaging (2.7 x 0.3 x 0.1 mm), 48 hour imaging, 522 time points, should make a good movie for presentation</t>
  </si>
  <si>
    <t>spinal_cord, skin, muscle, notochord, tail</t>
  </si>
  <si>
    <t>U:\Data\20240911_Korra_Foundation\20250421_mem_histone\fish4_48hpf</t>
  </si>
  <si>
    <t>hindbrain, spinal_cord, skin, muscle, notochord</t>
  </si>
  <si>
    <t>U:\Data\20240911_Korra_Foundation\20250421_mem_histone\fish2_24hpf</t>
  </si>
  <si>
    <t>roi1 is LLS test</t>
  </si>
  <si>
    <t>11:30:00 AM (day+1)</t>
  </si>
  <si>
    <t>U:\Data\20240911_Korra_Foundation\20250421_mem_histone\fish3_24hpf</t>
  </si>
  <si>
    <t>9:40 AM (day+1)</t>
  </si>
  <si>
    <t>skin, muscle, tail, blood  vessel, notochord</t>
  </si>
  <si>
    <t>U:\Data\20240911_Korra_Foundation\20250421_mem_histone\fish1_72hpf</t>
  </si>
  <si>
    <t>U:\Data\20240911_Korra_Foundation\20250418_mem_histone\fish1_newLLStest</t>
  </si>
  <si>
    <t>Imaging test after adjusting the LLS</t>
  </si>
  <si>
    <t>mem-mSG (really good), golgi-mchilada (not good)</t>
  </si>
  <si>
    <t>U:\Data\20240911_Korra_Foundation\20250414_mem_histone\fish1_72hpf</t>
  </si>
  <si>
    <t>fish not very good</t>
  </si>
  <si>
    <t>2xCox8A:mSG, 2xLynk:mChilada</t>
  </si>
  <si>
    <t>hindbrain, brain, skin, spinal_cord, muscle</t>
  </si>
  <si>
    <t>U:\Data\20240911_Korra_Foundation\20250410_organelle\fish4-5,, mitochondria</t>
  </si>
  <si>
    <t xml:space="preserve">some are actionable but wouold benefit from higher SNR. </t>
  </si>
  <si>
    <t>LAMP1:mSG, 2xLynk:mChilada</t>
  </si>
  <si>
    <t>U:\Data\20240911_Korra_Foundation\20250410_organelle\fish1-fish3, lysosome</t>
  </si>
  <si>
    <t>subcellular lysosome imaging test</t>
  </si>
  <si>
    <t>subcellular imaging test</t>
  </si>
  <si>
    <t>ef1a:&lt;exorh:GFP&gt;mKate2/mCitrine/Electra2/mKOK/mTFP1 (F1 of allele 313)</t>
  </si>
  <si>
    <t>phiC-NLS, phiC</t>
  </si>
  <si>
    <t>skin, spinal_cord, muscle, notochord</t>
  </si>
  <si>
    <t>U:\Data\20240911_Korra_Foundation\20250401_mem_skittles\fish1_96hpf</t>
  </si>
  <si>
    <t>96 hpf gives better skittle SNR</t>
  </si>
  <si>
    <t>U:\Data\20240911_Korra_Foundation\20250401_mem_skittles\fish1_24hpf\roi1</t>
  </si>
  <si>
    <t>phic-pls</t>
  </si>
  <si>
    <t>11:30 AM (day+1)</t>
  </si>
  <si>
    <t>skin, spinal_cord, muscle, notochord, blood  vessel</t>
  </si>
  <si>
    <t>U:\Data\20240911_Korra_Foundation\20250401_mem_histone\fish2_72hpf</t>
  </si>
  <si>
    <t>7.5 min interval, AO every 1.5 hour</t>
  </si>
  <si>
    <t>11:30 AM 04/01/2025</t>
  </si>
  <si>
    <t>6 PM (day+1)</t>
  </si>
  <si>
    <t>hindbrain, brain, skin, spinal_cord, muscle, tail</t>
  </si>
  <si>
    <t>U:\Data\20240911_Korra_Foundation\20250401_mem_histone\fish1_24hpf</t>
  </si>
  <si>
    <t>roi1: hindbrain/spinal cord development, 750 x 300 x 64 um, 12 min interval, AO every hour, 112 time points; roi2: tail development, 630 x .300 x 64 um, 10 min interval, AO every hour ==&gt; stage glitch at the end of the day</t>
  </si>
  <si>
    <t>ef1a:2xLynk:tdmSG(J) (F1 of allele 308)</t>
  </si>
  <si>
    <t>10:30 AM 03/31/2025</t>
  </si>
  <si>
    <t>all fish extremely dim and mosaic</t>
  </si>
  <si>
    <t>phiC</t>
  </si>
  <si>
    <t>3:26 PM 3/27/25</t>
  </si>
  <si>
    <t>U:\Data\20240911_Korra_Foundation\20250327_mem_skittles\fish3_48hpf</t>
  </si>
  <si>
    <t>U:\Data\20240911_Korra_Foundation\20250327_mem_skittles\fish4_48hpf</t>
  </si>
  <si>
    <t>11:50 AM 3/27/25</t>
  </si>
  <si>
    <t>U:\Data\20240911_Korra_Foundation\20250327_mem_skittles\fish5_48hpf</t>
  </si>
  <si>
    <t>3:15 PM 3/27/25</t>
  </si>
  <si>
    <t>eye, brain</t>
  </si>
  <si>
    <t>U:\Data\20240911_Korra_Foundation\20250327_mem_skittles\fish1_24hpf</t>
  </si>
  <si>
    <t>24 hpf skittle is hard to image because of low expression</t>
  </si>
  <si>
    <t>1:30 AM (day+1)</t>
  </si>
  <si>
    <t>U:\Data\20240911_Korra_Foundation\20250327_mem_skittles\fish2_24hpf</t>
  </si>
  <si>
    <t>12:55 PM 3/25/25</t>
  </si>
  <si>
    <t>5:40 AM (day+1)</t>
  </si>
  <si>
    <t>U:\Data\20240911_Korra_Foundation\20250324_mem_histone\fish4_24hpf</t>
  </si>
  <si>
    <t>300 timepoints attempt, 340 x 300 x 50 um</t>
  </si>
  <si>
    <t>10:15 AM (day+1)</t>
  </si>
  <si>
    <t>U:\Data\20240911_Korra_Foundation\20250324_mem_histone\fish3_24hpf</t>
  </si>
  <si>
    <t>11:30 PM 3/24/25</t>
  </si>
  <si>
    <t>U:\Data\20240911_Korra_Foundation\20250324_mem_histone\fish1_72hpf</t>
  </si>
  <si>
    <t>skin, muscle, neuromast</t>
  </si>
  <si>
    <t>U:\Data\20240911_Korra_Foundation\20250324_mem_histone\fish2_72hpf</t>
  </si>
  <si>
    <t>10:35 AM 3/20/25</t>
  </si>
  <si>
    <t>membrane dim</t>
  </si>
  <si>
    <t>50 counts over bk at max power</t>
  </si>
  <si>
    <t>12:35 PM 3/20/25</t>
  </si>
  <si>
    <t>skittles test (6 fish tested)</t>
  </si>
  <si>
    <t>U:\Data\20240911_Korra_Foundation\20250321_skittle\</t>
  </si>
  <si>
    <t>this allele seems to be brighter. blue channels are in general better than the red ones</t>
  </si>
  <si>
    <t>2:15 PM 3/19/25</t>
  </si>
  <si>
    <t>U:\Data\20240911_Korra_Foundation\20250317_mem_histone\fish7_48hpf</t>
  </si>
  <si>
    <t>3:50 AM (day+1)</t>
  </si>
  <si>
    <t>U:\Data\20240911_Korra_Foundation\20250317_mem_histone\fish8_48hpf</t>
  </si>
  <si>
    <t>3:25 PM 3/18/25</t>
  </si>
  <si>
    <t>U:\Data\20240911_Korra_Foundation\20250317_mem_histone\fish5_48hpf</t>
  </si>
  <si>
    <t>U:\Data\20240911_Korra_Foundation\20250317_mem_histone\fish6_48hpf</t>
  </si>
  <si>
    <t>5:15 PM 3/17/25</t>
  </si>
  <si>
    <t>U:\Data\20240911_Korra_Foundation\20250317_mem_histone\fish3_96hpf</t>
  </si>
  <si>
    <t>12:30 PM 3/18/25</t>
  </si>
  <si>
    <t>U:\Data\20240911_Korra_Foundation\20250317_mem_histone\fish4_24hpf</t>
  </si>
  <si>
    <t>fish not healthy</t>
  </si>
  <si>
    <t>12:15 PM 3/17/25</t>
  </si>
  <si>
    <t>6:20 AM (day+1)</t>
  </si>
  <si>
    <t>U:\Data\20240911_Korra_Foundation\20250317_mem_histone\fish1_72hpf</t>
  </si>
  <si>
    <t>U:\Data\20240911_Korra_Foundation\20250317_mem_histone\fish2_72hpf</t>
  </si>
  <si>
    <t>3:26 PM 3/13/25</t>
  </si>
  <si>
    <t>spinal_cord, skin, muscle</t>
  </si>
  <si>
    <t>U:\Data\20240911_Korra_Foundation\20250313_mSG_skittles\fish3_24hpf</t>
  </si>
  <si>
    <t>U:\Data\20240911_Korra_Foundation\20250313_mSG_skittles\fish4_24hpf</t>
  </si>
  <si>
    <t>11:12 AM 3/14/25</t>
  </si>
  <si>
    <t>U:\Data\20240911_Korra_Foundation\20250314_mem_histone\fish1_24hpf</t>
  </si>
  <si>
    <t>5:20 AM (day+1)</t>
  </si>
  <si>
    <t>U:\Data\20240911_Korra_Foundation\20250314_mem_histone\fish2_24hpf</t>
  </si>
  <si>
    <t>12:38 PM 3/13/25</t>
  </si>
  <si>
    <t>U:\Data\20240911_Korra_Foundation\20250313_mSG_skittles\fish1_24hpf</t>
  </si>
  <si>
    <t>VTUHE</t>
  </si>
  <si>
    <t>U:\Data\20240911_Korra_Foundation\20250313_mSG_skittles\fish2_24hpf</t>
  </si>
  <si>
    <t>1:25 PM 3/11/25</t>
  </si>
  <si>
    <t>U:\Data\20240911_Korra_Foundation\20250311_mem_histone\fish3_48hpf</t>
  </si>
  <si>
    <t>ef1a:mTFP1 and ef1a:mBeRFP</t>
  </si>
  <si>
    <t>11:00 AM 3/12/25</t>
  </si>
  <si>
    <t>mBeRFP test</t>
  </si>
  <si>
    <t>mBeRFP photostable after 60 timepoints of imaging. Promising with mTFP</t>
  </si>
  <si>
    <t>1:10 PM 3/12/25</t>
  </si>
  <si>
    <t>spinal_cord, muscle, skin</t>
  </si>
  <si>
    <t>U:\Data\20240911_Korra_Foundation\20250311_mem_histone\fish4_72hpf</t>
  </si>
  <si>
    <t>U:\Data\20240911_Korra_Foundation\20250311_mem_histone\fish5_72hpf</t>
  </si>
  <si>
    <t>10:50 AM 3/11/25</t>
  </si>
  <si>
    <t>6:10 AM (day+1)</t>
  </si>
  <si>
    <t>U:\Data\20240911_Korra_Foundation\20250311_mem_histone\fish1_24hpf</t>
  </si>
  <si>
    <t>U:\Data\20240911_Korra_Foundation\20250311_mem_histone\fish2_24hpf</t>
  </si>
  <si>
    <t>1:00 PM 3/10/25</t>
  </si>
  <si>
    <t>10 AM (day+1)</t>
  </si>
  <si>
    <t>U:\Data\20240911_Korra_Foundation\20250310_mem</t>
  </si>
  <si>
    <t>0 hpf imaging test</t>
  </si>
  <si>
    <t>raw data deleted to save space</t>
  </si>
  <si>
    <t>6:30 AM (day+1)</t>
  </si>
  <si>
    <t>U:\Data\20240911_Korra_Foundation\20250307_mem_histone\fish1_24hpf</t>
  </si>
  <si>
    <t>mScarlet3 works well (last 100 timepoints, no aggregates)</t>
  </si>
  <si>
    <t>mYH:H2B</t>
  </si>
  <si>
    <t>neuromast, skin, muscle</t>
  </si>
  <si>
    <t>U:\Data\20240911_Korra_Foundation\20250303_mem_histone\fish9_48hpf</t>
  </si>
  <si>
    <t>U:\Data\20240911_Korra_Foundation\20250303_mem_histone\fish10_48hpf</t>
  </si>
  <si>
    <t>phiC, 2xLynk:mSG</t>
  </si>
  <si>
    <t>5:10 PM (day+1)</t>
  </si>
  <si>
    <t>spinal_cord, muscle</t>
  </si>
  <si>
    <t>U:\Data\20240911_Korra_Foundation\20250306_skittle_mem-mSG\fish1_24hpf</t>
  </si>
  <si>
    <t>skittles: the mTFP works the best: still plenty of signal at 16 timepoints; the Electra2 ranks #2, still visible at 16 timepoints; the rest deplete after ~6 timepoints</t>
  </si>
  <si>
    <t>U:\Data\20240911_Korra_Foundation\20250303_mem_histone\fish6_48hpf</t>
  </si>
  <si>
    <t>no histone signals in muscle cells</t>
  </si>
  <si>
    <t>10:30 AM (day+1)</t>
  </si>
  <si>
    <t>neuromast, skin, muscle, spinal_cord</t>
  </si>
  <si>
    <t>U:\Data\20240911_Korra_Foundation\20250303_mem_histone\fish7_48hpf</t>
  </si>
  <si>
    <t>spinal_cord, neuromast, skin, muscle</t>
  </si>
  <si>
    <t>U:\Data\20240911_Korra_Foundation\20250303_mem_histone\fish8_48hpf</t>
  </si>
  <si>
    <t>hindbrain, brain</t>
  </si>
  <si>
    <t>U:\Data\20240911_Korra_Foundation\20250303_mem_histone\fish4_24hpf</t>
  </si>
  <si>
    <t>6:00:00 AM (day+1)</t>
  </si>
  <si>
    <t>tail, spinal_cord, muscle</t>
  </si>
  <si>
    <t>U:\Data\20240911_Korra_Foundation\20250303_mem_histone\fish5_24hpf</t>
  </si>
  <si>
    <t>fish does not look healthy</t>
  </si>
  <si>
    <t>mYH:H2B (80 and 120 pg)</t>
  </si>
  <si>
    <t>lateral</t>
  </si>
  <si>
    <t>ear, neuromast, muscle, skin</t>
  </si>
  <si>
    <t>U:\Data\20240911_Korra_Foundation\20250303_mem_histone\fish1_72hpf</t>
  </si>
  <si>
    <t>1:30 PM (day+1)</t>
  </si>
  <si>
    <t>ear, muscle</t>
  </si>
  <si>
    <t>U:\Data\20240911_Korra_Foundation\20250303_mem_histone\fish2_72hpf</t>
  </si>
  <si>
    <t>muscle</t>
  </si>
  <si>
    <t>U:\Data\20240911_Korra_Foundation\20250303_mem_histone\fish3_72hpf</t>
  </si>
  <si>
    <t>11:35 PM 2/28/25</t>
  </si>
  <si>
    <t>hindbrain, spinal cord, muscle</t>
  </si>
  <si>
    <t>U:\Data\20240911_Korra_Foundation\20250225_mem_histone\fish13_48hpf</t>
  </si>
  <si>
    <t>U:\Data\20240911_Korra_Foundation\20250225_mem_histone\fish14_48hpf</t>
  </si>
  <si>
    <t>10:20 AM 2/27/25</t>
  </si>
  <si>
    <t>vertical head up</t>
  </si>
  <si>
    <t>U:\Data\20240911_Korra_Foundation\20250225_mem_histone\fish8_24hpf</t>
  </si>
  <si>
    <t>U:\Data\20240911_Korra_Foundation\20250225_mem_histone\fish7_24hpf</t>
  </si>
  <si>
    <t>12:05 PM 2/27/25</t>
  </si>
  <si>
    <t>U:\Data\20240911_Korra_Foundation\20250225_mem_histone\fish9_24hpf</t>
  </si>
  <si>
    <t>U:\Data\20240911_Korra_Foundation\20250225_mem_histone\fish10_24hpf</t>
  </si>
  <si>
    <t>1:30 PM 2/27/25</t>
  </si>
  <si>
    <t>dorsal</t>
  </si>
  <si>
    <t>7 AM (day+1)</t>
  </si>
  <si>
    <t>U:\Data\20240911_Korra_Foundation\20250225_mem_histone\fish11_24hpf</t>
  </si>
  <si>
    <t>U:\Data\20240911_Korra_Foundation\20250225_mem_histone\fish12_24hpf</t>
  </si>
  <si>
    <t>11:15 AM 2/26/25</t>
  </si>
  <si>
    <t>U:\Data\20240911_Korra_Foundation\20250225_mem_nuc\fish3_48hpf</t>
  </si>
  <si>
    <t>histone channel very weak; fish looks disfigured</t>
  </si>
  <si>
    <t>U:\Data\20240911_Korra_Foundation\20250225_mem_nuc\fish4_48hpf</t>
  </si>
  <si>
    <t>2:55 PM 2/26/25</t>
  </si>
  <si>
    <t>10:50:00 AM (day+1)</t>
  </si>
  <si>
    <t>U:\Data\20240911_Korra_Foundation\20250225_mem_histone\fish5_6_48hpf (roi1-2)</t>
  </si>
  <si>
    <t>histone channel weak</t>
  </si>
  <si>
    <t>spinal cord, muscle</t>
  </si>
  <si>
    <t>U:\Data\20240911_Korra_Foundation\20250225_mem_histone\fish5_6_48hpf (roi3-4)</t>
  </si>
  <si>
    <t>mem dim, histone channel weak</t>
  </si>
  <si>
    <t>12:10 PM 2/25/25</t>
  </si>
  <si>
    <t>U:\Data\20240911_Korra_Foundation\20250225_mem_histone\fish1_24hpf</t>
  </si>
  <si>
    <t>fish not accessible</t>
  </si>
  <si>
    <t>3:40 PM 2/25/25</t>
  </si>
  <si>
    <t>11:15 AM (day+1)</t>
  </si>
  <si>
    <t>U:\Data\20240911_Korra_Foundation\20250225_mem_histone\fish2_24hpf</t>
  </si>
  <si>
    <t>histone channel very weak</t>
  </si>
  <si>
    <t>phiC mRNA (120 pg)</t>
  </si>
  <si>
    <t>U:\Data\20240911_Korra_Foundation\20250220_tg_mem_skittles\fish2_phic_48hpf</t>
  </si>
  <si>
    <t>phiC-NLS mRNA (120 pg)</t>
  </si>
  <si>
    <t>U:\Data\20240911_Korra_Foundation\20250220_tg_mem_skittles\fish3_phic-nls_48hpf</t>
  </si>
  <si>
    <t>ef1a:H2B:Halo</t>
  </si>
  <si>
    <t>JF635 3uM</t>
  </si>
  <si>
    <t>muscle, spinal cord, blood vessle</t>
  </si>
  <si>
    <t>U:\Data\20240911_Korra_Foundation\20250218_mem_histone\fish3_72hpf_halo_jfx649</t>
  </si>
  <si>
    <t>U:\Data\20240911_Korra_Foundation\20250220_tg_mem_skittles\fish1_phic_24hpf</t>
  </si>
  <si>
    <t>~8 timepoints maximum with low SNR</t>
  </si>
  <si>
    <t>8 AM (day+1)</t>
  </si>
  <si>
    <t>brain, ear</t>
  </si>
  <si>
    <t>U:\Data\20240911_Korra_Foundation\20250218_mem_histone\fish2_48hpf_halo_jfx649 (roi1,2,2-2)</t>
  </si>
  <si>
    <t>brain, spinal cord, muscle</t>
  </si>
  <si>
    <t>U:\Data\20240911_Korra_Foundation\20250218_mem_histone\fish2_48hpf_halo_jfx649 (roi 3-9)</t>
  </si>
  <si>
    <t>1:40 pm (day+1)</t>
  </si>
  <si>
    <t>U:\Data\20240911_Korra_Foundation\20250218_mem_histone\fish1_24hpf_halo_jfx649</t>
  </si>
  <si>
    <t>4:20 PM 2/12/25</t>
  </si>
  <si>
    <t>muscle+ neuromast+skin</t>
  </si>
  <si>
    <t>U:\Data\20240911_Korra_Foundation\20250211_mem_histone\fish8_72hpf_mYH</t>
  </si>
  <si>
    <t>lower snr</t>
  </si>
  <si>
    <t>4:30 PM 2/13/25</t>
  </si>
  <si>
    <t>5:30:00 PM (day+1)</t>
  </si>
  <si>
    <t>hindbrain</t>
  </si>
  <si>
    <t>U:\Data\20240911_Korra_Foundation\20250211_mem_histone\fish9_10_24hpf_mYH</t>
  </si>
  <si>
    <t>5:30:00 PM (day+1）</t>
  </si>
  <si>
    <t>10:10 AM (day+1)</t>
  </si>
  <si>
    <t>U:\Data\20240911_Korra_Foundation\20250211_mem_histone\fish7_48hpf_mYH</t>
  </si>
  <si>
    <t>4:15 PM 2/11/25</t>
  </si>
  <si>
    <t>tail (other regions bad quality due to nonideal fish orientation)</t>
  </si>
  <si>
    <t>U:\Data\20240911_Korra_Foundation\20250211_mem_histone\fish5_48hpf_mYH</t>
  </si>
  <si>
    <t>mChilada:H2B (80 and 120 pg)</t>
  </si>
  <si>
    <t>can not locate the fish</t>
  </si>
  <si>
    <t>spinal cord + muscle + skin</t>
  </si>
  <si>
    <t>U:\Data\20240911_Korra_Foundation\20250211_mem_histone\fish2_24hpf_mYH</t>
  </si>
  <si>
    <t>U:\Data\20240911_Korra_Foundation\20250211_mem_histone\fish6_48hpf_mchilada</t>
  </si>
  <si>
    <t>9 AM (day+1)</t>
  </si>
  <si>
    <t>U:\Data\20240911_Korra_Foundation\20250211_mem_histone\fish4_24hpf_mYH</t>
  </si>
  <si>
    <t>U:\Data\20240911_Korra_Foundation\20250211_mem_histone\fish3_24hpf_mchilada</t>
  </si>
  <si>
    <t>fish extremely dim (~120 over background with full power and 60 ms exposure)</t>
  </si>
  <si>
    <t>fish extremely dim</t>
  </si>
  <si>
    <t>fish extremely dim (~60 over background with full power and 60 ms exposure)</t>
  </si>
  <si>
    <t>mChilada:H2B (80 pg)</t>
  </si>
  <si>
    <t>6:00:00 PM (2/10)</t>
  </si>
  <si>
    <t>continuous AO test</t>
  </si>
  <si>
    <t>continuous AO implemented, tested, and optimized</t>
  </si>
  <si>
    <t>mYH:H2B (80 pg)</t>
  </si>
  <si>
    <t>U:\Data\20240911_Korra_Foundation\20250204_mem_histone\fish6_72hpf_mYH</t>
  </si>
  <si>
    <t>U:\Data\20240911_Korra_Foundation\20250206_mem_histone\fish1_24hpf_mChilada</t>
  </si>
  <si>
    <t>10:15AM (day+1)</t>
  </si>
  <si>
    <t>U:\Data\20240911_Korra_Foundation\20250206_mem_histone\fish2_24hpf_mChilada</t>
  </si>
  <si>
    <t>5 ROIs, 32 timepoints mem+nuc, followed by 48 timepoints mem</t>
  </si>
  <si>
    <t>U:\Data\20240911_Korra_Foundation\20250204_mem_histone\fish3_48hpf_mYH</t>
  </si>
  <si>
    <t>U:\Data\20240911_Korra_Foundation\20250204_mem_histone\fish4_48hpf_mYH</t>
  </si>
  <si>
    <t>overnight</t>
  </si>
  <si>
    <t>U:\Data\20240911_Korra_Foundation\20250204_mem_histone\fish5_48hpf_mYH\roi1_mb</t>
  </si>
  <si>
    <t>U:\Data\20240911_Korra_Foundation\20250204_mem_histone\fish5_48hpf_mYH\roi2_mb</t>
  </si>
  <si>
    <t>mSG mosaic</t>
  </si>
  <si>
    <t>U:\Data\20240911_Korra_Foundation\20250204_mem_histone\fish1_24hpf_mchilada</t>
  </si>
  <si>
    <t>mChilada photobleaches much faster</t>
  </si>
  <si>
    <t>U:\Data\20240911_Korra_Foundation\20250204_mem_histone\fish2_24hpf_mYH</t>
  </si>
  <si>
    <t>mYH still useful after 64 time points; Estimate data generation speed is ~ 275GB/hour including every miscellaneous operation (finding ROI, performing AO, data evalulation, etc.)</t>
  </si>
  <si>
    <t>2xLynk:mSG; mChilada:H2B</t>
  </si>
  <si>
    <t>spinal cord + muscle</t>
  </si>
  <si>
    <t>U:\Data\20240911_Korra_Foundation\20250131_mem_histone\fish2_24hpf_mChilada</t>
  </si>
  <si>
    <t>high SNR</t>
  </si>
  <si>
    <t>2xLynk:mSG; mYH:H2B</t>
  </si>
  <si>
    <t>U:\Data\20240911_Korra_Foundation\20250131_mem_histone\fish1_24hpf_mYH</t>
  </si>
  <si>
    <t>Skittles-lite (ef1a:mTFP1 / ef1a:mChilada / ef1a:miRFP670-2)</t>
  </si>
  <si>
    <t>tol2 mRNA (40 pg)</t>
  </si>
  <si>
    <t>2/1/25, 2/2/25/, 2/3/25</t>
  </si>
  <si>
    <t>miRFP670 expression failed (testing)</t>
  </si>
  <si>
    <t>ef1a:2xLynk:tdmSG(J) (F1 of allele 304)</t>
  </si>
  <si>
    <t>Orientation not good for imaging</t>
  </si>
  <si>
    <t>improperly oriented (avoid lateral for this age)</t>
  </si>
  <si>
    <t>ef1a:2xLynk:tdmSG(J) (F1 of allele 305)</t>
  </si>
  <si>
    <t>2:40 PM 2/13/25</t>
  </si>
  <si>
    <t>under developed</t>
  </si>
  <si>
    <t>Age (hpf)</t>
  </si>
  <si>
    <t>Transgene / labels (mRNA/plasmid/etc)</t>
  </si>
  <si>
    <t>Comments</t>
  </si>
  <si>
    <t>Monday</t>
  </si>
  <si>
    <t>mSG-mem x Skittles mTFP1/mChilada/miRFP670-2</t>
  </si>
  <si>
    <t>test construct and comment about bleaching, abundance</t>
  </si>
  <si>
    <t>Tuesday</t>
  </si>
  <si>
    <t>mSG-mem x H2B (mChilada and mYH available)</t>
  </si>
  <si>
    <t>which is better? mYH or mChilada</t>
  </si>
  <si>
    <t>Wed</t>
  </si>
  <si>
    <t>Thursday</t>
  </si>
  <si>
    <t xml:space="preserve">mSG-mem x mChilada:H2B </t>
  </si>
  <si>
    <t>Friday</t>
  </si>
  <si>
    <t>Feb 10-14</t>
  </si>
  <si>
    <t>72hpf</t>
  </si>
  <si>
    <t>mSG-mem x mYH:H2B</t>
  </si>
  <si>
    <t>allele 308, ox rnf/csp on 2/7/25</t>
  </si>
  <si>
    <t>24hpf</t>
  </si>
  <si>
    <t>mSG-mem x mChilada:H2B</t>
  </si>
  <si>
    <t>allele 301 (F2s ox to csp/rnf on 2/10/25)</t>
  </si>
  <si>
    <t>48hpf</t>
  </si>
  <si>
    <t>mSG-mem x mChilada:H2B or mYH:H2B</t>
  </si>
  <si>
    <t>24hpf or 72hpf</t>
  </si>
  <si>
    <t>Feb 17-21</t>
  </si>
  <si>
    <t>24 hpf</t>
  </si>
  <si>
    <t>mSG-mem x h2b:Halo</t>
  </si>
  <si>
    <t>allele 301 ox to ef1a:H2B:Halo on 2/17/25</t>
  </si>
  <si>
    <t>5FP skittles x mSG-mem</t>
  </si>
  <si>
    <t>allele 309 (cryaa/skittles 5FP) x allele 301 (mem:SG) on 2/19/25</t>
  </si>
  <si>
    <t>48 hpf</t>
  </si>
  <si>
    <t>Feb 24-28</t>
  </si>
  <si>
    <t>allele 301 F2 ox to rnf</t>
  </si>
  <si>
    <t>72 hpf / 24hpf</t>
  </si>
  <si>
    <t>allele 301 F2 ox to rnf, allele 301 F1 ox to rnf</t>
  </si>
  <si>
    <t>allele 301 F1 ox to rnf</t>
  </si>
  <si>
    <t>March 3-7</t>
  </si>
  <si>
    <t>allele 301 F2 ix</t>
  </si>
  <si>
    <t>72 hpf</t>
  </si>
  <si>
    <t>skittles 5FP + mem:mSG mRNA</t>
  </si>
  <si>
    <t>allele 309 ox to rnf</t>
  </si>
  <si>
    <t>mSG-mem x mScarlet3-S2:H2B</t>
  </si>
  <si>
    <t>March 10-14</t>
  </si>
  <si>
    <t>0 hpf</t>
  </si>
  <si>
    <t>mSG-mem</t>
  </si>
  <si>
    <t>ef1a:mTFP1 + ef1a:mBeRFP</t>
  </si>
  <si>
    <t>allele 301 F2 ix (or ox to rnf)</t>
  </si>
  <si>
    <t>mSg-mem x mScarlet3-S2:H2B</t>
  </si>
  <si>
    <t>skittles 5FP x mSG-mem</t>
  </si>
  <si>
    <t>allele 309 male x allele 301 F2 female + phiC mRNA</t>
  </si>
  <si>
    <t>mSg-mem x mScarlet3-S2:H2B (or skittles?)</t>
  </si>
  <si>
    <t>March 17-21</t>
  </si>
  <si>
    <t>allele 301 F2 male ox to rnf</t>
  </si>
  <si>
    <t>allele 301 F2 female ox to rnf</t>
  </si>
  <si>
    <t>mSg-mem x mScarlet3-S2:H2B (or 24hpf skittles)</t>
  </si>
  <si>
    <t>allele 301 F2 female ox to rnf, skittles = allele 313 F1 male ox to rnf female</t>
  </si>
  <si>
    <t>mSg-mem x mScarlet3-S2:H2B (or 48hpf skittles)</t>
  </si>
  <si>
    <t>March 24-28</t>
  </si>
  <si>
    <t xml:space="preserve">48 hpf </t>
  </si>
  <si>
    <t>skitles 5FP x mSg-mem</t>
  </si>
  <si>
    <t>allele 301 F2 female ox allele 313 (skittles)</t>
  </si>
  <si>
    <t>March 31-April 4</t>
  </si>
  <si>
    <t>allele 308 male ox rnf female</t>
  </si>
  <si>
    <t>allele 301 F2 incross</t>
  </si>
  <si>
    <t>April 7-11</t>
  </si>
  <si>
    <t>mSG-mito/Halo-tub/mem:mChilada; lyosome:mSG/Halo-tub/mem:mChilada</t>
  </si>
  <si>
    <t xml:space="preserve">rnf ix  </t>
  </si>
  <si>
    <t>also mSG-mem/h2b:mSc3-s2 available all week</t>
  </si>
  <si>
    <t>mSG-mito/mem:mChilada; lysosome:mSG/mem:mChilada, mSG:tub/mem:mChilada</t>
  </si>
  <si>
    <t>April 21-25</t>
  </si>
  <si>
    <t>301 ix</t>
  </si>
  <si>
    <t>mSg-mem x mScarlet3-S2:H2B, mito:Halo</t>
  </si>
  <si>
    <t>Wednesday</t>
  </si>
  <si>
    <t>48hpf/24hpf</t>
  </si>
  <si>
    <t>mSg-mem x mScarlet3-S2:H2B; sec61b:Halo</t>
  </si>
  <si>
    <t>mSG-mem x sec61b Halo; test mGold2t vs mGold2s (cytoplasmic)</t>
  </si>
  <si>
    <t>mSG-mem x LifeAct:Halo</t>
  </si>
  <si>
    <t>302 ix</t>
  </si>
  <si>
    <t>April 28-May2</t>
  </si>
  <si>
    <t>mSg-mem x mScarlet3-S2:H2B; 72hpf skittles + mSg-mem</t>
  </si>
  <si>
    <t>301 ix, 301 ox skittles allele 313</t>
  </si>
  <si>
    <t>mSg-mem x ef1a:mGold2s/t (cytoplasmic)</t>
  </si>
  <si>
    <t>48 hpf/24hpf</t>
  </si>
  <si>
    <t>mSg-mem x ef1a:mGold2s/t (cytoplasmic); Halo-mem x ef1a:mGold2s/t; mChilada-mem x ef1a:mGold2t/s</t>
  </si>
  <si>
    <t>301 ix, Halo mem ix, tdmChilada ox rnf</t>
  </si>
  <si>
    <t>72 hpf/48hpf</t>
  </si>
  <si>
    <t>mSg-mem x ef1a:mScarelt3S2 (cytoplasmic) (+mgold2t/s?)</t>
  </si>
  <si>
    <t>May 5-9</t>
  </si>
  <si>
    <t>Ben Martin's visit: imaging focused on 24hpf tailbud stages every day</t>
  </si>
  <si>
    <t>mSg-mem x mScarlet3-S2:H2b (long movie if embryos injected on Sunday)</t>
  </si>
  <si>
    <t>301 or 302 ix</t>
  </si>
  <si>
    <t>mSg-mem + mem-mScarlet3-S2;lamp1:Halo/mSG (transplants) (or cox8A)</t>
  </si>
  <si>
    <t>mem:mChilada (host) x mSg-mem (Tg)/lifeact:Halo or cox8A:Halo)</t>
  </si>
  <si>
    <t>mem:mChilada (host) x mSg-mem (Tg)/TGN46:Halo or rab5a:Halo</t>
  </si>
  <si>
    <t>mem:mChilada (host) x mSg-mem (Tg)/lifeact:Halo or sec61b:Halo</t>
  </si>
  <si>
    <t>May 12-16</t>
  </si>
  <si>
    <t>SKITTLEZ, SKITTLEZ, SKITTLEZ</t>
  </si>
  <si>
    <t>mSg-mem x Skittlez 5FP cryaa</t>
  </si>
  <si>
    <t>301 x 309</t>
  </si>
  <si>
    <t>301 x 317</t>
  </si>
  <si>
    <t>May 19-23</t>
  </si>
  <si>
    <t>mSg-mem x mScarlet3-S2:H2b</t>
  </si>
  <si>
    <t>48hpf, 24hpf</t>
  </si>
  <si>
    <t xml:space="preserve">mSg-mem x mScarlet3-S2:H2b, skittlez 309 male x skittles </t>
  </si>
  <si>
    <t>301 ix, 301 ox skittles</t>
  </si>
  <si>
    <t>mSg-mem x Skittles founder #2 5 FP (repeat of last week's good founder)</t>
  </si>
  <si>
    <t>May 27-May 30</t>
  </si>
  <si>
    <t>skittles 5 FP cryaa x 4 FP exorH, mSg-mem x mScarlet3-S2:h2b</t>
  </si>
  <si>
    <t>309 x 320, 301 ix</t>
  </si>
  <si>
    <t>Skittles 5FP cryaa x 4FP cryaa, skittles 5 FP cryaa x 4 FP exor H</t>
  </si>
  <si>
    <t>318 x 309; 310 x 316</t>
  </si>
  <si>
    <t>mSg-mem x Skittles 4 FP  (too dim)</t>
  </si>
  <si>
    <t>301 x 319</t>
  </si>
  <si>
    <t>June 2-6</t>
  </si>
  <si>
    <t>mSg-mem</t>
  </si>
  <si>
    <t>302 ox</t>
  </si>
  <si>
    <t>Skittles, mSg-mem x mScarlet3-S2:H2b</t>
  </si>
  <si>
    <t>F1 Chris (male) x F2 Liam (female)</t>
  </si>
  <si>
    <t>Skittles + mSg-mem</t>
  </si>
  <si>
    <t>F2 Abe (male) x F2 Ben (female)</t>
  </si>
  <si>
    <t>F2 Abe x F2 Dennis</t>
  </si>
  <si>
    <t>F2 Ben x F2 Jim</t>
  </si>
  <si>
    <t>June 9-13</t>
  </si>
  <si>
    <t>mSg-mem x mScarlet3-S2:h2b</t>
  </si>
  <si>
    <t>skittles, mSg-mem x mScarlet3-S2:h2b</t>
  </si>
  <si>
    <t xml:space="preserve">skittles </t>
  </si>
  <si>
    <t>skittles</t>
  </si>
  <si>
    <t>July 15-18</t>
  </si>
  <si>
    <t>96 hpf</t>
  </si>
  <si>
    <t>mSG-mem x mito:Halo/mScarlet3S2:ER, mito:mScarlet3S2/Halo:ER</t>
  </si>
  <si>
    <t>mChilada-mem x mito:Halo/mSG:ER, mito:mSG/Halo:ER</t>
  </si>
  <si>
    <t>July 21-26</t>
  </si>
  <si>
    <t>mChilada-mem x mito:SG</t>
  </si>
  <si>
    <t>Halo-mem x mito:SG, ER:SG</t>
  </si>
  <si>
    <t>August 18-22</t>
  </si>
  <si>
    <t>cytosolic mCardinal vs cytosolic mKate2 in mem:SG</t>
  </si>
  <si>
    <t>mem:SG x mScarlet3S2:h2b, mem:mChilada + mito:SG mRNA, mem:mChilada + mSG:ER mRNA</t>
  </si>
  <si>
    <t>mem:SG x mScarlet3S2:h2b, mem:mChilada + mito:SG mRNA, mem:mChilada +  mSG:ER mRNA</t>
  </si>
  <si>
    <t>72 hpf, 24hpf</t>
  </si>
  <si>
    <t>mem:SG x mScarlet3S2:h2b, mem:mChilada + organelle mRNA (TBD)</t>
  </si>
  <si>
    <t>96 hpf, 48hpf</t>
  </si>
  <si>
    <t>72 hpf, 96hpf</t>
  </si>
  <si>
    <t>mem:SG-2a-h2b:mChilada transgenics (72hpf), mSG:ER tol2 mosaic injections (96hpf)</t>
  </si>
  <si>
    <t>mem:SG x mScarlet3S2:h2b, mem:mSc3S2 + mitoSG mRNA, microtubules:SG mRNA</t>
  </si>
  <si>
    <t>48 hpf, 24hpf</t>
  </si>
  <si>
    <t>mem:SG x mScarlet3S2:h2b, mem:mSc3S2 + mitoSG mRNA, skittles 4.0 male x female founder cross + phiC</t>
  </si>
  <si>
    <t>72 hpf, 48 hpf, 24 hpf</t>
  </si>
  <si>
    <t>mem:SG x mScarlet3S2:h2b, mem:mSc3S2 + mitoSG mRNA, microtub mRNA, skittles 4.0 male x female founder cross + phiC</t>
  </si>
  <si>
    <t>96 hpf, 48 hpf</t>
  </si>
  <si>
    <t xml:space="preserve">mem:SG x mScarlet3S2:h2b, mem:mSc3S2 + mitoSG mRNA, microtub mRNA,  </t>
  </si>
  <si>
    <t>August 25-29</t>
  </si>
  <si>
    <t>casper x MGCO28 mito:mSG, mem:mSG:H2B, mem:mSG:H2B-MAGPV</t>
  </si>
  <si>
    <t>mem:mScarlet3S2 x alphatub:mSG mRNA, mem:Chilada x mito:mSG mRNA, mem:Chilada x lifeact:mSG, mem:mScarlet3S2 x mito:mSG mRNA</t>
  </si>
  <si>
    <t>mem:Chilada x lifeact:mSG, tdmScarlet3S2:H2B x mem:mSG</t>
  </si>
  <si>
    <t>24, 72 hpf</t>
  </si>
  <si>
    <t>48,72, 72 hpf</t>
  </si>
  <si>
    <t xml:space="preserve">mem:chilada x lifeact:mSG, lifeact:mSG in piglet14a, myosin:mScarlet3S2 in piglet14a </t>
  </si>
  <si>
    <t>September 1-5</t>
  </si>
  <si>
    <t xml:space="preserve">labor day </t>
  </si>
  <si>
    <t xml:space="preserve">24 hpf </t>
  </si>
  <si>
    <t>memSG x NLS:mScarlet 3, memChilada x lifeact:mSG</t>
  </si>
  <si>
    <t>mem:mScarlet3S2 x mito:mSG mRNA (human optimized), mem:mScarlet3S2 x lifeact:mSG mRNA (human optimized)</t>
  </si>
  <si>
    <t xml:space="preserve">mem:Chilada x lifeactmSG </t>
  </si>
  <si>
    <t>September 8-12</t>
  </si>
  <si>
    <t>FUCCI construct in casper, pDQM082 x mito:mSG mRNA</t>
  </si>
  <si>
    <t>skittles 4.0</t>
  </si>
  <si>
    <t>memChilada x mito:SG</t>
  </si>
  <si>
    <t>September 15-19</t>
  </si>
  <si>
    <t>mem:Halo + mito:SG mRNA</t>
  </si>
  <si>
    <t>mem:mChilada +mito:SG mRNA, mem:mScarlet3S2 + mito:SG mRNA</t>
  </si>
  <si>
    <t>September 22-26</t>
  </si>
  <si>
    <t xml:space="preserve">72 hpf </t>
  </si>
  <si>
    <t>mem:mScarlet3S2 + mito:SG mRNA</t>
  </si>
  <si>
    <t>24,72 hpf</t>
  </si>
  <si>
    <t>September 29- Oct 3</t>
  </si>
  <si>
    <t>mem:mSG x mScarlet3S2:H2B</t>
  </si>
  <si>
    <t>Oct 6-10</t>
  </si>
  <si>
    <t>mem:SG + H2B:mScarlet3S2</t>
  </si>
  <si>
    <t xml:space="preserve">mem:mScarlet3S2 + mito:SG, skittles testing </t>
  </si>
  <si>
    <t>mito:SG transgenic founder test</t>
  </si>
  <si>
    <t>Oct 13-17</t>
  </si>
  <si>
    <t>mem:SG + H2B:mScarlet3S2, mem:mChilada + mito:SG</t>
  </si>
  <si>
    <t xml:space="preserve">96 hpf </t>
  </si>
  <si>
    <t>Oct 20-24</t>
  </si>
  <si>
    <t>mem:mChilada + mito:SG</t>
  </si>
  <si>
    <t>Oct 27-31</t>
  </si>
  <si>
    <t xml:space="preserve">mem:mScarlet3S2 + mito:SG, mem:mScarlet3S2 + peroxisome:SG(MGCO 49), mem:mScarlet3S2 + peroxisome:SG(MGCO 52), </t>
  </si>
  <si>
    <t>mem:mScarlet3S2 + mito:SG, mem:mScarlet3S2 + peroxisome:SG(MGCO 49)</t>
  </si>
  <si>
    <t xml:space="preserve">mem:mScarlet3S2 + mito:SG, mem:mChilada + peroxisome:SG (MGCO 55), mem:mChilada + MT:SG (MGCO 56) </t>
  </si>
  <si>
    <t xml:space="preserve">No imaging </t>
  </si>
  <si>
    <t>Nov 3-7</t>
  </si>
  <si>
    <t>24 hpf, 120hpf</t>
  </si>
  <si>
    <t>mem:mChilada + mito:SG, mem:SG + H2B:mScarlet3S2</t>
  </si>
  <si>
    <t>mem:mChilada + kinetochores:SG, mem:mChilada +centrioles:SG</t>
  </si>
  <si>
    <t>Nov 10-14</t>
  </si>
  <si>
    <t>48 hpf, 72 hpf</t>
  </si>
  <si>
    <t xml:space="preserve">mem:SG + H2B:mScarlet3S2, DHB:mSG(cell cycle indicator) + H2B:mScarlet3S2 </t>
  </si>
  <si>
    <t>mem:mScarlet3S2 + mito:SG</t>
  </si>
  <si>
    <t>mem:mScarlet3S2 + mito:SG, mSG:moesin + mem:mScarlet3S2</t>
  </si>
  <si>
    <t>120 hpf</t>
  </si>
  <si>
    <t xml:space="preserve">mem:mChilada + mito: SG, mem:mScarlet3S2 + mito:SG </t>
  </si>
  <si>
    <t>Nov 17-21</t>
  </si>
  <si>
    <t xml:space="preserve">mem:SG + H2B:mScarlet3S2 </t>
  </si>
  <si>
    <t>NA</t>
  </si>
  <si>
    <t>Nov 24-28</t>
  </si>
  <si>
    <t>72 hpf (grown slow)</t>
  </si>
  <si>
    <t>mem:mSG + H2B:mSCarlet3S2</t>
  </si>
  <si>
    <t>96 hpf (grown slow)</t>
  </si>
  <si>
    <t>120 hpf (grown slow)</t>
  </si>
  <si>
    <t>Thanksgiving</t>
  </si>
  <si>
    <t>Dec 1-5</t>
  </si>
  <si>
    <t>H2B:mScarlet3S2 + mem:SG</t>
  </si>
  <si>
    <t xml:space="preserve">mem:mScarlet3S2 + pDQM141 (for mosaic labeling fish) </t>
  </si>
  <si>
    <t>Dec 8-12</t>
  </si>
  <si>
    <t xml:space="preserve">72 hpf, 24 hpf </t>
  </si>
  <si>
    <t xml:space="preserve">mem:SG + H2B:mScarlet3S2, mito:mSG </t>
  </si>
  <si>
    <t>Dec 15-19</t>
  </si>
  <si>
    <t>Dec 22-26</t>
  </si>
  <si>
    <t xml:space="preserve">
DAILY SCHEDULE</t>
  </si>
  <si>
    <t xml:space="preserve">Week of:
</t>
  </si>
  <si>
    <t xml:space="preserve">Strains of fish </t>
  </si>
  <si>
    <t xml:space="preserve">mChilada </t>
  </si>
  <si>
    <t>mScarlet3S2</t>
  </si>
  <si>
    <t>memHalo</t>
  </si>
  <si>
    <t xml:space="preserve">mSG microtubules </t>
  </si>
  <si>
    <t>NOTES</t>
  </si>
  <si>
    <t>TO DO</t>
  </si>
  <si>
    <t>Stage &amp; Time (hpf)</t>
  </si>
  <si>
    <t>Key External / Morphological Changes</t>
  </si>
  <si>
    <t>Notochord</t>
  </si>
  <si>
    <t>Somite / Muscle</t>
  </si>
  <si>
    <t>CNS (Brain &amp; Spinal Cord)</t>
  </si>
  <si>
    <t>Brain ventricles/ Chloro plexus</t>
  </si>
  <si>
    <t>Eye Development</t>
  </si>
  <si>
    <t>Ear (Otic) Dev.</t>
  </si>
  <si>
    <t>Nasal Pits</t>
  </si>
  <si>
    <t>Heart &amp; Circulation</t>
  </si>
  <si>
    <t>Tail Development</t>
  </si>
  <si>
    <t>Zygote Period (0 – 0.75 hpf)</t>
  </si>
  <si>
    <t>- Single-cell zygote - Fertilization and cleavage initiation</t>
  </si>
  <si>
    <t>Imaging interval, priority (low/med/high)</t>
  </si>
  <si>
    <t>1 min / low</t>
  </si>
  <si>
    <t>Cleavage Period (0.75 – 2.25 hpf)</t>
  </si>
  <si>
    <t>- Rapid synchronous cell divisions (2-, 4-, 8-cell, etc.) - Minimal cytoplasmic growth</t>
  </si>
  <si>
    <t>- Still notochord progenitors within axial mesoderm</t>
  </si>
  <si>
    <t>1 min  / low</t>
  </si>
  <si>
    <t>Blastula Period (2.25 – 5.25 hpf)</t>
  </si>
  <si>
    <t>- Formation of blastoderm (1000+ cells) - Dome stage, yolk syncytial layer forms</t>
  </si>
  <si>
    <t>- Axial mesoderm cells are located centrally but not morphologically distinct</t>
  </si>
  <si>
    <t>- Neural fate begins to be specified among blastoderm cells</t>
  </si>
  <si>
    <t>- Eye field specification still minimal</t>
  </si>
  <si>
    <t>- Cardiogenic mesoderm specified at lateral positions</t>
  </si>
  <si>
    <t>Gastrula Period (5.25 – 10.33 hpf)</t>
  </si>
  <si>
    <t>- Epiboly: blastoderm cells move down over the yolk - Germ layers (ectoderm, mesoderm, endoderm) established - Body axes set</t>
  </si>
  <si>
    <t>- Notochord precursors in the axial mesoderm begin to converge and elongate</t>
  </si>
  <si>
    <t>- Paraxial mesoderm (future somites) laid out alongside notochord region</t>
  </si>
  <si>
    <t>- Neural plate begins to form anteriorly (~10 hpf); future brain/spinal cord territories become regionally distinct</t>
  </si>
  <si>
    <t>- Early positioning of prospective eye fields in anterior neural plate</t>
  </si>
  <si>
    <t>- Prospective otic territory in the anterior-lateral ectoderm (not yet morphologically visible)</t>
  </si>
  <si>
    <t>- Cardiac precursors in lateral plate mesoderm (heart field)</t>
  </si>
  <si>
    <t>- Tail bud emerges at the posterior end of the embryo (late gastrula)</t>
  </si>
  <si>
    <t>1 min / med</t>
  </si>
  <si>
    <t>30 s / low</t>
  </si>
  <si>
    <t>Segmentation Period (10.33 – 24 hpf)</t>
  </si>
  <si>
    <t>- Somitogenesis (formation of somite 'blocks') - Morphological elongation of the embryo - Axis curvature becomes evident</t>
  </si>
  <si>
    <t>- Notochord cells arrange into a distinct rod; by ~14 hpf, notochord is visible along midline</t>
  </si>
  <si>
    <t>- Somites begin forming sequentially from anterior to posterior (~10–20 hpf); up to ~30 somites by 24 hpf</t>
  </si>
  <si>
    <t>- Neural plate → Neural keel → Neural rod (~10–18 hpf); primary brain vesicles (fore/mid/hindbrain) visible by ~24 hpf</t>
  </si>
  <si>
    <t>- Optic vesicles start to evaginate from the forebrain region (~16–18 hpf); lens placode thickens (~24 hpf)</t>
  </si>
  <si>
    <t>- Otic placode appears (~18–20 hpf); beginning of otic vesicle formation</t>
  </si>
  <si>
    <t>- Heart tube forms and initiates heartbeat (~22–24 hpf); early circulation may start near the end of this period (24–26 hpf)</t>
  </si>
  <si>
    <t>- Tail elongates as additional somites form; posterior extension of notochord and neural tube</t>
  </si>
  <si>
    <t>Pharyngula Period (24 – 48 hpf)</t>
  </si>
  <si>
    <t>- Pharyngeal arches visible - Pronounced head morphogenesis - Pigment cells appear (initial melanophores)</t>
  </si>
  <si>
    <t>- Notochord becomes more rigid; influences neural tube patterning</t>
  </si>
  <si>
    <t>- Somites become more defined and begin to develop muscle fibers (myotomes)</t>
  </si>
  <si>
    <t>- Brain subdivided into fore/mid/hindbrain domains; spinal cord canal forms (central lumen)</t>
  </si>
  <si>
    <t>- Retinal pigment first visible (~24–36 hpf); lens differentiates; eye size increases</t>
  </si>
  <si>
    <t>- Otic vesicle closes to form fluid-filled structure (~24–36 hpf); hair cells begin differentiating</t>
  </si>
  <si>
    <t>- Heart tube loops; chamber demarcation more evident (~36–48 hpf); circulation fully established; RBCs flow through body</t>
  </si>
  <si>
    <t>- Tail finfold becomes more distinct; tail continues to lengthen</t>
  </si>
  <si>
    <t>30 s / high</t>
  </si>
  <si>
    <t>Hatching Period (48 – 72 hpf)</t>
  </si>
  <si>
    <t>- Larvae often break out of the chorion (using hatching gland enzymes) - Increased pigment - Start of free-swimming</t>
  </si>
  <si>
    <t>- Notochord straightens further; structural support for the developing spinal column</t>
  </si>
  <si>
    <t>- Visible trunk muscles with defined chevron-shaped somites</t>
  </si>
  <si>
    <t>- Ongoing brain growth; major brain subdivisions (telencephalon, diencephalon, mesencephalon, rhombencephalon) recognized; spinal cord matures</t>
  </si>
  <si>
    <t>- Eye well pigmented; retina layering increases in complexity</t>
  </si>
  <si>
    <t>- Otic vesicle matures; more hair cells differentiate; beginning of vestibular function</t>
  </si>
  <si>
    <t>- Heart loops fully and becomes more robust; stronger, coordinated blood flow; further vessel branching</t>
  </si>
  <si>
    <t>- Tail fully extended; early finfold structures more evident; some fin rays begin to show initial condensations</t>
  </si>
  <si>
    <t>Early Larval Period (72 hpf – 6 dpf)</t>
  </si>
  <si>
    <t>- Swim bladder inflation (around 4–5 dpf) - Mouth/jaw morphogenesis allows first feeding (~5 dpf) - Rapid growth and pigmentation</t>
  </si>
  <si>
    <t>- Notochord remains as core 'spinal rod,' later to be replaced by vertebral column elements</t>
  </si>
  <si>
    <t>- Myotomes enlarge; muscle fiber differentiation continues; pectoral fin buds more prominent</t>
  </si>
  <si>
    <t>- Further refinement of neural circuits; increased motor coordination; larvae become more responsive to stimuli</t>
  </si>
  <si>
    <t>- Retinal layering refines; cones develop; visually guided behavior emerges; eye size increases</t>
  </si>
  <si>
    <t>- Internal ear (otic capsule) continues to form semicircular canals; improved hearing/balance</t>
  </si>
  <si>
    <t>- Heart chambers (atrium, ventricle) clearly distinct by ~3–4 dpf; definitive hematopoiesis ramps up in kidney and thymus</t>
  </si>
  <si>
    <t>- Ongoing elongation; fin development (pectoral fins, beginnings of dorsal/anal fins) is more pronounced; tail fin extends further</t>
  </si>
  <si>
    <t>Lateral, Heart Down, Head front</t>
  </si>
  <si>
    <t>These were described in this presentation:</t>
  </si>
  <si>
    <t>fish orientation.pptx</t>
  </si>
  <si>
    <t>Lateral, Heart Up, Head front</t>
  </si>
  <si>
    <t>Lateral, Heart Up, Tail front</t>
  </si>
  <si>
    <t>Lateral, Heart Down, Tail front</t>
  </si>
  <si>
    <t>Vertical, Tail Up, Heart at DO</t>
  </si>
  <si>
    <t>Vertical, Tail Up, Heart at EO</t>
  </si>
  <si>
    <t>Vertical, Head Up, Heart at DO</t>
  </si>
  <si>
    <t>Vertical, Head Up, Heart at EO</t>
  </si>
  <si>
    <t>Dorsal, Head user</t>
  </si>
  <si>
    <t>Dorsal, Tail user</t>
  </si>
  <si>
    <t>Ventral, Tail user</t>
  </si>
  <si>
    <t>VH</t>
  </si>
  <si>
    <t>Ventral, Head user</t>
  </si>
  <si>
    <t>Lateral, Head pointing to the right, from the mounter's perspective</t>
  </si>
  <si>
    <t>Unique (gather from: col 'B' of 'external_fish' sheet, column 'B' here)</t>
  </si>
  <si>
    <r>
      <rPr>
        <b/>
        <sz val="10"/>
        <color theme="1"/>
        <rFont val="Arial"/>
        <family val="2"/>
      </rPr>
      <t>Unique targets</t>
    </r>
    <r>
      <rPr>
        <sz val="10"/>
        <color theme="1"/>
        <rFont val="Arial"/>
        <family val="2"/>
      </rPr>
      <t xml:space="preserve"> (build array out of targets, then find unique values, filter away blanks, if error leave this blank)</t>
    </r>
  </si>
  <si>
    <t>Plasmid F Allele String</t>
  </si>
  <si>
    <t>F Allele String</t>
  </si>
  <si>
    <t>F</t>
  </si>
  <si>
    <t>ef1a:2xLynk:tdmSG(J) (F1 of allele 303)</t>
  </si>
  <si>
    <t>ef1a:2xLynk:tdmSG(J) (F1 of allele 306)</t>
  </si>
  <si>
    <t>ef1a:2xLynk:tdmSG(J) (F1 of allele 307)</t>
  </si>
  <si>
    <t>ef1a:&lt;exorh:GFP&gt;mKate2/mCitrine/Electra2/mKOK/mTFP1 (F1 of allele 311)</t>
  </si>
  <si>
    <t>ef1a:&lt;exorh:GFP&gt;mKate2/mCitrine/Electra2/mKOK/mTFP1 (F1 of allele 312)</t>
  </si>
  <si>
    <t>ef1a:&lt;exorh:GFP&gt;mKate2/mCitrine/Electra2/mKOK/mTFP1 (F1 of allele 358)</t>
  </si>
  <si>
    <t>ef1a:&lt;exorh:GFP&gt;mKate2/mCitrine/Electra2/mKOK/mTFP1 (F1 of allele 314)</t>
  </si>
  <si>
    <t>ef1a:2xLynk:tdmChilada (F1 of allele 328)</t>
  </si>
  <si>
    <t>ef1a:&lt;exorh:GFP&gt;mKate2/Electra2/mKOK/mTFP1 (F1 of allele 316)</t>
  </si>
  <si>
    <t>ef1a:&lt;cryaa:mSc&gt;mKate2/Electra2/mKOK/mTFP1 (F1 of allele 318)</t>
  </si>
  <si>
    <t>ef1a:&lt;cryaa:mSc&gt;mKate2/Electra2/mKOK/mTFP1 (F1 of allele 319)</t>
  </si>
  <si>
    <t>ef1a:&lt;exorh:GFP&gt;mKate2/Electra2/mKOK/mTFP1 (F1 of allele 320)</t>
  </si>
  <si>
    <t>ef1a:&lt;exorh:GFP&gt;mKate2/Electra2/mKOK/mTFP1 (F1 of allele 321)</t>
  </si>
  <si>
    <t>hsp:PhiC-NLS;exorh:mScarlet (F1 of allele 322)</t>
  </si>
  <si>
    <t>hsp:PhiC-NLS;exorh:mScarlet (F1 of allele 323)</t>
  </si>
  <si>
    <t>memrane tdmScarlet3S2 (F1 of allele 327)</t>
  </si>
  <si>
    <t>tandem mem:mStayGold; tdmChilada(MAGPV):Histone (F1 of allele 326)</t>
  </si>
  <si>
    <t xml:space="preserve"> (F1 of allele 324;302)</t>
  </si>
  <si>
    <t>Astrocytes mKate2</t>
  </si>
  <si>
    <t>Neutrophils mChilada</t>
  </si>
  <si>
    <t>Skittles 4 FP cryaa:mScarlet</t>
  </si>
  <si>
    <t>Skittles 5 FP cryaa:mScarlet</t>
  </si>
  <si>
    <t>skittles 4 FP cryaa:mScarlet</t>
  </si>
  <si>
    <t>Neural Crest mChilada</t>
  </si>
  <si>
    <t>skittles 4FP exorh:GFP</t>
  </si>
  <si>
    <t>Skittles 5 FP exorH</t>
  </si>
  <si>
    <t>tandem mem:mStayGold; tdmChilada:Histone (F1 of allele 338)</t>
  </si>
  <si>
    <t>cell cycle state sensor + histone</t>
  </si>
  <si>
    <t>mem:mStayGold (1x) (F1 of allele 362)</t>
  </si>
  <si>
    <t>mem:mStayGold (1x)</t>
  </si>
  <si>
    <t>tandem mem:mStayGold; tdmChilada(MAGPV):Histone (F1 of allele 339)</t>
  </si>
  <si>
    <t>heatshock PhiC (F1 of allele 334)</t>
  </si>
  <si>
    <t>heatshock PhiC (F1 of allele 335)</t>
  </si>
  <si>
    <t>Skittles 4.1</t>
  </si>
  <si>
    <t>Skittles 4.1 (F1 of allele 330)</t>
  </si>
  <si>
    <t>Skittles 4.1 (F1 of allele 329)</t>
  </si>
  <si>
    <t>Skittles 4.1 (F1 of allele 331)</t>
  </si>
  <si>
    <t>Skittles 4.1 (F1 of allele 332)</t>
  </si>
  <si>
    <t>Skittles 4.1 (F1 of allele 333)</t>
  </si>
  <si>
    <t>csp/pIGLET 24b</t>
  </si>
  <si>
    <t>tdmScarlet3S2:H2B-tol2 x 301 mutl. alleles  (F1 of allele 331)</t>
  </si>
  <si>
    <t>mito:mSG (F1 of allele 358)</t>
  </si>
  <si>
    <t>mito:mScarlet3-S2</t>
  </si>
  <si>
    <t>mito:mScarlet3-S2 (F1 of allele 336)</t>
  </si>
  <si>
    <t>Skittles 4.1 (F1 of allele 337)</t>
  </si>
  <si>
    <t>membrane tandem mSG; mChilada H2B  (F1 of allele 338)</t>
  </si>
  <si>
    <t>membrane tandem mSG; mChilada H2B  (F1 of allele 339)</t>
  </si>
  <si>
    <t>mStayGold CDT1 (G0/G1 Fucci marker)  (F1 of allele 340)</t>
  </si>
  <si>
    <t>mStayGold CDT1 (G0/G1 Fucci marker)  (F1 of allele 341)</t>
  </si>
  <si>
    <t>membrane tandem mScarlet3-S2 (F1 of allele 342)</t>
  </si>
  <si>
    <t>membrane tandem mScarlet3-S2 (F1 of allele 343)</t>
  </si>
  <si>
    <t>tdmScarlet3S2:H2B-tol2 (F1 of allele 344)</t>
  </si>
  <si>
    <t>tdmScarlet3S2:H2B-tol2 (F1 of allele 345)</t>
  </si>
  <si>
    <t>Tg(pDQM155) ef1a-extended:DHB:tdmSG-tol2 (cell cycle indicator) (F1 of allele 347)</t>
  </si>
  <si>
    <t>Tg(pDQM155) ef1a-extended:DHB:tdmSG-tol2 (cell cycle indicator) (F1 of allele 348)</t>
  </si>
  <si>
    <t>tdmScarlet3S2:H2B-tol2 (F1 of allele 349)</t>
  </si>
  <si>
    <t>memSG; (F1 of allele 350)</t>
  </si>
  <si>
    <t xml:space="preserve"> (F1 of allele 351)</t>
  </si>
  <si>
    <t>tdmScarlet3-S2:PCNA-tol2 (F1 of allele 352)</t>
  </si>
  <si>
    <t>loxP-ef1a-extended-2xLynk:tdmSc3S2-SV40-lox2272 (F1 of allele 356)</t>
  </si>
  <si>
    <t>ef1a-extended-linker-mStayGold-C4linker-sec61b-SV40-attb-tol2 (F1 of allele 357)</t>
  </si>
  <si>
    <t xml:space="preserve"> (F1 of allele 360)</t>
  </si>
  <si>
    <t>ef1a-extended-linker-mStayGold-C4linker-alphatubulin-SV40-attb-tol2 (F1 of allele 361)</t>
  </si>
  <si>
    <t>Unique</t>
  </si>
  <si>
    <r>
      <rPr>
        <b/>
        <sz val="10"/>
        <color theme="1"/>
        <rFont val="Arial"/>
        <family val="2"/>
      </rPr>
      <t>Unique targets</t>
    </r>
    <r>
      <rPr>
        <sz val="10"/>
        <color theme="1"/>
        <rFont val="Arial"/>
        <family val="2"/>
      </rPr>
      <t xml:space="preserve"> (build array out of targets, then find unique values, filter away blanks, if error leave this blank)</t>
    </r>
  </si>
  <si>
    <t>spinal_cord</t>
  </si>
  <si>
    <t>neuromast</t>
  </si>
  <si>
    <t>skin</t>
  </si>
  <si>
    <t>tail</t>
  </si>
  <si>
    <t>eye</t>
  </si>
  <si>
    <t>notochord</t>
  </si>
  <si>
    <t>ear</t>
  </si>
  <si>
    <t>Do NOT edit values here.  Please edit "Injectable xxx" sheets in :</t>
  </si>
  <si>
    <r>
      <rPr>
        <b/>
        <sz val="10"/>
        <color theme="1"/>
        <rFont val="Arial"/>
        <family val="2"/>
      </rPr>
      <t>Unique targets</t>
    </r>
    <r>
      <rPr>
        <sz val="10"/>
        <color theme="1"/>
        <rFont val="Arial"/>
        <family val="2"/>
      </rPr>
      <t xml:space="preserve"> (build array out of targets, then find unique values, filter away blanks, if error leave this blank)</t>
    </r>
  </si>
  <si>
    <r>
      <rPr>
        <b/>
        <sz val="10"/>
        <color theme="1"/>
        <rFont val="Arial"/>
        <family val="2"/>
      </rPr>
      <t>Unique targets</t>
    </r>
    <r>
      <rPr>
        <sz val="10"/>
        <color theme="1"/>
        <rFont val="Arial"/>
        <family val="2"/>
      </rPr>
      <t xml:space="preserve"> (build array out of targets, then find unique values, filter away blanks, if error leave this blank)</t>
    </r>
  </si>
  <si>
    <r>
      <rPr>
        <b/>
        <sz val="10"/>
        <color theme="1"/>
        <rFont val="Arial"/>
        <family val="2"/>
      </rPr>
      <t>Unique targets</t>
    </r>
    <r>
      <rPr>
        <sz val="10"/>
        <color theme="1"/>
        <rFont val="Arial"/>
        <family val="2"/>
      </rPr>
      <t xml:space="preserve"> (build array out of targets, then find unique values, filter away blanks, if error leave this blank)</t>
    </r>
  </si>
  <si>
    <r>
      <rPr>
        <b/>
        <sz val="10"/>
        <color theme="1"/>
        <rFont val="Arial"/>
        <family val="2"/>
      </rPr>
      <t>Unique targets</t>
    </r>
    <r>
      <rPr>
        <sz val="10"/>
        <color theme="1"/>
        <rFont val="Arial"/>
        <family val="2"/>
      </rPr>
      <t xml:space="preserve"> (build array out of targets, then find unique values, filter away blanks, if error leave this blank)</t>
    </r>
  </si>
  <si>
    <t>https://docs.google.com/spreadsheets/d/1458f4-GkyML2z-1bvHCzaFbD7yQ8l37XUJsO63XH9oo/edit?gid=1468942121#gid=1468942121</t>
  </si>
  <si>
    <t>Filter set name</t>
  </si>
  <si>
    <t>Dichroic</t>
  </si>
  <si>
    <t>CamA filters position 1</t>
  </si>
  <si>
    <t>CamA filters position 2</t>
  </si>
  <si>
    <t>CamA filters position 3</t>
  </si>
  <si>
    <t>CamB filters position 1</t>
  </si>
  <si>
    <t>CamB filters position 2</t>
  </si>
  <si>
    <t>Emission on CamA</t>
  </si>
  <si>
    <t>Emission on CamB</t>
  </si>
  <si>
    <t>Stokes_shift (nm)</t>
  </si>
  <si>
    <t>Images split CamA and B using excitation</t>
  </si>
  <si>
    <t>457/530/628 nm</t>
  </si>
  <si>
    <t>405/488/561/635 nm quad-notch filter</t>
  </si>
  <si>
    <t>&lt; 565nm</t>
  </si>
  <si>
    <t>&gt; 575nm</t>
  </si>
  <si>
    <t>458 nm RazorEdge</t>
  </si>
  <si>
    <t>514 nm StopLine</t>
  </si>
  <si>
    <t>577/690 nm dual-band bandpass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</si>
</sst>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m/d/yyyy"/>
    <numFmt numFmtId="165" formatCode="yyyy&quot;-&quot;mm&quot;-&quot;dd"/>
    <numFmt numFmtId="166" formatCode="yyyy\-mm\-dd"/>
    <numFmt numFmtId="167" formatCode="mm/dd/yyyy"/>
    <numFmt numFmtId="168" formatCode="yyyy/m/d"/>
    <numFmt numFmtId="169" formatCode="mmmm&quot; &quot;d"/>
    <numFmt numFmtId="170" formatCode="m&quot;/&quot;d"/>
    <numFmt numFmtId="171" formatCode="h&quot;:&quot;mm&quot; &quot;AM/PM&quot; &quot;"/>
  </numFmts>
  <fonts count="2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0"/>
      <color theme="1"/>
      <name val="Arial"/>
      <family val="2"/>
    </font>
    <font>
      <sz val="23"/>
      <color rgb="FF000000"/>
      <name val="Roboto"/>
    </font>
    <font>
      <sz val="10"/>
      <name val="Arial"/>
      <family val="2"/>
    </font>
    <font>
      <sz val="11"/>
      <color rgb="FF000000"/>
      <name val="Roboto"/>
    </font>
    <font>
      <b/>
      <sz val="11"/>
      <color rgb="FF000000"/>
      <name val="Roboto"/>
    </font>
    <font>
      <sz val="10"/>
      <color rgb="FF000000"/>
      <name val="Roboto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FFFFFF"/>
      <name val="Roboto"/>
    </font>
    <font>
      <b/>
      <sz val="12"/>
      <color rgb="FF000000"/>
      <name val="Roboto"/>
    </font>
    <font>
      <u/>
      <sz val="10"/>
      <color theme="1"/>
      <name val="Arial"/>
      <family val="2"/>
      <scheme val="minor"/>
    </font>
    <font>
      <b/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E0F7FA"/>
        <bgColor rgb="FFE0F7FA"/>
      </patternFill>
    </fill>
    <fill>
      <patternFill patternType="solid">
        <fgColor rgb="FF0F9D58"/>
        <bgColor rgb="FF0F9D58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4">
    <border>
      <left/>
      <right/>
      <top/>
      <bottom/>
      <diagonal/>
    </border>
    <border>
      <left style="thin">
        <color rgb="FF004D40"/>
      </left>
      <right/>
      <top style="thin">
        <color rgb="FF004D40"/>
      </top>
      <bottom/>
      <diagonal/>
    </border>
    <border>
      <left/>
      <right/>
      <top style="thin">
        <color rgb="FF004D40"/>
      </top>
      <bottom/>
      <diagonal/>
    </border>
    <border>
      <left/>
      <right style="thin">
        <color rgb="FF004D40"/>
      </right>
      <top style="thin">
        <color rgb="FF004D40"/>
      </top>
      <bottom/>
      <diagonal/>
    </border>
    <border>
      <left style="thin">
        <color rgb="FF004D40"/>
      </left>
      <right/>
      <top/>
      <bottom/>
      <diagonal/>
    </border>
    <border>
      <left/>
      <right style="thin">
        <color rgb="FF004D40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F3F3F3"/>
      </bottom>
      <diagonal/>
    </border>
    <border>
      <left/>
      <right/>
      <top/>
      <bottom style="thin">
        <color rgb="FFF3F3F3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2" borderId="0" xfId="0" applyFont="1" applyFill="1"/>
    <xf numFmtId="0" fontId="3" fillId="0" borderId="0" xfId="0" applyFont="1" applyAlignment="1">
      <alignment wrapText="1"/>
    </xf>
    <xf numFmtId="165" fontId="1" fillId="0" borderId="0" xfId="0" applyNumberFormat="1" applyFont="1"/>
    <xf numFmtId="164" fontId="1" fillId="0" borderId="0" xfId="0" applyNumberFormat="1" applyFont="1"/>
    <xf numFmtId="18" fontId="1" fillId="0" borderId="0" xfId="0" applyNumberFormat="1" applyFont="1"/>
    <xf numFmtId="0" fontId="1" fillId="2" borderId="0" xfId="0" applyFont="1" applyFill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166" fontId="1" fillId="0" borderId="0" xfId="0" applyNumberFormat="1" applyFont="1"/>
    <xf numFmtId="0" fontId="5" fillId="0" borderId="0" xfId="0" applyFont="1"/>
    <xf numFmtId="167" fontId="1" fillId="0" borderId="0" xfId="0" applyNumberFormat="1" applyFont="1"/>
    <xf numFmtId="168" fontId="1" fillId="0" borderId="0" xfId="0" applyNumberFormat="1" applyFont="1"/>
    <xf numFmtId="0" fontId="1" fillId="3" borderId="0" xfId="0" applyFont="1" applyFill="1"/>
    <xf numFmtId="20" fontId="1" fillId="0" borderId="0" xfId="0" applyNumberFormat="1" applyFont="1"/>
    <xf numFmtId="14" fontId="1" fillId="0" borderId="0" xfId="0" applyNumberFormat="1" applyFont="1"/>
    <xf numFmtId="164" fontId="5" fillId="0" borderId="0" xfId="0" applyNumberFormat="1" applyFont="1" applyAlignment="1">
      <alignment horizontal="right"/>
    </xf>
    <xf numFmtId="18" fontId="5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5" fillId="4" borderId="1" xfId="0" applyFont="1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4" borderId="4" xfId="0" applyFont="1" applyFill="1" applyBorder="1" applyAlignment="1">
      <alignment vertical="top"/>
    </xf>
    <xf numFmtId="0" fontId="8" fillId="4" borderId="0" xfId="0" applyFont="1" applyFill="1" applyAlignment="1">
      <alignment horizontal="center" vertical="top"/>
    </xf>
    <xf numFmtId="169" fontId="9" fillId="4" borderId="0" xfId="0" applyNumberFormat="1" applyFont="1" applyFill="1" applyAlignment="1">
      <alignment vertical="top"/>
    </xf>
    <xf numFmtId="170" fontId="5" fillId="4" borderId="0" xfId="0" applyNumberFormat="1" applyFont="1" applyFill="1" applyAlignment="1">
      <alignment vertical="top"/>
    </xf>
    <xf numFmtId="0" fontId="5" fillId="4" borderId="5" xfId="0" applyFont="1" applyFill="1" applyBorder="1" applyAlignment="1">
      <alignment vertical="top"/>
    </xf>
    <xf numFmtId="170" fontId="5" fillId="0" borderId="0" xfId="0" applyNumberFormat="1" applyFont="1"/>
    <xf numFmtId="170" fontId="10" fillId="0" borderId="0" xfId="0" applyNumberFormat="1" applyFont="1" applyAlignment="1">
      <alignment horizontal="center"/>
    </xf>
    <xf numFmtId="0" fontId="5" fillId="0" borderId="6" xfId="0" applyFont="1" applyBorder="1"/>
    <xf numFmtId="0" fontId="9" fillId="0" borderId="6" xfId="0" applyFont="1" applyBorder="1" applyAlignment="1">
      <alignment horizontal="center" vertical="top"/>
    </xf>
    <xf numFmtId="0" fontId="5" fillId="0" borderId="7" xfId="0" applyFont="1" applyBorder="1"/>
    <xf numFmtId="171" fontId="5" fillId="5" borderId="8" xfId="0" applyNumberFormat="1" applyFont="1" applyFill="1" applyBorder="1"/>
    <xf numFmtId="0" fontId="5" fillId="5" borderId="8" xfId="0" applyFont="1" applyFill="1" applyBorder="1"/>
    <xf numFmtId="0" fontId="5" fillId="0" borderId="8" xfId="0" applyFont="1" applyBorder="1"/>
    <xf numFmtId="0" fontId="11" fillId="0" borderId="7" xfId="0" applyFont="1" applyBorder="1"/>
    <xf numFmtId="0" fontId="10" fillId="6" borderId="8" xfId="0" applyFont="1" applyFill="1" applyBorder="1" applyAlignment="1">
      <alignment horizontal="center"/>
    </xf>
    <xf numFmtId="0" fontId="12" fillId="6" borderId="8" xfId="0" applyFont="1" applyFill="1" applyBorder="1"/>
    <xf numFmtId="0" fontId="12" fillId="7" borderId="8" xfId="0" applyFont="1" applyFill="1" applyBorder="1"/>
    <xf numFmtId="0" fontId="11" fillId="8" borderId="8" xfId="0" applyFont="1" applyFill="1" applyBorder="1"/>
    <xf numFmtId="0" fontId="11" fillId="9" borderId="8" xfId="0" applyFont="1" applyFill="1" applyBorder="1"/>
    <xf numFmtId="0" fontId="5" fillId="10" borderId="8" xfId="0" applyFont="1" applyFill="1" applyBorder="1"/>
    <xf numFmtId="0" fontId="10" fillId="7" borderId="8" xfId="0" applyFont="1" applyFill="1" applyBorder="1" applyAlignment="1">
      <alignment horizontal="center"/>
    </xf>
    <xf numFmtId="0" fontId="11" fillId="0" borderId="9" xfId="0" applyFont="1" applyBorder="1"/>
    <xf numFmtId="0" fontId="11" fillId="5" borderId="8" xfId="0" applyFont="1" applyFill="1" applyBorder="1"/>
    <xf numFmtId="0" fontId="13" fillId="8" borderId="8" xfId="0" applyFont="1" applyFill="1" applyBorder="1" applyAlignment="1">
      <alignment horizontal="center"/>
    </xf>
    <xf numFmtId="0" fontId="11" fillId="0" borderId="8" xfId="0" applyFont="1" applyBorder="1"/>
    <xf numFmtId="0" fontId="13" fillId="0" borderId="9" xfId="0" applyFont="1" applyBorder="1"/>
    <xf numFmtId="0" fontId="10" fillId="6" borderId="9" xfId="0" applyFont="1" applyFill="1" applyBorder="1"/>
    <xf numFmtId="0" fontId="13" fillId="9" borderId="8" xfId="0" applyFont="1" applyFill="1" applyBorder="1" applyAlignment="1">
      <alignment horizontal="center"/>
    </xf>
    <xf numFmtId="18" fontId="11" fillId="5" borderId="8" xfId="0" applyNumberFormat="1" applyFont="1" applyFill="1" applyBorder="1"/>
    <xf numFmtId="171" fontId="5" fillId="10" borderId="8" xfId="0" applyNumberFormat="1" applyFont="1" applyFill="1" applyBorder="1"/>
    <xf numFmtId="0" fontId="5" fillId="10" borderId="9" xfId="0" applyFont="1" applyFill="1" applyBorder="1"/>
    <xf numFmtId="0" fontId="10" fillId="0" borderId="9" xfId="0" applyFont="1" applyBorder="1"/>
    <xf numFmtId="0" fontId="5" fillId="5" borderId="9" xfId="0" applyFont="1" applyFill="1" applyBorder="1"/>
    <xf numFmtId="0" fontId="5" fillId="5" borderId="0" xfId="0" applyFont="1" applyFill="1"/>
    <xf numFmtId="0" fontId="5" fillId="10" borderId="7" xfId="0" applyFont="1" applyFill="1" applyBorder="1"/>
    <xf numFmtId="171" fontId="5" fillId="0" borderId="10" xfId="0" applyNumberFormat="1" applyFont="1" applyBorder="1"/>
    <xf numFmtId="0" fontId="5" fillId="0" borderId="10" xfId="0" applyFont="1" applyBorder="1"/>
    <xf numFmtId="0" fontId="14" fillId="0" borderId="0" xfId="0" applyFont="1" applyAlignment="1">
      <alignment horizontal="center"/>
    </xf>
    <xf numFmtId="0" fontId="14" fillId="0" borderId="0" xfId="0" applyFont="1"/>
    <xf numFmtId="18" fontId="5" fillId="0" borderId="0" xfId="0" applyNumberFormat="1" applyFont="1"/>
    <xf numFmtId="0" fontId="5" fillId="11" borderId="0" xfId="0" applyFont="1" applyFill="1"/>
    <xf numFmtId="18" fontId="5" fillId="11" borderId="0" xfId="0" applyNumberFormat="1" applyFont="1" applyFill="1"/>
    <xf numFmtId="0" fontId="15" fillId="0" borderId="0" xfId="0" applyFont="1"/>
    <xf numFmtId="0" fontId="2" fillId="12" borderId="12" xfId="0" applyFont="1" applyFill="1" applyBorder="1" applyAlignment="1">
      <alignment wrapText="1"/>
    </xf>
    <xf numFmtId="0" fontId="2" fillId="12" borderId="0" xfId="0" applyFont="1" applyFill="1" applyAlignment="1">
      <alignment wrapText="1"/>
    </xf>
    <xf numFmtId="0" fontId="2" fillId="2" borderId="12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164" fontId="2" fillId="2" borderId="0" xfId="0" applyNumberFormat="1" applyFont="1" applyFill="1" applyAlignment="1">
      <alignment wrapText="1"/>
    </xf>
    <xf numFmtId="4" fontId="2" fillId="2" borderId="0" xfId="0" applyNumberFormat="1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3" fontId="2" fillId="2" borderId="0" xfId="0" applyNumberFormat="1" applyFont="1" applyFill="1" applyAlignment="1">
      <alignment wrapText="1"/>
    </xf>
    <xf numFmtId="0" fontId="1" fillId="12" borderId="12" xfId="0" applyFont="1" applyFill="1" applyBorder="1"/>
    <xf numFmtId="0" fontId="1" fillId="12" borderId="0" xfId="0" applyFont="1" applyFill="1"/>
    <xf numFmtId="0" fontId="1" fillId="2" borderId="12" xfId="0" applyFont="1" applyFill="1" applyBorder="1"/>
    <xf numFmtId="164" fontId="1" fillId="2" borderId="0" xfId="0" applyNumberFormat="1" applyFont="1" applyFill="1"/>
    <xf numFmtId="4" fontId="1" fillId="2" borderId="0" xfId="0" applyNumberFormat="1" applyFont="1" applyFill="1"/>
    <xf numFmtId="3" fontId="1" fillId="2" borderId="0" xfId="0" applyNumberFormat="1" applyFont="1" applyFill="1"/>
    <xf numFmtId="0" fontId="2" fillId="12" borderId="12" xfId="0" applyFont="1" applyFill="1" applyBorder="1"/>
    <xf numFmtId="0" fontId="2" fillId="12" borderId="0" xfId="0" applyFont="1" applyFill="1"/>
    <xf numFmtId="0" fontId="2" fillId="2" borderId="12" xfId="0" applyFont="1" applyFill="1" applyBorder="1"/>
    <xf numFmtId="164" fontId="2" fillId="2" borderId="0" xfId="0" applyNumberFormat="1" applyFont="1" applyFill="1"/>
    <xf numFmtId="3" fontId="2" fillId="2" borderId="0" xfId="0" applyNumberFormat="1" applyFont="1" applyFill="1"/>
    <xf numFmtId="4" fontId="2" fillId="2" borderId="0" xfId="0" applyNumberFormat="1" applyFont="1" applyFill="1"/>
    <xf numFmtId="0" fontId="2" fillId="3" borderId="0" xfId="0" applyFont="1" applyFill="1" applyAlignment="1">
      <alignment wrapText="1"/>
    </xf>
    <xf numFmtId="0" fontId="2" fillId="0" borderId="13" xfId="0" applyFont="1" applyBorder="1" applyAlignment="1">
      <alignment wrapText="1"/>
    </xf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16" fillId="0" borderId="0" xfId="0" applyFont="1" applyAlignment="1">
      <alignment wrapText="1"/>
    </xf>
    <xf numFmtId="0" fontId="1" fillId="0" borderId="13" xfId="0" applyFont="1" applyBorder="1"/>
    <xf numFmtId="0" fontId="1" fillId="13" borderId="0" xfId="0" applyFont="1" applyFill="1"/>
    <xf numFmtId="164" fontId="1" fillId="13" borderId="0" xfId="0" applyNumberFormat="1" applyFont="1" applyFill="1"/>
    <xf numFmtId="0" fontId="1" fillId="14" borderId="0" xfId="0" applyFont="1" applyFill="1"/>
    <xf numFmtId="0" fontId="1" fillId="15" borderId="0" xfId="0" applyFont="1" applyFill="1"/>
    <xf numFmtId="164" fontId="1" fillId="15" borderId="0" xfId="0" applyNumberFormat="1" applyFont="1" applyFill="1"/>
    <xf numFmtId="3" fontId="1" fillId="0" borderId="0" xfId="0" applyNumberFormat="1" applyFont="1"/>
    <xf numFmtId="3" fontId="17" fillId="0" borderId="0" xfId="0" applyNumberFormat="1" applyFont="1"/>
    <xf numFmtId="0" fontId="18" fillId="0" borderId="0" xfId="0" applyFont="1"/>
    <xf numFmtId="0" fontId="5" fillId="0" borderId="11" xfId="0" applyFont="1" applyBorder="1"/>
    <xf numFmtId="0" fontId="7" fillId="0" borderId="11" xfId="0" applyFont="1" applyBorder="1"/>
    <xf numFmtId="0" fontId="6" fillId="4" borderId="2" xfId="0" applyFont="1" applyFill="1" applyBorder="1" applyAlignment="1">
      <alignment horizontal="center"/>
    </xf>
    <xf numFmtId="0" fontId="7" fillId="0" borderId="2" xfId="0" applyFont="1" applyBorder="1"/>
    <xf numFmtId="0" fontId="5" fillId="4" borderId="0" xfId="0" applyFont="1" applyFill="1" applyAlignment="1">
      <alignment vertical="top"/>
    </xf>
    <xf numFmtId="0" fontId="0" fillId="0" borderId="0" xfId="0"/>
    <xf numFmtId="0" fontId="5" fillId="0" borderId="6" xfId="0" applyFont="1" applyBorder="1"/>
    <xf numFmtId="0" fontId="7" fillId="0" borderId="6" xfId="0" applyFont="1" applyBorder="1"/>
  </cellXfs>
  <cellStyles count="1">
    <cellStyle name="Normal" xfId="0" builtinId="0"/>
  </cellStyles>
  <dxfs count="2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Visual imaging schedule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2419350</xdr:colOff>
      <xdr:row>22</xdr:row>
      <xdr:rowOff>123825</xdr:rowOff>
    </xdr:from>
    <xdr:ext cx="4876800" cy="56864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0</xdr:row>
      <xdr:rowOff>19050</xdr:rowOff>
    </xdr:from>
    <xdr:ext cx="5295900" cy="452437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24</xdr:row>
      <xdr:rowOff>171450</xdr:rowOff>
    </xdr:from>
    <xdr:ext cx="4876800" cy="4057650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1647825" cy="800100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1704975" cy="714375"/>
    <xdr:pic>
      <xdr:nvPicPr>
        <xdr:cNvPr id="3" name="image7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704975" cy="704850"/>
    <xdr:pic>
      <xdr:nvPicPr>
        <xdr:cNvPr id="4" name="image6.png" title="Imag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704975" cy="781050"/>
    <xdr:pic>
      <xdr:nvPicPr>
        <xdr:cNvPr id="5" name="image12.png" title="Imag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704975" cy="1362075"/>
    <xdr:pic>
      <xdr:nvPicPr>
        <xdr:cNvPr id="6" name="image5.png" title="Imag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657350" cy="1447800"/>
    <xdr:pic>
      <xdr:nvPicPr>
        <xdr:cNvPr id="7" name="image4.png" title="Imag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609725" cy="1447800"/>
    <xdr:pic>
      <xdr:nvPicPr>
        <xdr:cNvPr id="8" name="image9.png" title="Imag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600200" cy="1447800"/>
    <xdr:pic>
      <xdr:nvPicPr>
        <xdr:cNvPr id="9" name="image11.png" title="Imag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676400" cy="800100"/>
    <xdr:pic>
      <xdr:nvPicPr>
        <xdr:cNvPr id="10" name="image10.png" title="Image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1533525" cy="800100"/>
    <xdr:pic>
      <xdr:nvPicPr>
        <xdr:cNvPr id="11" name="image13.png" title="Image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6192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902700" y="534975"/>
          <a:ext cx="39600" cy="49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:I26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Visual imaging schedu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cs.google.com/presentation/d/1-lWJQZq-35PWhwadwsFiYFfSMJmg1txZ/edi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458f4-GkyML2z-1bvHCzaFbD7yQ8l37XUJsO63XH9oo/edit?gid=1468942121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dex-hs.com/store/product-detail/nf03_405_488_561_635e_25/fl-009336" TargetMode="External"/><Relationship Id="rId3" Type="http://schemas.openxmlformats.org/officeDocument/2006/relationships/hyperlink" Target="https://www.idex-hs.com/store/product-detail/nf03_405_488_561_635e_25/fl-009336" TargetMode="External"/><Relationship Id="rId7" Type="http://schemas.openxmlformats.org/officeDocument/2006/relationships/hyperlink" Target="https://www.avr-optics.com/catalog/optical_filters/individual_filters/nf03_514e" TargetMode="External"/><Relationship Id="rId2" Type="http://schemas.openxmlformats.org/officeDocument/2006/relationships/hyperlink" Target="https://www.avr-optics.com/catalog/optical_filters/individual_filters/ff01_457_530_628" TargetMode="External"/><Relationship Id="rId1" Type="http://schemas.openxmlformats.org/officeDocument/2006/relationships/hyperlink" Target="https://www.idex-hs.com/store/product-detail/di02_r561_25x36/fl-007137" TargetMode="External"/><Relationship Id="rId6" Type="http://schemas.openxmlformats.org/officeDocument/2006/relationships/hyperlink" Target="https://www.avr-optics.com/catalog/optical_filters/individual_filters/lp03_458ru" TargetMode="External"/><Relationship Id="rId5" Type="http://schemas.openxmlformats.org/officeDocument/2006/relationships/hyperlink" Target="https://www.avr-optics.com/catalog/optical_filters/individual_filters/ff01_457_530_628" TargetMode="External"/><Relationship Id="rId4" Type="http://schemas.openxmlformats.org/officeDocument/2006/relationships/hyperlink" Target="https://www.idex-hs.com/store/product-detail/di02_r561_25x36/fl-007137" TargetMode="External"/><Relationship Id="rId9" Type="http://schemas.openxmlformats.org/officeDocument/2006/relationships/hyperlink" Target="https://www.avr-optics.com/catalog/optical_filters/individual_filters/ff01_577_6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1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2"/>
    </sheetView>
  </sheetViews>
  <sheetFormatPr baseColWidth="10" defaultColWidth="12.6640625" defaultRowHeight="15.75" customHeight="1" x14ac:dyDescent="0.15"/>
  <cols>
    <col min="1" max="1" width="22.33203125" customWidth="1"/>
    <col min="2" max="2" width="13" customWidth="1"/>
    <col min="3" max="3" width="44" customWidth="1"/>
    <col min="4" max="4" width="39.6640625" customWidth="1"/>
    <col min="5" max="5" width="23.6640625" customWidth="1"/>
    <col min="6" max="6" width="21.6640625" customWidth="1"/>
    <col min="7" max="7" width="15.1640625" customWidth="1"/>
    <col min="8" max="8" width="19.1640625" customWidth="1"/>
    <col min="9" max="9" width="10.83203125" customWidth="1"/>
    <col min="10" max="10" width="14.33203125" customWidth="1"/>
    <col min="11" max="11" width="18.1640625" customWidth="1"/>
    <col min="12" max="12" width="16.6640625" customWidth="1"/>
    <col min="13" max="13" width="13.1640625" customWidth="1"/>
    <col min="14" max="14" width="8.6640625" customWidth="1"/>
    <col min="15" max="15" width="5.1640625" customWidth="1"/>
    <col min="16" max="16" width="19.6640625" customWidth="1"/>
    <col min="17" max="17" width="50.1640625" customWidth="1"/>
    <col min="18" max="18" width="25.1640625" customWidth="1"/>
    <col min="19" max="19" width="17.6640625" customWidth="1"/>
    <col min="20" max="20" width="51" customWidth="1"/>
    <col min="21" max="21" width="14.1640625" customWidth="1"/>
    <col min="22" max="22" width="14.33203125" customWidth="1"/>
    <col min="23" max="23" width="47.5" customWidth="1"/>
    <col min="24" max="24" width="46.6640625" customWidth="1"/>
    <col min="25" max="25" width="44.1640625" customWidth="1"/>
    <col min="26" max="26" width="41.1640625" customWidth="1"/>
    <col min="27" max="27" width="54.6640625" customWidth="1"/>
    <col min="28" max="28" width="22.1640625" customWidth="1"/>
  </cols>
  <sheetData>
    <row r="1" spans="1:28" ht="42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2" t="s">
        <v>19</v>
      </c>
      <c r="U1" s="2" t="s">
        <v>20</v>
      </c>
      <c r="V1" s="3" t="s">
        <v>21</v>
      </c>
      <c r="W1" s="6" t="s">
        <v>22</v>
      </c>
      <c r="X1" s="6" t="s">
        <v>23</v>
      </c>
      <c r="Y1" s="3" t="s">
        <v>24</v>
      </c>
      <c r="Z1" s="3" t="s">
        <v>25</v>
      </c>
      <c r="AA1" s="3" t="s">
        <v>26</v>
      </c>
      <c r="AB1" s="2" t="s">
        <v>27</v>
      </c>
    </row>
    <row r="2" spans="1:28" ht="15.75" customHeight="1" x14ac:dyDescent="0.15">
      <c r="A2" s="7">
        <v>46013</v>
      </c>
      <c r="B2" s="1">
        <v>1</v>
      </c>
      <c r="C2" s="1" t="s">
        <v>28</v>
      </c>
      <c r="D2" s="1" t="s">
        <v>29</v>
      </c>
      <c r="E2" s="1"/>
      <c r="F2" s="1"/>
      <c r="G2" s="1" t="s">
        <v>30</v>
      </c>
      <c r="H2" s="1" t="s">
        <v>30</v>
      </c>
      <c r="I2" s="8">
        <v>46010</v>
      </c>
      <c r="J2" s="9">
        <v>0.5</v>
      </c>
      <c r="K2" s="1" t="s">
        <v>31</v>
      </c>
      <c r="M2" s="8"/>
      <c r="Q2" s="1"/>
      <c r="R2" s="10"/>
      <c r="S2" s="10"/>
      <c r="T2" s="1"/>
      <c r="U2" s="1"/>
      <c r="V2" s="11"/>
      <c r="W2" s="12"/>
      <c r="X2" s="12"/>
      <c r="Y2" s="11"/>
      <c r="Z2" s="11"/>
      <c r="AA2" s="11"/>
    </row>
    <row r="3" spans="1:28" ht="15.75" customHeight="1" x14ac:dyDescent="0.15">
      <c r="A3" s="7">
        <v>46013</v>
      </c>
      <c r="B3" s="1">
        <v>2</v>
      </c>
      <c r="C3" s="1" t="s">
        <v>28</v>
      </c>
      <c r="D3" s="1" t="s">
        <v>29</v>
      </c>
      <c r="E3" s="1"/>
      <c r="F3" s="1"/>
      <c r="G3" s="1" t="s">
        <v>30</v>
      </c>
      <c r="H3" s="1" t="s">
        <v>30</v>
      </c>
      <c r="I3" s="8">
        <v>46010</v>
      </c>
      <c r="J3" s="9">
        <v>0.5</v>
      </c>
      <c r="K3" s="1" t="s">
        <v>31</v>
      </c>
      <c r="M3" s="8"/>
      <c r="Q3" s="1"/>
      <c r="R3" s="10"/>
      <c r="S3" s="10"/>
      <c r="T3" s="1"/>
      <c r="U3" s="1"/>
      <c r="V3" s="11"/>
      <c r="W3" s="12"/>
      <c r="X3" s="12"/>
      <c r="Y3" s="11"/>
      <c r="Z3" s="11"/>
      <c r="AA3" s="11"/>
    </row>
    <row r="4" spans="1:28" ht="15.75" customHeight="1" x14ac:dyDescent="0.15">
      <c r="A4" s="7">
        <v>46010</v>
      </c>
      <c r="B4" s="1">
        <v>1</v>
      </c>
      <c r="C4" s="1" t="s">
        <v>32</v>
      </c>
      <c r="D4" s="1" t="s">
        <v>32</v>
      </c>
      <c r="E4" s="1"/>
      <c r="F4" s="1"/>
      <c r="G4" s="1" t="s">
        <v>30</v>
      </c>
      <c r="H4" s="1" t="s">
        <v>33</v>
      </c>
      <c r="I4" s="8">
        <v>46009</v>
      </c>
      <c r="J4" s="9">
        <v>0.54166666666666663</v>
      </c>
      <c r="K4" s="1" t="s">
        <v>34</v>
      </c>
      <c r="M4" s="8"/>
      <c r="Q4" s="1"/>
      <c r="R4" s="10"/>
      <c r="S4" s="10"/>
      <c r="T4" s="1"/>
      <c r="U4" s="1"/>
      <c r="V4" s="11"/>
      <c r="W4" s="12"/>
      <c r="X4" s="12"/>
      <c r="Y4" s="11"/>
      <c r="Z4" s="11"/>
      <c r="AA4" s="11"/>
    </row>
    <row r="5" spans="1:28" ht="15.75" customHeight="1" x14ac:dyDescent="0.15">
      <c r="A5" s="7">
        <v>46010</v>
      </c>
      <c r="B5" s="1">
        <v>2</v>
      </c>
      <c r="C5" s="1" t="s">
        <v>32</v>
      </c>
      <c r="D5" s="1" t="s">
        <v>32</v>
      </c>
      <c r="E5" s="1"/>
      <c r="F5" s="1"/>
      <c r="G5" s="1" t="s">
        <v>30</v>
      </c>
      <c r="H5" s="1" t="s">
        <v>35</v>
      </c>
      <c r="I5" s="8">
        <v>46009</v>
      </c>
      <c r="J5" s="9">
        <v>0.54166666666666663</v>
      </c>
      <c r="K5" s="1" t="s">
        <v>34</v>
      </c>
      <c r="M5" s="8"/>
      <c r="Q5" s="1"/>
      <c r="R5" s="10"/>
      <c r="S5" s="10"/>
      <c r="T5" s="1"/>
      <c r="U5" s="1"/>
      <c r="V5" s="11"/>
      <c r="W5" s="12"/>
      <c r="X5" s="12"/>
      <c r="Y5" s="11"/>
      <c r="Z5" s="11"/>
      <c r="AA5" s="11"/>
    </row>
    <row r="6" spans="1:28" ht="15.75" customHeight="1" x14ac:dyDescent="0.15">
      <c r="A6" s="7">
        <v>46009</v>
      </c>
      <c r="B6" s="1">
        <v>1</v>
      </c>
      <c r="C6" s="1" t="s">
        <v>28</v>
      </c>
      <c r="D6" s="1" t="s">
        <v>29</v>
      </c>
      <c r="E6" s="1"/>
      <c r="F6" s="1"/>
      <c r="G6" s="1" t="s">
        <v>30</v>
      </c>
      <c r="H6" s="1" t="s">
        <v>30</v>
      </c>
      <c r="I6" s="8">
        <v>46006</v>
      </c>
      <c r="J6" s="9">
        <v>0.41666666666666669</v>
      </c>
      <c r="K6" s="1" t="s">
        <v>31</v>
      </c>
      <c r="M6" s="8"/>
      <c r="Q6" s="1"/>
      <c r="R6" s="10"/>
      <c r="S6" s="10"/>
      <c r="T6" s="1"/>
      <c r="U6" s="1"/>
      <c r="V6" s="11"/>
      <c r="W6" s="12"/>
      <c r="X6" s="12"/>
      <c r="Y6" s="11"/>
      <c r="Z6" s="11"/>
      <c r="AA6" s="11"/>
    </row>
    <row r="7" spans="1:28" ht="15.75" customHeight="1" x14ac:dyDescent="0.15">
      <c r="A7" s="7">
        <v>46009</v>
      </c>
      <c r="B7" s="1">
        <v>2</v>
      </c>
      <c r="C7" s="1" t="s">
        <v>28</v>
      </c>
      <c r="D7" s="1" t="s">
        <v>29</v>
      </c>
      <c r="E7" s="1"/>
      <c r="F7" s="1"/>
      <c r="G7" s="1" t="s">
        <v>30</v>
      </c>
      <c r="H7" s="1" t="s">
        <v>30</v>
      </c>
      <c r="I7" s="8">
        <v>46006</v>
      </c>
      <c r="J7" s="9">
        <v>0.41666666666666669</v>
      </c>
      <c r="K7" s="1" t="s">
        <v>31</v>
      </c>
      <c r="M7" s="8"/>
      <c r="Q7" s="1"/>
      <c r="R7" s="10"/>
      <c r="S7" s="10"/>
      <c r="T7" s="1"/>
      <c r="U7" s="1"/>
      <c r="V7" s="11"/>
      <c r="W7" s="12"/>
      <c r="X7" s="12"/>
      <c r="Y7" s="11"/>
      <c r="Z7" s="11"/>
      <c r="AA7" s="11"/>
    </row>
    <row r="8" spans="1:28" ht="15.75" customHeight="1" x14ac:dyDescent="0.15">
      <c r="A8" s="7">
        <v>46008</v>
      </c>
      <c r="B8" s="1">
        <v>1</v>
      </c>
      <c r="C8" s="1" t="s">
        <v>28</v>
      </c>
      <c r="D8" s="1" t="s">
        <v>29</v>
      </c>
      <c r="E8" s="1"/>
      <c r="F8" s="1"/>
      <c r="G8" s="1" t="s">
        <v>30</v>
      </c>
      <c r="H8" s="1" t="s">
        <v>30</v>
      </c>
      <c r="I8" s="8">
        <v>46006</v>
      </c>
      <c r="J8" s="9">
        <v>0.41666666666666669</v>
      </c>
      <c r="K8" s="1" t="s">
        <v>34</v>
      </c>
      <c r="M8" s="8">
        <v>46008</v>
      </c>
      <c r="Q8" s="1" t="s">
        <v>36</v>
      </c>
      <c r="R8" s="10"/>
      <c r="S8" s="10"/>
      <c r="T8" s="1" t="s">
        <v>37</v>
      </c>
      <c r="U8" s="1"/>
      <c r="V8" s="11"/>
      <c r="W8" s="12"/>
      <c r="X8" s="12"/>
      <c r="Y8" s="11"/>
      <c r="Z8" s="11"/>
      <c r="AA8" s="11"/>
    </row>
    <row r="9" spans="1:28" ht="15.75" customHeight="1" x14ac:dyDescent="0.15">
      <c r="A9" s="7">
        <v>46008</v>
      </c>
      <c r="B9" s="1">
        <v>2</v>
      </c>
      <c r="C9" s="1" t="s">
        <v>28</v>
      </c>
      <c r="D9" s="1" t="s">
        <v>29</v>
      </c>
      <c r="E9" s="1"/>
      <c r="F9" s="1"/>
      <c r="G9" s="1" t="s">
        <v>30</v>
      </c>
      <c r="H9" s="1" t="s">
        <v>30</v>
      </c>
      <c r="I9" s="8">
        <v>46006</v>
      </c>
      <c r="J9" s="9">
        <v>0.41666666666666669</v>
      </c>
      <c r="K9" s="1" t="s">
        <v>34</v>
      </c>
      <c r="M9" s="8">
        <v>46008</v>
      </c>
      <c r="Q9" s="1"/>
      <c r="R9" s="10"/>
      <c r="S9" s="10"/>
      <c r="T9" s="1" t="s">
        <v>38</v>
      </c>
      <c r="U9" s="1"/>
      <c r="V9" s="11"/>
      <c r="W9" s="12"/>
      <c r="X9" s="12"/>
      <c r="Y9" s="11"/>
      <c r="Z9" s="11"/>
      <c r="AA9" s="11"/>
    </row>
    <row r="10" spans="1:28" ht="15.75" customHeight="1" x14ac:dyDescent="0.15">
      <c r="A10" s="7">
        <v>46007</v>
      </c>
      <c r="B10" s="1">
        <v>1</v>
      </c>
      <c r="C10" s="1" t="s">
        <v>39</v>
      </c>
      <c r="D10" s="1" t="s">
        <v>29</v>
      </c>
      <c r="E10" s="1"/>
      <c r="F10" s="1"/>
      <c r="G10" s="1" t="s">
        <v>30</v>
      </c>
      <c r="H10" s="1" t="s">
        <v>30</v>
      </c>
      <c r="I10" s="8">
        <v>46006</v>
      </c>
      <c r="J10" s="9">
        <v>0.41666666666666669</v>
      </c>
      <c r="K10" s="1" t="s">
        <v>34</v>
      </c>
      <c r="M10" s="8">
        <v>46007</v>
      </c>
      <c r="Q10" s="1" t="s">
        <v>36</v>
      </c>
      <c r="R10" s="10"/>
      <c r="S10" s="10"/>
      <c r="T10" s="1" t="s">
        <v>40</v>
      </c>
      <c r="U10" s="1">
        <v>5253</v>
      </c>
      <c r="V10" s="11"/>
      <c r="W10" s="12"/>
      <c r="X10" s="12"/>
      <c r="Y10" s="11"/>
      <c r="Z10" s="11"/>
      <c r="AA10" s="11"/>
    </row>
    <row r="11" spans="1:28" ht="15.75" customHeight="1" x14ac:dyDescent="0.15">
      <c r="A11" s="7">
        <v>46007</v>
      </c>
      <c r="B11" s="1">
        <v>2</v>
      </c>
      <c r="C11" s="1" t="s">
        <v>39</v>
      </c>
      <c r="D11" s="1" t="s">
        <v>29</v>
      </c>
      <c r="E11" s="1"/>
      <c r="F11" s="1"/>
      <c r="G11" s="1" t="s">
        <v>30</v>
      </c>
      <c r="H11" s="1" t="s">
        <v>30</v>
      </c>
      <c r="I11" s="8">
        <v>46006</v>
      </c>
      <c r="J11" s="9">
        <v>0.41666666666666669</v>
      </c>
      <c r="K11" s="1" t="s">
        <v>34</v>
      </c>
      <c r="M11" s="8">
        <v>46007</v>
      </c>
      <c r="Q11" s="1" t="s">
        <v>41</v>
      </c>
      <c r="R11" s="10"/>
      <c r="S11" s="10"/>
      <c r="T11" s="1" t="s">
        <v>42</v>
      </c>
      <c r="U11" s="1">
        <v>5365</v>
      </c>
      <c r="V11" s="11"/>
      <c r="W11" s="12"/>
      <c r="X11" s="12"/>
      <c r="Y11" s="11"/>
      <c r="Z11" s="11"/>
      <c r="AA11" s="11"/>
    </row>
    <row r="12" spans="1:28" ht="15.75" customHeight="1" x14ac:dyDescent="0.15">
      <c r="A12" s="7">
        <v>46003</v>
      </c>
      <c r="B12" s="1">
        <v>1</v>
      </c>
      <c r="C12" s="1" t="s">
        <v>28</v>
      </c>
      <c r="D12" s="1" t="s">
        <v>29</v>
      </c>
      <c r="E12" s="1"/>
      <c r="F12" s="1"/>
      <c r="G12" s="1" t="s">
        <v>30</v>
      </c>
      <c r="H12" s="1" t="s">
        <v>30</v>
      </c>
      <c r="I12" s="8">
        <v>45999</v>
      </c>
      <c r="J12" s="9">
        <v>0.41666666666666669</v>
      </c>
      <c r="K12" s="1" t="s">
        <v>31</v>
      </c>
      <c r="M12" s="8">
        <v>46003</v>
      </c>
      <c r="Q12" s="1" t="s">
        <v>43</v>
      </c>
      <c r="R12" s="10"/>
      <c r="S12" s="10"/>
      <c r="T12" s="1" t="s">
        <v>44</v>
      </c>
      <c r="U12" s="1">
        <v>5530</v>
      </c>
      <c r="V12" s="11"/>
      <c r="W12" s="12"/>
      <c r="X12" s="12"/>
      <c r="Y12" s="11"/>
      <c r="Z12" s="11"/>
      <c r="AA12" s="11"/>
    </row>
    <row r="13" spans="1:28" ht="15.75" customHeight="1" x14ac:dyDescent="0.15">
      <c r="A13" s="7">
        <v>46003</v>
      </c>
      <c r="B13" s="1">
        <v>2</v>
      </c>
      <c r="C13" s="1" t="s">
        <v>28</v>
      </c>
      <c r="D13" s="1" t="s">
        <v>29</v>
      </c>
      <c r="E13" s="1"/>
      <c r="F13" s="1"/>
      <c r="G13" s="1" t="s">
        <v>30</v>
      </c>
      <c r="H13" s="1" t="s">
        <v>30</v>
      </c>
      <c r="I13" s="8">
        <v>45999</v>
      </c>
      <c r="J13" s="9">
        <v>0.41666666666666669</v>
      </c>
      <c r="K13" s="1" t="s">
        <v>31</v>
      </c>
      <c r="L13" s="1"/>
      <c r="M13" s="8">
        <v>46003</v>
      </c>
      <c r="Q13" s="1" t="s">
        <v>43</v>
      </c>
      <c r="R13" s="10"/>
      <c r="S13" s="10"/>
      <c r="T13" s="1" t="s">
        <v>45</v>
      </c>
      <c r="U13" s="1">
        <v>11059</v>
      </c>
      <c r="V13" s="11"/>
      <c r="W13" s="12"/>
      <c r="X13" s="12"/>
      <c r="Y13" s="11"/>
      <c r="Z13" s="11"/>
      <c r="AA13" s="11"/>
    </row>
    <row r="14" spans="1:28" ht="15.75" customHeight="1" x14ac:dyDescent="0.15">
      <c r="A14" s="7">
        <v>46002</v>
      </c>
      <c r="B14" s="1">
        <v>1</v>
      </c>
      <c r="C14" s="1" t="s">
        <v>28</v>
      </c>
      <c r="D14" s="1" t="s">
        <v>29</v>
      </c>
      <c r="E14" s="1"/>
      <c r="F14" s="1"/>
      <c r="G14" s="1" t="s">
        <v>30</v>
      </c>
      <c r="H14" s="1" t="s">
        <v>30</v>
      </c>
      <c r="I14" s="8">
        <v>45999</v>
      </c>
      <c r="J14" s="9">
        <v>0.41666666666666669</v>
      </c>
      <c r="K14" s="1" t="s">
        <v>31</v>
      </c>
      <c r="L14" s="1"/>
      <c r="M14" s="8">
        <v>46002</v>
      </c>
      <c r="Q14" s="1" t="s">
        <v>36</v>
      </c>
      <c r="R14" s="10"/>
      <c r="S14" s="10"/>
      <c r="T14" s="1" t="s">
        <v>46</v>
      </c>
      <c r="U14" s="1">
        <v>4936</v>
      </c>
      <c r="V14" s="11"/>
      <c r="W14" s="12"/>
      <c r="X14" s="12"/>
      <c r="Y14" s="11"/>
      <c r="Z14" s="11"/>
      <c r="AA14" s="11"/>
    </row>
    <row r="15" spans="1:28" ht="15.75" customHeight="1" x14ac:dyDescent="0.15">
      <c r="A15" s="7">
        <v>46002</v>
      </c>
      <c r="B15" s="1">
        <v>2</v>
      </c>
      <c r="C15" s="1" t="s">
        <v>28</v>
      </c>
      <c r="D15" s="1" t="s">
        <v>29</v>
      </c>
      <c r="E15" s="1"/>
      <c r="F15" s="1"/>
      <c r="G15" s="1" t="s">
        <v>30</v>
      </c>
      <c r="H15" s="1" t="s">
        <v>30</v>
      </c>
      <c r="I15" s="8">
        <v>45999</v>
      </c>
      <c r="J15" s="9">
        <v>0.41666666666666669</v>
      </c>
      <c r="K15" s="1" t="s">
        <v>31</v>
      </c>
      <c r="L15" s="1"/>
      <c r="M15" s="8">
        <v>46002</v>
      </c>
      <c r="Q15" s="1" t="s">
        <v>36</v>
      </c>
      <c r="R15" s="10"/>
      <c r="S15" s="10"/>
      <c r="T15" s="1" t="s">
        <v>47</v>
      </c>
      <c r="U15" s="1">
        <v>7148</v>
      </c>
      <c r="V15" s="11"/>
      <c r="W15" s="12"/>
      <c r="X15" s="12"/>
      <c r="Y15" s="11"/>
      <c r="Z15" s="11"/>
      <c r="AA15" s="11"/>
    </row>
    <row r="16" spans="1:28" ht="15.75" customHeight="1" x14ac:dyDescent="0.15">
      <c r="A16" s="7">
        <v>46002</v>
      </c>
      <c r="B16" s="1">
        <v>3</v>
      </c>
      <c r="C16" s="1" t="s">
        <v>32</v>
      </c>
      <c r="D16" s="1" t="s">
        <v>48</v>
      </c>
      <c r="E16" s="1"/>
      <c r="F16" s="1"/>
      <c r="G16" s="1" t="s">
        <v>30</v>
      </c>
      <c r="H16" s="1" t="s">
        <v>30</v>
      </c>
      <c r="I16" s="8">
        <v>46001</v>
      </c>
      <c r="J16" s="9">
        <v>0.41666666666666669</v>
      </c>
      <c r="K16" s="1" t="s">
        <v>34</v>
      </c>
      <c r="L16" s="1"/>
      <c r="M16" s="8">
        <v>46002</v>
      </c>
      <c r="Q16" s="1"/>
      <c r="R16" s="10"/>
      <c r="S16" s="10"/>
      <c r="T16" s="1" t="s">
        <v>49</v>
      </c>
      <c r="U16" s="1"/>
      <c r="V16" s="11"/>
      <c r="W16" s="12"/>
      <c r="X16" s="12"/>
      <c r="Y16" s="11"/>
      <c r="Z16" s="11"/>
      <c r="AA16" s="11"/>
    </row>
    <row r="17" spans="1:27" ht="15.75" customHeight="1" x14ac:dyDescent="0.15">
      <c r="A17" s="7">
        <v>46001</v>
      </c>
      <c r="B17" s="1">
        <v>1</v>
      </c>
      <c r="C17" s="1" t="s">
        <v>28</v>
      </c>
      <c r="D17" s="1" t="s">
        <v>29</v>
      </c>
      <c r="E17" s="1"/>
      <c r="F17" s="1"/>
      <c r="G17" s="1" t="s">
        <v>30</v>
      </c>
      <c r="H17" s="1" t="s">
        <v>30</v>
      </c>
      <c r="I17" s="8">
        <v>45999</v>
      </c>
      <c r="J17" s="9">
        <v>0.41666666666666669</v>
      </c>
      <c r="K17" s="1" t="s">
        <v>34</v>
      </c>
      <c r="L17" s="1"/>
      <c r="M17" s="8">
        <v>46001</v>
      </c>
      <c r="Q17" s="1" t="s">
        <v>50</v>
      </c>
      <c r="R17" s="10"/>
      <c r="S17" s="10"/>
      <c r="T17" s="1" t="s">
        <v>51</v>
      </c>
      <c r="U17" s="1">
        <v>5161</v>
      </c>
      <c r="V17" s="11"/>
      <c r="W17" s="12"/>
      <c r="X17" s="12"/>
      <c r="Y17" s="11"/>
      <c r="Z17" s="11"/>
      <c r="AA17" s="11"/>
    </row>
    <row r="18" spans="1:27" ht="15.75" customHeight="1" x14ac:dyDescent="0.15">
      <c r="A18" s="7">
        <v>46001</v>
      </c>
      <c r="B18" s="1">
        <v>2</v>
      </c>
      <c r="C18" s="1" t="s">
        <v>28</v>
      </c>
      <c r="D18" s="1" t="s">
        <v>29</v>
      </c>
      <c r="E18" s="1"/>
      <c r="F18" s="1"/>
      <c r="G18" s="1" t="s">
        <v>30</v>
      </c>
      <c r="H18" s="1" t="s">
        <v>30</v>
      </c>
      <c r="I18" s="8">
        <v>45999</v>
      </c>
      <c r="J18" s="9">
        <v>0.41666666666666669</v>
      </c>
      <c r="K18" s="1" t="s">
        <v>34</v>
      </c>
      <c r="L18" s="1"/>
      <c r="M18" s="8">
        <v>46001</v>
      </c>
      <c r="Q18" s="1" t="s">
        <v>50</v>
      </c>
      <c r="R18" s="10"/>
      <c r="S18" s="10"/>
      <c r="T18" s="1" t="s">
        <v>52</v>
      </c>
      <c r="U18" s="1">
        <v>6743</v>
      </c>
      <c r="V18" s="11"/>
      <c r="W18" s="12"/>
      <c r="X18" s="12"/>
      <c r="Y18" s="11"/>
      <c r="Z18" s="11"/>
      <c r="AA18" s="11"/>
    </row>
    <row r="19" spans="1:27" ht="15.75" customHeight="1" x14ac:dyDescent="0.15">
      <c r="A19" s="7">
        <v>46000</v>
      </c>
      <c r="B19" s="1">
        <v>1</v>
      </c>
      <c r="C19" s="1" t="s">
        <v>39</v>
      </c>
      <c r="D19" s="1" t="s">
        <v>29</v>
      </c>
      <c r="E19" s="1"/>
      <c r="F19" s="1"/>
      <c r="G19" s="1" t="s">
        <v>30</v>
      </c>
      <c r="H19" s="1" t="s">
        <v>30</v>
      </c>
      <c r="I19" s="8">
        <v>45999</v>
      </c>
      <c r="J19" s="9">
        <v>0.41666666666666669</v>
      </c>
      <c r="K19" s="1" t="s">
        <v>34</v>
      </c>
      <c r="L19" s="1"/>
      <c r="M19" s="8">
        <v>46000</v>
      </c>
      <c r="Q19" s="1" t="s">
        <v>50</v>
      </c>
      <c r="R19" s="10"/>
      <c r="S19" s="10"/>
      <c r="T19" s="1" t="s">
        <v>53</v>
      </c>
      <c r="U19" s="1">
        <v>7976</v>
      </c>
      <c r="V19" s="11"/>
      <c r="W19" s="12"/>
      <c r="X19" s="12"/>
      <c r="Y19" s="11"/>
      <c r="Z19" s="11"/>
      <c r="AA19" s="11"/>
    </row>
    <row r="20" spans="1:27" ht="15.75" customHeight="1" x14ac:dyDescent="0.15">
      <c r="A20" s="7">
        <v>46000</v>
      </c>
      <c r="B20" s="1">
        <v>2</v>
      </c>
      <c r="C20" s="1" t="s">
        <v>39</v>
      </c>
      <c r="D20" s="1" t="s">
        <v>29</v>
      </c>
      <c r="E20" s="1"/>
      <c r="F20" s="1"/>
      <c r="G20" s="1" t="s">
        <v>30</v>
      </c>
      <c r="H20" s="1" t="s">
        <v>30</v>
      </c>
      <c r="I20" s="8">
        <v>45999</v>
      </c>
      <c r="J20" s="9">
        <v>0.41666666666666669</v>
      </c>
      <c r="K20" s="1" t="s">
        <v>34</v>
      </c>
      <c r="L20" s="1"/>
      <c r="M20" s="8">
        <v>46000</v>
      </c>
      <c r="Q20" s="1" t="s">
        <v>54</v>
      </c>
      <c r="R20" s="10"/>
      <c r="S20" s="10"/>
      <c r="T20" s="1" t="s">
        <v>55</v>
      </c>
      <c r="U20" s="1">
        <v>3246</v>
      </c>
      <c r="V20" s="11"/>
      <c r="W20" s="12"/>
      <c r="X20" s="12"/>
      <c r="Y20" s="11"/>
      <c r="Z20" s="11"/>
      <c r="AA20" s="11"/>
    </row>
    <row r="21" spans="1:27" ht="15.75" customHeight="1" x14ac:dyDescent="0.15">
      <c r="A21" s="7">
        <v>45999</v>
      </c>
      <c r="B21" s="1">
        <v>1</v>
      </c>
      <c r="C21" s="1" t="s">
        <v>39</v>
      </c>
      <c r="D21" s="1" t="s">
        <v>29</v>
      </c>
      <c r="E21" s="1"/>
      <c r="F21" s="1"/>
      <c r="G21" s="1" t="s">
        <v>30</v>
      </c>
      <c r="H21" s="1" t="s">
        <v>30</v>
      </c>
      <c r="I21" s="8">
        <v>45998</v>
      </c>
      <c r="J21" s="9">
        <v>0.41666666666666669</v>
      </c>
      <c r="K21" s="1" t="s">
        <v>56</v>
      </c>
      <c r="L21" s="1"/>
      <c r="M21" s="8">
        <v>45999</v>
      </c>
      <c r="Q21" s="1" t="s">
        <v>57</v>
      </c>
      <c r="R21" s="10"/>
      <c r="S21" s="10"/>
      <c r="T21" s="1" t="s">
        <v>58</v>
      </c>
      <c r="U21" s="1">
        <v>2591</v>
      </c>
      <c r="V21" s="11"/>
      <c r="W21" s="12"/>
      <c r="X21" s="12"/>
      <c r="Y21" s="11"/>
      <c r="Z21" s="11"/>
      <c r="AA21" s="11"/>
    </row>
    <row r="22" spans="1:27" ht="15.75" customHeight="1" x14ac:dyDescent="0.15">
      <c r="A22" s="7">
        <v>45999</v>
      </c>
      <c r="B22" s="1">
        <v>2</v>
      </c>
      <c r="C22" s="1" t="s">
        <v>39</v>
      </c>
      <c r="D22" s="1" t="s">
        <v>29</v>
      </c>
      <c r="E22" s="1"/>
      <c r="F22" s="1"/>
      <c r="G22" s="1" t="s">
        <v>30</v>
      </c>
      <c r="H22" s="1" t="s">
        <v>30</v>
      </c>
      <c r="I22" s="8">
        <v>45998</v>
      </c>
      <c r="J22" s="9">
        <v>0.41666666666666669</v>
      </c>
      <c r="K22" s="1" t="s">
        <v>56</v>
      </c>
      <c r="L22" s="1"/>
      <c r="M22" s="8">
        <v>45999</v>
      </c>
      <c r="Q22" s="1" t="s">
        <v>57</v>
      </c>
      <c r="R22" s="10"/>
      <c r="S22" s="10"/>
      <c r="T22" s="1" t="s">
        <v>59</v>
      </c>
      <c r="U22" s="1">
        <v>3482</v>
      </c>
      <c r="V22" s="11"/>
      <c r="W22" s="12"/>
      <c r="X22" s="12"/>
      <c r="Y22" s="11"/>
      <c r="Z22" s="11"/>
      <c r="AA22" s="11"/>
    </row>
    <row r="23" spans="1:27" ht="15.75" customHeight="1" x14ac:dyDescent="0.15">
      <c r="A23" s="7">
        <v>45996</v>
      </c>
      <c r="B23" s="1">
        <v>1</v>
      </c>
      <c r="C23" s="1" t="s">
        <v>28</v>
      </c>
      <c r="D23" s="1" t="s">
        <v>29</v>
      </c>
      <c r="E23" s="1"/>
      <c r="F23" s="1"/>
      <c r="G23" s="1" t="s">
        <v>30</v>
      </c>
      <c r="H23" s="1" t="s">
        <v>30</v>
      </c>
      <c r="I23" s="8">
        <v>45992</v>
      </c>
      <c r="J23" s="9">
        <v>0.41666666666666669</v>
      </c>
      <c r="K23" s="1" t="s">
        <v>31</v>
      </c>
      <c r="L23" s="1"/>
      <c r="M23" s="8">
        <v>45996</v>
      </c>
      <c r="Q23" s="1"/>
      <c r="R23" s="10"/>
      <c r="S23" s="10"/>
      <c r="T23" s="1" t="s">
        <v>60</v>
      </c>
      <c r="U23" s="1"/>
      <c r="V23" s="11"/>
      <c r="W23" s="12"/>
      <c r="X23" s="12"/>
      <c r="Y23" s="11"/>
      <c r="Z23" s="11"/>
      <c r="AA23" s="11"/>
    </row>
    <row r="24" spans="1:27" ht="15.75" customHeight="1" x14ac:dyDescent="0.15">
      <c r="A24" s="7">
        <v>45996</v>
      </c>
      <c r="B24" s="1">
        <v>2</v>
      </c>
      <c r="C24" s="1" t="s">
        <v>28</v>
      </c>
      <c r="D24" s="1" t="s">
        <v>29</v>
      </c>
      <c r="E24" s="1"/>
      <c r="F24" s="1"/>
      <c r="G24" s="1" t="s">
        <v>30</v>
      </c>
      <c r="H24" s="1" t="s">
        <v>30</v>
      </c>
      <c r="I24" s="8">
        <v>45992</v>
      </c>
      <c r="J24" s="9">
        <v>0.41666666666666669</v>
      </c>
      <c r="K24" s="1" t="s">
        <v>31</v>
      </c>
      <c r="L24" s="1"/>
      <c r="M24" s="8">
        <v>45996</v>
      </c>
      <c r="Q24" s="1"/>
      <c r="R24" s="10"/>
      <c r="S24" s="10"/>
      <c r="T24" s="1" t="s">
        <v>61</v>
      </c>
      <c r="U24" s="1"/>
      <c r="V24" s="11"/>
      <c r="W24" s="12"/>
      <c r="X24" s="12"/>
      <c r="Y24" s="11"/>
      <c r="Z24" s="11"/>
      <c r="AA24" s="11"/>
    </row>
    <row r="25" spans="1:27" ht="15.75" customHeight="1" x14ac:dyDescent="0.15">
      <c r="A25" s="7">
        <v>45995</v>
      </c>
      <c r="B25" s="1">
        <v>1</v>
      </c>
      <c r="C25" s="1" t="s">
        <v>62</v>
      </c>
      <c r="D25" s="1" t="s">
        <v>63</v>
      </c>
      <c r="E25" s="1"/>
      <c r="F25" s="1" t="s">
        <v>64</v>
      </c>
      <c r="G25" s="1" t="s">
        <v>30</v>
      </c>
      <c r="H25" s="1" t="s">
        <v>30</v>
      </c>
      <c r="I25" s="8">
        <v>45994</v>
      </c>
      <c r="J25" s="9">
        <v>0.41666666666666669</v>
      </c>
      <c r="K25" s="1" t="s">
        <v>34</v>
      </c>
      <c r="L25" s="1"/>
      <c r="M25" s="8">
        <v>45995</v>
      </c>
      <c r="Q25" s="1"/>
      <c r="R25" s="10"/>
      <c r="S25" s="10"/>
      <c r="T25" s="1" t="s">
        <v>65</v>
      </c>
      <c r="U25" s="1"/>
      <c r="V25" s="11"/>
      <c r="W25" s="12"/>
      <c r="X25" s="12"/>
      <c r="Y25" s="11"/>
      <c r="Z25" s="11"/>
      <c r="AA25" s="11"/>
    </row>
    <row r="26" spans="1:27" ht="15.75" customHeight="1" x14ac:dyDescent="0.15">
      <c r="A26" s="7">
        <v>45995</v>
      </c>
      <c r="B26" s="1">
        <v>2</v>
      </c>
      <c r="C26" s="1" t="s">
        <v>29</v>
      </c>
      <c r="D26" s="1" t="s">
        <v>28</v>
      </c>
      <c r="E26" s="1"/>
      <c r="F26" s="1"/>
      <c r="G26" s="1" t="s">
        <v>30</v>
      </c>
      <c r="H26" s="1" t="s">
        <v>30</v>
      </c>
      <c r="I26" s="8">
        <v>45992</v>
      </c>
      <c r="J26" s="9">
        <v>0.41666666666666669</v>
      </c>
      <c r="K26" s="1" t="s">
        <v>34</v>
      </c>
      <c r="L26" s="1"/>
      <c r="M26" s="8">
        <v>45995</v>
      </c>
      <c r="Q26" s="1"/>
      <c r="R26" s="10"/>
      <c r="S26" s="10"/>
      <c r="T26" s="1" t="s">
        <v>66</v>
      </c>
      <c r="U26" s="1"/>
      <c r="V26" s="11"/>
      <c r="W26" s="12"/>
      <c r="X26" s="12"/>
      <c r="Y26" s="11"/>
      <c r="Z26" s="11"/>
      <c r="AA26" s="11"/>
    </row>
    <row r="27" spans="1:27" ht="15.75" customHeight="1" x14ac:dyDescent="0.15">
      <c r="A27" s="7">
        <v>45994</v>
      </c>
      <c r="B27" s="1">
        <v>1</v>
      </c>
      <c r="C27" s="1" t="s">
        <v>32</v>
      </c>
      <c r="D27" s="1" t="s">
        <v>63</v>
      </c>
      <c r="E27" s="1" t="s">
        <v>67</v>
      </c>
      <c r="F27" s="1"/>
      <c r="G27" s="1" t="s">
        <v>30</v>
      </c>
      <c r="H27" s="1" t="s">
        <v>30</v>
      </c>
      <c r="I27" s="8">
        <v>45992</v>
      </c>
      <c r="J27" s="9">
        <v>0.41666666666666669</v>
      </c>
      <c r="K27" s="1" t="s">
        <v>34</v>
      </c>
      <c r="L27" s="1"/>
      <c r="M27" s="8">
        <v>45994</v>
      </c>
      <c r="Q27" s="1" t="s">
        <v>68</v>
      </c>
      <c r="R27" s="10"/>
      <c r="S27" s="10"/>
      <c r="T27" s="1" t="s">
        <v>69</v>
      </c>
      <c r="U27" s="1">
        <v>8100</v>
      </c>
      <c r="V27" s="11"/>
      <c r="W27" s="12"/>
      <c r="X27" s="12"/>
      <c r="Y27" s="11"/>
      <c r="Z27" s="11"/>
      <c r="AA27" s="11"/>
    </row>
    <row r="28" spans="1:27" ht="15.75" customHeight="1" x14ac:dyDescent="0.15">
      <c r="A28" s="7">
        <v>45994</v>
      </c>
      <c r="B28" s="1">
        <v>2</v>
      </c>
      <c r="C28" s="1" t="s">
        <v>32</v>
      </c>
      <c r="D28" s="1" t="s">
        <v>63</v>
      </c>
      <c r="E28" s="1" t="s">
        <v>67</v>
      </c>
      <c r="F28" s="1"/>
      <c r="G28" s="1" t="s">
        <v>30</v>
      </c>
      <c r="H28" s="1" t="s">
        <v>30</v>
      </c>
      <c r="I28" s="8">
        <v>45992</v>
      </c>
      <c r="J28" s="9">
        <v>0.41666666666666669</v>
      </c>
      <c r="K28" s="1" t="s">
        <v>34</v>
      </c>
      <c r="L28" s="1"/>
      <c r="M28" s="8">
        <v>45994</v>
      </c>
      <c r="Q28" s="1" t="s">
        <v>68</v>
      </c>
      <c r="R28" s="10"/>
      <c r="S28" s="10"/>
      <c r="T28" s="1" t="s">
        <v>70</v>
      </c>
      <c r="U28" s="1">
        <v>7393</v>
      </c>
      <c r="V28" s="11"/>
      <c r="W28" s="12"/>
      <c r="X28" s="12"/>
      <c r="Y28" s="11"/>
      <c r="Z28" s="11"/>
      <c r="AA28" s="11"/>
    </row>
    <row r="29" spans="1:27" ht="15.75" customHeight="1" x14ac:dyDescent="0.15">
      <c r="A29" s="7">
        <v>45993</v>
      </c>
      <c r="B29" s="1">
        <v>1</v>
      </c>
      <c r="C29" s="1" t="s">
        <v>32</v>
      </c>
      <c r="D29" s="1" t="s">
        <v>63</v>
      </c>
      <c r="E29" s="1" t="s">
        <v>67</v>
      </c>
      <c r="F29" s="1"/>
      <c r="G29" s="1" t="s">
        <v>30</v>
      </c>
      <c r="H29" s="1" t="s">
        <v>30</v>
      </c>
      <c r="I29" s="8">
        <v>45992</v>
      </c>
      <c r="J29" s="9">
        <v>0.45833333333333331</v>
      </c>
      <c r="K29" s="1" t="s">
        <v>34</v>
      </c>
      <c r="L29" s="1"/>
      <c r="M29" s="8">
        <v>45993</v>
      </c>
      <c r="Q29" s="1" t="s">
        <v>71</v>
      </c>
      <c r="R29" s="10"/>
      <c r="S29" s="10"/>
      <c r="T29" s="1" t="s">
        <v>72</v>
      </c>
      <c r="U29" s="1">
        <v>5960</v>
      </c>
      <c r="V29" s="11"/>
      <c r="W29" s="12"/>
      <c r="X29" s="12"/>
      <c r="Y29" s="11"/>
      <c r="Z29" s="11"/>
      <c r="AA29" s="11"/>
    </row>
    <row r="30" spans="1:27" ht="15.75" customHeight="1" x14ac:dyDescent="0.15">
      <c r="A30" s="13">
        <v>45993</v>
      </c>
      <c r="B30" s="1">
        <v>2</v>
      </c>
      <c r="C30" s="1" t="s">
        <v>32</v>
      </c>
      <c r="D30" s="1" t="s">
        <v>63</v>
      </c>
      <c r="E30" s="1" t="s">
        <v>67</v>
      </c>
      <c r="F30" s="1"/>
      <c r="G30" s="1" t="s">
        <v>30</v>
      </c>
      <c r="H30" s="1" t="s">
        <v>30</v>
      </c>
      <c r="I30" s="8">
        <v>45992</v>
      </c>
      <c r="J30" s="9">
        <v>0.45833333333333331</v>
      </c>
      <c r="K30" s="1" t="s">
        <v>34</v>
      </c>
      <c r="L30" s="1"/>
      <c r="M30" s="8">
        <v>45993</v>
      </c>
      <c r="Q30" s="1" t="s">
        <v>71</v>
      </c>
      <c r="R30" s="10"/>
      <c r="S30" s="10"/>
      <c r="T30" s="1" t="s">
        <v>73</v>
      </c>
      <c r="U30" s="1">
        <v>5100</v>
      </c>
      <c r="V30" s="11"/>
      <c r="W30" s="12"/>
      <c r="X30" s="12"/>
      <c r="Y30" s="11"/>
      <c r="Z30" s="11"/>
      <c r="AA30" s="11"/>
    </row>
    <row r="31" spans="1:27" ht="15.75" customHeight="1" x14ac:dyDescent="0.15">
      <c r="A31" s="7">
        <v>45989</v>
      </c>
      <c r="B31" s="1">
        <v>1</v>
      </c>
      <c r="C31" s="1" t="s">
        <v>28</v>
      </c>
      <c r="D31" s="1" t="s">
        <v>29</v>
      </c>
      <c r="E31" s="1"/>
      <c r="F31" s="1"/>
      <c r="G31" s="1" t="s">
        <v>30</v>
      </c>
      <c r="H31" s="1" t="s">
        <v>30</v>
      </c>
      <c r="I31" s="8">
        <v>45987</v>
      </c>
      <c r="J31" s="9">
        <v>0.45833333333333331</v>
      </c>
      <c r="K31" s="1" t="s">
        <v>34</v>
      </c>
      <c r="L31" s="1"/>
      <c r="M31" s="8">
        <v>45989</v>
      </c>
      <c r="Q31" s="1" t="s">
        <v>68</v>
      </c>
      <c r="R31" s="10"/>
      <c r="S31" s="10"/>
      <c r="T31" s="1" t="s">
        <v>74</v>
      </c>
      <c r="U31" s="1">
        <v>6461</v>
      </c>
      <c r="V31" s="11"/>
      <c r="W31" s="12"/>
      <c r="X31" s="12"/>
      <c r="Y31" s="11"/>
      <c r="Z31" s="11"/>
      <c r="AA31" s="11"/>
    </row>
    <row r="32" spans="1:27" ht="15.75" customHeight="1" x14ac:dyDescent="0.15">
      <c r="A32" s="7">
        <v>45989</v>
      </c>
      <c r="B32" s="1">
        <v>2</v>
      </c>
      <c r="C32" s="1" t="s">
        <v>28</v>
      </c>
      <c r="D32" s="1" t="s">
        <v>29</v>
      </c>
      <c r="E32" s="1"/>
      <c r="F32" s="1"/>
      <c r="G32" s="1" t="s">
        <v>30</v>
      </c>
      <c r="H32" s="1" t="s">
        <v>30</v>
      </c>
      <c r="I32" s="8">
        <v>45987</v>
      </c>
      <c r="J32" s="9">
        <v>0.45833333333333331</v>
      </c>
      <c r="K32" s="1" t="s">
        <v>34</v>
      </c>
      <c r="L32" s="1"/>
      <c r="M32" s="8">
        <v>45989</v>
      </c>
      <c r="Q32" s="1" t="s">
        <v>75</v>
      </c>
      <c r="R32" s="10"/>
      <c r="S32" s="10"/>
      <c r="T32" s="1" t="s">
        <v>76</v>
      </c>
      <c r="U32" s="1">
        <v>5867</v>
      </c>
      <c r="V32" s="11"/>
      <c r="W32" s="12"/>
      <c r="X32" s="12"/>
      <c r="Y32" s="11"/>
      <c r="Z32" s="11"/>
      <c r="AA32" s="11"/>
    </row>
    <row r="33" spans="1:27" ht="15.75" customHeight="1" x14ac:dyDescent="0.15">
      <c r="A33" s="7">
        <v>45987</v>
      </c>
      <c r="B33" s="1">
        <v>1</v>
      </c>
      <c r="C33" s="1" t="s">
        <v>39</v>
      </c>
      <c r="D33" s="1" t="s">
        <v>29</v>
      </c>
      <c r="E33" s="1"/>
      <c r="F33" s="1"/>
      <c r="G33" s="1" t="s">
        <v>30</v>
      </c>
      <c r="H33" s="1" t="s">
        <v>30</v>
      </c>
      <c r="I33" s="8">
        <v>45982</v>
      </c>
      <c r="J33" s="9">
        <v>0.45833333333333331</v>
      </c>
      <c r="K33" s="1" t="s">
        <v>77</v>
      </c>
      <c r="L33" s="1"/>
      <c r="M33" s="8">
        <v>45987</v>
      </c>
      <c r="Q33" s="1" t="s">
        <v>43</v>
      </c>
      <c r="R33" s="10"/>
      <c r="S33" s="10"/>
      <c r="T33" s="1" t="s">
        <v>78</v>
      </c>
      <c r="U33" s="1">
        <v>5990</v>
      </c>
      <c r="V33" s="11"/>
      <c r="W33" s="12"/>
      <c r="X33" s="12"/>
      <c r="Y33" s="11"/>
      <c r="Z33" s="11"/>
      <c r="AA33" s="11"/>
    </row>
    <row r="34" spans="1:27" ht="15.75" customHeight="1" x14ac:dyDescent="0.15">
      <c r="A34" s="7">
        <v>45987</v>
      </c>
      <c r="B34" s="1">
        <v>2</v>
      </c>
      <c r="C34" s="1" t="s">
        <v>39</v>
      </c>
      <c r="D34" s="1" t="s">
        <v>29</v>
      </c>
      <c r="E34" s="1"/>
      <c r="F34" s="1"/>
      <c r="G34" s="1" t="s">
        <v>30</v>
      </c>
      <c r="H34" s="1" t="s">
        <v>30</v>
      </c>
      <c r="I34" s="8">
        <v>45982</v>
      </c>
      <c r="J34" s="9">
        <v>0.45833333333333331</v>
      </c>
      <c r="K34" s="1" t="s">
        <v>77</v>
      </c>
      <c r="L34" s="1"/>
      <c r="M34" s="8">
        <v>45987</v>
      </c>
      <c r="Q34" s="1" t="s">
        <v>43</v>
      </c>
      <c r="R34" s="10"/>
      <c r="S34" s="10"/>
      <c r="T34" s="1" t="s">
        <v>79</v>
      </c>
      <c r="U34" s="1">
        <v>11572</v>
      </c>
      <c r="V34" s="11"/>
      <c r="W34" s="12"/>
      <c r="X34" s="12"/>
      <c r="Y34" s="11"/>
      <c r="Z34" s="11"/>
      <c r="AA34" s="11"/>
    </row>
    <row r="35" spans="1:27" ht="15.75" customHeight="1" x14ac:dyDescent="0.15">
      <c r="A35" s="7">
        <v>45986</v>
      </c>
      <c r="B35" s="1">
        <v>1</v>
      </c>
      <c r="C35" s="1" t="s">
        <v>39</v>
      </c>
      <c r="D35" s="1" t="s">
        <v>29</v>
      </c>
      <c r="E35" s="1"/>
      <c r="F35" s="1"/>
      <c r="G35" s="1" t="s">
        <v>30</v>
      </c>
      <c r="H35" s="1" t="s">
        <v>30</v>
      </c>
      <c r="I35" s="8">
        <v>45982</v>
      </c>
      <c r="J35" s="9">
        <v>0.45833333333333331</v>
      </c>
      <c r="K35" s="1" t="s">
        <v>77</v>
      </c>
      <c r="L35" s="1"/>
      <c r="M35" s="8">
        <v>45986</v>
      </c>
      <c r="Q35" s="1" t="s">
        <v>75</v>
      </c>
      <c r="R35" s="10"/>
      <c r="S35" s="10"/>
      <c r="T35" s="1" t="s">
        <v>80</v>
      </c>
      <c r="U35" s="1">
        <v>3072</v>
      </c>
      <c r="V35" s="11"/>
      <c r="W35" s="12"/>
      <c r="X35" s="12"/>
      <c r="Y35" s="11"/>
      <c r="Z35" s="11"/>
      <c r="AA35" s="11"/>
    </row>
    <row r="36" spans="1:27" ht="15.75" customHeight="1" x14ac:dyDescent="0.15">
      <c r="A36" s="7">
        <v>45986</v>
      </c>
      <c r="B36" s="1">
        <v>2</v>
      </c>
      <c r="C36" s="1" t="s">
        <v>39</v>
      </c>
      <c r="D36" s="1" t="s">
        <v>29</v>
      </c>
      <c r="E36" s="1"/>
      <c r="F36" s="1"/>
      <c r="G36" s="1" t="s">
        <v>30</v>
      </c>
      <c r="H36" s="1" t="s">
        <v>30</v>
      </c>
      <c r="I36" s="8">
        <v>45982</v>
      </c>
      <c r="J36" s="9">
        <v>0.45833333333333331</v>
      </c>
      <c r="K36" s="1" t="s">
        <v>77</v>
      </c>
      <c r="L36" s="1"/>
      <c r="M36" s="8">
        <v>45986</v>
      </c>
      <c r="Q36" s="1" t="s">
        <v>75</v>
      </c>
      <c r="R36" s="10"/>
      <c r="S36" s="10"/>
      <c r="T36" s="1" t="s">
        <v>81</v>
      </c>
      <c r="U36" s="1">
        <v>4372</v>
      </c>
      <c r="V36" s="11"/>
      <c r="W36" s="12"/>
      <c r="X36" s="12"/>
      <c r="Y36" s="11"/>
      <c r="Z36" s="11"/>
      <c r="AA36" s="11"/>
    </row>
    <row r="37" spans="1:27" ht="15.75" customHeight="1" x14ac:dyDescent="0.15">
      <c r="A37" s="7">
        <v>45985</v>
      </c>
      <c r="B37" s="1">
        <v>1</v>
      </c>
      <c r="C37" s="1" t="s">
        <v>39</v>
      </c>
      <c r="D37" s="1" t="s">
        <v>29</v>
      </c>
      <c r="E37" s="1"/>
      <c r="F37" s="1"/>
      <c r="G37" s="1" t="s">
        <v>30</v>
      </c>
      <c r="H37" s="1" t="s">
        <v>30</v>
      </c>
      <c r="I37" s="8">
        <v>45982</v>
      </c>
      <c r="J37" s="9">
        <v>0.45833333333333331</v>
      </c>
      <c r="K37" s="1" t="s">
        <v>77</v>
      </c>
      <c r="L37" s="1"/>
      <c r="M37" s="8">
        <v>45985</v>
      </c>
      <c r="Q37" s="1" t="s">
        <v>82</v>
      </c>
      <c r="R37" s="10"/>
      <c r="S37" s="10"/>
      <c r="T37" s="1" t="s">
        <v>83</v>
      </c>
      <c r="U37" s="1">
        <v>4515</v>
      </c>
      <c r="V37" s="11"/>
      <c r="W37" s="12"/>
      <c r="X37" s="12"/>
      <c r="Y37" s="11"/>
      <c r="Z37" s="11"/>
      <c r="AA37" s="11"/>
    </row>
    <row r="38" spans="1:27" ht="15.75" customHeight="1" x14ac:dyDescent="0.15">
      <c r="A38" s="7">
        <v>45985</v>
      </c>
      <c r="B38" s="1">
        <v>2</v>
      </c>
      <c r="C38" s="1" t="s">
        <v>39</v>
      </c>
      <c r="D38" s="1" t="s">
        <v>29</v>
      </c>
      <c r="E38" s="1"/>
      <c r="F38" s="1"/>
      <c r="G38" s="1" t="s">
        <v>30</v>
      </c>
      <c r="H38" s="1" t="s">
        <v>30</v>
      </c>
      <c r="I38" s="8">
        <v>45982</v>
      </c>
      <c r="J38" s="9">
        <v>0.45833333333333331</v>
      </c>
      <c r="K38" s="1" t="s">
        <v>77</v>
      </c>
      <c r="L38" s="1"/>
      <c r="M38" s="8">
        <v>45985</v>
      </c>
      <c r="Q38" s="1" t="s">
        <v>82</v>
      </c>
      <c r="R38" s="10"/>
      <c r="S38" s="10"/>
      <c r="T38" s="1" t="s">
        <v>84</v>
      </c>
      <c r="U38" s="1">
        <v>7895</v>
      </c>
      <c r="V38" s="11"/>
      <c r="W38" s="12"/>
      <c r="X38" s="12"/>
      <c r="Y38" s="11"/>
      <c r="Z38" s="11"/>
      <c r="AA38" s="11"/>
    </row>
    <row r="39" spans="1:27" ht="15.75" customHeight="1" x14ac:dyDescent="0.15">
      <c r="A39" s="7">
        <v>45982</v>
      </c>
      <c r="B39" s="1">
        <v>2</v>
      </c>
      <c r="C39" s="1" t="s">
        <v>39</v>
      </c>
      <c r="D39" s="1" t="s">
        <v>29</v>
      </c>
      <c r="E39" s="1"/>
      <c r="F39" s="1"/>
      <c r="G39" s="1" t="s">
        <v>30</v>
      </c>
      <c r="H39" s="1" t="s">
        <v>30</v>
      </c>
      <c r="I39" s="8">
        <v>45980</v>
      </c>
      <c r="J39" s="9">
        <v>0.45833333333333331</v>
      </c>
      <c r="K39" s="1" t="s">
        <v>34</v>
      </c>
      <c r="L39" s="1"/>
      <c r="M39" s="8">
        <v>45982</v>
      </c>
      <c r="Q39" s="1" t="s">
        <v>85</v>
      </c>
      <c r="R39" s="10"/>
      <c r="S39" s="10"/>
      <c r="T39" s="1" t="s">
        <v>86</v>
      </c>
      <c r="U39" s="1">
        <v>8417</v>
      </c>
      <c r="V39" s="11"/>
      <c r="W39" s="12"/>
      <c r="X39" s="12"/>
      <c r="Y39" s="11"/>
      <c r="Z39" s="11"/>
      <c r="AA39" s="11"/>
    </row>
    <row r="40" spans="1:27" ht="15.75" customHeight="1" x14ac:dyDescent="0.15">
      <c r="A40" s="7">
        <v>45978</v>
      </c>
      <c r="B40" s="1">
        <v>2</v>
      </c>
      <c r="C40" s="1" t="s">
        <v>28</v>
      </c>
      <c r="D40" s="1" t="s">
        <v>29</v>
      </c>
      <c r="E40" s="1"/>
      <c r="F40" s="1"/>
      <c r="G40" s="1" t="s">
        <v>30</v>
      </c>
      <c r="H40" s="1" t="s">
        <v>30</v>
      </c>
      <c r="I40" s="8">
        <v>45976</v>
      </c>
      <c r="J40" s="9">
        <v>0.45833333333333331</v>
      </c>
      <c r="K40" s="1" t="s">
        <v>34</v>
      </c>
      <c r="L40" s="1"/>
      <c r="M40" s="8">
        <v>45978</v>
      </c>
      <c r="Q40" s="1" t="s">
        <v>87</v>
      </c>
      <c r="R40" s="10"/>
      <c r="S40" s="10"/>
      <c r="T40" s="1" t="s">
        <v>88</v>
      </c>
      <c r="U40" s="1">
        <v>2600</v>
      </c>
      <c r="V40" s="11"/>
      <c r="W40" s="12"/>
      <c r="X40" s="12"/>
      <c r="Y40" s="11"/>
      <c r="Z40" s="11"/>
      <c r="AA40" s="11"/>
    </row>
    <row r="41" spans="1:27" ht="15.75" customHeight="1" x14ac:dyDescent="0.15">
      <c r="A41" s="7">
        <v>45975</v>
      </c>
      <c r="B41" s="1">
        <v>1</v>
      </c>
      <c r="C41" s="1" t="s">
        <v>89</v>
      </c>
      <c r="D41" s="1" t="s">
        <v>32</v>
      </c>
      <c r="E41" s="1" t="s">
        <v>90</v>
      </c>
      <c r="F41" s="1"/>
      <c r="G41" s="1" t="s">
        <v>30</v>
      </c>
      <c r="H41" s="1" t="s">
        <v>30</v>
      </c>
      <c r="I41" s="8">
        <v>45974</v>
      </c>
      <c r="J41" s="9">
        <v>0.45833333333333331</v>
      </c>
      <c r="K41" s="1" t="s">
        <v>34</v>
      </c>
      <c r="L41" s="1"/>
      <c r="M41" s="8">
        <v>45975</v>
      </c>
      <c r="Q41" s="1" t="s">
        <v>87</v>
      </c>
      <c r="R41" s="10"/>
      <c r="S41" s="10"/>
      <c r="T41" s="1" t="s">
        <v>91</v>
      </c>
      <c r="U41" s="1">
        <v>714</v>
      </c>
      <c r="V41" s="11"/>
      <c r="W41" s="12"/>
      <c r="X41" s="12"/>
      <c r="Y41" s="11"/>
      <c r="Z41" s="11"/>
      <c r="AA41" s="11"/>
    </row>
    <row r="42" spans="1:27" ht="15.75" customHeight="1" x14ac:dyDescent="0.15">
      <c r="A42" s="7">
        <v>45975</v>
      </c>
      <c r="B42" s="1">
        <v>2</v>
      </c>
      <c r="C42" s="1" t="s">
        <v>63</v>
      </c>
      <c r="D42" s="1" t="s">
        <v>32</v>
      </c>
      <c r="E42" s="1" t="s">
        <v>90</v>
      </c>
      <c r="F42" s="1"/>
      <c r="G42" s="1" t="s">
        <v>30</v>
      </c>
      <c r="H42" s="1" t="s">
        <v>30</v>
      </c>
      <c r="I42" s="8">
        <v>45974</v>
      </c>
      <c r="J42" s="9">
        <v>0.45833333333333331</v>
      </c>
      <c r="K42" s="1" t="s">
        <v>34</v>
      </c>
      <c r="L42" s="1"/>
      <c r="M42" s="8">
        <v>45975</v>
      </c>
      <c r="Q42" s="1" t="s">
        <v>87</v>
      </c>
      <c r="R42" s="10"/>
      <c r="S42" s="10"/>
      <c r="T42" s="1" t="s">
        <v>92</v>
      </c>
      <c r="U42" s="1">
        <v>834</v>
      </c>
      <c r="V42" s="11"/>
      <c r="W42" s="12"/>
      <c r="X42" s="12"/>
      <c r="Y42" s="11"/>
      <c r="Z42" s="11"/>
      <c r="AA42" s="11"/>
    </row>
    <row r="43" spans="1:27" ht="15.75" customHeight="1" x14ac:dyDescent="0.15">
      <c r="A43" s="7">
        <v>45974</v>
      </c>
      <c r="B43" s="1">
        <v>1</v>
      </c>
      <c r="C43" s="1" t="s">
        <v>39</v>
      </c>
      <c r="D43" s="1" t="s">
        <v>29</v>
      </c>
      <c r="E43" s="1"/>
      <c r="F43" s="1"/>
      <c r="G43" s="1" t="s">
        <v>30</v>
      </c>
      <c r="H43" s="1" t="s">
        <v>30</v>
      </c>
      <c r="I43" s="8">
        <v>45969</v>
      </c>
      <c r="J43" s="9">
        <v>0.41666666666666669</v>
      </c>
      <c r="K43" s="1" t="s">
        <v>34</v>
      </c>
      <c r="L43" s="1"/>
      <c r="M43" s="8">
        <v>45974</v>
      </c>
      <c r="Q43" s="1" t="s">
        <v>93</v>
      </c>
      <c r="R43" s="10"/>
      <c r="S43" s="10"/>
      <c r="T43" s="1" t="s">
        <v>94</v>
      </c>
      <c r="U43" s="1">
        <v>2826</v>
      </c>
      <c r="V43" s="11"/>
      <c r="W43" s="12"/>
      <c r="X43" s="12"/>
      <c r="Y43" s="11"/>
      <c r="Z43" s="11"/>
      <c r="AA43" s="11"/>
    </row>
    <row r="44" spans="1:27" ht="15.75" customHeight="1" x14ac:dyDescent="0.15">
      <c r="A44" s="7">
        <v>45973</v>
      </c>
      <c r="B44" s="1">
        <v>1</v>
      </c>
      <c r="C44" s="1" t="s">
        <v>32</v>
      </c>
      <c r="D44" s="1" t="s">
        <v>63</v>
      </c>
      <c r="E44" s="1" t="s">
        <v>90</v>
      </c>
      <c r="F44" s="1"/>
      <c r="G44" s="1" t="s">
        <v>30</v>
      </c>
      <c r="H44" s="1" t="s">
        <v>30</v>
      </c>
      <c r="I44" s="8">
        <v>45971</v>
      </c>
      <c r="J44" s="9">
        <v>0.41666666666666669</v>
      </c>
      <c r="K44" s="1" t="s">
        <v>34</v>
      </c>
      <c r="L44" s="1"/>
      <c r="M44" s="8">
        <v>45973</v>
      </c>
      <c r="Q44" s="1" t="s">
        <v>95</v>
      </c>
      <c r="R44" s="10"/>
      <c r="S44" s="10"/>
      <c r="T44" s="1" t="s">
        <v>96</v>
      </c>
      <c r="U44" s="1">
        <v>869</v>
      </c>
      <c r="V44" s="11"/>
      <c r="W44" s="12"/>
      <c r="X44" s="12"/>
      <c r="Y44" s="11"/>
      <c r="Z44" s="11"/>
      <c r="AA44" s="11"/>
    </row>
    <row r="45" spans="1:27" ht="15.75" customHeight="1" x14ac:dyDescent="0.15">
      <c r="A45" s="7">
        <v>45973</v>
      </c>
      <c r="B45" s="1">
        <v>2</v>
      </c>
      <c r="C45" s="1" t="s">
        <v>32</v>
      </c>
      <c r="D45" s="1" t="s">
        <v>63</v>
      </c>
      <c r="E45" s="1" t="s">
        <v>97</v>
      </c>
      <c r="F45" s="1"/>
      <c r="G45" s="1" t="s">
        <v>30</v>
      </c>
      <c r="H45" s="1" t="s">
        <v>30</v>
      </c>
      <c r="I45" s="8">
        <v>45971</v>
      </c>
      <c r="J45" s="9">
        <v>0.41666666666666669</v>
      </c>
      <c r="K45" s="1" t="s">
        <v>34</v>
      </c>
      <c r="L45" s="1"/>
      <c r="M45" s="8">
        <v>45973</v>
      </c>
      <c r="Q45" s="1"/>
      <c r="R45" s="10"/>
      <c r="S45" s="10"/>
      <c r="T45" s="1" t="s">
        <v>98</v>
      </c>
      <c r="U45" s="1"/>
      <c r="V45" s="11"/>
      <c r="W45" s="12"/>
      <c r="X45" s="12"/>
      <c r="Y45" s="11"/>
      <c r="Z45" s="11"/>
      <c r="AA45" s="11"/>
    </row>
    <row r="46" spans="1:27" ht="15.75" customHeight="1" x14ac:dyDescent="0.15">
      <c r="A46" s="7">
        <v>45972</v>
      </c>
      <c r="B46" s="1">
        <v>1</v>
      </c>
      <c r="C46" s="1" t="s">
        <v>32</v>
      </c>
      <c r="D46" s="1" t="s">
        <v>63</v>
      </c>
      <c r="E46" s="1" t="s">
        <v>90</v>
      </c>
      <c r="F46" s="1"/>
      <c r="G46" s="1" t="s">
        <v>30</v>
      </c>
      <c r="H46" s="1" t="s">
        <v>30</v>
      </c>
      <c r="I46" s="8">
        <v>45969</v>
      </c>
      <c r="J46" s="9">
        <v>0.54166666666666663</v>
      </c>
      <c r="K46" s="1" t="s">
        <v>34</v>
      </c>
      <c r="L46" s="1"/>
      <c r="M46" s="8">
        <v>45972</v>
      </c>
      <c r="Q46" s="1" t="s">
        <v>87</v>
      </c>
      <c r="R46" s="10"/>
      <c r="S46" s="10"/>
      <c r="T46" s="1" t="s">
        <v>99</v>
      </c>
      <c r="U46" s="1">
        <v>498</v>
      </c>
      <c r="V46" s="11"/>
      <c r="W46" s="12"/>
      <c r="X46" s="12"/>
      <c r="Y46" s="11"/>
      <c r="Z46" s="11"/>
      <c r="AA46" s="11"/>
    </row>
    <row r="47" spans="1:27" ht="15.75" customHeight="1" x14ac:dyDescent="0.15">
      <c r="A47" s="7">
        <v>45971</v>
      </c>
      <c r="B47" s="1">
        <v>1</v>
      </c>
      <c r="C47" s="1" t="s">
        <v>39</v>
      </c>
      <c r="D47" s="1" t="s">
        <v>29</v>
      </c>
      <c r="E47" s="1"/>
      <c r="F47" s="1"/>
      <c r="G47" s="1" t="s">
        <v>30</v>
      </c>
      <c r="H47" s="1" t="s">
        <v>30</v>
      </c>
      <c r="I47" s="8">
        <v>45969</v>
      </c>
      <c r="J47" s="9">
        <v>0.45833333333333331</v>
      </c>
      <c r="K47" s="1" t="s">
        <v>34</v>
      </c>
      <c r="L47" s="1"/>
      <c r="M47" s="8">
        <v>45971</v>
      </c>
      <c r="Q47" s="1" t="s">
        <v>95</v>
      </c>
      <c r="R47" s="10"/>
      <c r="S47" s="10"/>
      <c r="T47" s="1" t="s">
        <v>100</v>
      </c>
      <c r="U47" s="1">
        <v>4608</v>
      </c>
      <c r="V47" s="11"/>
      <c r="W47" s="12"/>
      <c r="X47" s="12"/>
      <c r="Y47" s="11"/>
      <c r="Z47" s="11"/>
      <c r="AA47" s="11"/>
    </row>
    <row r="48" spans="1:27" ht="15.75" customHeight="1" x14ac:dyDescent="0.15">
      <c r="A48" s="7">
        <v>45967</v>
      </c>
      <c r="B48" s="1">
        <v>1.1000000000000001</v>
      </c>
      <c r="C48" s="1" t="s">
        <v>32</v>
      </c>
      <c r="D48" s="1" t="s">
        <v>89</v>
      </c>
      <c r="E48" s="1"/>
      <c r="F48" s="1" t="s">
        <v>101</v>
      </c>
      <c r="G48" s="1" t="s">
        <v>30</v>
      </c>
      <c r="H48" s="1" t="s">
        <v>30</v>
      </c>
      <c r="I48" s="8">
        <v>45965</v>
      </c>
      <c r="J48" s="9">
        <v>0.45833333333333331</v>
      </c>
      <c r="K48" s="1" t="s">
        <v>34</v>
      </c>
      <c r="L48" s="1"/>
      <c r="M48" s="8">
        <v>45967</v>
      </c>
      <c r="Q48" s="1" t="s">
        <v>87</v>
      </c>
      <c r="R48" s="10"/>
      <c r="S48" s="10"/>
      <c r="T48" s="1" t="s">
        <v>102</v>
      </c>
      <c r="U48" s="1">
        <v>498</v>
      </c>
      <c r="V48" s="11"/>
      <c r="W48" s="12"/>
      <c r="X48" s="12"/>
      <c r="Y48" s="11"/>
      <c r="Z48" s="11"/>
      <c r="AA48" s="11"/>
    </row>
    <row r="49" spans="1:27" ht="15.75" customHeight="1" x14ac:dyDescent="0.15">
      <c r="A49" s="7">
        <v>45966</v>
      </c>
      <c r="B49" s="1">
        <v>1</v>
      </c>
      <c r="C49" s="1" t="s">
        <v>32</v>
      </c>
      <c r="D49" s="1" t="s">
        <v>89</v>
      </c>
      <c r="E49" s="1"/>
      <c r="F49" s="1" t="s">
        <v>101</v>
      </c>
      <c r="G49" s="1" t="s">
        <v>30</v>
      </c>
      <c r="H49" s="1" t="s">
        <v>30</v>
      </c>
      <c r="I49" s="8">
        <v>45965</v>
      </c>
      <c r="J49" s="9">
        <v>0.45833333333333331</v>
      </c>
      <c r="K49" s="1" t="s">
        <v>34</v>
      </c>
      <c r="L49" s="1" t="s">
        <v>103</v>
      </c>
      <c r="M49" s="8">
        <v>45966</v>
      </c>
      <c r="Q49" s="1" t="s">
        <v>87</v>
      </c>
      <c r="R49" s="10"/>
      <c r="S49" s="10"/>
      <c r="T49" s="1" t="s">
        <v>104</v>
      </c>
      <c r="U49" s="1">
        <v>302</v>
      </c>
      <c r="V49" s="11"/>
      <c r="W49" s="12"/>
      <c r="X49" s="12"/>
      <c r="Y49" s="11"/>
      <c r="Z49" s="11"/>
      <c r="AA49" s="11"/>
    </row>
    <row r="50" spans="1:27" ht="15.75" customHeight="1" x14ac:dyDescent="0.15">
      <c r="A50" s="7">
        <v>45966</v>
      </c>
      <c r="B50" s="1">
        <v>1</v>
      </c>
      <c r="C50" s="1" t="s">
        <v>32</v>
      </c>
      <c r="D50" s="1" t="s">
        <v>89</v>
      </c>
      <c r="E50" s="1"/>
      <c r="F50" s="1" t="s">
        <v>101</v>
      </c>
      <c r="G50" s="1" t="s">
        <v>30</v>
      </c>
      <c r="H50" s="1" t="s">
        <v>30</v>
      </c>
      <c r="I50" s="8">
        <v>45965</v>
      </c>
      <c r="J50" s="9">
        <v>0.45833333333333331</v>
      </c>
      <c r="K50" s="1" t="s">
        <v>34</v>
      </c>
      <c r="L50" s="1" t="s">
        <v>103</v>
      </c>
      <c r="M50" s="8">
        <v>45966</v>
      </c>
      <c r="Q50" s="1" t="s">
        <v>87</v>
      </c>
      <c r="R50" s="10"/>
      <c r="S50" s="10"/>
      <c r="T50" s="1" t="s">
        <v>105</v>
      </c>
      <c r="U50" s="1">
        <v>1054</v>
      </c>
      <c r="V50" s="11"/>
      <c r="W50" s="12"/>
      <c r="X50" s="12"/>
      <c r="Y50" s="11"/>
      <c r="Z50" s="11"/>
      <c r="AA50" s="11"/>
    </row>
    <row r="51" spans="1:27" ht="15.75" customHeight="1" x14ac:dyDescent="0.15">
      <c r="A51" s="7">
        <v>45959</v>
      </c>
      <c r="B51" s="1">
        <v>1</v>
      </c>
      <c r="C51" s="1" t="s">
        <v>28</v>
      </c>
      <c r="D51" s="1" t="s">
        <v>29</v>
      </c>
      <c r="E51" s="1"/>
      <c r="F51" s="1" t="s">
        <v>101</v>
      </c>
      <c r="G51" s="1" t="s">
        <v>30</v>
      </c>
      <c r="H51" s="1" t="s">
        <v>30</v>
      </c>
      <c r="I51" s="8">
        <v>45958</v>
      </c>
      <c r="J51" s="9">
        <v>0.41666666666666669</v>
      </c>
      <c r="K51" s="1" t="s">
        <v>34</v>
      </c>
      <c r="M51" s="8">
        <v>45959</v>
      </c>
      <c r="Q51" s="1"/>
      <c r="R51" s="10"/>
      <c r="S51" s="10"/>
      <c r="T51" s="1" t="s">
        <v>106</v>
      </c>
      <c r="U51" s="1"/>
      <c r="V51" s="11"/>
      <c r="W51" s="12"/>
      <c r="X51" s="12"/>
      <c r="Y51" s="11"/>
      <c r="Z51" s="11"/>
      <c r="AA51" s="11"/>
    </row>
    <row r="52" spans="1:27" ht="15.75" customHeight="1" x14ac:dyDescent="0.15">
      <c r="A52" s="7">
        <v>45959</v>
      </c>
      <c r="B52" s="1">
        <v>2</v>
      </c>
      <c r="C52" s="1" t="s">
        <v>107</v>
      </c>
      <c r="D52" s="1" t="s">
        <v>63</v>
      </c>
      <c r="E52" s="1" t="s">
        <v>108</v>
      </c>
      <c r="F52" s="1"/>
      <c r="G52" s="1" t="s">
        <v>30</v>
      </c>
      <c r="H52" s="1" t="s">
        <v>30</v>
      </c>
      <c r="I52" s="8">
        <v>45957</v>
      </c>
      <c r="J52" s="9">
        <v>0.41666666666666669</v>
      </c>
      <c r="K52" s="1" t="s">
        <v>34</v>
      </c>
      <c r="M52" s="8">
        <v>45960</v>
      </c>
      <c r="Q52" s="1"/>
      <c r="R52" s="10"/>
      <c r="S52" s="10"/>
      <c r="T52" s="1" t="s">
        <v>109</v>
      </c>
      <c r="U52" s="1"/>
      <c r="V52" s="11"/>
      <c r="W52" s="12"/>
      <c r="X52" s="12"/>
      <c r="Y52" s="11"/>
      <c r="Z52" s="11"/>
      <c r="AA52" s="11"/>
    </row>
    <row r="53" spans="1:27" ht="15.75" customHeight="1" x14ac:dyDescent="0.15">
      <c r="A53" s="7">
        <v>45958</v>
      </c>
      <c r="B53" s="1">
        <v>1</v>
      </c>
      <c r="C53" s="1" t="s">
        <v>107</v>
      </c>
      <c r="D53" s="1" t="s">
        <v>63</v>
      </c>
      <c r="E53" s="1"/>
      <c r="F53" s="1" t="s">
        <v>101</v>
      </c>
      <c r="G53" s="1" t="s">
        <v>30</v>
      </c>
      <c r="H53" s="1" t="s">
        <v>30</v>
      </c>
      <c r="I53" s="8">
        <v>45957</v>
      </c>
      <c r="J53" s="9">
        <v>0.45833333333333331</v>
      </c>
      <c r="K53" s="1" t="s">
        <v>110</v>
      </c>
      <c r="M53" s="8">
        <v>45958</v>
      </c>
      <c r="Q53" s="1"/>
      <c r="R53" s="10"/>
      <c r="S53" s="10"/>
      <c r="T53" s="1" t="s">
        <v>111</v>
      </c>
      <c r="U53" s="1"/>
      <c r="V53" s="11"/>
      <c r="W53" s="12"/>
      <c r="X53" s="12"/>
      <c r="Y53" s="11"/>
      <c r="Z53" s="11"/>
      <c r="AA53" s="11" t="s">
        <v>112</v>
      </c>
    </row>
    <row r="54" spans="1:27" ht="15.75" customHeight="1" x14ac:dyDescent="0.15">
      <c r="A54" s="7">
        <v>45958</v>
      </c>
      <c r="B54" s="1">
        <v>2</v>
      </c>
      <c r="C54" s="1" t="s">
        <v>107</v>
      </c>
      <c r="D54" s="1" t="s">
        <v>63</v>
      </c>
      <c r="E54" s="1" t="s">
        <v>108</v>
      </c>
      <c r="F54" s="1"/>
      <c r="G54" s="1" t="s">
        <v>30</v>
      </c>
      <c r="H54" s="1" t="s">
        <v>30</v>
      </c>
      <c r="I54" s="8">
        <v>45957</v>
      </c>
      <c r="J54" s="9">
        <v>0.45833333333333331</v>
      </c>
      <c r="K54" s="1" t="s">
        <v>110</v>
      </c>
      <c r="M54" s="8">
        <v>45958</v>
      </c>
      <c r="Q54" s="1"/>
      <c r="R54" s="10"/>
      <c r="S54" s="10"/>
      <c r="T54" s="1" t="s">
        <v>113</v>
      </c>
      <c r="U54" s="1"/>
      <c r="V54" s="11"/>
      <c r="W54" s="12"/>
      <c r="X54" s="12"/>
      <c r="Y54" s="11"/>
      <c r="Z54" s="11"/>
      <c r="AA54" s="11" t="s">
        <v>114</v>
      </c>
    </row>
    <row r="55" spans="1:27" ht="15.75" customHeight="1" x14ac:dyDescent="0.15">
      <c r="A55" s="7">
        <v>45958</v>
      </c>
      <c r="B55" s="1">
        <v>3</v>
      </c>
      <c r="C55" s="1" t="s">
        <v>107</v>
      </c>
      <c r="D55" s="1" t="s">
        <v>63</v>
      </c>
      <c r="E55" s="1" t="s">
        <v>115</v>
      </c>
      <c r="F55" s="1"/>
      <c r="G55" s="1" t="s">
        <v>30</v>
      </c>
      <c r="H55" s="1" t="s">
        <v>30</v>
      </c>
      <c r="I55" s="8">
        <v>45957</v>
      </c>
      <c r="J55" s="9">
        <v>0.45833333333333331</v>
      </c>
      <c r="K55" s="1" t="s">
        <v>110</v>
      </c>
      <c r="M55" s="8">
        <v>45959</v>
      </c>
      <c r="Q55" s="1"/>
      <c r="R55" s="10"/>
      <c r="S55" s="10"/>
      <c r="T55" s="1" t="s">
        <v>116</v>
      </c>
      <c r="U55" s="1"/>
      <c r="V55" s="11"/>
      <c r="W55" s="12"/>
      <c r="X55" s="12"/>
      <c r="Y55" s="11"/>
      <c r="Z55" s="11"/>
      <c r="AA55" s="11"/>
    </row>
    <row r="56" spans="1:27" ht="15.75" customHeight="1" x14ac:dyDescent="0.15">
      <c r="A56" s="7">
        <v>45957</v>
      </c>
      <c r="B56" s="1">
        <v>1</v>
      </c>
      <c r="C56" s="1" t="s">
        <v>28</v>
      </c>
      <c r="D56" s="1" t="s">
        <v>29</v>
      </c>
      <c r="E56" s="1"/>
      <c r="F56" s="1"/>
      <c r="G56" s="1" t="s">
        <v>30</v>
      </c>
      <c r="H56" s="1" t="s">
        <v>30</v>
      </c>
      <c r="I56" s="8">
        <v>45951</v>
      </c>
      <c r="J56" s="9">
        <v>0.5</v>
      </c>
      <c r="K56" s="1" t="s">
        <v>34</v>
      </c>
      <c r="M56" s="8">
        <v>45957</v>
      </c>
      <c r="Q56" s="1"/>
      <c r="R56" s="10"/>
      <c r="S56" s="10"/>
      <c r="T56" s="1" t="s">
        <v>117</v>
      </c>
      <c r="U56" s="1"/>
      <c r="V56" s="11"/>
      <c r="W56" s="12"/>
      <c r="X56" s="12"/>
      <c r="Y56" s="11"/>
      <c r="Z56" s="11"/>
      <c r="AA56" s="11"/>
    </row>
    <row r="57" spans="1:27" ht="15.75" customHeight="1" x14ac:dyDescent="0.15">
      <c r="A57" s="7">
        <v>45957</v>
      </c>
      <c r="B57" s="1">
        <v>2</v>
      </c>
      <c r="C57" s="1" t="s">
        <v>28</v>
      </c>
      <c r="D57" s="1" t="s">
        <v>29</v>
      </c>
      <c r="E57" s="1"/>
      <c r="F57" s="1"/>
      <c r="G57" s="1" t="s">
        <v>30</v>
      </c>
      <c r="H57" s="1" t="s">
        <v>30</v>
      </c>
      <c r="I57" s="8">
        <v>45951</v>
      </c>
      <c r="J57" s="9">
        <v>0.5</v>
      </c>
      <c r="K57" s="1" t="s">
        <v>34</v>
      </c>
      <c r="M57" s="8">
        <v>45957</v>
      </c>
      <c r="Q57" s="1"/>
      <c r="R57" s="10"/>
      <c r="S57" s="10"/>
      <c r="T57" s="1" t="s">
        <v>118</v>
      </c>
      <c r="U57" s="1"/>
      <c r="V57" s="11"/>
      <c r="W57" s="12"/>
      <c r="X57" s="12"/>
      <c r="Y57" s="11"/>
      <c r="Z57" s="11"/>
      <c r="AA57" s="11"/>
    </row>
    <row r="58" spans="1:27" ht="15.75" customHeight="1" x14ac:dyDescent="0.15">
      <c r="A58" s="7">
        <v>45954</v>
      </c>
      <c r="B58" s="1">
        <v>1</v>
      </c>
      <c r="C58" s="1" t="s">
        <v>107</v>
      </c>
      <c r="D58" s="1" t="s">
        <v>107</v>
      </c>
      <c r="E58" s="1" t="s">
        <v>119</v>
      </c>
      <c r="F58" s="1"/>
      <c r="G58" s="1" t="s">
        <v>30</v>
      </c>
      <c r="H58" s="1" t="s">
        <v>30</v>
      </c>
      <c r="I58" s="8">
        <v>45952</v>
      </c>
      <c r="J58" s="9">
        <v>0.41666666666666669</v>
      </c>
      <c r="K58" s="1" t="s">
        <v>34</v>
      </c>
      <c r="M58" s="8">
        <v>45956</v>
      </c>
      <c r="Q58" s="1"/>
      <c r="R58" s="10"/>
      <c r="S58" s="10"/>
      <c r="T58" s="1" t="s">
        <v>120</v>
      </c>
      <c r="U58" s="1"/>
      <c r="V58" s="11"/>
      <c r="W58" s="12"/>
      <c r="X58" s="12"/>
      <c r="Y58" s="11"/>
      <c r="Z58" s="11"/>
      <c r="AA58" s="11" t="s">
        <v>121</v>
      </c>
    </row>
    <row r="59" spans="1:27" ht="15.75" customHeight="1" x14ac:dyDescent="0.15">
      <c r="A59" s="7">
        <v>45954</v>
      </c>
      <c r="B59" s="1">
        <v>2</v>
      </c>
      <c r="C59" s="1" t="s">
        <v>107</v>
      </c>
      <c r="D59" s="1" t="s">
        <v>122</v>
      </c>
      <c r="E59" s="1" t="s">
        <v>123</v>
      </c>
      <c r="F59" s="1"/>
      <c r="G59" s="1" t="s">
        <v>30</v>
      </c>
      <c r="H59" s="1" t="s">
        <v>30</v>
      </c>
      <c r="I59" s="8">
        <v>45952</v>
      </c>
      <c r="J59" s="9">
        <v>0.41666666666666669</v>
      </c>
      <c r="K59" s="1" t="s">
        <v>34</v>
      </c>
      <c r="M59" s="8">
        <v>45955</v>
      </c>
      <c r="Q59" s="1"/>
      <c r="R59" s="10" t="s">
        <v>124</v>
      </c>
      <c r="S59" s="10"/>
      <c r="T59" s="1" t="s">
        <v>125</v>
      </c>
      <c r="U59" s="1"/>
      <c r="V59" s="11"/>
      <c r="W59" s="12"/>
      <c r="X59" s="12"/>
      <c r="Y59" s="11"/>
      <c r="Z59" s="11"/>
      <c r="AA59" s="11" t="s">
        <v>126</v>
      </c>
    </row>
    <row r="60" spans="1:27" ht="15.75" customHeight="1" x14ac:dyDescent="0.15">
      <c r="A60" s="7">
        <v>45954</v>
      </c>
      <c r="B60" s="1">
        <v>3</v>
      </c>
      <c r="C60" s="1" t="s">
        <v>28</v>
      </c>
      <c r="D60" s="1" t="s">
        <v>29</v>
      </c>
      <c r="E60" s="1"/>
      <c r="F60" s="1"/>
      <c r="G60" s="1" t="s">
        <v>30</v>
      </c>
      <c r="H60" s="1" t="s">
        <v>30</v>
      </c>
      <c r="I60" s="8">
        <v>45951</v>
      </c>
      <c r="J60" s="9">
        <v>0.41666666666666669</v>
      </c>
      <c r="K60" s="1" t="s">
        <v>34</v>
      </c>
      <c r="M60" s="8">
        <v>45954</v>
      </c>
      <c r="Q60" s="1"/>
      <c r="R60" s="10" t="s">
        <v>127</v>
      </c>
      <c r="S60" s="10"/>
      <c r="T60" s="1" t="s">
        <v>128</v>
      </c>
      <c r="U60" s="1"/>
      <c r="V60" s="11"/>
      <c r="W60" s="12"/>
      <c r="X60" s="12"/>
      <c r="Y60" s="11"/>
      <c r="Z60" s="11"/>
      <c r="AA60" s="11"/>
    </row>
    <row r="61" spans="1:27" ht="15.75" customHeight="1" x14ac:dyDescent="0.15">
      <c r="A61" s="7">
        <v>45953</v>
      </c>
      <c r="B61" s="1">
        <v>1</v>
      </c>
      <c r="C61" s="1" t="s">
        <v>107</v>
      </c>
      <c r="D61" s="1" t="s">
        <v>89</v>
      </c>
      <c r="E61" s="1"/>
      <c r="F61" s="1" t="s">
        <v>101</v>
      </c>
      <c r="G61" s="1" t="s">
        <v>30</v>
      </c>
      <c r="H61" s="1" t="s">
        <v>30</v>
      </c>
      <c r="I61" s="8">
        <v>45952</v>
      </c>
      <c r="J61" s="9">
        <v>0.41666666666666669</v>
      </c>
      <c r="K61" s="1" t="s">
        <v>34</v>
      </c>
      <c r="M61" s="8">
        <v>45954</v>
      </c>
      <c r="Q61" s="1"/>
      <c r="R61" s="10" t="s">
        <v>129</v>
      </c>
      <c r="S61" s="10"/>
      <c r="T61" s="1" t="s">
        <v>130</v>
      </c>
      <c r="U61" s="1"/>
      <c r="V61" s="11"/>
      <c r="W61" s="12"/>
      <c r="X61" s="12"/>
      <c r="Y61" s="11"/>
      <c r="Z61" s="11"/>
      <c r="AA61" s="11"/>
    </row>
    <row r="62" spans="1:27" ht="15.75" customHeight="1" x14ac:dyDescent="0.15">
      <c r="A62" s="7">
        <v>45952</v>
      </c>
      <c r="B62" s="1">
        <v>1</v>
      </c>
      <c r="C62" s="1" t="s">
        <v>28</v>
      </c>
      <c r="D62" s="1" t="s">
        <v>29</v>
      </c>
      <c r="E62" s="1"/>
      <c r="F62" s="1"/>
      <c r="G62" s="1" t="s">
        <v>30</v>
      </c>
      <c r="H62" s="1" t="s">
        <v>30</v>
      </c>
      <c r="I62" s="8">
        <v>45951</v>
      </c>
      <c r="J62" s="9">
        <v>0.41666666666666669</v>
      </c>
      <c r="K62" s="1" t="s">
        <v>34</v>
      </c>
      <c r="M62" s="8">
        <v>45952</v>
      </c>
      <c r="Q62" s="1"/>
      <c r="R62" s="10" t="s">
        <v>127</v>
      </c>
      <c r="S62" s="10"/>
      <c r="T62" s="1" t="s">
        <v>131</v>
      </c>
      <c r="U62" s="1"/>
      <c r="V62" s="11"/>
      <c r="W62" s="12"/>
      <c r="X62" s="12"/>
      <c r="Y62" s="11"/>
      <c r="Z62" s="11"/>
      <c r="AA62" s="11"/>
    </row>
    <row r="63" spans="1:27" ht="15.75" customHeight="1" x14ac:dyDescent="0.15">
      <c r="A63" s="7">
        <v>45952</v>
      </c>
      <c r="B63" s="1">
        <v>2</v>
      </c>
      <c r="C63" s="1" t="s">
        <v>89</v>
      </c>
      <c r="D63" s="1" t="s">
        <v>107</v>
      </c>
      <c r="E63" s="1"/>
      <c r="F63" s="1" t="s">
        <v>101</v>
      </c>
      <c r="G63" s="1" t="s">
        <v>30</v>
      </c>
      <c r="H63" s="1" t="s">
        <v>30</v>
      </c>
      <c r="I63" s="8">
        <v>45950</v>
      </c>
      <c r="J63" s="9">
        <v>0.41666666666666669</v>
      </c>
      <c r="K63" s="1" t="s">
        <v>34</v>
      </c>
      <c r="M63" s="8">
        <v>45953</v>
      </c>
      <c r="Q63" s="1"/>
      <c r="R63" s="10" t="s">
        <v>129</v>
      </c>
      <c r="S63" s="10"/>
      <c r="T63" s="1" t="s">
        <v>132</v>
      </c>
      <c r="U63" s="1"/>
      <c r="V63" s="11"/>
      <c r="W63" s="12"/>
      <c r="X63" s="12"/>
      <c r="Y63" s="11"/>
      <c r="Z63" s="11"/>
      <c r="AA63" s="11"/>
    </row>
    <row r="64" spans="1:27" ht="15.75" customHeight="1" x14ac:dyDescent="0.15">
      <c r="A64" s="7">
        <v>45952</v>
      </c>
      <c r="B64" s="1">
        <v>3</v>
      </c>
      <c r="C64" s="1" t="s">
        <v>133</v>
      </c>
      <c r="D64" s="1" t="s">
        <v>107</v>
      </c>
      <c r="E64" s="1"/>
      <c r="F64" s="1"/>
      <c r="G64" s="1" t="s">
        <v>30</v>
      </c>
      <c r="H64" s="1" t="s">
        <v>30</v>
      </c>
      <c r="I64" s="8">
        <v>45951</v>
      </c>
      <c r="J64" s="9">
        <v>0.41666666666666669</v>
      </c>
      <c r="K64" s="1" t="s">
        <v>34</v>
      </c>
      <c r="M64" s="8">
        <v>45953</v>
      </c>
      <c r="Q64" s="1"/>
      <c r="R64" s="10"/>
      <c r="S64" s="10"/>
      <c r="T64" s="1" t="s">
        <v>134</v>
      </c>
      <c r="U64" s="1"/>
      <c r="V64" s="11"/>
      <c r="W64" s="12"/>
      <c r="X64" s="12"/>
      <c r="Y64" s="11"/>
      <c r="Z64" s="11"/>
      <c r="AA64" s="11" t="s">
        <v>135</v>
      </c>
    </row>
    <row r="65" spans="1:27" ht="15.75" customHeight="1" x14ac:dyDescent="0.15">
      <c r="A65" s="7">
        <v>45951</v>
      </c>
      <c r="B65" s="1">
        <v>1</v>
      </c>
      <c r="C65" s="1" t="s">
        <v>89</v>
      </c>
      <c r="D65" s="1" t="s">
        <v>107</v>
      </c>
      <c r="E65" s="1"/>
      <c r="F65" s="1" t="s">
        <v>101</v>
      </c>
      <c r="G65" s="1" t="s">
        <v>30</v>
      </c>
      <c r="H65" s="1" t="s">
        <v>30</v>
      </c>
      <c r="I65" s="8">
        <v>45950</v>
      </c>
      <c r="J65" s="9">
        <v>0.41666666666666669</v>
      </c>
      <c r="K65" s="1" t="s">
        <v>34</v>
      </c>
      <c r="M65" s="8">
        <v>45951</v>
      </c>
      <c r="Q65" s="1"/>
      <c r="R65" s="10" t="s">
        <v>129</v>
      </c>
      <c r="S65" s="10"/>
      <c r="T65" s="1" t="s">
        <v>136</v>
      </c>
      <c r="U65" s="1"/>
      <c r="V65" s="11"/>
      <c r="W65" s="12"/>
      <c r="X65" s="12"/>
      <c r="Y65" s="11"/>
      <c r="Z65" s="11"/>
      <c r="AA65" s="11"/>
    </row>
    <row r="66" spans="1:27" ht="15.75" customHeight="1" x14ac:dyDescent="0.15">
      <c r="A66" s="7">
        <v>45951</v>
      </c>
      <c r="B66" s="1">
        <v>2</v>
      </c>
      <c r="C66" s="1" t="s">
        <v>107</v>
      </c>
      <c r="D66" s="1" t="s">
        <v>122</v>
      </c>
      <c r="E66" s="1"/>
      <c r="F66" s="1" t="s">
        <v>101</v>
      </c>
      <c r="G66" s="1" t="s">
        <v>30</v>
      </c>
      <c r="H66" s="1" t="s">
        <v>30</v>
      </c>
      <c r="I66" s="8">
        <v>45950</v>
      </c>
      <c r="J66" s="9">
        <v>0.41666666666666669</v>
      </c>
      <c r="K66" s="1" t="s">
        <v>34</v>
      </c>
      <c r="M66" s="8">
        <v>45952</v>
      </c>
      <c r="Q66" s="1"/>
      <c r="R66" s="10" t="s">
        <v>129</v>
      </c>
      <c r="S66" s="10"/>
      <c r="T66" s="1" t="s">
        <v>137</v>
      </c>
      <c r="U66" s="1"/>
      <c r="V66" s="11"/>
      <c r="W66" s="12"/>
      <c r="X66" s="12"/>
      <c r="Y66" s="11"/>
      <c r="Z66" s="11"/>
      <c r="AA66" s="11"/>
    </row>
    <row r="67" spans="1:27" ht="15.75" customHeight="1" x14ac:dyDescent="0.15">
      <c r="A67" s="7">
        <v>45950</v>
      </c>
      <c r="B67" s="1">
        <v>1</v>
      </c>
      <c r="C67" s="1" t="s">
        <v>39</v>
      </c>
      <c r="D67" s="1" t="s">
        <v>29</v>
      </c>
      <c r="E67" s="1"/>
      <c r="F67" s="1"/>
      <c r="G67" s="1" t="s">
        <v>30</v>
      </c>
      <c r="H67" s="1" t="s">
        <v>30</v>
      </c>
      <c r="I67" s="8">
        <v>45947</v>
      </c>
      <c r="J67" s="9">
        <v>0.41666666666666669</v>
      </c>
      <c r="K67" s="1" t="s">
        <v>34</v>
      </c>
      <c r="M67" s="8">
        <v>45950</v>
      </c>
      <c r="Q67" s="1" t="s">
        <v>138</v>
      </c>
      <c r="R67" s="10" t="s">
        <v>127</v>
      </c>
      <c r="S67" s="10"/>
      <c r="T67" s="1" t="s">
        <v>139</v>
      </c>
      <c r="U67" s="1"/>
      <c r="V67" s="11"/>
      <c r="W67" s="12"/>
      <c r="X67" s="12"/>
      <c r="Y67" s="11"/>
      <c r="Z67" s="11"/>
      <c r="AA67" s="11"/>
    </row>
    <row r="68" spans="1:27" ht="15.75" customHeight="1" x14ac:dyDescent="0.15">
      <c r="A68" s="7">
        <v>45950</v>
      </c>
      <c r="B68" s="1">
        <v>2</v>
      </c>
      <c r="C68" s="1" t="s">
        <v>39</v>
      </c>
      <c r="D68" s="1" t="s">
        <v>29</v>
      </c>
      <c r="E68" s="1"/>
      <c r="F68" s="1"/>
      <c r="G68" s="1" t="s">
        <v>30</v>
      </c>
      <c r="H68" s="1" t="s">
        <v>30</v>
      </c>
      <c r="I68" s="8">
        <v>45947</v>
      </c>
      <c r="J68" s="9">
        <v>0.41666666666666669</v>
      </c>
      <c r="K68" s="1" t="s">
        <v>34</v>
      </c>
      <c r="M68" s="8">
        <v>45950</v>
      </c>
      <c r="Q68" s="1" t="s">
        <v>140</v>
      </c>
      <c r="R68" s="10" t="s">
        <v>127</v>
      </c>
      <c r="S68" s="10"/>
      <c r="T68" s="1" t="s">
        <v>141</v>
      </c>
      <c r="U68" s="1"/>
      <c r="V68" s="11"/>
      <c r="W68" s="12"/>
      <c r="X68" s="12"/>
      <c r="Y68" s="11"/>
      <c r="Z68" s="11"/>
      <c r="AA68" s="11" t="s">
        <v>142</v>
      </c>
    </row>
    <row r="69" spans="1:27" ht="15.75" customHeight="1" x14ac:dyDescent="0.15">
      <c r="A69" s="7">
        <v>45947</v>
      </c>
      <c r="B69" s="1">
        <v>1</v>
      </c>
      <c r="C69" s="1" t="s">
        <v>107</v>
      </c>
      <c r="D69" s="1" t="s">
        <v>107</v>
      </c>
      <c r="E69" s="1" t="s">
        <v>143</v>
      </c>
      <c r="F69" s="1"/>
      <c r="G69" s="1" t="s">
        <v>30</v>
      </c>
      <c r="H69" s="1" t="s">
        <v>30</v>
      </c>
      <c r="I69" s="8">
        <v>45946</v>
      </c>
      <c r="J69" s="9">
        <v>0.41666666666666669</v>
      </c>
      <c r="K69" s="1" t="s">
        <v>34</v>
      </c>
      <c r="M69" s="8">
        <v>45947</v>
      </c>
      <c r="Q69" s="1"/>
      <c r="R69" s="10"/>
      <c r="S69" s="10"/>
      <c r="T69" s="1" t="s">
        <v>144</v>
      </c>
      <c r="U69" s="1"/>
      <c r="V69" s="11"/>
      <c r="W69" s="12"/>
      <c r="X69" s="12"/>
      <c r="Y69" s="11"/>
      <c r="Z69" s="11"/>
      <c r="AA69" s="11" t="s">
        <v>145</v>
      </c>
    </row>
    <row r="70" spans="1:27" ht="15.75" customHeight="1" x14ac:dyDescent="0.15">
      <c r="A70" s="7">
        <v>45947</v>
      </c>
      <c r="B70" s="1">
        <v>2</v>
      </c>
      <c r="C70" s="1" t="s">
        <v>107</v>
      </c>
      <c r="D70" s="1" t="s">
        <v>107</v>
      </c>
      <c r="E70" s="1" t="s">
        <v>146</v>
      </c>
      <c r="F70" s="1"/>
      <c r="G70" s="1" t="s">
        <v>30</v>
      </c>
      <c r="H70" s="1" t="s">
        <v>30</v>
      </c>
      <c r="I70" s="8">
        <v>45946</v>
      </c>
      <c r="J70" s="9">
        <v>0.41666666666666669</v>
      </c>
      <c r="K70" s="1" t="s">
        <v>34</v>
      </c>
      <c r="M70" s="8">
        <v>45947</v>
      </c>
      <c r="Q70" s="1"/>
      <c r="R70" s="10"/>
      <c r="S70" s="10"/>
      <c r="T70" s="1" t="s">
        <v>147</v>
      </c>
      <c r="U70" s="1"/>
      <c r="V70" s="11"/>
      <c r="W70" s="12"/>
      <c r="X70" s="12"/>
      <c r="Y70" s="11"/>
      <c r="Z70" s="11"/>
      <c r="AA70" s="11" t="s">
        <v>145</v>
      </c>
    </row>
    <row r="71" spans="1:27" ht="15.75" customHeight="1" x14ac:dyDescent="0.15">
      <c r="A71" s="7">
        <v>45946</v>
      </c>
      <c r="B71" s="1">
        <v>1</v>
      </c>
      <c r="C71" s="1" t="s">
        <v>28</v>
      </c>
      <c r="D71" s="1" t="s">
        <v>29</v>
      </c>
      <c r="E71" s="1"/>
      <c r="F71" s="1"/>
      <c r="G71" s="1" t="s">
        <v>30</v>
      </c>
      <c r="H71" s="1" t="s">
        <v>30</v>
      </c>
      <c r="I71" s="8">
        <v>45943</v>
      </c>
      <c r="J71" s="9">
        <v>0.41666666666666669</v>
      </c>
      <c r="K71" s="1" t="s">
        <v>34</v>
      </c>
      <c r="M71" s="8">
        <v>45946</v>
      </c>
      <c r="Q71" s="1" t="s">
        <v>148</v>
      </c>
      <c r="R71" s="10" t="s">
        <v>127</v>
      </c>
      <c r="S71" s="10"/>
      <c r="T71" s="1" t="s">
        <v>149</v>
      </c>
      <c r="U71" s="1"/>
      <c r="V71" s="11"/>
      <c r="W71" s="12"/>
      <c r="X71" s="12"/>
      <c r="Y71" s="11"/>
      <c r="Z71" s="11"/>
      <c r="AA71" s="11"/>
    </row>
    <row r="72" spans="1:27" ht="15.75" customHeight="1" x14ac:dyDescent="0.15">
      <c r="A72" s="7">
        <v>45946</v>
      </c>
      <c r="B72" s="1">
        <v>2</v>
      </c>
      <c r="C72" s="1" t="s">
        <v>89</v>
      </c>
      <c r="D72" s="1" t="s">
        <v>107</v>
      </c>
      <c r="E72" s="1" t="s">
        <v>150</v>
      </c>
      <c r="F72" s="1"/>
      <c r="G72" s="1" t="s">
        <v>30</v>
      </c>
      <c r="H72" s="1" t="s">
        <v>30</v>
      </c>
      <c r="I72" s="8">
        <v>45938</v>
      </c>
      <c r="J72" s="9">
        <v>0.45833333333333331</v>
      </c>
      <c r="K72" s="1" t="s">
        <v>34</v>
      </c>
      <c r="M72" s="8">
        <v>45946</v>
      </c>
      <c r="Q72" s="1" t="s">
        <v>151</v>
      </c>
      <c r="R72" s="10" t="s">
        <v>129</v>
      </c>
      <c r="S72" s="10"/>
      <c r="T72" s="1" t="s">
        <v>152</v>
      </c>
      <c r="U72" s="1"/>
      <c r="V72" s="11"/>
      <c r="W72" s="12"/>
      <c r="X72" s="12"/>
      <c r="Y72" s="11"/>
      <c r="Z72" s="11"/>
      <c r="AA72" s="11"/>
    </row>
    <row r="73" spans="1:27" ht="15.75" customHeight="1" x14ac:dyDescent="0.15">
      <c r="A73" s="7">
        <v>45945</v>
      </c>
      <c r="B73" s="1">
        <v>1</v>
      </c>
      <c r="C73" s="1" t="s">
        <v>28</v>
      </c>
      <c r="D73" s="1" t="s">
        <v>29</v>
      </c>
      <c r="E73" s="1"/>
      <c r="F73" s="1"/>
      <c r="G73" s="1" t="s">
        <v>30</v>
      </c>
      <c r="H73" s="1" t="s">
        <v>30</v>
      </c>
      <c r="I73" s="8">
        <v>45943</v>
      </c>
      <c r="J73" s="9">
        <v>0.41666666666666669</v>
      </c>
      <c r="K73" s="1" t="s">
        <v>34</v>
      </c>
      <c r="M73" s="8">
        <v>45945</v>
      </c>
      <c r="Q73" s="1"/>
      <c r="R73" s="10" t="s">
        <v>127</v>
      </c>
      <c r="S73" s="10"/>
      <c r="T73" s="1" t="s">
        <v>153</v>
      </c>
      <c r="U73" s="1"/>
      <c r="V73" s="11"/>
      <c r="W73" s="12"/>
      <c r="X73" s="12"/>
      <c r="Y73" s="11"/>
      <c r="Z73" s="11"/>
      <c r="AA73" s="11"/>
    </row>
    <row r="74" spans="1:27" ht="15.75" customHeight="1" x14ac:dyDescent="0.15">
      <c r="A74" s="7">
        <v>45944</v>
      </c>
      <c r="B74" s="1">
        <v>1</v>
      </c>
      <c r="C74" s="1" t="s">
        <v>28</v>
      </c>
      <c r="D74" s="1" t="s">
        <v>29</v>
      </c>
      <c r="E74" s="1"/>
      <c r="F74" s="1"/>
      <c r="G74" s="1" t="s">
        <v>30</v>
      </c>
      <c r="H74" s="1" t="s">
        <v>30</v>
      </c>
      <c r="I74" s="8">
        <v>45943</v>
      </c>
      <c r="J74" s="9">
        <v>0.41666666666666669</v>
      </c>
      <c r="K74" s="1" t="s">
        <v>34</v>
      </c>
      <c r="M74" s="8">
        <v>45945</v>
      </c>
      <c r="Q74" s="1"/>
      <c r="R74" s="10" t="s">
        <v>127</v>
      </c>
      <c r="S74" s="10"/>
      <c r="T74" s="1" t="s">
        <v>154</v>
      </c>
      <c r="U74" s="1"/>
      <c r="V74" s="11"/>
      <c r="W74" s="12"/>
      <c r="X74" s="12"/>
      <c r="Y74" s="11"/>
      <c r="Z74" s="11"/>
      <c r="AA74" s="11"/>
    </row>
    <row r="75" spans="1:27" ht="15.75" customHeight="1" x14ac:dyDescent="0.15">
      <c r="A75" s="7">
        <v>45944</v>
      </c>
      <c r="B75" s="1">
        <v>2</v>
      </c>
      <c r="C75" s="1" t="s">
        <v>89</v>
      </c>
      <c r="D75" s="1" t="s">
        <v>107</v>
      </c>
      <c r="E75" s="1"/>
      <c r="F75" s="1"/>
      <c r="G75" s="1" t="s">
        <v>30</v>
      </c>
      <c r="H75" s="1" t="s">
        <v>30</v>
      </c>
      <c r="I75" s="8">
        <v>45943</v>
      </c>
      <c r="J75" s="9">
        <v>0.41666666666666669</v>
      </c>
      <c r="K75" s="1" t="s">
        <v>34</v>
      </c>
      <c r="M75" s="8">
        <v>45946</v>
      </c>
      <c r="Q75" s="1" t="s">
        <v>155</v>
      </c>
      <c r="R75" s="10" t="s">
        <v>129</v>
      </c>
      <c r="S75" s="10"/>
      <c r="T75" s="1" t="s">
        <v>156</v>
      </c>
      <c r="U75" s="1"/>
      <c r="V75" s="11"/>
      <c r="W75" s="12"/>
      <c r="X75" s="12"/>
      <c r="Y75" s="11"/>
      <c r="Z75" s="11"/>
      <c r="AA75" s="11" t="s">
        <v>157</v>
      </c>
    </row>
    <row r="76" spans="1:27" ht="15.75" customHeight="1" x14ac:dyDescent="0.15">
      <c r="A76" s="7">
        <v>45943</v>
      </c>
      <c r="B76" s="1">
        <v>1</v>
      </c>
      <c r="C76" s="1" t="s">
        <v>39</v>
      </c>
      <c r="D76" s="1" t="s">
        <v>29</v>
      </c>
      <c r="E76" s="1"/>
      <c r="F76" s="1"/>
      <c r="G76" s="1" t="s">
        <v>30</v>
      </c>
      <c r="H76" s="1" t="s">
        <v>30</v>
      </c>
      <c r="I76" s="8">
        <v>45939</v>
      </c>
      <c r="J76" s="9">
        <v>0.375</v>
      </c>
      <c r="K76" s="1" t="s">
        <v>34</v>
      </c>
      <c r="M76" s="8">
        <v>45943</v>
      </c>
      <c r="Q76" s="1"/>
      <c r="R76" s="10" t="s">
        <v>127</v>
      </c>
      <c r="S76" s="10"/>
      <c r="T76" s="1" t="s">
        <v>158</v>
      </c>
      <c r="U76" s="1"/>
      <c r="V76" s="11"/>
      <c r="W76" s="12"/>
      <c r="X76" s="12"/>
      <c r="Y76" s="11"/>
      <c r="Z76" s="11"/>
      <c r="AA76" s="11"/>
    </row>
    <row r="77" spans="1:27" ht="15.75" customHeight="1" x14ac:dyDescent="0.15">
      <c r="A77" s="7">
        <v>45943</v>
      </c>
      <c r="B77" s="1">
        <v>2</v>
      </c>
      <c r="C77" s="1" t="s">
        <v>39</v>
      </c>
      <c r="D77" s="1" t="s">
        <v>29</v>
      </c>
      <c r="E77" s="1"/>
      <c r="F77" s="1"/>
      <c r="G77" s="1" t="s">
        <v>30</v>
      </c>
      <c r="H77" s="1" t="s">
        <v>30</v>
      </c>
      <c r="I77" s="8">
        <v>45939</v>
      </c>
      <c r="J77" s="9">
        <v>0.375</v>
      </c>
      <c r="K77" s="1" t="s">
        <v>34</v>
      </c>
      <c r="M77" s="8">
        <v>45943</v>
      </c>
      <c r="Q77" s="1"/>
      <c r="R77" s="10" t="s">
        <v>127</v>
      </c>
      <c r="S77" s="10"/>
      <c r="T77" s="1" t="s">
        <v>159</v>
      </c>
      <c r="U77" s="1"/>
      <c r="V77" s="11"/>
      <c r="W77" s="12"/>
      <c r="X77" s="12"/>
      <c r="Y77" s="11"/>
      <c r="Z77" s="11"/>
      <c r="AA77" s="11"/>
    </row>
    <row r="78" spans="1:27" ht="15.75" customHeight="1" x14ac:dyDescent="0.15">
      <c r="A78" s="7">
        <v>45940</v>
      </c>
      <c r="B78" s="1">
        <v>1</v>
      </c>
      <c r="C78" s="1" t="s">
        <v>39</v>
      </c>
      <c r="D78" s="1" t="s">
        <v>29</v>
      </c>
      <c r="E78" s="1"/>
      <c r="F78" s="1"/>
      <c r="G78" s="1" t="s">
        <v>30</v>
      </c>
      <c r="H78" s="1" t="s">
        <v>30</v>
      </c>
      <c r="I78" s="8">
        <v>45939</v>
      </c>
      <c r="J78" s="9">
        <v>0.45833333333333331</v>
      </c>
      <c r="K78" s="1" t="s">
        <v>34</v>
      </c>
      <c r="M78" s="8"/>
      <c r="Q78" s="1"/>
      <c r="R78" s="10"/>
      <c r="S78" s="10"/>
      <c r="T78" s="1"/>
      <c r="U78" s="1"/>
      <c r="V78" s="11"/>
      <c r="W78" s="12"/>
      <c r="X78" s="12"/>
      <c r="Y78" s="11"/>
      <c r="Z78" s="11"/>
      <c r="AA78" s="11"/>
    </row>
    <row r="79" spans="1:27" ht="15.75" customHeight="1" x14ac:dyDescent="0.15">
      <c r="A79" s="7">
        <v>45940</v>
      </c>
      <c r="B79" s="1">
        <v>2</v>
      </c>
      <c r="C79" s="1" t="s">
        <v>39</v>
      </c>
      <c r="D79" s="1" t="s">
        <v>29</v>
      </c>
      <c r="E79" s="1"/>
      <c r="F79" s="1"/>
      <c r="G79" s="1" t="s">
        <v>30</v>
      </c>
      <c r="H79" s="1" t="s">
        <v>30</v>
      </c>
      <c r="I79" s="8">
        <v>45939</v>
      </c>
      <c r="J79" s="9">
        <v>0.45833333333333331</v>
      </c>
      <c r="K79" s="1" t="s">
        <v>34</v>
      </c>
      <c r="M79" s="8">
        <v>45940</v>
      </c>
      <c r="Q79" s="1"/>
      <c r="R79" s="10" t="s">
        <v>127</v>
      </c>
      <c r="S79" s="10"/>
      <c r="T79" s="1" t="s">
        <v>160</v>
      </c>
      <c r="U79" s="1">
        <v>2417</v>
      </c>
      <c r="V79" s="11"/>
      <c r="W79" s="12"/>
      <c r="X79" s="12"/>
      <c r="Y79" s="11"/>
      <c r="Z79" s="11"/>
      <c r="AA79" s="11"/>
    </row>
    <row r="80" spans="1:27" ht="15.75" customHeight="1" x14ac:dyDescent="0.15">
      <c r="A80" s="7">
        <v>45939</v>
      </c>
      <c r="B80" s="1">
        <v>1</v>
      </c>
      <c r="C80" s="1" t="s">
        <v>89</v>
      </c>
      <c r="D80" s="1" t="s">
        <v>107</v>
      </c>
      <c r="E80" s="1" t="s">
        <v>150</v>
      </c>
      <c r="F80" s="1"/>
      <c r="G80" s="1" t="s">
        <v>30</v>
      </c>
      <c r="H80" s="1" t="s">
        <v>30</v>
      </c>
      <c r="I80" s="8">
        <v>45938</v>
      </c>
      <c r="J80" s="9">
        <v>0.45833333333333331</v>
      </c>
      <c r="K80" s="1" t="s">
        <v>34</v>
      </c>
      <c r="M80" s="8">
        <v>45940</v>
      </c>
      <c r="Q80" s="1"/>
      <c r="R80" s="10" t="s">
        <v>129</v>
      </c>
      <c r="S80" s="10"/>
      <c r="T80" s="1" t="s">
        <v>161</v>
      </c>
      <c r="U80" s="1"/>
      <c r="V80" s="11"/>
      <c r="W80" s="12"/>
      <c r="X80" s="12"/>
      <c r="Y80" s="11"/>
      <c r="Z80" s="11"/>
      <c r="AA80" s="11"/>
    </row>
    <row r="81" spans="1:27" ht="15.75" customHeight="1" x14ac:dyDescent="0.15">
      <c r="A81" s="7">
        <v>45938</v>
      </c>
      <c r="B81" s="1">
        <v>1</v>
      </c>
      <c r="C81" s="1" t="s">
        <v>162</v>
      </c>
      <c r="D81" s="1" t="s">
        <v>163</v>
      </c>
      <c r="E81" s="1"/>
      <c r="F81" s="1"/>
      <c r="G81" s="1" t="s">
        <v>30</v>
      </c>
      <c r="H81" s="1" t="s">
        <v>30</v>
      </c>
      <c r="I81" s="8">
        <v>45937</v>
      </c>
      <c r="J81" s="9">
        <v>0.45833333333333331</v>
      </c>
      <c r="K81" s="1" t="s">
        <v>34</v>
      </c>
      <c r="M81" s="8"/>
      <c r="Q81" s="1"/>
      <c r="R81" s="10"/>
      <c r="S81" s="10"/>
      <c r="T81" s="1"/>
      <c r="U81" s="1"/>
      <c r="V81" s="11"/>
      <c r="W81" s="12"/>
      <c r="X81" s="12"/>
      <c r="Y81" s="11"/>
      <c r="Z81" s="11"/>
      <c r="AA81" s="11"/>
    </row>
    <row r="82" spans="1:27" ht="15.75" customHeight="1" x14ac:dyDescent="0.15">
      <c r="A82" s="7">
        <v>45938</v>
      </c>
      <c r="B82" s="1">
        <v>2</v>
      </c>
      <c r="C82" s="1" t="s">
        <v>164</v>
      </c>
      <c r="D82" s="1" t="s">
        <v>164</v>
      </c>
      <c r="E82" s="1"/>
      <c r="F82" s="1"/>
      <c r="G82" s="1" t="s">
        <v>30</v>
      </c>
      <c r="H82" s="1" t="s">
        <v>30</v>
      </c>
      <c r="I82" s="8">
        <v>45937</v>
      </c>
      <c r="J82" s="9">
        <v>0.45833333333333331</v>
      </c>
      <c r="K82" s="1" t="s">
        <v>34</v>
      </c>
      <c r="M82" s="8"/>
      <c r="Q82" s="1"/>
      <c r="R82" s="10"/>
      <c r="S82" s="10"/>
      <c r="T82" s="1"/>
      <c r="U82" s="1"/>
      <c r="V82" s="11"/>
      <c r="W82" s="12"/>
      <c r="X82" s="12"/>
      <c r="Y82" s="11"/>
      <c r="Z82" s="11"/>
      <c r="AA82" s="11"/>
    </row>
    <row r="83" spans="1:27" ht="15.75" customHeight="1" x14ac:dyDescent="0.15">
      <c r="A83" s="7">
        <v>45938</v>
      </c>
      <c r="B83" s="1">
        <v>3</v>
      </c>
      <c r="C83" s="1" t="s">
        <v>107</v>
      </c>
      <c r="D83" s="1" t="s">
        <v>122</v>
      </c>
      <c r="E83" s="1"/>
      <c r="F83" s="1"/>
      <c r="G83" s="1" t="s">
        <v>30</v>
      </c>
      <c r="H83" s="1" t="s">
        <v>30</v>
      </c>
      <c r="I83" s="8">
        <v>45937</v>
      </c>
      <c r="J83" s="9">
        <v>0.45833333333333331</v>
      </c>
      <c r="K83" s="1" t="s">
        <v>34</v>
      </c>
      <c r="M83" s="8"/>
      <c r="Q83" s="1"/>
      <c r="R83" s="10"/>
      <c r="S83" s="10"/>
      <c r="T83" s="1"/>
      <c r="U83" s="1"/>
      <c r="V83" s="11"/>
      <c r="W83" s="12"/>
      <c r="X83" s="12"/>
      <c r="Y83" s="11"/>
      <c r="Z83" s="11"/>
      <c r="AA83" s="11"/>
    </row>
    <row r="84" spans="1:27" ht="15.75" customHeight="1" x14ac:dyDescent="0.15">
      <c r="A84" s="7">
        <v>45937</v>
      </c>
      <c r="B84" s="1">
        <v>1</v>
      </c>
      <c r="C84" s="1" t="s">
        <v>28</v>
      </c>
      <c r="D84" s="1" t="s">
        <v>29</v>
      </c>
      <c r="E84" s="1"/>
      <c r="F84" s="1"/>
      <c r="G84" s="1" t="s">
        <v>30</v>
      </c>
      <c r="H84" s="1" t="s">
        <v>30</v>
      </c>
      <c r="I84" s="8">
        <v>45935</v>
      </c>
      <c r="J84" s="9">
        <v>0.375</v>
      </c>
      <c r="K84" s="1" t="s">
        <v>34</v>
      </c>
      <c r="M84" s="8"/>
      <c r="Q84" s="1"/>
      <c r="R84" s="10"/>
      <c r="S84" s="10"/>
      <c r="T84" s="1"/>
      <c r="U84" s="1"/>
      <c r="V84" s="11"/>
      <c r="W84" s="12"/>
      <c r="X84" s="12"/>
      <c r="Y84" s="11"/>
      <c r="Z84" s="11"/>
      <c r="AA84" s="11"/>
    </row>
    <row r="85" spans="1:27" ht="15.75" customHeight="1" x14ac:dyDescent="0.15">
      <c r="A85" s="7">
        <v>45936</v>
      </c>
      <c r="B85" s="1">
        <v>1</v>
      </c>
      <c r="C85" s="1" t="s">
        <v>28</v>
      </c>
      <c r="D85" s="1" t="s">
        <v>29</v>
      </c>
      <c r="E85" s="1"/>
      <c r="F85" s="1"/>
      <c r="G85" s="1" t="s">
        <v>30</v>
      </c>
      <c r="H85" s="1" t="s">
        <v>30</v>
      </c>
      <c r="I85" s="8">
        <v>45935</v>
      </c>
      <c r="J85" s="9">
        <v>0.375</v>
      </c>
      <c r="K85" s="1" t="s">
        <v>34</v>
      </c>
      <c r="M85" s="8"/>
      <c r="Q85" s="1"/>
      <c r="R85" s="10"/>
      <c r="S85" s="10"/>
      <c r="T85" s="1"/>
      <c r="U85" s="1"/>
      <c r="V85" s="11"/>
      <c r="W85" s="12"/>
      <c r="X85" s="12"/>
      <c r="Y85" s="11"/>
      <c r="Z85" s="11"/>
      <c r="AA85" s="11"/>
    </row>
    <row r="86" spans="1:27" ht="15.75" customHeight="1" x14ac:dyDescent="0.15">
      <c r="A86" s="7">
        <v>45936</v>
      </c>
      <c r="B86" s="1">
        <v>2</v>
      </c>
      <c r="C86" s="1" t="s">
        <v>28</v>
      </c>
      <c r="D86" s="1" t="s">
        <v>29</v>
      </c>
      <c r="E86" s="1"/>
      <c r="F86" s="1"/>
      <c r="G86" s="1" t="s">
        <v>30</v>
      </c>
      <c r="H86" s="1" t="s">
        <v>30</v>
      </c>
      <c r="I86" s="8">
        <v>45935</v>
      </c>
      <c r="J86" s="9">
        <v>0.375</v>
      </c>
      <c r="K86" s="1" t="s">
        <v>34</v>
      </c>
      <c r="M86" s="8"/>
      <c r="Q86" s="1"/>
      <c r="R86" s="10"/>
      <c r="S86" s="10"/>
      <c r="T86" s="1"/>
      <c r="U86" s="1"/>
      <c r="V86" s="11"/>
      <c r="W86" s="12"/>
      <c r="X86" s="12"/>
      <c r="Y86" s="11"/>
      <c r="Z86" s="11"/>
      <c r="AA86" s="11"/>
    </row>
    <row r="87" spans="1:27" ht="15.75" customHeight="1" x14ac:dyDescent="0.15">
      <c r="A87" s="7">
        <v>45933</v>
      </c>
      <c r="B87" s="1">
        <v>2.1</v>
      </c>
      <c r="C87" s="1" t="s">
        <v>39</v>
      </c>
      <c r="D87" s="1" t="s">
        <v>29</v>
      </c>
      <c r="E87" s="1"/>
      <c r="F87" s="1"/>
      <c r="G87" s="1" t="s">
        <v>30</v>
      </c>
      <c r="H87" s="1" t="s">
        <v>30</v>
      </c>
      <c r="I87" s="8">
        <v>45930</v>
      </c>
      <c r="J87" s="9">
        <v>0.70833333333333337</v>
      </c>
      <c r="K87" s="1" t="s">
        <v>34</v>
      </c>
      <c r="M87" s="8"/>
      <c r="Q87" s="1"/>
      <c r="R87" s="10"/>
      <c r="S87" s="10"/>
      <c r="T87" s="1"/>
      <c r="U87" s="1"/>
      <c r="V87" s="11"/>
      <c r="W87" s="12"/>
      <c r="X87" s="12"/>
      <c r="Y87" s="11"/>
      <c r="Z87" s="11"/>
      <c r="AA87" s="11"/>
    </row>
    <row r="88" spans="1:27" ht="15.75" customHeight="1" x14ac:dyDescent="0.15">
      <c r="A88" s="7">
        <v>45933</v>
      </c>
      <c r="B88" s="1">
        <v>2.2000000000000002</v>
      </c>
      <c r="C88" s="1" t="s">
        <v>39</v>
      </c>
      <c r="D88" s="1" t="s">
        <v>29</v>
      </c>
      <c r="E88" s="1"/>
      <c r="F88" s="1"/>
      <c r="G88" s="1" t="s">
        <v>30</v>
      </c>
      <c r="H88" s="1" t="s">
        <v>30</v>
      </c>
      <c r="I88" s="8">
        <v>45930</v>
      </c>
      <c r="J88" s="9">
        <v>0.70833333333333337</v>
      </c>
      <c r="K88" s="1" t="s">
        <v>34</v>
      </c>
      <c r="M88" s="8"/>
      <c r="Q88" s="1"/>
      <c r="R88" s="10"/>
      <c r="S88" s="10"/>
      <c r="T88" s="1"/>
      <c r="U88" s="1"/>
      <c r="V88" s="11"/>
      <c r="W88" s="12"/>
      <c r="X88" s="12"/>
      <c r="Y88" s="11"/>
      <c r="Z88" s="11"/>
      <c r="AA88" s="11"/>
    </row>
    <row r="89" spans="1:27" ht="15.75" customHeight="1" x14ac:dyDescent="0.15">
      <c r="A89" s="7">
        <v>45933</v>
      </c>
      <c r="B89" s="1">
        <v>1.1000000000000001</v>
      </c>
      <c r="C89" s="1" t="s">
        <v>89</v>
      </c>
      <c r="D89" s="1" t="s">
        <v>107</v>
      </c>
      <c r="E89" s="1"/>
      <c r="F89" s="1" t="s">
        <v>165</v>
      </c>
      <c r="G89" s="1" t="s">
        <v>30</v>
      </c>
      <c r="H89" s="1" t="s">
        <v>30</v>
      </c>
      <c r="I89" s="8">
        <v>45931</v>
      </c>
      <c r="J89" s="9">
        <v>0.41666666666666669</v>
      </c>
      <c r="K89" s="1" t="s">
        <v>34</v>
      </c>
      <c r="M89" s="8"/>
      <c r="Q89" s="1"/>
      <c r="R89" s="10"/>
      <c r="S89" s="10"/>
      <c r="T89" s="1"/>
      <c r="U89" s="1"/>
      <c r="V89" s="11"/>
      <c r="W89" s="12"/>
      <c r="X89" s="12"/>
      <c r="Y89" s="11"/>
      <c r="Z89" s="11"/>
      <c r="AA89" s="11"/>
    </row>
    <row r="90" spans="1:27" ht="15.75" customHeight="1" x14ac:dyDescent="0.15">
      <c r="A90" s="7">
        <v>45933</v>
      </c>
      <c r="B90" s="1">
        <v>1.2</v>
      </c>
      <c r="C90" s="1" t="s">
        <v>89</v>
      </c>
      <c r="D90" s="1" t="s">
        <v>107</v>
      </c>
      <c r="E90" s="1"/>
      <c r="F90" s="1" t="s">
        <v>165</v>
      </c>
      <c r="G90" s="1" t="s">
        <v>30</v>
      </c>
      <c r="H90" s="1" t="s">
        <v>30</v>
      </c>
      <c r="I90" s="8">
        <v>45931</v>
      </c>
      <c r="J90" s="9">
        <v>0.41666666666666669</v>
      </c>
      <c r="K90" s="1" t="s">
        <v>34</v>
      </c>
      <c r="M90" s="8"/>
      <c r="Q90" s="1"/>
      <c r="R90" s="10"/>
      <c r="S90" s="10"/>
      <c r="T90" s="1"/>
      <c r="U90" s="1"/>
      <c r="V90" s="11"/>
      <c r="W90" s="12"/>
      <c r="X90" s="12"/>
      <c r="Y90" s="11"/>
      <c r="Z90" s="11"/>
      <c r="AA90" s="11"/>
    </row>
    <row r="91" spans="1:27" ht="15.75" customHeight="1" x14ac:dyDescent="0.15">
      <c r="A91" s="7">
        <v>45932</v>
      </c>
      <c r="B91" s="1">
        <v>1</v>
      </c>
      <c r="C91" s="1" t="s">
        <v>107</v>
      </c>
      <c r="D91" s="1" t="s">
        <v>122</v>
      </c>
      <c r="E91" s="1"/>
      <c r="F91" s="1" t="s">
        <v>166</v>
      </c>
      <c r="G91" s="1" t="s">
        <v>30</v>
      </c>
      <c r="H91" s="1" t="s">
        <v>30</v>
      </c>
      <c r="I91" s="8">
        <v>45931</v>
      </c>
      <c r="J91" s="9">
        <v>0.5</v>
      </c>
      <c r="K91" s="1" t="s">
        <v>34</v>
      </c>
      <c r="M91" s="8"/>
      <c r="Q91" s="1"/>
      <c r="R91" s="10"/>
      <c r="S91" s="10"/>
      <c r="T91" s="1"/>
      <c r="U91" s="1"/>
      <c r="V91" s="11"/>
      <c r="W91" s="12"/>
      <c r="X91" s="12"/>
      <c r="Y91" s="11"/>
      <c r="Z91" s="11"/>
      <c r="AA91" s="11"/>
    </row>
    <row r="92" spans="1:27" ht="15.75" customHeight="1" x14ac:dyDescent="0.15">
      <c r="A92" s="7">
        <v>45932</v>
      </c>
      <c r="B92" s="1">
        <v>2</v>
      </c>
      <c r="C92" s="1" t="s">
        <v>89</v>
      </c>
      <c r="D92" s="1" t="s">
        <v>107</v>
      </c>
      <c r="E92" s="1"/>
      <c r="F92" s="1" t="s">
        <v>166</v>
      </c>
      <c r="G92" s="1" t="s">
        <v>30</v>
      </c>
      <c r="H92" s="1" t="s">
        <v>30</v>
      </c>
      <c r="I92" s="8">
        <v>45931</v>
      </c>
      <c r="J92" s="9">
        <v>0.5</v>
      </c>
      <c r="K92" s="1" t="s">
        <v>34</v>
      </c>
      <c r="M92" s="8"/>
      <c r="Q92" s="1"/>
      <c r="R92" s="10"/>
      <c r="S92" s="10"/>
      <c r="T92" s="1"/>
      <c r="U92" s="1"/>
      <c r="V92" s="11"/>
      <c r="W92" s="12"/>
      <c r="X92" s="12"/>
      <c r="Y92" s="11"/>
      <c r="Z92" s="11"/>
      <c r="AA92" s="11"/>
    </row>
    <row r="93" spans="1:27" ht="15.75" customHeight="1" x14ac:dyDescent="0.15">
      <c r="A93" s="7">
        <v>45932</v>
      </c>
      <c r="B93" s="1">
        <v>3</v>
      </c>
      <c r="C93" s="1" t="s">
        <v>89</v>
      </c>
      <c r="D93" s="1" t="s">
        <v>107</v>
      </c>
      <c r="E93" s="1"/>
      <c r="F93" s="1" t="s">
        <v>101</v>
      </c>
      <c r="G93" s="1" t="s">
        <v>30</v>
      </c>
      <c r="H93" s="1" t="s">
        <v>30</v>
      </c>
      <c r="I93" s="8">
        <v>45931</v>
      </c>
      <c r="J93" s="9">
        <v>0.5</v>
      </c>
      <c r="K93" s="1" t="s">
        <v>34</v>
      </c>
      <c r="M93" s="8"/>
      <c r="Q93" s="1"/>
      <c r="R93" s="10"/>
      <c r="S93" s="10"/>
      <c r="T93" s="1"/>
      <c r="U93" s="1"/>
      <c r="V93" s="11"/>
      <c r="W93" s="12"/>
      <c r="X93" s="12"/>
      <c r="Y93" s="11"/>
      <c r="Z93" s="11"/>
      <c r="AA93" s="11"/>
    </row>
    <row r="94" spans="1:27" ht="15.75" customHeight="1" x14ac:dyDescent="0.15">
      <c r="A94" s="7">
        <v>45931</v>
      </c>
      <c r="B94" s="1">
        <v>1</v>
      </c>
      <c r="C94" s="1" t="s">
        <v>39</v>
      </c>
      <c r="D94" s="1" t="s">
        <v>29</v>
      </c>
      <c r="E94" s="1"/>
      <c r="F94" s="1"/>
      <c r="G94" s="1" t="s">
        <v>30</v>
      </c>
      <c r="H94" s="1" t="s">
        <v>30</v>
      </c>
      <c r="I94" s="8">
        <v>45930</v>
      </c>
      <c r="J94" s="9">
        <v>0.45833333333333331</v>
      </c>
      <c r="K94" s="1" t="s">
        <v>34</v>
      </c>
      <c r="M94" s="8"/>
      <c r="Q94" s="1"/>
      <c r="R94" s="10"/>
      <c r="S94" s="10"/>
      <c r="T94" s="1"/>
      <c r="U94" s="1"/>
      <c r="V94" s="11"/>
      <c r="W94" s="12"/>
      <c r="X94" s="12"/>
      <c r="Y94" s="11"/>
      <c r="Z94" s="11"/>
      <c r="AA94" s="11"/>
    </row>
    <row r="95" spans="1:27" ht="15.75" customHeight="1" x14ac:dyDescent="0.15">
      <c r="A95" s="7">
        <v>45931</v>
      </c>
      <c r="B95" s="1">
        <v>2</v>
      </c>
      <c r="C95" s="1" t="s">
        <v>39</v>
      </c>
      <c r="D95" s="1" t="s">
        <v>29</v>
      </c>
      <c r="E95" s="1"/>
      <c r="F95" s="1"/>
      <c r="G95" s="1" t="s">
        <v>30</v>
      </c>
      <c r="H95" s="1" t="s">
        <v>30</v>
      </c>
      <c r="I95" s="8">
        <v>45930</v>
      </c>
      <c r="J95" s="9">
        <v>0.45833333333333331</v>
      </c>
      <c r="K95" s="1" t="s">
        <v>34</v>
      </c>
      <c r="M95" s="8">
        <v>45931</v>
      </c>
      <c r="Q95" s="1" t="s">
        <v>167</v>
      </c>
      <c r="R95" s="10"/>
      <c r="S95" s="10"/>
      <c r="T95" s="1" t="s">
        <v>168</v>
      </c>
      <c r="U95" s="1">
        <v>1802</v>
      </c>
      <c r="V95" s="11"/>
      <c r="W95" s="12"/>
      <c r="X95" s="12"/>
      <c r="Y95" s="11"/>
      <c r="Z95" s="11"/>
      <c r="AA95" s="11"/>
    </row>
    <row r="96" spans="1:27" ht="15.75" customHeight="1" x14ac:dyDescent="0.15">
      <c r="A96" s="7">
        <v>45926</v>
      </c>
      <c r="B96" s="1">
        <v>1</v>
      </c>
      <c r="C96" s="1" t="s">
        <v>107</v>
      </c>
      <c r="D96" s="1" t="s">
        <v>89</v>
      </c>
      <c r="E96" s="1"/>
      <c r="F96" s="1" t="s">
        <v>101</v>
      </c>
      <c r="G96" s="1" t="s">
        <v>30</v>
      </c>
      <c r="H96" s="1" t="s">
        <v>30</v>
      </c>
      <c r="I96" s="8">
        <v>45924</v>
      </c>
      <c r="J96" s="9">
        <v>0.375</v>
      </c>
      <c r="K96" s="1" t="s">
        <v>34</v>
      </c>
      <c r="M96" s="8">
        <v>45926</v>
      </c>
      <c r="Q96" s="1" t="s">
        <v>87</v>
      </c>
      <c r="R96" s="10"/>
      <c r="S96" s="10"/>
      <c r="T96" s="1" t="s">
        <v>169</v>
      </c>
      <c r="U96" s="1">
        <v>993</v>
      </c>
      <c r="V96" s="11"/>
      <c r="W96" s="12"/>
      <c r="X96" s="12"/>
      <c r="Y96" s="11"/>
      <c r="Z96" s="11"/>
      <c r="AA96" s="11"/>
    </row>
    <row r="97" spans="1:27" ht="15.75" customHeight="1" x14ac:dyDescent="0.15">
      <c r="A97" s="7">
        <v>45925</v>
      </c>
      <c r="B97" s="1">
        <v>2</v>
      </c>
      <c r="C97" s="1" t="s">
        <v>107</v>
      </c>
      <c r="D97" s="1" t="s">
        <v>170</v>
      </c>
      <c r="E97" s="1"/>
      <c r="F97" s="1" t="s">
        <v>101</v>
      </c>
      <c r="G97" s="1" t="s">
        <v>30</v>
      </c>
      <c r="H97" s="1" t="s">
        <v>30</v>
      </c>
      <c r="I97" s="8">
        <v>45923</v>
      </c>
      <c r="J97" s="9">
        <v>0.375</v>
      </c>
      <c r="K97" s="1" t="s">
        <v>34</v>
      </c>
      <c r="M97" s="8">
        <v>45925</v>
      </c>
      <c r="Q97" s="1" t="s">
        <v>87</v>
      </c>
      <c r="R97" s="10"/>
      <c r="S97" s="10"/>
      <c r="T97" s="1" t="s">
        <v>171</v>
      </c>
      <c r="U97" s="1">
        <v>460</v>
      </c>
      <c r="V97" s="11"/>
      <c r="W97" s="12"/>
      <c r="X97" s="12"/>
      <c r="Y97" s="11"/>
      <c r="Z97" s="11"/>
      <c r="AA97" s="11"/>
    </row>
    <row r="98" spans="1:27" ht="15.75" customHeight="1" x14ac:dyDescent="0.15">
      <c r="A98" s="7">
        <v>45924</v>
      </c>
      <c r="B98" s="1">
        <v>1</v>
      </c>
      <c r="C98" s="1" t="s">
        <v>107</v>
      </c>
      <c r="D98" s="1" t="s">
        <v>170</v>
      </c>
      <c r="E98" s="1"/>
      <c r="F98" s="1" t="s">
        <v>101</v>
      </c>
      <c r="G98" s="1" t="s">
        <v>30</v>
      </c>
      <c r="H98" s="1" t="s">
        <v>30</v>
      </c>
      <c r="I98" s="8">
        <v>45923</v>
      </c>
      <c r="J98" s="9">
        <v>0.41666666666666669</v>
      </c>
      <c r="K98" s="1" t="s">
        <v>34</v>
      </c>
      <c r="M98" s="8">
        <v>45924</v>
      </c>
      <c r="Q98" s="1" t="s">
        <v>87</v>
      </c>
      <c r="R98" s="10"/>
      <c r="S98" s="10"/>
      <c r="T98" s="1" t="s">
        <v>172</v>
      </c>
      <c r="U98" s="1">
        <v>754</v>
      </c>
      <c r="V98" s="11"/>
      <c r="W98" s="12"/>
      <c r="X98" s="12"/>
      <c r="Y98" s="11"/>
      <c r="Z98" s="11"/>
      <c r="AA98" s="11"/>
    </row>
    <row r="99" spans="1:27" ht="15.75" customHeight="1" x14ac:dyDescent="0.15">
      <c r="A99" s="7">
        <v>45922</v>
      </c>
      <c r="B99" s="1">
        <v>1</v>
      </c>
      <c r="C99" s="1" t="s">
        <v>107</v>
      </c>
      <c r="D99" s="1" t="s">
        <v>122</v>
      </c>
      <c r="E99" s="1"/>
      <c r="F99" s="1" t="s">
        <v>101</v>
      </c>
      <c r="G99" s="1" t="s">
        <v>30</v>
      </c>
      <c r="H99" s="1" t="s">
        <v>30</v>
      </c>
      <c r="I99" s="8">
        <v>45919</v>
      </c>
      <c r="J99" s="9">
        <v>0.375</v>
      </c>
      <c r="K99" s="1" t="s">
        <v>34</v>
      </c>
      <c r="M99" s="8">
        <v>45922</v>
      </c>
      <c r="Q99" s="1" t="s">
        <v>87</v>
      </c>
      <c r="R99" s="10"/>
      <c r="S99" s="10"/>
      <c r="T99" s="1" t="s">
        <v>173</v>
      </c>
      <c r="U99" s="1">
        <v>708</v>
      </c>
      <c r="V99" s="11"/>
      <c r="W99" s="12"/>
      <c r="X99" s="12"/>
      <c r="Y99" s="11"/>
      <c r="Z99" s="11"/>
      <c r="AA99" s="11"/>
    </row>
    <row r="100" spans="1:27" ht="15.75" customHeight="1" x14ac:dyDescent="0.15">
      <c r="A100" s="7">
        <v>45919</v>
      </c>
      <c r="B100" s="1">
        <v>1</v>
      </c>
      <c r="C100" s="1" t="s">
        <v>89</v>
      </c>
      <c r="D100" s="1" t="s">
        <v>89</v>
      </c>
      <c r="E100" s="1"/>
      <c r="F100" s="1" t="s">
        <v>101</v>
      </c>
      <c r="G100" s="1" t="s">
        <v>30</v>
      </c>
      <c r="H100" s="1" t="s">
        <v>30</v>
      </c>
      <c r="I100" s="8">
        <v>45917</v>
      </c>
      <c r="J100" s="9">
        <v>0.375</v>
      </c>
      <c r="K100" s="1" t="s">
        <v>34</v>
      </c>
      <c r="M100" s="8">
        <v>45919</v>
      </c>
      <c r="Q100" s="1" t="s">
        <v>87</v>
      </c>
      <c r="R100" s="10"/>
      <c r="S100" s="10"/>
      <c r="T100" s="1" t="s">
        <v>174</v>
      </c>
      <c r="U100" s="1">
        <v>1392</v>
      </c>
      <c r="V100" s="11"/>
      <c r="W100" s="12"/>
      <c r="X100" s="12"/>
      <c r="Y100" s="11"/>
      <c r="Z100" s="11"/>
      <c r="AA100" s="11"/>
    </row>
    <row r="101" spans="1:27" ht="15.75" customHeight="1" x14ac:dyDescent="0.15">
      <c r="A101" s="7">
        <v>45918</v>
      </c>
      <c r="B101" s="1">
        <v>1</v>
      </c>
      <c r="C101" s="1" t="s">
        <v>89</v>
      </c>
      <c r="D101" s="1" t="s">
        <v>89</v>
      </c>
      <c r="E101" s="1"/>
      <c r="F101" s="1" t="s">
        <v>101</v>
      </c>
      <c r="G101" s="1" t="s">
        <v>30</v>
      </c>
      <c r="H101" s="1" t="s">
        <v>30</v>
      </c>
      <c r="I101" s="8">
        <v>45915</v>
      </c>
      <c r="J101" s="9">
        <v>0.375</v>
      </c>
      <c r="K101" s="1" t="s">
        <v>34</v>
      </c>
      <c r="M101" s="8">
        <v>45918</v>
      </c>
      <c r="Q101" s="1" t="s">
        <v>175</v>
      </c>
      <c r="R101" s="10"/>
      <c r="S101" s="10"/>
      <c r="T101" s="1" t="s">
        <v>176</v>
      </c>
      <c r="U101" s="1">
        <v>1126</v>
      </c>
      <c r="V101" s="11"/>
      <c r="W101" s="12"/>
      <c r="X101" s="12"/>
      <c r="Y101" s="11"/>
      <c r="Z101" s="11"/>
      <c r="AA101" s="11"/>
    </row>
    <row r="102" spans="1:27" ht="15.75" customHeight="1" x14ac:dyDescent="0.15">
      <c r="A102" s="7">
        <v>45916</v>
      </c>
      <c r="B102" s="1" t="s">
        <v>177</v>
      </c>
      <c r="C102" s="1" t="s">
        <v>89</v>
      </c>
      <c r="D102" s="1" t="s">
        <v>89</v>
      </c>
      <c r="E102" s="1"/>
      <c r="F102" s="1" t="s">
        <v>101</v>
      </c>
      <c r="G102" s="1" t="s">
        <v>30</v>
      </c>
      <c r="H102" s="1" t="s">
        <v>30</v>
      </c>
      <c r="I102" s="8">
        <v>45915</v>
      </c>
      <c r="J102" s="9">
        <v>0.58333333333333337</v>
      </c>
      <c r="K102" s="1" t="s">
        <v>34</v>
      </c>
      <c r="M102" s="8">
        <v>45917</v>
      </c>
      <c r="Q102" s="1" t="s">
        <v>175</v>
      </c>
      <c r="R102" s="10"/>
      <c r="S102" s="10"/>
      <c r="T102" s="1" t="s">
        <v>178</v>
      </c>
      <c r="V102" s="11"/>
      <c r="W102" s="12"/>
      <c r="X102" s="12"/>
      <c r="Y102" s="11"/>
      <c r="Z102" s="11"/>
      <c r="AA102" s="11"/>
    </row>
    <row r="103" spans="1:27" ht="15.75" customHeight="1" x14ac:dyDescent="0.15">
      <c r="A103" s="7">
        <v>45916</v>
      </c>
      <c r="B103" s="1" t="s">
        <v>179</v>
      </c>
      <c r="C103" s="1" t="s">
        <v>122</v>
      </c>
      <c r="D103" s="1" t="s">
        <v>122</v>
      </c>
      <c r="E103" s="1"/>
      <c r="F103" s="1" t="s">
        <v>101</v>
      </c>
      <c r="G103" s="1" t="s">
        <v>30</v>
      </c>
      <c r="H103" s="1" t="s">
        <v>30</v>
      </c>
      <c r="I103" s="8">
        <v>45915</v>
      </c>
      <c r="J103" s="9">
        <v>0.58333333333333337</v>
      </c>
      <c r="K103" s="1" t="s">
        <v>34</v>
      </c>
      <c r="M103" s="8">
        <v>45917</v>
      </c>
      <c r="Q103" s="1" t="s">
        <v>175</v>
      </c>
      <c r="R103" s="10"/>
      <c r="S103" s="10"/>
      <c r="T103" s="1" t="s">
        <v>178</v>
      </c>
      <c r="U103" s="1">
        <v>956</v>
      </c>
      <c r="V103" s="11"/>
      <c r="W103" s="12"/>
      <c r="X103" s="12"/>
      <c r="Y103" s="11"/>
      <c r="Z103" s="11"/>
      <c r="AA103" s="11"/>
    </row>
    <row r="104" spans="1:27" ht="15.75" customHeight="1" x14ac:dyDescent="0.15">
      <c r="A104" s="7">
        <v>45915</v>
      </c>
      <c r="B104" s="1">
        <v>1</v>
      </c>
      <c r="C104" s="1"/>
      <c r="D104" s="1" t="s">
        <v>180</v>
      </c>
      <c r="E104" s="1"/>
      <c r="F104" s="1" t="s">
        <v>101</v>
      </c>
      <c r="G104" s="1" t="s">
        <v>30</v>
      </c>
      <c r="H104" s="1" t="s">
        <v>30</v>
      </c>
      <c r="I104" s="8">
        <v>45912</v>
      </c>
      <c r="J104" s="9">
        <v>0.41666666666666669</v>
      </c>
      <c r="K104" s="1" t="s">
        <v>34</v>
      </c>
      <c r="M104" s="8">
        <v>45915</v>
      </c>
      <c r="Q104" s="1" t="s">
        <v>175</v>
      </c>
      <c r="R104" s="10"/>
      <c r="S104" s="10"/>
      <c r="T104" s="1" t="s">
        <v>181</v>
      </c>
      <c r="U104" s="1">
        <v>765</v>
      </c>
      <c r="V104" s="11"/>
      <c r="W104" s="12"/>
      <c r="X104" s="12"/>
      <c r="Y104" s="11"/>
      <c r="Z104" s="11"/>
      <c r="AA104" s="11"/>
    </row>
    <row r="105" spans="1:27" ht="15.75" customHeight="1" x14ac:dyDescent="0.15">
      <c r="A105" s="7">
        <v>45912</v>
      </c>
      <c r="B105" s="1">
        <v>2</v>
      </c>
      <c r="C105" s="1" t="s">
        <v>89</v>
      </c>
      <c r="D105" s="1" t="s">
        <v>89</v>
      </c>
      <c r="E105" s="1"/>
      <c r="F105" s="1" t="s">
        <v>101</v>
      </c>
      <c r="G105" s="1" t="s">
        <v>30</v>
      </c>
      <c r="H105" s="1" t="s">
        <v>30</v>
      </c>
      <c r="I105" s="8">
        <v>45909</v>
      </c>
      <c r="J105" s="9">
        <v>0.39583333333333331</v>
      </c>
      <c r="K105" s="1" t="s">
        <v>34</v>
      </c>
      <c r="M105" s="8">
        <v>45912</v>
      </c>
      <c r="Q105" s="1" t="s">
        <v>175</v>
      </c>
      <c r="R105" s="10"/>
      <c r="S105" s="10"/>
      <c r="T105" s="1" t="s">
        <v>182</v>
      </c>
      <c r="U105" s="1">
        <v>1126</v>
      </c>
      <c r="V105" s="11"/>
      <c r="W105" s="12"/>
      <c r="X105" s="12"/>
      <c r="Y105" s="11"/>
      <c r="Z105" s="11"/>
      <c r="AA105" s="11"/>
    </row>
    <row r="106" spans="1:27" ht="15.75" customHeight="1" x14ac:dyDescent="0.15">
      <c r="A106" s="7">
        <v>45911</v>
      </c>
      <c r="B106" s="1">
        <v>1</v>
      </c>
      <c r="C106" s="1" t="s">
        <v>89</v>
      </c>
      <c r="D106" s="1" t="s">
        <v>89</v>
      </c>
      <c r="E106" s="1"/>
      <c r="F106" s="1" t="s">
        <v>101</v>
      </c>
      <c r="G106" s="1" t="s">
        <v>30</v>
      </c>
      <c r="H106" s="1" t="s">
        <v>30</v>
      </c>
      <c r="I106" s="8">
        <v>45909</v>
      </c>
      <c r="J106" s="9">
        <v>0.45833333333333331</v>
      </c>
      <c r="K106" s="1" t="s">
        <v>34</v>
      </c>
      <c r="M106" s="8">
        <v>45911</v>
      </c>
      <c r="Q106" s="1" t="s">
        <v>87</v>
      </c>
      <c r="R106" s="10"/>
      <c r="S106" s="10"/>
      <c r="T106" s="1" t="s">
        <v>183</v>
      </c>
      <c r="U106" s="1">
        <v>349</v>
      </c>
      <c r="V106" s="11"/>
      <c r="W106" s="12"/>
      <c r="X106" s="12"/>
      <c r="Y106" s="11"/>
      <c r="Z106" s="11"/>
      <c r="AA106" s="11"/>
    </row>
    <row r="107" spans="1:27" ht="15.75" customHeight="1" x14ac:dyDescent="0.15">
      <c r="A107" s="7">
        <v>45910</v>
      </c>
      <c r="B107" s="1">
        <v>1</v>
      </c>
      <c r="C107" s="1" t="s">
        <v>89</v>
      </c>
      <c r="D107" s="1" t="s">
        <v>89</v>
      </c>
      <c r="E107" s="1"/>
      <c r="F107" s="1" t="s">
        <v>101</v>
      </c>
      <c r="G107" s="1" t="s">
        <v>30</v>
      </c>
      <c r="H107" s="1" t="s">
        <v>30</v>
      </c>
      <c r="I107" s="8">
        <v>45909</v>
      </c>
      <c r="J107" s="9">
        <v>0.45833333333333331</v>
      </c>
      <c r="K107" s="1" t="s">
        <v>34</v>
      </c>
      <c r="M107" s="8">
        <v>45910</v>
      </c>
      <c r="Q107" s="1" t="s">
        <v>87</v>
      </c>
      <c r="R107" s="10" t="str">
        <f ca="1">IFERROR(__xludf.DUMMYFUNCTION("JOIN("","", SORT(UNIQUE(TOCOL({VLOOKUP(D107,DM_fish!A:B,2,FALSE),VLOOKUP(C107,DM_fish!A:B,2,FALSE), ARRAYFORMULA(VLOOKUP(SPLIT(E107, "", ""),Injections!B:G,6,FALSE)), ARRAYFORMULA(VLOOKUP(SPLIT(F107, "", ""),Injections!H:M,6,FALSE)), ARRAYFORMULA(VLOOKUP("&amp;"SPLIT(G107, "", ""),Injections!N:S,6,FALSE)), ARRAYFORMULA(VLOOKUP(SPLIT(H107, "", ""),Injections!T:Y,6,FALSE)) },3))))"),"csp,male #1 founder (good percentage ++, multiple alleles),560,Mitochondria")</f>
        <v>csp,male #1 founder (good percentage ++, multiple alleles),560,Mitochondria</v>
      </c>
      <c r="S107" s="10"/>
      <c r="T107" s="1" t="s">
        <v>184</v>
      </c>
      <c r="V107" s="11"/>
      <c r="W107" s="12"/>
      <c r="X107" s="12"/>
      <c r="Y107" s="11"/>
      <c r="Z107" s="11"/>
      <c r="AA107" s="11"/>
    </row>
    <row r="108" spans="1:27" ht="15.75" customHeight="1" x14ac:dyDescent="0.15">
      <c r="A108" s="7">
        <v>45909</v>
      </c>
      <c r="B108" s="1">
        <v>1</v>
      </c>
      <c r="C108" s="1"/>
      <c r="D108" s="1"/>
      <c r="E108" s="1"/>
      <c r="F108" s="1"/>
      <c r="G108" s="1" t="s">
        <v>30</v>
      </c>
      <c r="H108" s="1" t="s">
        <v>30</v>
      </c>
      <c r="I108" s="8">
        <v>45908</v>
      </c>
      <c r="J108" s="9">
        <v>0.45833333333333331</v>
      </c>
      <c r="K108" s="1" t="s">
        <v>34</v>
      </c>
      <c r="M108" s="8"/>
      <c r="R108" s="10" t="str">
        <f ca="1">IFERROR(__xludf.DUMMYFUNCTION("JOIN("","", SORT(UNIQUE(TOCOL({VLOOKUP(D108,DM_fish!A:B,2,FALSE),VLOOKUP(C108,DM_fish!A:B,2,FALSE), ARRAYFORMULA(VLOOKUP(SPLIT(E108, "", ""),Injections!B:G,6,FALSE)), ARRAYFORMULA(VLOOKUP(SPLIT(F108, "", ""),Injections!H:M,6,FALSE)), ARRAYFORMULA(VLOOKUP("&amp;"SPLIT(G108, "", ""),Injections!N:S,6,FALSE)), ARRAYFORMULA(VLOOKUP(SPLIT(H108, "", ""),Injections!T:Y,6,FALSE)) },3))))"),"")</f>
        <v/>
      </c>
      <c r="S108" s="10"/>
      <c r="T108" s="1"/>
      <c r="V108" s="11"/>
      <c r="W108" s="12"/>
      <c r="X108" s="12"/>
      <c r="Y108" s="11"/>
      <c r="Z108" s="11"/>
      <c r="AA108" s="11"/>
    </row>
    <row r="109" spans="1:27" ht="15.75" customHeight="1" x14ac:dyDescent="0.15">
      <c r="A109" s="7">
        <v>45909</v>
      </c>
      <c r="B109" s="1">
        <v>2</v>
      </c>
      <c r="C109" s="1"/>
      <c r="D109" s="1"/>
      <c r="E109" s="1"/>
      <c r="F109" s="1"/>
      <c r="G109" s="1" t="s">
        <v>30</v>
      </c>
      <c r="H109" s="1" t="s">
        <v>30</v>
      </c>
      <c r="I109" s="8">
        <v>45908</v>
      </c>
      <c r="J109" s="9">
        <v>0.45833333333333331</v>
      </c>
      <c r="K109" s="1" t="s">
        <v>34</v>
      </c>
      <c r="M109" s="8"/>
      <c r="R109" s="10" t="str">
        <f ca="1">IFERROR(__xludf.DUMMYFUNCTION("JOIN("","", SORT(UNIQUE(TOCOL({VLOOKUP(D109,DM_fish!A:B,2,FALSE),VLOOKUP(C109,DM_fish!A:B,2,FALSE), ARRAYFORMULA(VLOOKUP(SPLIT(E109, "", ""),Injections!B:G,6,FALSE)), ARRAYFORMULA(VLOOKUP(SPLIT(F109, "", ""),Injections!H:M,6,FALSE)), ARRAYFORMULA(VLOOKUP("&amp;"SPLIT(G109, "", ""),Injections!N:S,6,FALSE)), ARRAYFORMULA(VLOOKUP(SPLIT(H109, "", ""),Injections!T:Y,6,FALSE)) },3))))"),"")</f>
        <v/>
      </c>
      <c r="S109" s="10"/>
      <c r="T109" s="1"/>
      <c r="V109" s="11"/>
      <c r="W109" s="12"/>
      <c r="X109" s="12"/>
      <c r="Y109" s="11"/>
      <c r="Z109" s="11"/>
      <c r="AA109" s="11"/>
    </row>
    <row r="110" spans="1:27" ht="15.75" customHeight="1" x14ac:dyDescent="0.15">
      <c r="A110" s="7">
        <v>45908</v>
      </c>
      <c r="B110" s="1">
        <v>1</v>
      </c>
      <c r="C110" s="1" t="s">
        <v>185</v>
      </c>
      <c r="D110" s="1" t="s">
        <v>185</v>
      </c>
      <c r="E110" s="1"/>
      <c r="F110" s="1" t="s">
        <v>101</v>
      </c>
      <c r="G110" s="1" t="s">
        <v>30</v>
      </c>
      <c r="H110" s="1" t="s">
        <v>30</v>
      </c>
      <c r="I110" s="8">
        <v>45905</v>
      </c>
      <c r="J110" s="9">
        <v>0.45833333333333331</v>
      </c>
      <c r="K110" s="1" t="s">
        <v>34</v>
      </c>
      <c r="M110" s="8">
        <v>45908</v>
      </c>
      <c r="Q110" s="1" t="s">
        <v>186</v>
      </c>
      <c r="R110" s="10" t="str">
        <f ca="1">IFERROR(__xludf.DUMMYFUNCTION("JOIN("","", SORT(UNIQUE(TOCOL({VLOOKUP(D110,DM_fish!A:B,2,FALSE),VLOOKUP(C110,DM_fish!A:B,2,FALSE), ARRAYFORMULA(VLOOKUP(SPLIT(E110, "", ""),Injections!B:G,6,FALSE)), ARRAYFORMULA(VLOOKUP(SPLIT(F110, "", ""),Injections!H:M,6,FALSE)), ARRAYFORMULA(VLOOKUP("&amp;"SPLIT(G110, "", ""),Injections!N:S,6,FALSE)), ARRAYFORMULA(VLOOKUP(SPLIT(H110, "", ""),Injections!T:Y,6,FALSE)) },3))))"),"Mitochondria")</f>
        <v>Mitochondria</v>
      </c>
      <c r="S110" s="10"/>
      <c r="T110" s="1" t="s">
        <v>184</v>
      </c>
      <c r="U110" s="1">
        <v>1413</v>
      </c>
      <c r="V110" s="11"/>
      <c r="W110" s="12"/>
      <c r="X110" s="12"/>
      <c r="Y110" s="11"/>
      <c r="Z110" s="11"/>
      <c r="AA110" s="11"/>
    </row>
    <row r="111" spans="1:27" ht="15.75" customHeight="1" x14ac:dyDescent="0.15">
      <c r="A111" s="7">
        <v>45905</v>
      </c>
      <c r="B111" s="1">
        <v>1</v>
      </c>
      <c r="C111" s="1" t="s">
        <v>107</v>
      </c>
      <c r="D111" s="1" t="s">
        <v>187</v>
      </c>
      <c r="E111" s="1"/>
      <c r="F111" s="1" t="s">
        <v>188</v>
      </c>
      <c r="G111" s="1" t="s">
        <v>30</v>
      </c>
      <c r="H111" s="1" t="s">
        <v>30</v>
      </c>
      <c r="I111" s="8">
        <v>45902</v>
      </c>
      <c r="J111" s="9">
        <v>0.45833333333333331</v>
      </c>
      <c r="K111" s="1" t="s">
        <v>34</v>
      </c>
      <c r="L111" s="1" t="s">
        <v>189</v>
      </c>
      <c r="M111" s="8"/>
      <c r="R111" s="10" t="str">
        <f ca="1">IFERROR(__xludf.DUMMYFUNCTION("JOIN("","", SORT(UNIQUE(TOCOL({VLOOKUP(D111,DM_fish!A:B,2,FALSE),VLOOKUP(C111,DM_fish!A:B,2,FALSE), ARRAYFORMULA(VLOOKUP(SPLIT(E111, "", ""),Injections!B:G,6,FALSE)), ARRAYFORMULA(VLOOKUP(SPLIT(F111, "", ""),Injections!H:M,6,FALSE)), ARRAYFORMULA(VLOOKUP("&amp;"SPLIT(G111, "", ""),Injections!N:S,6,FALSE)), ARRAYFORMULA(VLOOKUP(SPLIT(H111, "", ""),Injections!T:Y,6,FALSE)) },3))))"),"")</f>
        <v/>
      </c>
      <c r="S111" s="10"/>
      <c r="T111" s="1"/>
      <c r="V111" s="11"/>
      <c r="W111" s="12"/>
      <c r="X111" s="12"/>
      <c r="Y111" s="11"/>
      <c r="Z111" s="11"/>
      <c r="AA111" s="11"/>
    </row>
    <row r="112" spans="1:27" ht="15.75" customHeight="1" x14ac:dyDescent="0.15">
      <c r="A112" s="7">
        <v>45905</v>
      </c>
      <c r="B112" s="1">
        <v>2</v>
      </c>
      <c r="C112" s="1" t="s">
        <v>107</v>
      </c>
      <c r="D112" s="1" t="s">
        <v>187</v>
      </c>
      <c r="E112" s="1"/>
      <c r="F112" s="1" t="s">
        <v>188</v>
      </c>
      <c r="G112" s="1" t="s">
        <v>30</v>
      </c>
      <c r="H112" s="1" t="s">
        <v>30</v>
      </c>
      <c r="I112" s="8">
        <v>45902</v>
      </c>
      <c r="J112" s="9">
        <v>0.45833333333333331</v>
      </c>
      <c r="K112" s="1" t="s">
        <v>34</v>
      </c>
      <c r="M112" s="8">
        <v>45905</v>
      </c>
      <c r="Q112" s="1" t="s">
        <v>87</v>
      </c>
      <c r="R112" s="10" t="str">
        <f ca="1">IFERROR(__xludf.DUMMYFUNCTION("JOIN("","", SORT(UNIQUE(TOCOL({VLOOKUP(D112,DM_fish!A:B,2,FALSE),VLOOKUP(C112,DM_fish!A:B,2,FALSE), ARRAYFORMULA(VLOOKUP(SPLIT(E112, "", ""),Injections!B:G,6,FALSE)), ARRAYFORMULA(VLOOKUP(SPLIT(F112, "", ""),Injections!H:M,6,FALSE)), ARRAYFORMULA(VLOOKUP("&amp;"SPLIT(G112, "", ""),Injections!N:S,6,FALSE)), ARRAYFORMULA(VLOOKUP(SPLIT(H112, "", ""),Injections!T:Y,6,FALSE)) },3))))"),"")</f>
        <v/>
      </c>
      <c r="S112" s="10"/>
      <c r="T112" s="1" t="s">
        <v>190</v>
      </c>
      <c r="U112" s="1">
        <v>276</v>
      </c>
      <c r="V112" s="11"/>
      <c r="W112" s="12"/>
      <c r="X112" s="12"/>
      <c r="Y112" s="11"/>
      <c r="Z112" s="11"/>
      <c r="AA112" s="11"/>
    </row>
    <row r="113" spans="1:27" ht="15.75" customHeight="1" x14ac:dyDescent="0.15">
      <c r="A113" s="7">
        <v>45904</v>
      </c>
      <c r="B113" s="1">
        <v>3</v>
      </c>
      <c r="C113" s="1" t="s">
        <v>107</v>
      </c>
      <c r="D113" s="1" t="s">
        <v>191</v>
      </c>
      <c r="E113" s="1"/>
      <c r="F113" s="1" t="s">
        <v>188</v>
      </c>
      <c r="G113" s="1" t="s">
        <v>30</v>
      </c>
      <c r="H113" s="1" t="s">
        <v>30</v>
      </c>
      <c r="I113" s="8">
        <v>45903</v>
      </c>
      <c r="J113" s="9">
        <v>0.45833333333333331</v>
      </c>
      <c r="K113" s="1" t="s">
        <v>34</v>
      </c>
      <c r="M113" s="8">
        <v>45904</v>
      </c>
      <c r="Q113" s="1" t="s">
        <v>87</v>
      </c>
      <c r="R113" s="10" t="str">
        <f ca="1">IFERROR(__xludf.DUMMYFUNCTION("JOIN("","", SORT(UNIQUE(TOCOL({VLOOKUP(D113,DM_fish!A:B,2,FALSE),VLOOKUP(C113,DM_fish!A:B,2,FALSE), ARRAYFORMULA(VLOOKUP(SPLIT(E113, "", ""),Injections!B:G,6,FALSE)), ARRAYFORMULA(VLOOKUP(SPLIT(F113, "", ""),Injections!H:M,6,FALSE)), ARRAYFORMULA(VLOOKUP("&amp;"SPLIT(G113, "", ""),Injections!N:S,6,FALSE)), ARRAYFORMULA(VLOOKUP(SPLIT(H113, "", ""),Injections!T:Y,6,FALSE)) },3))))"),"")</f>
        <v/>
      </c>
      <c r="S113" s="10"/>
      <c r="T113" s="1" t="s">
        <v>192</v>
      </c>
      <c r="U113" s="1">
        <v>293</v>
      </c>
      <c r="V113" s="11"/>
      <c r="W113" s="12"/>
      <c r="X113" s="12"/>
      <c r="Y113" s="11"/>
      <c r="Z113" s="11"/>
      <c r="AA113" s="11"/>
    </row>
    <row r="114" spans="1:27" ht="15.75" customHeight="1" x14ac:dyDescent="0.15">
      <c r="A114" s="7">
        <v>45903</v>
      </c>
      <c r="B114" s="1" t="s">
        <v>193</v>
      </c>
      <c r="C114" s="1" t="s">
        <v>107</v>
      </c>
      <c r="D114" s="1" t="s">
        <v>187</v>
      </c>
      <c r="E114" s="1"/>
      <c r="F114" s="1" t="s">
        <v>188</v>
      </c>
      <c r="G114" s="1" t="s">
        <v>30</v>
      </c>
      <c r="H114" s="1" t="s">
        <v>30</v>
      </c>
      <c r="I114" s="8">
        <v>45902</v>
      </c>
      <c r="J114" s="9">
        <v>0.375</v>
      </c>
      <c r="K114" s="1" t="s">
        <v>34</v>
      </c>
      <c r="M114" s="8"/>
      <c r="R114" s="10" t="str">
        <f ca="1">IFERROR(__xludf.DUMMYFUNCTION("JOIN("","", SORT(UNIQUE(TOCOL({VLOOKUP(D114,DM_fish!A:B,2,FALSE),VLOOKUP(C114,DM_fish!A:B,2,FALSE), ARRAYFORMULA(VLOOKUP(SPLIT(E114, "", ""),Injections!B:G,6,FALSE)), ARRAYFORMULA(VLOOKUP(SPLIT(F114, "", ""),Injections!H:M,6,FALSE)), ARRAYFORMULA(VLOOKUP("&amp;"SPLIT(G114, "", ""),Injections!N:S,6,FALSE)), ARRAYFORMULA(VLOOKUP(SPLIT(H114, "", ""),Injections!T:Y,6,FALSE)) },3))))"),"")</f>
        <v/>
      </c>
      <c r="S114" s="10"/>
      <c r="T114" s="1" t="s">
        <v>194</v>
      </c>
      <c r="U114" s="1">
        <v>415</v>
      </c>
      <c r="V114" s="11"/>
      <c r="W114" s="12"/>
      <c r="X114" s="12"/>
      <c r="Y114" s="11"/>
      <c r="Z114" s="11"/>
      <c r="AA114" s="11"/>
    </row>
    <row r="115" spans="1:27" ht="15.75" customHeight="1" x14ac:dyDescent="0.15">
      <c r="A115" s="7">
        <v>45903</v>
      </c>
      <c r="B115" s="1" t="s">
        <v>195</v>
      </c>
      <c r="C115" s="1" t="s">
        <v>107</v>
      </c>
      <c r="D115" s="1" t="s">
        <v>196</v>
      </c>
      <c r="E115" s="1"/>
      <c r="F115" s="1" t="s">
        <v>197</v>
      </c>
      <c r="G115" s="1" t="s">
        <v>30</v>
      </c>
      <c r="H115" s="1" t="s">
        <v>30</v>
      </c>
      <c r="I115" s="8">
        <v>45902</v>
      </c>
      <c r="J115" s="9">
        <v>0.375</v>
      </c>
      <c r="K115" s="1" t="s">
        <v>34</v>
      </c>
      <c r="M115" s="8"/>
      <c r="R115" s="10" t="str">
        <f ca="1">IFERROR(__xludf.DUMMYFUNCTION("JOIN("","", SORT(UNIQUE(TOCOL({VLOOKUP(D115,DM_fish!A:B,2,FALSE),VLOOKUP(C115,DM_fish!A:B,2,FALSE), ARRAYFORMULA(VLOOKUP(SPLIT(E115, "", ""),Injections!B:G,6,FALSE)), ARRAYFORMULA(VLOOKUP(SPLIT(F115, "", ""),Injections!H:M,6,FALSE)), ARRAYFORMULA(VLOOKUP("&amp;"SPLIT(G115, "", ""),Injections!N:S,6,FALSE)), ARRAYFORMULA(VLOOKUP(SPLIT(H115, "", ""),Injections!T:Y,6,FALSE)) },3))))"),"casper/pIGLET 14a,1 tank started,488")</f>
        <v>casper/pIGLET 14a,1 tank started,488</v>
      </c>
      <c r="S115" s="10"/>
      <c r="T115" s="1"/>
      <c r="V115" s="11"/>
      <c r="W115" s="12"/>
      <c r="X115" s="12"/>
      <c r="Y115" s="11"/>
      <c r="Z115" s="11"/>
      <c r="AA115" s="11"/>
    </row>
    <row r="116" spans="1:27" ht="15.75" customHeight="1" x14ac:dyDescent="0.15">
      <c r="A116" s="7">
        <f t="shared" ref="A116:A118" si="0">M116</f>
        <v>45898</v>
      </c>
      <c r="B116" s="1" t="s">
        <v>198</v>
      </c>
      <c r="C116" s="1" t="s">
        <v>199</v>
      </c>
      <c r="D116" s="1" t="s">
        <v>199</v>
      </c>
      <c r="E116" s="1" t="s">
        <v>200</v>
      </c>
      <c r="F116" s="1" t="s">
        <v>30</v>
      </c>
      <c r="G116" s="1" t="s">
        <v>30</v>
      </c>
      <c r="H116" s="1" t="s">
        <v>30</v>
      </c>
      <c r="I116" s="8">
        <v>45895</v>
      </c>
      <c r="J116" s="9">
        <v>0.375</v>
      </c>
      <c r="K116" s="1" t="s">
        <v>34</v>
      </c>
      <c r="L116" s="1" t="s">
        <v>201</v>
      </c>
      <c r="M116" s="8">
        <v>45898</v>
      </c>
      <c r="R116" s="10" t="str">
        <f ca="1">IFERROR(__xludf.DUMMYFUNCTION("JOIN("","", SORT(UNIQUE(TOCOL({VLOOKUP(D116,DM_fish!A:B,2,FALSE),VLOOKUP(C116,DM_fish!A:B,2,FALSE), ARRAYFORMULA(VLOOKUP(SPLIT(E116, "", ""),Injections!B:G,6,FALSE)), ARRAYFORMULA(VLOOKUP(SPLIT(F116, "", ""),Injections!H:M,6,FALSE)), ARRAYFORMULA(VLOOKUP("&amp;"SPLIT(G116, "", ""),Injections!N:S,6,FALSE)), ARRAYFORMULA(VLOOKUP(SPLIT(H116, "", ""),Injections!T:Y,6,FALSE)) },3))))"),"")</f>
        <v/>
      </c>
      <c r="S116" s="10"/>
      <c r="T116" s="1" t="s">
        <v>202</v>
      </c>
      <c r="V116" s="14" t="s">
        <v>203</v>
      </c>
      <c r="W116" s="12"/>
      <c r="X116" s="12"/>
      <c r="Y116" s="11"/>
      <c r="Z116" s="11"/>
      <c r="AA116" s="11"/>
    </row>
    <row r="117" spans="1:27" ht="15.75" customHeight="1" x14ac:dyDescent="0.15">
      <c r="A117" s="7">
        <f t="shared" si="0"/>
        <v>45897</v>
      </c>
      <c r="B117" s="1" t="s">
        <v>204</v>
      </c>
      <c r="C117" s="1" t="s">
        <v>107</v>
      </c>
      <c r="D117" s="1" t="s">
        <v>89</v>
      </c>
      <c r="E117" s="1"/>
      <c r="F117" s="1" t="s">
        <v>205</v>
      </c>
      <c r="G117" s="1" t="s">
        <v>30</v>
      </c>
      <c r="H117" s="1" t="s">
        <v>30</v>
      </c>
      <c r="I117" s="8">
        <v>45896</v>
      </c>
      <c r="J117" s="9">
        <v>0.375</v>
      </c>
      <c r="K117" s="1" t="s">
        <v>34</v>
      </c>
      <c r="M117" s="8">
        <v>45897</v>
      </c>
      <c r="Q117" s="1" t="s">
        <v>87</v>
      </c>
      <c r="R117" s="10" t="str">
        <f ca="1">IFERROR(__xludf.DUMMYFUNCTION("JOIN("","", SORT(UNIQUE(TOCOL({VLOOKUP(D117,DM_fish!A:B,2,FALSE),VLOOKUP(C117,DM_fish!A:B,2,FALSE), ARRAYFORMULA(VLOOKUP(SPLIT(E117, "", ""),Injections!B:G,6,FALSE)), ARRAYFORMULA(VLOOKUP(SPLIT(F117, "", ""),Injections!H:M,6,FALSE)), ARRAYFORMULA(VLOOKUP("&amp;"SPLIT(G117, "", ""),Injections!N:S,6,FALSE)), ARRAYFORMULA(VLOOKUP(SPLIT(H117, "", ""),Injections!T:Y,6,FALSE)) },3))))"),"Actin,csp,male #1 founder (good percentage ++, multiple alleles),560")</f>
        <v>Actin,csp,male #1 founder (good percentage ++, multiple alleles),560</v>
      </c>
      <c r="S117" s="10"/>
      <c r="T117" s="1" t="s">
        <v>206</v>
      </c>
      <c r="U117" s="1">
        <v>2018</v>
      </c>
      <c r="V117" s="14" t="s">
        <v>203</v>
      </c>
      <c r="W117" s="12"/>
      <c r="X117" s="12"/>
      <c r="Y117" s="11"/>
      <c r="Z117" s="11"/>
      <c r="AA117" s="11"/>
    </row>
    <row r="118" spans="1:27" ht="15.75" customHeight="1" x14ac:dyDescent="0.15">
      <c r="A118" s="7">
        <f t="shared" si="0"/>
        <v>45896</v>
      </c>
      <c r="B118" s="1" t="s">
        <v>207</v>
      </c>
      <c r="C118" s="1" t="s">
        <v>107</v>
      </c>
      <c r="D118" s="1" t="s">
        <v>89</v>
      </c>
      <c r="E118" s="1"/>
      <c r="F118" s="1" t="s">
        <v>205</v>
      </c>
      <c r="G118" s="1" t="s">
        <v>30</v>
      </c>
      <c r="H118" s="1" t="s">
        <v>30</v>
      </c>
      <c r="I118" s="8">
        <v>45894</v>
      </c>
      <c r="J118" s="9">
        <v>0.375</v>
      </c>
      <c r="K118" s="1" t="s">
        <v>34</v>
      </c>
      <c r="M118" s="8">
        <v>45896</v>
      </c>
      <c r="Q118" s="1" t="s">
        <v>87</v>
      </c>
      <c r="R118" s="10" t="str">
        <f ca="1">IFERROR(__xludf.DUMMYFUNCTION("JOIN("","", SORT(UNIQUE(TOCOL({VLOOKUP(D118,DM_fish!A:B,2,FALSE),VLOOKUP(C118,DM_fish!A:B,2,FALSE), ARRAYFORMULA(VLOOKUP(SPLIT(E118, "", ""),Injections!B:G,6,FALSE)), ARRAYFORMULA(VLOOKUP(SPLIT(F118, "", ""),Injections!H:M,6,FALSE)), ARRAYFORMULA(VLOOKUP("&amp;"SPLIT(G118, "", ""),Injections!N:S,6,FALSE)), ARRAYFORMULA(VLOOKUP(SPLIT(H118, "", ""),Injections!T:Y,6,FALSE)) },3))))"),"Actin,csp,male #1 founder (good percentage ++, multiple alleles),560")</f>
        <v>Actin,csp,male #1 founder (good percentage ++, multiple alleles),560</v>
      </c>
      <c r="S118" s="10" t="str">
        <f ca="1">IFERROR(__xludf.DUMMYFUNCTION("IFERROR(JOIN("","", SPLIT(R118, "","", TRUE ,TRUE)), """")"),"Actin,csp,male #1 founder (good percentage ++, multiple alleles),560")</f>
        <v>Actin,csp,male #1 founder (good percentage ++, multiple alleles),560</v>
      </c>
      <c r="T118" s="1" t="s">
        <v>208</v>
      </c>
      <c r="U118" s="1">
        <v>132</v>
      </c>
      <c r="V118" s="14" t="s">
        <v>203</v>
      </c>
      <c r="W118" s="12"/>
      <c r="X118" s="12"/>
      <c r="Y118" s="11"/>
      <c r="Z118" s="11"/>
      <c r="AA118" s="11"/>
    </row>
    <row r="119" spans="1:27" ht="15.75" customHeight="1" x14ac:dyDescent="0.15">
      <c r="A119" s="7">
        <v>45895</v>
      </c>
      <c r="C119" s="1" t="s">
        <v>107</v>
      </c>
      <c r="D119" s="1" t="s">
        <v>209</v>
      </c>
      <c r="E119" s="1"/>
      <c r="F119" s="1" t="s">
        <v>101</v>
      </c>
      <c r="G119" s="8"/>
      <c r="H119" s="8"/>
      <c r="I119" s="8">
        <v>45894</v>
      </c>
      <c r="K119" s="1"/>
      <c r="L119" s="1" t="s">
        <v>210</v>
      </c>
      <c r="M119" s="8">
        <v>45895</v>
      </c>
      <c r="R119" s="10" t="str">
        <f ca="1">IFERROR(__xludf.DUMMYFUNCTION("JOIN("","", SORT(UNIQUE(TOCOL({VLOOKUP(D119,DM_fish!A:B,2,FALSE),VLOOKUP(C119,DM_fish!A:B,2,FALSE), ARRAYFORMULA(VLOOKUP(SPLIT(E119, "", ""),Injections!B:G,6,FALSE)), ARRAYFORMULA(VLOOKUP(SPLIT(F119, "", ""),Injections!H:M,6,FALSE)), ARRAYFORMULA(VLOOKUP("&amp;"SPLIT(G119, "", ""),Injections!N:S,6,FALSE)), ARRAYFORMULA(VLOOKUP(SPLIT(H119, "", ""),Injections!T:Y,6,FALSE)) },3))))"),"Mitochondria")</f>
        <v>Mitochondria</v>
      </c>
      <c r="S119" s="10" t="str">
        <f ca="1">IFERROR(__xludf.DUMMYFUNCTION("IFERROR(JOIN("","", SPLIT(R119, "","", TRUE ,TRUE)), """")"),"Mitochondria")</f>
        <v>Mitochondria</v>
      </c>
      <c r="T119" s="1"/>
      <c r="V119" s="14" t="s">
        <v>203</v>
      </c>
      <c r="W119" s="12"/>
      <c r="X119" s="12"/>
      <c r="Y119" s="11"/>
      <c r="Z119" s="11"/>
      <c r="AA119" s="11"/>
    </row>
    <row r="120" spans="1:27" ht="15.75" customHeight="1" x14ac:dyDescent="0.15">
      <c r="A120" s="7">
        <v>45895</v>
      </c>
      <c r="C120" s="1" t="s">
        <v>107</v>
      </c>
      <c r="D120" s="1" t="s">
        <v>209</v>
      </c>
      <c r="E120" s="1"/>
      <c r="F120" s="1" t="s">
        <v>211</v>
      </c>
      <c r="G120" s="8"/>
      <c r="H120" s="8"/>
      <c r="I120" s="8">
        <v>45894</v>
      </c>
      <c r="K120" s="1"/>
      <c r="L120" s="1" t="s">
        <v>210</v>
      </c>
      <c r="M120" s="8">
        <v>45895</v>
      </c>
      <c r="R120" s="10" t="str">
        <f ca="1">IFERROR(__xludf.DUMMYFUNCTION("JOIN("","", SORT(UNIQUE(TOCOL({VLOOKUP(D120,DM_fish!A:B,2,FALSE),VLOOKUP(C120,DM_fish!A:B,2,FALSE), ARRAYFORMULA(VLOOKUP(SPLIT(E120, "", ""),Injections!B:G,6,FALSE)), ARRAYFORMULA(VLOOKUP(SPLIT(F120, "", ""),Injections!H:M,6,FALSE)), ARRAYFORMULA(VLOOKUP("&amp;"SPLIT(G120, "", ""),Injections!N:S,6,FALSE)), ARRAYFORMULA(VLOOKUP(SPLIT(H120, "", ""),Injections!T:Y,6,FALSE)) },3))))"),"Microtubules")</f>
        <v>Microtubules</v>
      </c>
      <c r="S120" s="10" t="str">
        <f ca="1">IFERROR(__xludf.DUMMYFUNCTION("IFERROR(JOIN("","", SPLIT(R120, "","", TRUE ,TRUE)), """")"),"Microtubules")</f>
        <v>Microtubules</v>
      </c>
      <c r="T120" s="1"/>
      <c r="V120" s="14" t="s">
        <v>203</v>
      </c>
      <c r="W120" s="12"/>
      <c r="X120" s="12"/>
      <c r="Y120" s="11"/>
      <c r="Z120" s="11"/>
      <c r="AA120" s="11"/>
    </row>
    <row r="121" spans="1:27" ht="15.75" customHeight="1" x14ac:dyDescent="0.15">
      <c r="A121" s="7">
        <v>45895</v>
      </c>
      <c r="C121" s="1" t="s">
        <v>107</v>
      </c>
      <c r="D121" s="1" t="s">
        <v>187</v>
      </c>
      <c r="E121" s="1"/>
      <c r="F121" s="1" t="s">
        <v>101</v>
      </c>
      <c r="G121" s="8"/>
      <c r="H121" s="8"/>
      <c r="I121" s="8">
        <v>45894</v>
      </c>
      <c r="K121" s="1"/>
      <c r="L121" s="1" t="s">
        <v>210</v>
      </c>
      <c r="M121" s="8">
        <v>45895</v>
      </c>
      <c r="R121" s="10" t="str">
        <f ca="1">IFERROR(__xludf.DUMMYFUNCTION("JOIN("","", SORT(UNIQUE(TOCOL({VLOOKUP(D121,DM_fish!A:B,2,FALSE),VLOOKUP(C121,DM_fish!A:B,2,FALSE), ARRAYFORMULA(VLOOKUP(SPLIT(E121, "", ""),Injections!B:G,6,FALSE)), ARRAYFORMULA(VLOOKUP(SPLIT(F121, "", ""),Injections!H:M,6,FALSE)), ARRAYFORMULA(VLOOKUP("&amp;"SPLIT(G121, "", ""),Injections!N:S,6,FALSE)), ARRAYFORMULA(VLOOKUP(SPLIT(H121, "", ""),Injections!T:Y,6,FALSE)) },3))))"),"Mitochondria")</f>
        <v>Mitochondria</v>
      </c>
      <c r="S121" s="10" t="str">
        <f ca="1">IFERROR(__xludf.DUMMYFUNCTION("IFERROR(JOIN("","", SPLIT(R121, "","", TRUE ,TRUE)), """")"),"Mitochondria")</f>
        <v>Mitochondria</v>
      </c>
      <c r="T121" s="1"/>
      <c r="V121" s="14" t="s">
        <v>203</v>
      </c>
      <c r="W121" s="12"/>
      <c r="X121" s="12"/>
      <c r="Y121" s="11"/>
      <c r="Z121" s="11"/>
      <c r="AA121" s="11"/>
    </row>
    <row r="122" spans="1:27" ht="15.75" customHeight="1" x14ac:dyDescent="0.15">
      <c r="A122" s="7">
        <v>45895</v>
      </c>
      <c r="C122" s="1" t="s">
        <v>107</v>
      </c>
      <c r="D122" s="1" t="s">
        <v>187</v>
      </c>
      <c r="E122" s="1"/>
      <c r="F122" s="1" t="s">
        <v>205</v>
      </c>
      <c r="G122" s="8"/>
      <c r="H122" s="8"/>
      <c r="I122" s="8">
        <v>45894</v>
      </c>
      <c r="K122" s="1" t="s">
        <v>34</v>
      </c>
      <c r="M122" s="8">
        <v>45895</v>
      </c>
      <c r="Q122" s="1" t="s">
        <v>87</v>
      </c>
      <c r="R122" s="10" t="str">
        <f ca="1">IFERROR(__xludf.DUMMYFUNCTION("JOIN("","", SORT(UNIQUE(TOCOL({VLOOKUP(D122,DM_fish!A:B,2,FALSE),VLOOKUP(C122,DM_fish!A:B,2,FALSE), ARRAYFORMULA(VLOOKUP(SPLIT(E122, "", ""),Injections!B:G,6,FALSE)), ARRAYFORMULA(VLOOKUP(SPLIT(F122, "", ""),Injections!H:M,6,FALSE)), ARRAYFORMULA(VLOOKUP("&amp;"SPLIT(G122, "", ""),Injections!N:S,6,FALSE)), ARRAYFORMULA(VLOOKUP(SPLIT(H122, "", ""),Injections!T:Y,6,FALSE)) },3))))"),"Actin")</f>
        <v>Actin</v>
      </c>
      <c r="S122" s="10" t="str">
        <f ca="1">IFERROR(__xludf.DUMMYFUNCTION("IFERROR(JOIN("","", SPLIT(R122, "","", TRUE ,TRUE)), """")"),"Actin")</f>
        <v>Actin</v>
      </c>
      <c r="T122" s="1" t="s">
        <v>212</v>
      </c>
      <c r="U122" s="1">
        <v>862</v>
      </c>
      <c r="V122" s="14" t="s">
        <v>203</v>
      </c>
      <c r="W122" s="12"/>
      <c r="X122" s="12"/>
      <c r="Y122" s="11"/>
      <c r="Z122" s="11"/>
      <c r="AA122" s="11"/>
    </row>
    <row r="123" spans="1:27" ht="15.75" customHeight="1" x14ac:dyDescent="0.15">
      <c r="A123" s="7">
        <v>45894</v>
      </c>
      <c r="C123" s="1" t="s">
        <v>107</v>
      </c>
      <c r="D123" s="1" t="s">
        <v>107</v>
      </c>
      <c r="E123" s="1" t="s">
        <v>213</v>
      </c>
      <c r="F123" s="1"/>
      <c r="G123" s="8"/>
      <c r="H123" s="8"/>
      <c r="I123" s="8">
        <v>45891</v>
      </c>
      <c r="K123" s="1"/>
      <c r="M123" s="8">
        <v>45894</v>
      </c>
      <c r="R123" s="10" t="str">
        <f ca="1">IFERROR(__xludf.DUMMYFUNCTION("JOIN("","", SORT(UNIQUE(TOCOL({VLOOKUP(D123,DM_fish!A:B,2,FALSE),VLOOKUP(C123,DM_fish!A:B,2,FALSE), ARRAYFORMULA(VLOOKUP(SPLIT(E123, "", ""),Injections!B:G,6,FALSE)), ARRAYFORMULA(VLOOKUP(SPLIT(F123, "", ""),Injections!H:M,6,FALSE)), ARRAYFORMULA(VLOOKUP("&amp;"SPLIT(G123, "", ""),Injections!N:S,6,FALSE)), ARRAYFORMULA(VLOOKUP(SPLIT(H123, "", ""),Injections!T:Y,6,FALSE)) },3))))"),"Mitochondria")</f>
        <v>Mitochondria</v>
      </c>
      <c r="S123" s="10" t="str">
        <f ca="1">IFERROR(__xludf.DUMMYFUNCTION("IFERROR(JOIN("","", SPLIT(R123, "","", TRUE ,TRUE)), """")"),"Mitochondria")</f>
        <v>Mitochondria</v>
      </c>
      <c r="T123" s="1" t="s">
        <v>214</v>
      </c>
      <c r="V123" s="1" t="s">
        <v>203</v>
      </c>
      <c r="W123" s="12"/>
      <c r="X123" s="12"/>
      <c r="Y123" s="11"/>
      <c r="Z123" s="11"/>
      <c r="AA123" s="11"/>
    </row>
    <row r="124" spans="1:27" ht="15.75" customHeight="1" x14ac:dyDescent="0.15">
      <c r="A124" s="7">
        <v>45894</v>
      </c>
      <c r="C124" s="1" t="s">
        <v>107</v>
      </c>
      <c r="D124" s="1" t="s">
        <v>215</v>
      </c>
      <c r="E124" s="1"/>
      <c r="F124" s="1"/>
      <c r="G124" s="8"/>
      <c r="H124" s="8"/>
      <c r="I124" s="8">
        <v>45891</v>
      </c>
      <c r="K124" s="1"/>
      <c r="M124" s="8">
        <v>45894</v>
      </c>
      <c r="R124" s="10" t="str">
        <f ca="1">IFERROR(__xludf.DUMMYFUNCTION("JOIN("","", SORT(UNIQUE(TOCOL({VLOOKUP(D124,DM_fish!A:B,2,FALSE),VLOOKUP(C124,DM_fish!A:B,2,FALSE), ARRAYFORMULA(VLOOKUP(SPLIT(E124, "", ""),Injections!B:G,6,FALSE)), ARRAYFORMULA(VLOOKUP(SPLIT(F124, "", ""),Injections!H:M,6,FALSE)), ARRAYFORMULA(VLOOKUP("&amp;"SPLIT(G124, "", ""),Injections!N:S,6,FALSE)), ARRAYFORMULA(VLOOKUP(SPLIT(H124, "", ""),Injections!T:Y,6,FALSE)) },3))))"),"csp,1 tank started,488,560")</f>
        <v>csp,1 tank started,488,560</v>
      </c>
      <c r="S124" s="10" t="str">
        <f ca="1">IFERROR(__xludf.DUMMYFUNCTION("IFERROR(JOIN("","", SPLIT(R124, "","", TRUE ,TRUE)), """")"),"csp,1 tank started,488,560")</f>
        <v>csp,1 tank started,488,560</v>
      </c>
      <c r="T124" s="1" t="s">
        <v>216</v>
      </c>
      <c r="V124" s="1" t="s">
        <v>203</v>
      </c>
      <c r="W124" s="12"/>
      <c r="X124" s="12"/>
      <c r="Y124" s="11"/>
      <c r="Z124" s="11"/>
      <c r="AA124" s="11"/>
    </row>
    <row r="125" spans="1:27" ht="15.75" customHeight="1" x14ac:dyDescent="0.15">
      <c r="A125" s="7">
        <v>45894</v>
      </c>
      <c r="C125" s="1" t="s">
        <v>107</v>
      </c>
      <c r="D125" s="1" t="s">
        <v>217</v>
      </c>
      <c r="E125" s="1"/>
      <c r="F125" s="1"/>
      <c r="G125" s="8"/>
      <c r="H125" s="8"/>
      <c r="I125" s="8">
        <v>45891</v>
      </c>
      <c r="K125" s="1"/>
      <c r="M125" s="8">
        <v>45894</v>
      </c>
      <c r="R125" s="10" t="str">
        <f ca="1">IFERROR(__xludf.DUMMYFUNCTION("JOIN("","", SORT(UNIQUE(TOCOL({VLOOKUP(D125,DM_fish!A:B,2,FALSE),VLOOKUP(C125,DM_fish!A:B,2,FALSE), ARRAYFORMULA(VLOOKUP(SPLIT(E125, "", ""),Injections!B:G,6,FALSE)), ARRAYFORMULA(VLOOKUP(SPLIT(F125, "", ""),Injections!H:M,6,FALSE)), ARRAYFORMULA(VLOOKUP("&amp;"SPLIT(G125, "", ""),Injections!N:S,6,FALSE)), ARRAYFORMULA(VLOOKUP(SPLIT(H125, "", ""),Injections!T:Y,6,FALSE)) },3))))"),"csp,488,560")</f>
        <v>csp,488,560</v>
      </c>
      <c r="S125" s="10" t="str">
        <f ca="1">IFERROR(__xludf.DUMMYFUNCTION("IFERROR(JOIN("","", SPLIT(R125, "","", TRUE ,TRUE)), """")"),"csp,488,560")</f>
        <v>csp,488,560</v>
      </c>
      <c r="T125" s="1" t="s">
        <v>218</v>
      </c>
      <c r="V125" s="14" t="s">
        <v>203</v>
      </c>
      <c r="W125" s="12"/>
      <c r="X125" s="12"/>
      <c r="Y125" s="11"/>
      <c r="Z125" s="11"/>
      <c r="AA125" s="11"/>
    </row>
    <row r="126" spans="1:27" ht="15.75" customHeight="1" x14ac:dyDescent="0.15">
      <c r="A126" s="7">
        <v>45894</v>
      </c>
      <c r="C126" s="1" t="s">
        <v>107</v>
      </c>
      <c r="D126" s="1" t="s">
        <v>107</v>
      </c>
      <c r="E126" s="1" t="s">
        <v>219</v>
      </c>
      <c r="F126" s="1"/>
      <c r="G126" s="8"/>
      <c r="H126" s="8"/>
      <c r="I126" s="8">
        <v>45891</v>
      </c>
      <c r="K126" s="1"/>
      <c r="M126" s="8">
        <v>45894</v>
      </c>
      <c r="R126" s="10" t="str">
        <f ca="1">IFERROR(__xludf.DUMMYFUNCTION("JOIN("","", SORT(UNIQUE(TOCOL({VLOOKUP(D126,DM_fish!A:B,2,FALSE),VLOOKUP(C126,DM_fish!A:B,2,FALSE), ARRAYFORMULA(VLOOKUP(SPLIT(E126, "", ""),Injections!B:G,6,FALSE)), ARRAYFORMULA(VLOOKUP(SPLIT(F126, "", ""),Injections!H:M,6,FALSE)), ARRAYFORMULA(VLOOKUP("&amp;"SPLIT(G126, "", ""),Injections!N:S,6,FALSE)), ARRAYFORMULA(VLOOKUP(SPLIT(H126, "", ""),Injections!T:Y,6,FALSE)) },3))))"),"ER")</f>
        <v>ER</v>
      </c>
      <c r="S126" s="10" t="str">
        <f ca="1">IFERROR(__xludf.DUMMYFUNCTION("IFERROR(JOIN("","", SPLIT(R126, "","", TRUE ,TRUE)), """")"),"ER")</f>
        <v>ER</v>
      </c>
      <c r="T126" s="1" t="s">
        <v>220</v>
      </c>
      <c r="V126" s="14" t="s">
        <v>203</v>
      </c>
      <c r="W126" s="12"/>
      <c r="X126" s="12"/>
      <c r="Y126" s="11"/>
      <c r="Z126" s="11"/>
      <c r="AA126" s="11"/>
    </row>
    <row r="127" spans="1:27" ht="15.75" customHeight="1" x14ac:dyDescent="0.15">
      <c r="A127" s="7">
        <v>45891</v>
      </c>
      <c r="C127" s="1" t="s">
        <v>107</v>
      </c>
      <c r="D127" s="1" t="s">
        <v>187</v>
      </c>
      <c r="E127" s="1"/>
      <c r="F127" s="1" t="s">
        <v>101</v>
      </c>
      <c r="G127" s="8"/>
      <c r="H127" s="8"/>
      <c r="I127" s="8">
        <v>45889</v>
      </c>
      <c r="K127" s="1"/>
      <c r="M127" s="8">
        <v>45891</v>
      </c>
      <c r="P127" s="8">
        <v>45892</v>
      </c>
      <c r="Q127" s="1" t="s">
        <v>221</v>
      </c>
      <c r="R127" s="10" t="str">
        <f ca="1">IFERROR(__xludf.DUMMYFUNCTION("JOIN("","", SORT(UNIQUE(TOCOL({VLOOKUP(D127,DM_fish!A:B,2,FALSE),VLOOKUP(C127,DM_fish!A:B,2,FALSE), ARRAYFORMULA(VLOOKUP(SPLIT(E127, "", ""),Injections!B:G,6,FALSE)), ARRAYFORMULA(VLOOKUP(SPLIT(F127, "", ""),Injections!H:M,6,FALSE)), ARRAYFORMULA(VLOOKUP("&amp;"SPLIT(G127, "", ""),Injections!N:S,6,FALSE)), ARRAYFORMULA(VLOOKUP(SPLIT(H127, "", ""),Injections!T:Y,6,FALSE)) },3))))"),"Mitochondria")</f>
        <v>Mitochondria</v>
      </c>
      <c r="S127" s="10" t="str">
        <f ca="1">IFERROR(__xludf.DUMMYFUNCTION("IFERROR(JOIN("","", SPLIT(R127, "","", TRUE ,TRUE)), """")"),"Mitochondria")</f>
        <v>Mitochondria</v>
      </c>
      <c r="T127" s="1" t="s">
        <v>222</v>
      </c>
      <c r="U127" s="1">
        <v>2314</v>
      </c>
      <c r="V127" s="1" t="s">
        <v>203</v>
      </c>
      <c r="W127" s="12"/>
      <c r="X127" s="12"/>
      <c r="Y127" s="11"/>
      <c r="Z127" s="11"/>
      <c r="AA127" s="11"/>
    </row>
    <row r="128" spans="1:27" ht="15.75" customHeight="1" x14ac:dyDescent="0.15">
      <c r="A128" s="7">
        <v>45891</v>
      </c>
      <c r="C128" s="1" t="s">
        <v>107</v>
      </c>
      <c r="D128" s="1" t="s">
        <v>107</v>
      </c>
      <c r="E128" s="1" t="s">
        <v>223</v>
      </c>
      <c r="F128" s="1"/>
      <c r="G128" s="8"/>
      <c r="H128" s="8"/>
      <c r="I128" s="8">
        <v>45888</v>
      </c>
      <c r="K128" s="1"/>
      <c r="M128" s="8">
        <v>45891</v>
      </c>
      <c r="R128" s="10" t="str">
        <f ca="1">IFERROR(__xludf.DUMMYFUNCTION("JOIN("","", SORT(UNIQUE(TOCOL({VLOOKUP(D128,DM_fish!A:B,2,FALSE),VLOOKUP(C128,DM_fish!A:B,2,FALSE), ARRAYFORMULA(VLOOKUP(SPLIT(E128, "", ""),Injections!B:G,6,FALSE)), ARRAYFORMULA(VLOOKUP(SPLIT(F128, "", ""),Injections!H:M,6,FALSE)), ARRAYFORMULA(VLOOKUP("&amp;"SPLIT(G128, "", ""),Injections!N:S,6,FALSE)), ARRAYFORMULA(VLOOKUP(SPLIT(H128, "", ""),Injections!T:Y,6,FALSE)) },3))))"),"")</f>
        <v/>
      </c>
      <c r="S128" s="10" t="str">
        <f ca="1">IFERROR(__xludf.DUMMYFUNCTION("IFERROR(JOIN("","", SPLIT(R128, "","", TRUE ,TRUE)), """")"),"")</f>
        <v/>
      </c>
      <c r="T128" s="1" t="s">
        <v>224</v>
      </c>
      <c r="V128" s="1" t="s">
        <v>203</v>
      </c>
      <c r="W128" s="12"/>
      <c r="X128" s="12"/>
      <c r="Y128" s="11"/>
      <c r="Z128" s="11"/>
      <c r="AA128" s="11"/>
    </row>
    <row r="129" spans="1:27" ht="15.75" customHeight="1" x14ac:dyDescent="0.15">
      <c r="A129" s="7">
        <v>45890</v>
      </c>
      <c r="C129" s="1" t="s">
        <v>107</v>
      </c>
      <c r="D129" s="1" t="s">
        <v>187</v>
      </c>
      <c r="E129" s="1"/>
      <c r="F129" s="1" t="s">
        <v>101</v>
      </c>
      <c r="G129" s="8"/>
      <c r="H129" s="8"/>
      <c r="I129" s="8">
        <v>45889</v>
      </c>
      <c r="K129" s="1"/>
      <c r="M129" s="8">
        <v>45890</v>
      </c>
      <c r="P129" s="8">
        <v>45891</v>
      </c>
      <c r="Q129" s="1" t="s">
        <v>225</v>
      </c>
      <c r="R129" s="10" t="str">
        <f ca="1">IFERROR(__xludf.DUMMYFUNCTION("JOIN("","", SORT(UNIQUE(TOCOL({VLOOKUP(D129,DM_fish!A:B,2,FALSE),VLOOKUP(C129,DM_fish!A:B,2,FALSE), ARRAYFORMULA(VLOOKUP(SPLIT(E129, "", ""),Injections!B:G,6,FALSE)), ARRAYFORMULA(VLOOKUP(SPLIT(F129, "", ""),Injections!H:M,6,FALSE)), ARRAYFORMULA(VLOOKUP("&amp;"SPLIT(G129, "", ""),Injections!N:S,6,FALSE)), ARRAYFORMULA(VLOOKUP(SPLIT(H129, "", ""),Injections!T:Y,6,FALSE)) },3))))"),"Mitochondria")</f>
        <v>Mitochondria</v>
      </c>
      <c r="S129" s="10" t="str">
        <f ca="1">IFERROR(__xludf.DUMMYFUNCTION("IFERROR(JOIN("","", SPLIT(R129, "","", TRUE ,TRUE)), """")"),"Mitochondria")</f>
        <v>Mitochondria</v>
      </c>
      <c r="T129" s="1" t="s">
        <v>222</v>
      </c>
      <c r="U129" s="1">
        <v>1178</v>
      </c>
      <c r="V129" s="1" t="s">
        <v>203</v>
      </c>
      <c r="W129" s="12"/>
      <c r="X129" s="12"/>
      <c r="Y129" s="11"/>
      <c r="Z129" s="11"/>
      <c r="AA129" s="11"/>
    </row>
    <row r="130" spans="1:27" ht="15.75" customHeight="1" x14ac:dyDescent="0.15">
      <c r="A130" s="7">
        <v>45890</v>
      </c>
      <c r="C130" s="1" t="s">
        <v>107</v>
      </c>
      <c r="D130" s="1" t="s">
        <v>187</v>
      </c>
      <c r="E130" s="1"/>
      <c r="F130" s="1" t="s">
        <v>226</v>
      </c>
      <c r="G130" s="8"/>
      <c r="H130" s="8"/>
      <c r="I130" s="8">
        <v>45889</v>
      </c>
      <c r="K130" s="1"/>
      <c r="L130" s="1" t="s">
        <v>210</v>
      </c>
      <c r="M130" s="8">
        <v>45890</v>
      </c>
      <c r="R130" s="10" t="str">
        <f ca="1">IFERROR(__xludf.DUMMYFUNCTION("JOIN("","", SORT(UNIQUE(TOCOL({VLOOKUP(D130,DM_fish!A:B,2,FALSE),VLOOKUP(C130,DM_fish!A:B,2,FALSE), ARRAYFORMULA(VLOOKUP(SPLIT(E130, "", ""),Injections!B:G,6,FALSE)), ARRAYFORMULA(VLOOKUP(SPLIT(F130, "", ""),Injections!H:M,6,FALSE)), ARRAYFORMULA(VLOOKUP("&amp;"SPLIT(G130, "", ""),Injections!N:S,6,FALSE)), ARRAYFORMULA(VLOOKUP(SPLIT(H130, "", ""),Injections!T:Y,6,FALSE)) },3))))"),"Myosin")</f>
        <v>Myosin</v>
      </c>
      <c r="S130" s="10" t="str">
        <f ca="1">IFERROR(__xludf.DUMMYFUNCTION("IFERROR(JOIN("","", SPLIT(R130, "","", TRUE ,TRUE)), """")"),"Myosin")</f>
        <v>Myosin</v>
      </c>
      <c r="T130" s="1"/>
      <c r="V130" s="11"/>
      <c r="W130" s="12"/>
      <c r="X130" s="12"/>
      <c r="Y130" s="11"/>
      <c r="Z130" s="11"/>
      <c r="AA130" s="11"/>
    </row>
    <row r="131" spans="1:27" ht="15.75" customHeight="1" x14ac:dyDescent="0.15">
      <c r="A131" s="7">
        <v>45890</v>
      </c>
      <c r="C131" s="1" t="s">
        <v>196</v>
      </c>
      <c r="D131" s="1" t="s">
        <v>29</v>
      </c>
      <c r="E131" s="1"/>
      <c r="F131" s="1"/>
      <c r="G131" s="8"/>
      <c r="H131" s="8"/>
      <c r="I131" s="8">
        <v>45887</v>
      </c>
      <c r="K131" s="1"/>
      <c r="R131" s="10" t="str">
        <f ca="1">IFERROR(__xludf.DUMMYFUNCTION("JOIN("","", SORT(UNIQUE(TOCOL({VLOOKUP(D131,DM_fish!A:B,2,FALSE),VLOOKUP(C131,DM_fish!A:B,2,FALSE), ARRAYFORMULA(VLOOKUP(SPLIT(E131, "", ""),Injections!B:G,6,FALSE)), ARRAYFORMULA(VLOOKUP(SPLIT(F131, "", ""),Injections!H:M,6,FALSE)), ARRAYFORMULA(VLOOKUP("&amp;"SPLIT(G131, "", ""),Injections!N:S,6,FALSE)), ARRAYFORMULA(VLOOKUP(SPLIT(H131, "", ""),Injections!T:Y,6,FALSE)) },3))))"),"casper/pIGLET 14a,1 tank started,488,csp,male #1,560")</f>
        <v>casper/pIGLET 14a,1 tank started,488,csp,male #1,560</v>
      </c>
      <c r="S131" s="10" t="str">
        <f ca="1">IFERROR(__xludf.DUMMYFUNCTION("IFERROR(JOIN("","", SPLIT(R131, "","", TRUE ,TRUE)), """")"),"casper/pIGLET 14a,1 tank started,488,csp,male #1,560")</f>
        <v>casper/pIGLET 14a,1 tank started,488,csp,male #1,560</v>
      </c>
      <c r="T131" s="1"/>
      <c r="V131" s="11"/>
      <c r="W131" s="12"/>
      <c r="X131" s="12"/>
      <c r="Y131" s="11"/>
      <c r="Z131" s="11"/>
      <c r="AA131" s="11"/>
    </row>
    <row r="132" spans="1:27" ht="15.75" customHeight="1" x14ac:dyDescent="0.15">
      <c r="A132" s="7">
        <v>45890</v>
      </c>
      <c r="C132" s="1" t="s">
        <v>199</v>
      </c>
      <c r="D132" s="1" t="s">
        <v>199</v>
      </c>
      <c r="E132" s="1" t="s">
        <v>227</v>
      </c>
      <c r="F132" s="1"/>
      <c r="G132" s="8"/>
      <c r="H132" s="8"/>
      <c r="I132" s="8"/>
      <c r="K132" s="1"/>
      <c r="M132" s="8">
        <v>45890</v>
      </c>
      <c r="R132" s="10" t="str">
        <f ca="1">IFERROR(__xludf.DUMMYFUNCTION("JOIN("","", SORT(UNIQUE(TOCOL({VLOOKUP(D132,DM_fish!A:B,2,FALSE),VLOOKUP(C132,DM_fish!A:B,2,FALSE), ARRAYFORMULA(VLOOKUP(SPLIT(E132, "", ""),Injections!B:G,6,FALSE)), ARRAYFORMULA(VLOOKUP(SPLIT(F132, "", ""),Injections!H:M,6,FALSE)), ARRAYFORMULA(VLOOKUP("&amp;"SPLIT(G132, "", ""),Injections!N:S,6,FALSE)), ARRAYFORMULA(VLOOKUP(SPLIT(H132, "", ""),Injections!T:Y,6,FALSE)) },3))))"),"")</f>
        <v/>
      </c>
      <c r="S132" s="10" t="str">
        <f ca="1">IFERROR(__xludf.DUMMYFUNCTION("IFERROR(JOIN("","", SPLIT(R132, "","", TRUE ,TRUE)), """")"),"")</f>
        <v/>
      </c>
      <c r="T132" s="1" t="s">
        <v>228</v>
      </c>
      <c r="V132" s="1" t="s">
        <v>203</v>
      </c>
      <c r="W132" s="12"/>
      <c r="X132" s="12"/>
      <c r="Y132" s="11"/>
      <c r="Z132" s="11"/>
      <c r="AA132" s="11"/>
    </row>
    <row r="133" spans="1:27" ht="15.75" customHeight="1" x14ac:dyDescent="0.15">
      <c r="A133" s="7">
        <v>45889</v>
      </c>
      <c r="C133" s="1" t="s">
        <v>107</v>
      </c>
      <c r="D133" s="1" t="s">
        <v>187</v>
      </c>
      <c r="E133" s="1"/>
      <c r="F133" s="1" t="s">
        <v>101</v>
      </c>
      <c r="G133" s="8"/>
      <c r="H133" s="8"/>
      <c r="I133" s="8">
        <v>45887</v>
      </c>
      <c r="K133" s="1" t="s">
        <v>34</v>
      </c>
      <c r="M133" s="8">
        <v>45889</v>
      </c>
      <c r="Q133" s="1" t="s">
        <v>229</v>
      </c>
      <c r="R133" s="10" t="str">
        <f ca="1">IFERROR(__xludf.DUMMYFUNCTION("JOIN("","", SORT(UNIQUE(TOCOL({VLOOKUP(D133,DM_fish!A:B,2,FALSE),VLOOKUP(C133,DM_fish!A:B,2,FALSE), ARRAYFORMULA(VLOOKUP(SPLIT(E133, "", ""),Injections!B:G,6,FALSE)), ARRAYFORMULA(VLOOKUP(SPLIT(F133, "", ""),Injections!H:M,6,FALSE)), ARRAYFORMULA(VLOOKUP("&amp;"SPLIT(G133, "", ""),Injections!N:S,6,FALSE)), ARRAYFORMULA(VLOOKUP(SPLIT(H133, "", ""),Injections!T:Y,6,FALSE)) },3))))"),"Mitochondria")</f>
        <v>Mitochondria</v>
      </c>
      <c r="S133" s="10" t="str">
        <f ca="1">IFERROR(__xludf.DUMMYFUNCTION("IFERROR(JOIN("","", SPLIT(R133, "","", TRUE ,TRUE)), """")"),"Mitochondria")</f>
        <v>Mitochondria</v>
      </c>
      <c r="T133" s="1" t="s">
        <v>230</v>
      </c>
      <c r="V133" s="1" t="s">
        <v>203</v>
      </c>
      <c r="W133" s="12"/>
      <c r="X133" s="12"/>
      <c r="Y133" s="11"/>
      <c r="Z133" s="11"/>
      <c r="AA133" s="11"/>
    </row>
    <row r="134" spans="1:27" ht="15.75" customHeight="1" x14ac:dyDescent="0.15">
      <c r="A134" s="7">
        <v>45888</v>
      </c>
      <c r="C134" s="1" t="s">
        <v>107</v>
      </c>
      <c r="D134" s="1" t="s">
        <v>187</v>
      </c>
      <c r="E134" s="1"/>
      <c r="F134" s="1" t="s">
        <v>101</v>
      </c>
      <c r="G134" s="8"/>
      <c r="H134" s="8"/>
      <c r="I134" s="8">
        <v>45887</v>
      </c>
      <c r="K134" s="1" t="s">
        <v>34</v>
      </c>
      <c r="M134" s="8">
        <v>45888</v>
      </c>
      <c r="R134" s="10" t="str">
        <f ca="1">IFERROR(__xludf.DUMMYFUNCTION("JOIN("","", SORT(UNIQUE(TOCOL({VLOOKUP(D134,DM_fish!A:B,2,FALSE),VLOOKUP(C134,DM_fish!A:B,2,FALSE), ARRAYFORMULA(VLOOKUP(SPLIT(E134, "", ""),Injections!B:G,6,FALSE)), ARRAYFORMULA(VLOOKUP(SPLIT(F134, "", ""),Injections!H:M,6,FALSE)), ARRAYFORMULA(VLOOKUP("&amp;"SPLIT(G134, "", ""),Injections!N:S,6,FALSE)), ARRAYFORMULA(VLOOKUP(SPLIT(H134, "", ""),Injections!T:Y,6,FALSE)) },3))))"),"Mitochondria")</f>
        <v>Mitochondria</v>
      </c>
      <c r="S134" s="10" t="str">
        <f ca="1">IFERROR(__xludf.DUMMYFUNCTION("IFERROR(JOIN("","", SPLIT(R134, "","", TRUE ,TRUE)), """")"),"Mitochondria")</f>
        <v>Mitochondria</v>
      </c>
      <c r="T134" s="1" t="s">
        <v>230</v>
      </c>
      <c r="U134" s="1">
        <v>1863</v>
      </c>
      <c r="V134" s="1" t="s">
        <v>203</v>
      </c>
      <c r="W134" s="12"/>
      <c r="X134" s="12"/>
      <c r="Y134" s="11"/>
      <c r="Z134" s="11"/>
      <c r="AA134" s="11"/>
    </row>
    <row r="135" spans="1:27" ht="15.75" customHeight="1" x14ac:dyDescent="0.15">
      <c r="A135" s="7">
        <v>45888</v>
      </c>
      <c r="C135" s="1" t="s">
        <v>107</v>
      </c>
      <c r="D135" s="1" t="s">
        <v>187</v>
      </c>
      <c r="E135" s="1"/>
      <c r="F135" s="1" t="s">
        <v>231</v>
      </c>
      <c r="G135" s="8"/>
      <c r="H135" s="8"/>
      <c r="I135" s="8">
        <v>45887</v>
      </c>
      <c r="K135" s="1" t="s">
        <v>34</v>
      </c>
      <c r="M135" s="8">
        <v>45888</v>
      </c>
      <c r="Q135" s="1" t="s">
        <v>232</v>
      </c>
      <c r="R135" s="10" t="str">
        <f ca="1">IFERROR(__xludf.DUMMYFUNCTION("JOIN("","", SORT(UNIQUE(TOCOL({VLOOKUP(D135,DM_fish!A:B,2,FALSE),VLOOKUP(C135,DM_fish!A:B,2,FALSE), ARRAYFORMULA(VLOOKUP(SPLIT(E135, "", ""),Injections!B:G,6,FALSE)), ARRAYFORMULA(VLOOKUP(SPLIT(F135, "", ""),Injections!H:M,6,FALSE)), ARRAYFORMULA(VLOOKUP("&amp;"SPLIT(G135, "", ""),Injections!N:S,6,FALSE)), ARRAYFORMULA(VLOOKUP(SPLIT(H135, "", ""),Injections!T:Y,6,FALSE)) },3))))"),"ER")</f>
        <v>ER</v>
      </c>
      <c r="S135" s="10" t="str">
        <f ca="1">IFERROR(__xludf.DUMMYFUNCTION("IFERROR(JOIN("","", SPLIT(R135, "","", TRUE ,TRUE)), """")"),"ER")</f>
        <v>ER</v>
      </c>
      <c r="T135" s="1" t="s">
        <v>233</v>
      </c>
      <c r="U135" s="1">
        <v>206</v>
      </c>
      <c r="V135" s="1" t="s">
        <v>203</v>
      </c>
      <c r="W135" s="12"/>
      <c r="X135" s="12"/>
      <c r="Y135" s="11"/>
      <c r="Z135" s="11"/>
      <c r="AA135" s="11"/>
    </row>
    <row r="136" spans="1:27" ht="15.75" customHeight="1" x14ac:dyDescent="0.15">
      <c r="A136" s="7">
        <v>45887</v>
      </c>
      <c r="C136" s="1" t="s">
        <v>196</v>
      </c>
      <c r="D136" s="1" t="s">
        <v>196</v>
      </c>
      <c r="E136" s="1" t="s">
        <v>223</v>
      </c>
      <c r="F136" s="1"/>
      <c r="G136" s="8"/>
      <c r="H136" s="8"/>
      <c r="I136" s="8">
        <v>45884</v>
      </c>
      <c r="K136" s="1" t="s">
        <v>34</v>
      </c>
      <c r="M136" s="8"/>
      <c r="R136" s="10" t="str">
        <f ca="1">IFERROR(__xludf.DUMMYFUNCTION("JOIN("","", SORT(UNIQUE(TOCOL({VLOOKUP(D136,DM_fish!A:B,2,FALSE),VLOOKUP(C136,DM_fish!A:B,2,FALSE), ARRAYFORMULA(VLOOKUP(SPLIT(E136, "", ""),Injections!B:G,6,FALSE)), ARRAYFORMULA(VLOOKUP(SPLIT(F136, "", ""),Injections!H:M,6,FALSE)), ARRAYFORMULA(VLOOKUP("&amp;"SPLIT(G136, "", ""),Injections!N:S,6,FALSE)), ARRAYFORMULA(VLOOKUP(SPLIT(H136, "", ""),Injections!T:Y,6,FALSE)) },3))))"),"casper/pIGLET 14a,1 tank started,488")</f>
        <v>casper/pIGLET 14a,1 tank started,488</v>
      </c>
      <c r="S136" s="10" t="str">
        <f ca="1">IFERROR(__xludf.DUMMYFUNCTION("IFERROR(JOIN("","", SPLIT(R136, "","", TRUE ,TRUE)), """")"),"casper/pIGLET 14a,1 tank started,488")</f>
        <v>casper/pIGLET 14a,1 tank started,488</v>
      </c>
      <c r="T136" s="1"/>
      <c r="V136" s="11"/>
      <c r="W136" s="12"/>
      <c r="X136" s="12"/>
      <c r="Y136" s="11"/>
      <c r="Z136" s="11"/>
      <c r="AA136" s="11"/>
    </row>
    <row r="137" spans="1:27" ht="15.75" customHeight="1" x14ac:dyDescent="0.15">
      <c r="A137" s="7">
        <v>45887</v>
      </c>
      <c r="C137" s="1" t="s">
        <v>196</v>
      </c>
      <c r="D137" s="1" t="s">
        <v>196</v>
      </c>
      <c r="E137" s="1" t="s">
        <v>234</v>
      </c>
      <c r="F137" s="1"/>
      <c r="G137" s="8"/>
      <c r="H137" s="8"/>
      <c r="I137" s="8">
        <v>45884</v>
      </c>
      <c r="K137" s="1" t="s">
        <v>34</v>
      </c>
      <c r="M137" s="8"/>
      <c r="R137" s="10" t="str">
        <f ca="1">IFERROR(__xludf.DUMMYFUNCTION("JOIN("","", SORT(UNIQUE(TOCOL({VLOOKUP(D137,DM_fish!A:B,2,FALSE),VLOOKUP(C137,DM_fish!A:B,2,FALSE), ARRAYFORMULA(VLOOKUP(SPLIT(E137, "", ""),Injections!B:G,6,FALSE)), ARRAYFORMULA(VLOOKUP(SPLIT(F137, "", ""),Injections!H:M,6,FALSE)), ARRAYFORMULA(VLOOKUP("&amp;"SPLIT(G137, "", ""),Injections!N:S,6,FALSE)), ARRAYFORMULA(VLOOKUP(SPLIT(H137, "", ""),Injections!T:Y,6,FALSE)) },3))))"),"casper/pIGLET 14a,1 tank started,488,cytosol")</f>
        <v>casper/pIGLET 14a,1 tank started,488,cytosol</v>
      </c>
      <c r="S137" s="10" t="str">
        <f ca="1">IFERROR(__xludf.DUMMYFUNCTION("IFERROR(JOIN("","", SPLIT(R137, "","", TRUE ,TRUE)), """")"),"casper/pIGLET 14a,1 tank started,488,cytosol")</f>
        <v>casper/pIGLET 14a,1 tank started,488,cytosol</v>
      </c>
      <c r="T137" s="1"/>
      <c r="V137" s="11"/>
      <c r="W137" s="12"/>
      <c r="X137" s="12"/>
      <c r="Y137" s="11"/>
      <c r="Z137" s="11"/>
      <c r="AA137" s="11"/>
    </row>
    <row r="138" spans="1:27" ht="15.75" customHeight="1" x14ac:dyDescent="0.15">
      <c r="A138" s="7">
        <v>45884</v>
      </c>
      <c r="B138" s="1"/>
      <c r="C138" s="1" t="s">
        <v>199</v>
      </c>
      <c r="D138" s="1" t="s">
        <v>199</v>
      </c>
      <c r="E138" s="1" t="s">
        <v>235</v>
      </c>
      <c r="F138" s="1"/>
      <c r="G138" s="8"/>
      <c r="H138" s="8"/>
      <c r="I138" s="8"/>
      <c r="M138" s="8"/>
      <c r="R138" s="10" t="str">
        <f ca="1">IFERROR(__xludf.DUMMYFUNCTION("JOIN("","", SORT(UNIQUE(TOCOL({VLOOKUP(D138,DM_fish!A:B,2,FALSE),VLOOKUP(C138,DM_fish!A:B,2,FALSE), ARRAYFORMULA(VLOOKUP(SPLIT(E138, "", ""),Injections!B:G,6,FALSE)), ARRAYFORMULA(VLOOKUP(SPLIT(F138, "", ""),Injections!H:M,6,FALSE)), ARRAYFORMULA(VLOOKUP("&amp;"SPLIT(G138, "", ""),Injections!N:S,6,FALSE)), ARRAYFORMULA(VLOOKUP(SPLIT(H138, "", ""),Injections!T:Y,6,FALSE)) },3))))"),"")</f>
        <v/>
      </c>
      <c r="S138" s="10" t="str">
        <f ca="1">IFERROR(__xludf.DUMMYFUNCTION("IFERROR(JOIN("","", SPLIT(R138, "","", TRUE ,TRUE)), """")"),"")</f>
        <v/>
      </c>
      <c r="T138" s="1"/>
      <c r="V138" s="11"/>
      <c r="W138" s="12"/>
      <c r="X138" s="12"/>
      <c r="Y138" s="11"/>
      <c r="Z138" s="11"/>
      <c r="AA138" s="11"/>
    </row>
    <row r="139" spans="1:27" ht="15.75" customHeight="1" x14ac:dyDescent="0.15">
      <c r="A139" s="7">
        <v>45884</v>
      </c>
      <c r="C139" s="1" t="s">
        <v>107</v>
      </c>
      <c r="D139" s="1" t="s">
        <v>209</v>
      </c>
      <c r="E139" s="1"/>
      <c r="F139" s="1"/>
      <c r="G139" s="8"/>
      <c r="H139" s="8"/>
      <c r="I139" s="8">
        <v>45883</v>
      </c>
      <c r="M139" s="8"/>
      <c r="R139" s="10"/>
      <c r="S139" s="10"/>
      <c r="T139" s="1"/>
      <c r="V139" s="11"/>
      <c r="W139" s="12"/>
      <c r="X139" s="12"/>
      <c r="Y139" s="11"/>
      <c r="Z139" s="11"/>
      <c r="AA139" s="11"/>
    </row>
    <row r="140" spans="1:27" ht="15.75" customHeight="1" x14ac:dyDescent="0.15">
      <c r="A140" s="7">
        <v>45883</v>
      </c>
      <c r="B140" s="1"/>
      <c r="C140" s="1" t="s">
        <v>107</v>
      </c>
      <c r="D140" s="1" t="s">
        <v>107</v>
      </c>
      <c r="E140" s="1" t="s">
        <v>236</v>
      </c>
      <c r="F140" s="1"/>
      <c r="G140" s="8"/>
      <c r="H140" s="8"/>
      <c r="I140" s="8"/>
      <c r="M140" s="8"/>
      <c r="R140" s="10" t="str">
        <f ca="1">IFERROR(__xludf.DUMMYFUNCTION("JOIN("","", SORT(UNIQUE(TOCOL({VLOOKUP(D140,DM_fish!A:B,2,FALSE),VLOOKUP(C140,DM_fish!A:B,2,FALSE), ARRAYFORMULA(VLOOKUP(SPLIT(E140, "", ""),Injections!B:G,6,FALSE)), ARRAYFORMULA(VLOOKUP(SPLIT(F140, "", ""),Injections!H:M,6,FALSE)), ARRAYFORMULA(VLOOKUP("&amp;"SPLIT(G140, "", ""),Injections!N:S,6,FALSE)), ARRAYFORMULA(VLOOKUP(SPLIT(H140, "", ""),Injections!T:Y,6,FALSE)) },3))))"),"")</f>
        <v/>
      </c>
      <c r="S140" s="10" t="str">
        <f ca="1">IFERROR(__xludf.DUMMYFUNCTION("IFERROR(JOIN("","", SPLIT(R140, "","", TRUE ,TRUE)), """")"),"")</f>
        <v/>
      </c>
      <c r="T140" s="1"/>
      <c r="V140" s="11"/>
      <c r="W140" s="12"/>
      <c r="X140" s="12"/>
      <c r="Y140" s="11"/>
      <c r="Z140" s="11"/>
      <c r="AA140" s="11"/>
    </row>
    <row r="141" spans="1:27" ht="15.75" customHeight="1" x14ac:dyDescent="0.15">
      <c r="A141" s="7">
        <v>45883</v>
      </c>
      <c r="B141" s="1"/>
      <c r="C141" s="1" t="s">
        <v>107</v>
      </c>
      <c r="D141" s="1" t="s">
        <v>107</v>
      </c>
      <c r="E141" s="1" t="s">
        <v>237</v>
      </c>
      <c r="F141" s="1"/>
      <c r="G141" s="8"/>
      <c r="H141" s="8"/>
      <c r="I141" s="8"/>
      <c r="M141" s="8"/>
      <c r="R141" s="10"/>
      <c r="S141" s="10"/>
      <c r="T141" s="1"/>
      <c r="V141" s="11"/>
      <c r="W141" s="12"/>
      <c r="X141" s="12"/>
      <c r="Y141" s="11"/>
      <c r="Z141" s="11"/>
      <c r="AA141" s="11"/>
    </row>
    <row r="142" spans="1:27" ht="15.75" customHeight="1" x14ac:dyDescent="0.15">
      <c r="A142" s="7">
        <v>45883</v>
      </c>
      <c r="B142" s="1"/>
      <c r="C142" s="1" t="s">
        <v>238</v>
      </c>
      <c r="D142" s="1" t="s">
        <v>238</v>
      </c>
      <c r="E142" s="1"/>
      <c r="F142" s="1" t="s">
        <v>239</v>
      </c>
      <c r="G142" s="8"/>
      <c r="H142" s="1" t="s">
        <v>240</v>
      </c>
      <c r="I142" s="8"/>
      <c r="M142" s="8"/>
      <c r="R142" s="10"/>
      <c r="S142" s="10"/>
      <c r="T142" s="1"/>
      <c r="V142" s="11"/>
      <c r="W142" s="12"/>
      <c r="X142" s="12"/>
      <c r="Y142" s="11"/>
      <c r="Z142" s="11"/>
      <c r="AA142" s="11"/>
    </row>
    <row r="143" spans="1:27" ht="15.75" customHeight="1" x14ac:dyDescent="0.15">
      <c r="A143" s="7">
        <v>45883</v>
      </c>
      <c r="B143" s="1"/>
      <c r="C143" s="1" t="s">
        <v>238</v>
      </c>
      <c r="D143" s="1" t="s">
        <v>238</v>
      </c>
      <c r="E143" s="1"/>
      <c r="F143" s="1" t="s">
        <v>241</v>
      </c>
      <c r="G143" s="8"/>
      <c r="H143" s="1" t="s">
        <v>240</v>
      </c>
      <c r="I143" s="8"/>
      <c r="M143" s="8"/>
      <c r="R143" s="10"/>
      <c r="S143" s="10"/>
      <c r="T143" s="1"/>
      <c r="V143" s="11"/>
      <c r="W143" s="12"/>
      <c r="X143" s="12"/>
      <c r="Y143" s="11"/>
      <c r="Z143" s="11"/>
      <c r="AA143" s="11"/>
    </row>
    <row r="144" spans="1:27" ht="15.75" customHeight="1" x14ac:dyDescent="0.15">
      <c r="A144" s="7">
        <v>45883</v>
      </c>
      <c r="B144" s="1"/>
      <c r="C144" s="1" t="s">
        <v>238</v>
      </c>
      <c r="D144" s="1" t="s">
        <v>238</v>
      </c>
      <c r="E144" s="1"/>
      <c r="F144" s="1" t="s">
        <v>211</v>
      </c>
      <c r="G144" s="8"/>
      <c r="H144" s="1" t="s">
        <v>240</v>
      </c>
      <c r="I144" s="8"/>
      <c r="M144" s="8"/>
      <c r="R144" s="10"/>
      <c r="S144" s="10"/>
      <c r="T144" s="1"/>
      <c r="V144" s="11"/>
      <c r="W144" s="12"/>
      <c r="X144" s="12"/>
      <c r="Y144" s="11"/>
      <c r="Z144" s="11"/>
      <c r="AA144" s="11"/>
    </row>
    <row r="145" spans="1:27" ht="15.75" customHeight="1" x14ac:dyDescent="0.15">
      <c r="A145" s="7">
        <v>45882</v>
      </c>
      <c r="B145" s="1"/>
      <c r="C145" s="1" t="s">
        <v>196</v>
      </c>
      <c r="D145" s="1" t="s">
        <v>29</v>
      </c>
      <c r="E145" s="1"/>
      <c r="F145" s="1"/>
      <c r="G145" s="8"/>
      <c r="H145" s="8"/>
      <c r="I145" s="8">
        <v>45880</v>
      </c>
      <c r="M145" s="8"/>
      <c r="R145" s="10" t="str">
        <f ca="1">IFERROR(__xludf.DUMMYFUNCTION("JOIN("","", SORT(UNIQUE(TOCOL({VLOOKUP(D145,DM_fish!A:B,2,FALSE),VLOOKUP(C145,DM_fish!A:B,2,FALSE), ARRAYFORMULA(VLOOKUP(SPLIT(E145, "", ""),Injections!B:G,6,FALSE)), ARRAYFORMULA(VLOOKUP(SPLIT(F145, "", ""),Injections!H:M,6,FALSE)), ARRAYFORMULA(VLOOKUP("&amp;"SPLIT(G145, "", ""),Injections!N:S,6,FALSE)), ARRAYFORMULA(VLOOKUP(SPLIT(H145, "", ""),Injections!T:Y,6,FALSE)) },3))))"),"casper/pIGLET 14a,1 tank started,488,csp,male #1,560")</f>
        <v>casper/pIGLET 14a,1 tank started,488,csp,male #1,560</v>
      </c>
      <c r="S145" s="10" t="str">
        <f ca="1">IFERROR(__xludf.DUMMYFUNCTION("IFERROR(JOIN("","", SPLIT(R145, "","", TRUE ,TRUE)), """")"),"casper/pIGLET 14a,1 tank started,488,csp,male #1,560")</f>
        <v>casper/pIGLET 14a,1 tank started,488,csp,male #1,560</v>
      </c>
      <c r="T145" s="1"/>
      <c r="V145" s="11"/>
      <c r="W145" s="12"/>
      <c r="X145" s="12"/>
      <c r="Y145" s="11"/>
      <c r="Z145" s="11"/>
      <c r="AA145" s="11"/>
    </row>
    <row r="146" spans="1:27" ht="15.75" customHeight="1" x14ac:dyDescent="0.15">
      <c r="A146" s="7">
        <v>45881</v>
      </c>
      <c r="B146" s="1"/>
      <c r="C146" s="1" t="s">
        <v>196</v>
      </c>
      <c r="D146" s="1" t="s">
        <v>196</v>
      </c>
      <c r="E146" s="1"/>
      <c r="F146" s="1" t="s">
        <v>242</v>
      </c>
      <c r="G146" s="8"/>
      <c r="H146" s="8"/>
      <c r="I146" s="8"/>
      <c r="M146" s="8"/>
      <c r="R146" s="10" t="str">
        <f ca="1">IFERROR(__xludf.DUMMYFUNCTION("JOIN("","", SORT(UNIQUE(TOCOL({VLOOKUP(D146,DM_fish!A:B,2,FALSE),VLOOKUP(C146,DM_fish!A:B,2,FALSE), ARRAYFORMULA(VLOOKUP(SPLIT(E146, "", ""),Injections!B:G,6,FALSE)), ARRAYFORMULA(VLOOKUP(SPLIT(F146, "", ""),Injections!H:M,6,FALSE)), ARRAYFORMULA(VLOOKUP("&amp;"SPLIT(G146, "", ""),Injections!N:S,6,FALSE)), ARRAYFORMULA(VLOOKUP(SPLIT(H146, "", ""),Injections!T:Y,6,FALSE)) },3))))"),"casper/pIGLET 14a,1 tank started,488,Mitochondria")</f>
        <v>casper/pIGLET 14a,1 tank started,488,Mitochondria</v>
      </c>
      <c r="S146" s="10" t="str">
        <f ca="1">IFERROR(__xludf.DUMMYFUNCTION("IFERROR(JOIN("","", SPLIT(R146, "","", TRUE ,TRUE)), """")"),"casper/pIGLET 14a,1 tank started,488,Mitochondria")</f>
        <v>casper/pIGLET 14a,1 tank started,488,Mitochondria</v>
      </c>
      <c r="T146" s="1">
        <v>9</v>
      </c>
      <c r="V146" s="11"/>
      <c r="W146" s="12"/>
      <c r="X146" s="12"/>
      <c r="Y146" s="11"/>
      <c r="Z146" s="11"/>
      <c r="AA146" s="11"/>
    </row>
    <row r="147" spans="1:27" ht="15.75" customHeight="1" x14ac:dyDescent="0.15">
      <c r="A147" s="7">
        <v>45881</v>
      </c>
      <c r="B147" s="1"/>
      <c r="C147" s="1" t="s">
        <v>196</v>
      </c>
      <c r="D147" s="1" t="s">
        <v>196</v>
      </c>
      <c r="E147" s="1"/>
      <c r="F147" s="1" t="s">
        <v>243</v>
      </c>
      <c r="G147" s="8"/>
      <c r="H147" s="8"/>
      <c r="I147" s="8"/>
      <c r="M147" s="8"/>
      <c r="R147" s="10"/>
      <c r="S147" s="10"/>
      <c r="T147" s="1"/>
      <c r="V147" s="11"/>
      <c r="W147" s="12"/>
      <c r="X147" s="12"/>
      <c r="Y147" s="11"/>
      <c r="Z147" s="11"/>
      <c r="AA147" s="11"/>
    </row>
    <row r="148" spans="1:27" ht="15.75" customHeight="1" x14ac:dyDescent="0.15">
      <c r="A148" s="7">
        <v>45880</v>
      </c>
      <c r="B148" s="1"/>
      <c r="C148" s="1" t="s">
        <v>196</v>
      </c>
      <c r="D148" s="1" t="s">
        <v>196</v>
      </c>
      <c r="E148" s="1" t="s">
        <v>244</v>
      </c>
      <c r="F148" s="1"/>
      <c r="G148" s="8"/>
      <c r="H148" s="8"/>
      <c r="I148" s="8"/>
      <c r="M148" s="8"/>
      <c r="R148" s="10" t="str">
        <f ca="1">IFERROR(__xludf.DUMMYFUNCTION("JOIN("","", SORT(UNIQUE(TOCOL({VLOOKUP(D148,DM_fish!A:B,2,FALSE),VLOOKUP(C148,DM_fish!A:B,2,FALSE), ARRAYFORMULA(VLOOKUP(SPLIT(E148, "", ""),Injections!B:G,6,FALSE)), ARRAYFORMULA(VLOOKUP(SPLIT(F148, "", ""),Injections!H:M,6,FALSE)), ARRAYFORMULA(VLOOKUP("&amp;"SPLIT(G148, "", ""),Injections!N:S,6,FALSE)), ARRAYFORMULA(VLOOKUP(SPLIT(H148, "", ""),Injections!T:Y,6,FALSE)) },3))))"),"casper/pIGLET 14a,1 tank started,488")</f>
        <v>casper/pIGLET 14a,1 tank started,488</v>
      </c>
      <c r="S148" s="10" t="str">
        <f ca="1">IFERROR(__xludf.DUMMYFUNCTION("IFERROR(JOIN("","", SPLIT(R148, "","", TRUE ,TRUE)), """")"),"casper/pIGLET 14a,1 tank started,488")</f>
        <v>casper/pIGLET 14a,1 tank started,488</v>
      </c>
      <c r="T148" s="1"/>
      <c r="V148" s="11"/>
      <c r="W148" s="12"/>
      <c r="X148" s="12"/>
      <c r="Y148" s="11"/>
      <c r="Z148" s="11"/>
      <c r="AA148" s="11"/>
    </row>
    <row r="149" spans="1:27" ht="15.75" customHeight="1" x14ac:dyDescent="0.15">
      <c r="A149" s="7">
        <v>45880</v>
      </c>
      <c r="B149" s="1"/>
      <c r="C149" s="1" t="s">
        <v>196</v>
      </c>
      <c r="D149" s="1" t="s">
        <v>196</v>
      </c>
      <c r="E149" s="1" t="s">
        <v>223</v>
      </c>
      <c r="F149" s="1"/>
      <c r="G149" s="8"/>
      <c r="H149" s="8"/>
      <c r="I149" s="8"/>
      <c r="M149" s="8"/>
      <c r="R149" s="10"/>
      <c r="S149" s="10"/>
      <c r="T149" s="1"/>
      <c r="V149" s="11"/>
      <c r="W149" s="12"/>
      <c r="X149" s="12"/>
      <c r="Y149" s="11"/>
      <c r="Z149" s="11"/>
      <c r="AA149" s="11"/>
    </row>
    <row r="150" spans="1:27" ht="15.75" customHeight="1" x14ac:dyDescent="0.15">
      <c r="A150" s="7">
        <f t="shared" ref="A150:A151" si="1">M150</f>
        <v>45877</v>
      </c>
      <c r="B150" s="1"/>
      <c r="C150" s="1" t="s">
        <v>245</v>
      </c>
      <c r="D150" s="1" t="s">
        <v>245</v>
      </c>
      <c r="E150" s="1"/>
      <c r="F150" s="1" t="s">
        <v>101</v>
      </c>
      <c r="G150" s="8"/>
      <c r="H150" s="8"/>
      <c r="I150" s="8">
        <v>45876</v>
      </c>
      <c r="K150" s="1" t="s">
        <v>246</v>
      </c>
      <c r="M150" s="8">
        <v>45877</v>
      </c>
      <c r="Q150" s="1" t="s">
        <v>232</v>
      </c>
      <c r="R150" s="10" t="str">
        <f ca="1">IFERROR(__xludf.DUMMYFUNCTION("JOIN("","", SORT(UNIQUE(TOCOL({VLOOKUP(D150,DM_fish!A:B,2,FALSE),VLOOKUP(C150,DM_fish!A:B,2,FALSE), ARRAYFORMULA(VLOOKUP(SPLIT(E150, "", ""),Injections!B:G,6,FALSE)), ARRAYFORMULA(VLOOKUP(SPLIT(F150, "", ""),Injections!H:M,6,FALSE)), ARRAYFORMULA(VLOOKUP("&amp;"SPLIT(G150, "", ""),Injections!N:S,6,FALSE)), ARRAYFORMULA(VLOOKUP(SPLIT(H150, "", ""),Injections!T:Y,6,FALSE)) },3))))"),"Mitochondria")</f>
        <v>Mitochondria</v>
      </c>
      <c r="S150" s="10" t="str">
        <f ca="1">IFERROR(__xludf.DUMMYFUNCTION("IFERROR(JOIN("","", SPLIT(R150, "","", TRUE ,TRUE)), """")"),"Mitochondria")</f>
        <v>Mitochondria</v>
      </c>
      <c r="T150" s="1" t="s">
        <v>247</v>
      </c>
      <c r="U150" s="1">
        <v>443</v>
      </c>
      <c r="V150" s="1" t="s">
        <v>203</v>
      </c>
      <c r="W150" s="12"/>
      <c r="X150" s="12"/>
      <c r="Y150" s="11"/>
      <c r="Z150" s="11"/>
      <c r="AA150" s="11"/>
    </row>
    <row r="151" spans="1:27" ht="15.75" customHeight="1" x14ac:dyDescent="0.15">
      <c r="A151" s="7">
        <f t="shared" si="1"/>
        <v>45877</v>
      </c>
      <c r="B151" s="1"/>
      <c r="C151" s="1" t="s">
        <v>245</v>
      </c>
      <c r="D151" s="1" t="s">
        <v>245</v>
      </c>
      <c r="E151" s="1"/>
      <c r="F151" s="1" t="s">
        <v>241</v>
      </c>
      <c r="G151" s="8"/>
      <c r="H151" s="8"/>
      <c r="I151" s="8">
        <v>45876</v>
      </c>
      <c r="K151" s="1" t="s">
        <v>246</v>
      </c>
      <c r="M151" s="8">
        <v>45877</v>
      </c>
      <c r="Q151" s="1" t="s">
        <v>232</v>
      </c>
      <c r="R151" s="10" t="str">
        <f ca="1">IFERROR(__xludf.DUMMYFUNCTION("JOIN("","", SORT(UNIQUE(TOCOL({VLOOKUP(D151,DM_fish!A:B,2,FALSE),VLOOKUP(C151,DM_fish!A:B,2,FALSE), ARRAYFORMULA(VLOOKUP(SPLIT(E151, "", ""),Injections!B:G,6,FALSE)), ARRAYFORMULA(VLOOKUP(SPLIT(F151, "", ""),Injections!H:M,6,FALSE)), ARRAYFORMULA(VLOOKUP("&amp;"SPLIT(G151, "", ""),Injections!N:S,6,FALSE)), ARRAYFORMULA(VLOOKUP(SPLIT(H151, "", ""),Injections!T:Y,6,FALSE)) },3))))"),"Lysosomes")</f>
        <v>Lysosomes</v>
      </c>
      <c r="S151" s="10" t="str">
        <f ca="1">IFERROR(__xludf.DUMMYFUNCTION("IFERROR(JOIN("","", SPLIT(R151, "","", TRUE ,TRUE)), """")"),"Lysosomes")</f>
        <v>Lysosomes</v>
      </c>
      <c r="T151" s="1" t="s">
        <v>247</v>
      </c>
      <c r="U151" s="1">
        <v>209</v>
      </c>
      <c r="V151" s="1" t="s">
        <v>203</v>
      </c>
      <c r="W151" s="12"/>
      <c r="X151" s="12"/>
      <c r="Y151" s="11"/>
      <c r="Z151" s="11"/>
      <c r="AA151" s="11"/>
    </row>
    <row r="152" spans="1:27" ht="15.75" customHeight="1" x14ac:dyDescent="0.15">
      <c r="A152" s="7">
        <v>45876</v>
      </c>
      <c r="B152" s="1"/>
      <c r="C152" s="1" t="s">
        <v>248</v>
      </c>
      <c r="D152" s="1" t="s">
        <v>248</v>
      </c>
      <c r="E152" s="1" t="s">
        <v>249</v>
      </c>
      <c r="F152" s="1"/>
      <c r="G152" s="8"/>
      <c r="H152" s="8"/>
      <c r="I152" s="8"/>
      <c r="K152" s="1"/>
      <c r="M152" s="8"/>
      <c r="Q152" s="1"/>
      <c r="R152" s="10"/>
      <c r="S152" s="10"/>
      <c r="T152" s="1"/>
      <c r="V152" s="1"/>
      <c r="W152" s="12"/>
      <c r="X152" s="12"/>
      <c r="Y152" s="11"/>
      <c r="Z152" s="11"/>
      <c r="AA152" s="11"/>
    </row>
    <row r="153" spans="1:27" ht="15.75" customHeight="1" x14ac:dyDescent="0.15">
      <c r="A153" s="7">
        <v>45876</v>
      </c>
      <c r="B153" s="1"/>
      <c r="C153" s="1" t="s">
        <v>248</v>
      </c>
      <c r="D153" s="1" t="s">
        <v>248</v>
      </c>
      <c r="E153" s="1" t="s">
        <v>236</v>
      </c>
      <c r="F153" s="1"/>
      <c r="G153" s="8"/>
      <c r="H153" s="8"/>
      <c r="I153" s="8"/>
      <c r="K153" s="1"/>
      <c r="M153" s="8"/>
      <c r="Q153" s="1"/>
      <c r="R153" s="10"/>
      <c r="S153" s="10"/>
      <c r="T153" s="1"/>
      <c r="V153" s="1"/>
      <c r="W153" s="12"/>
      <c r="X153" s="12"/>
      <c r="Y153" s="11"/>
      <c r="Z153" s="11"/>
      <c r="AA153" s="11"/>
    </row>
    <row r="154" spans="1:27" ht="15.75" customHeight="1" x14ac:dyDescent="0.15">
      <c r="A154" s="7">
        <f t="shared" ref="A154:A157" si="2">M154</f>
        <v>45875</v>
      </c>
      <c r="B154" s="1"/>
      <c r="C154" s="1" t="s">
        <v>250</v>
      </c>
      <c r="D154" s="1" t="s">
        <v>250</v>
      </c>
      <c r="E154" s="1"/>
      <c r="F154" s="1" t="s">
        <v>205</v>
      </c>
      <c r="G154" s="8"/>
      <c r="H154" s="8"/>
      <c r="I154" s="8">
        <v>45873</v>
      </c>
      <c r="M154" s="8">
        <v>45875</v>
      </c>
      <c r="Q154" s="1" t="s">
        <v>251</v>
      </c>
      <c r="R154" s="10" t="str">
        <f ca="1">IFERROR(__xludf.DUMMYFUNCTION("JOIN("","", SORT(UNIQUE(TOCOL({VLOOKUP(D154,DM_fish!A:B,2,FALSE),VLOOKUP(C154,DM_fish!A:B,2,FALSE), ARRAYFORMULA(VLOOKUP(SPLIT(E154, "", ""),Injections!B:G,6,FALSE)), ARRAYFORMULA(VLOOKUP(SPLIT(F154, "", ""),Injections!H:M,6,FALSE)), ARRAYFORMULA(VLOOKUP("&amp;"SPLIT(G154, "", ""),Injections!N:S,6,FALSE)), ARRAYFORMULA(VLOOKUP(SPLIT(H154, "", ""),Injections!T:Y,6,FALSE)) },3))))"),"Actin")</f>
        <v>Actin</v>
      </c>
      <c r="S154" s="10" t="str">
        <f ca="1">IFERROR(__xludf.DUMMYFUNCTION("IFERROR(JOIN("","", SPLIT(R154, "","", TRUE ,TRUE)), """")"),"Actin")</f>
        <v>Actin</v>
      </c>
      <c r="T154" s="1" t="s">
        <v>252</v>
      </c>
      <c r="U154" s="1">
        <v>217</v>
      </c>
      <c r="V154" s="1" t="s">
        <v>203</v>
      </c>
      <c r="W154" s="12"/>
      <c r="X154" s="12"/>
      <c r="Y154" s="11"/>
      <c r="Z154" s="11"/>
      <c r="AA154" s="11"/>
    </row>
    <row r="155" spans="1:27" ht="15.75" customHeight="1" x14ac:dyDescent="0.15">
      <c r="A155" s="7">
        <f t="shared" si="2"/>
        <v>45874</v>
      </c>
      <c r="B155" s="1"/>
      <c r="C155" s="1" t="s">
        <v>32</v>
      </c>
      <c r="D155" s="1" t="s">
        <v>253</v>
      </c>
      <c r="E155" s="1"/>
      <c r="G155" s="8"/>
      <c r="H155" s="8"/>
      <c r="I155" s="8">
        <v>45873</v>
      </c>
      <c r="K155" s="1" t="s">
        <v>246</v>
      </c>
      <c r="M155" s="8">
        <v>45874</v>
      </c>
      <c r="Q155" s="1" t="s">
        <v>232</v>
      </c>
      <c r="R155" s="10" t="str">
        <f ca="1">IFERROR(__xludf.DUMMYFUNCTION("JOIN("","", SORT(UNIQUE(TOCOL({VLOOKUP(D155,DM_fish!A:B,2,FALSE),VLOOKUP(C155,DM_fish!A:B,2,FALSE), ARRAYFORMULA(VLOOKUP(SPLIT(E155, "", ""),Injections!B:G,6,FALSE)), ARRAYFORMULA(VLOOKUP(SPLIT(F155, "", ""),Injections!H:M,6,FALSE)), ARRAYFORMULA(VLOOKUP("&amp;"SPLIT(G155, "", ""),Injections!N:S,6,FALSE)), ARRAYFORMULA(VLOOKUP(SPLIT(H155, "", ""),Injections!T:Y,6,FALSE)) },3))))"),"")</f>
        <v/>
      </c>
      <c r="S155" s="10" t="str">
        <f ca="1">IFERROR(__xludf.DUMMYFUNCTION("IFERROR(JOIN("","", SPLIT(R155, "","", TRUE ,TRUE)), """")"),"")</f>
        <v/>
      </c>
      <c r="T155" s="1" t="s">
        <v>254</v>
      </c>
      <c r="U155" s="1">
        <v>5007</v>
      </c>
      <c r="V155" s="1" t="s">
        <v>203</v>
      </c>
      <c r="W155" s="12"/>
      <c r="X155" s="12"/>
      <c r="Y155" s="11"/>
      <c r="Z155" s="11"/>
      <c r="AA155" s="11"/>
    </row>
    <row r="156" spans="1:27" ht="15.75" customHeight="1" x14ac:dyDescent="0.15">
      <c r="A156" s="7">
        <f t="shared" si="2"/>
        <v>45874</v>
      </c>
      <c r="B156" s="1"/>
      <c r="C156" s="1" t="s">
        <v>250</v>
      </c>
      <c r="D156" s="1" t="s">
        <v>250</v>
      </c>
      <c r="E156" s="1"/>
      <c r="F156" s="1" t="s">
        <v>101</v>
      </c>
      <c r="G156" s="8"/>
      <c r="H156" s="8"/>
      <c r="I156" s="8">
        <v>45873</v>
      </c>
      <c r="M156" s="8">
        <v>45874</v>
      </c>
      <c r="Q156" s="1" t="s">
        <v>251</v>
      </c>
      <c r="R156" s="10" t="str">
        <f ca="1">IFERROR(__xludf.DUMMYFUNCTION("JOIN("","", SORT(UNIQUE(TOCOL({VLOOKUP(D156,DM_fish!A:B,2,FALSE),VLOOKUP(C156,DM_fish!A:B,2,FALSE), ARRAYFORMULA(VLOOKUP(SPLIT(E156, "", ""),Injections!B:G,6,FALSE)), ARRAYFORMULA(VLOOKUP(SPLIT(F156, "", ""),Injections!H:M,6,FALSE)), ARRAYFORMULA(VLOOKUP("&amp;"SPLIT(G156, "", ""),Injections!N:S,6,FALSE)), ARRAYFORMULA(VLOOKUP(SPLIT(H156, "", ""),Injections!T:Y,6,FALSE)) },3))))"),"Mitochondria")</f>
        <v>Mitochondria</v>
      </c>
      <c r="S156" s="10" t="str">
        <f ca="1">IFERROR(__xludf.DUMMYFUNCTION("IFERROR(JOIN("","", SPLIT(R156, "","", TRUE ,TRUE)), """")"),"Mitochondria")</f>
        <v>Mitochondria</v>
      </c>
      <c r="T156" s="1" t="s">
        <v>255</v>
      </c>
      <c r="U156" s="1">
        <v>358</v>
      </c>
      <c r="V156" s="1" t="s">
        <v>203</v>
      </c>
      <c r="W156" s="12"/>
      <c r="X156" s="12"/>
      <c r="Y156" s="11"/>
      <c r="Z156" s="11"/>
      <c r="AA156" s="11"/>
    </row>
    <row r="157" spans="1:27" ht="15.75" customHeight="1" x14ac:dyDescent="0.15">
      <c r="A157" s="7">
        <f t="shared" si="2"/>
        <v>45873</v>
      </c>
      <c r="B157" s="1"/>
      <c r="C157" s="1" t="s">
        <v>253</v>
      </c>
      <c r="D157" s="1" t="s">
        <v>253</v>
      </c>
      <c r="E157" s="1"/>
      <c r="F157" s="1" t="s">
        <v>256</v>
      </c>
      <c r="G157" s="8"/>
      <c r="H157" s="8"/>
      <c r="I157" s="8">
        <v>45870</v>
      </c>
      <c r="K157" s="1" t="s">
        <v>257</v>
      </c>
      <c r="M157" s="8">
        <v>45873</v>
      </c>
      <c r="Q157" s="1" t="s">
        <v>258</v>
      </c>
      <c r="R157" s="10" t="str">
        <f ca="1">IFERROR(__xludf.DUMMYFUNCTION("JOIN("","", SORT(UNIQUE(TOCOL({VLOOKUP(D157,DM_fish!A:B,2,FALSE),VLOOKUP(C157,DM_fish!A:B,2,FALSE), ARRAYFORMULA(VLOOKUP(SPLIT(E157, "", ""),Injections!B:G,6,FALSE)), ARRAYFORMULA(VLOOKUP(SPLIT(F157, "", ""),Injections!H:M,6,FALSE)), ARRAYFORMULA(VLOOKUP("&amp;"SPLIT(G157, "", ""),Injections!N:S,6,FALSE)), ARRAYFORMULA(VLOOKUP(SPLIT(H157, "", ""),Injections!T:Y,6,FALSE)) },3))))"),"nuclei")</f>
        <v>nuclei</v>
      </c>
      <c r="S157" s="10" t="str">
        <f ca="1">IFERROR(__xludf.DUMMYFUNCTION("IFERROR(JOIN("","", SPLIT(R157, "","", TRUE ,TRUE)), """")"),"nuclei")</f>
        <v>nuclei</v>
      </c>
      <c r="T157" s="1" t="s">
        <v>259</v>
      </c>
      <c r="U157" s="1">
        <v>1003</v>
      </c>
      <c r="V157" s="1" t="s">
        <v>203</v>
      </c>
      <c r="W157" s="12"/>
      <c r="X157" s="12"/>
      <c r="Y157" s="11"/>
      <c r="Z157" s="11"/>
      <c r="AA157" s="11"/>
    </row>
    <row r="158" spans="1:27" ht="15.75" customHeight="1" x14ac:dyDescent="0.15">
      <c r="A158" s="7">
        <v>45870</v>
      </c>
      <c r="B158" s="1"/>
      <c r="C158" s="1" t="s">
        <v>253</v>
      </c>
      <c r="D158" s="1" t="s">
        <v>253</v>
      </c>
      <c r="E158" s="1"/>
      <c r="F158" s="1" t="s">
        <v>256</v>
      </c>
      <c r="G158" s="8"/>
      <c r="H158" s="8"/>
      <c r="I158" s="8">
        <v>45869</v>
      </c>
      <c r="K158" s="1" t="s">
        <v>246</v>
      </c>
      <c r="M158" s="8">
        <v>45870</v>
      </c>
      <c r="Q158" s="1" t="s">
        <v>232</v>
      </c>
      <c r="R158" s="10" t="str">
        <f ca="1">IFERROR(__xludf.DUMMYFUNCTION("JOIN("","", SORT(UNIQUE(TOCOL({VLOOKUP(D158,DM_fish!A:B,2,FALSE),VLOOKUP(C158,DM_fish!A:B,2,FALSE), ARRAYFORMULA(VLOOKUP(SPLIT(E158, "", ""),Injections!B:G,6,FALSE)), ARRAYFORMULA(VLOOKUP(SPLIT(F158, "", ""),Injections!H:M,6,FALSE)), ARRAYFORMULA(VLOOKUP("&amp;"SPLIT(G158, "", ""),Injections!N:S,6,FALSE)), ARRAYFORMULA(VLOOKUP(SPLIT(H158, "", ""),Injections!T:Y,6,FALSE)) },3))))"),"nuclei")</f>
        <v>nuclei</v>
      </c>
      <c r="S158" s="10" t="str">
        <f ca="1">IFERROR(__xludf.DUMMYFUNCTION("IFERROR(JOIN("","", SPLIT(R158, "","", TRUE ,TRUE)), """")"),"nuclei")</f>
        <v>nuclei</v>
      </c>
      <c r="T158" s="1" t="s">
        <v>260</v>
      </c>
      <c r="U158" s="1">
        <v>358</v>
      </c>
      <c r="V158" s="1" t="s">
        <v>203</v>
      </c>
      <c r="W158" s="12"/>
      <c r="X158" s="12"/>
      <c r="Y158" s="11"/>
      <c r="Z158" s="11"/>
      <c r="AA158" s="11"/>
    </row>
    <row r="159" spans="1:27" ht="15.75" customHeight="1" x14ac:dyDescent="0.15">
      <c r="A159" s="7">
        <f t="shared" ref="A159:A160" si="3">M159</f>
        <v>45866</v>
      </c>
      <c r="B159" s="1"/>
      <c r="C159" s="1" t="s">
        <v>253</v>
      </c>
      <c r="D159" s="1" t="s">
        <v>253</v>
      </c>
      <c r="E159" s="1"/>
      <c r="F159" s="1" t="s">
        <v>256</v>
      </c>
      <c r="G159" s="8"/>
      <c r="H159" s="8"/>
      <c r="I159" s="8">
        <v>45864</v>
      </c>
      <c r="M159" s="8">
        <v>45866</v>
      </c>
      <c r="Q159" s="1" t="s">
        <v>261</v>
      </c>
      <c r="R159" s="10" t="str">
        <f ca="1">IFERROR(__xludf.DUMMYFUNCTION("JOIN("","", SORT(UNIQUE(TOCOL({VLOOKUP(D159,DM_fish!A:B,2,FALSE),VLOOKUP(C159,DM_fish!A:B,2,FALSE), ARRAYFORMULA(VLOOKUP(SPLIT(E159, "", ""),Injections!B:G,6,FALSE)), ARRAYFORMULA(VLOOKUP(SPLIT(F159, "", ""),Injections!H:M,6,FALSE)), ARRAYFORMULA(VLOOKUP("&amp;"SPLIT(G159, "", ""),Injections!N:S,6,FALSE)), ARRAYFORMULA(VLOOKUP(SPLIT(H159, "", ""),Injections!T:Y,6,FALSE)) },3))))"),"nuclei")</f>
        <v>nuclei</v>
      </c>
      <c r="S159" s="10" t="str">
        <f ca="1">IFERROR(__xludf.DUMMYFUNCTION("IFERROR(JOIN("","", SPLIT(R159, "","", TRUE ,TRUE)), """")"),"nuclei")</f>
        <v>nuclei</v>
      </c>
      <c r="T159" s="1" t="s">
        <v>262</v>
      </c>
      <c r="U159" s="1">
        <v>983</v>
      </c>
      <c r="V159" s="1" t="s">
        <v>203</v>
      </c>
      <c r="W159" s="12"/>
      <c r="X159" s="12"/>
      <c r="Y159" s="11"/>
      <c r="Z159" s="11"/>
      <c r="AA159" s="11"/>
    </row>
    <row r="160" spans="1:27" ht="15.75" customHeight="1" x14ac:dyDescent="0.15">
      <c r="A160" s="7">
        <f t="shared" si="3"/>
        <v>45862</v>
      </c>
      <c r="B160" s="1"/>
      <c r="C160" s="1" t="s">
        <v>245</v>
      </c>
      <c r="D160" s="1" t="s">
        <v>245</v>
      </c>
      <c r="F160" s="1" t="s">
        <v>231</v>
      </c>
      <c r="G160" s="8"/>
      <c r="H160" s="8"/>
      <c r="I160" s="8">
        <v>45861</v>
      </c>
      <c r="M160" s="8">
        <v>45862</v>
      </c>
      <c r="Q160" s="1" t="s">
        <v>263</v>
      </c>
      <c r="R160" s="10" t="str">
        <f ca="1">IFERROR(__xludf.DUMMYFUNCTION("JOIN("","", SORT(UNIQUE(TOCOL({VLOOKUP(D160,DM_fish!A:B,2,FALSE),VLOOKUP(C160,DM_fish!A:B,2,FALSE), ARRAYFORMULA(VLOOKUP(SPLIT(E160, "", ""),Injections!B:G,6,FALSE)), ARRAYFORMULA(VLOOKUP(SPLIT(F160, "", ""),Injections!H:M,6,FALSE)), ARRAYFORMULA(VLOOKUP("&amp;"SPLIT(G160, "", ""),Injections!N:S,6,FALSE)), ARRAYFORMULA(VLOOKUP(SPLIT(H160, "", ""),Injections!T:Y,6,FALSE)) },3))))"),"ER")</f>
        <v>ER</v>
      </c>
      <c r="S160" s="10" t="str">
        <f ca="1">IFERROR(__xludf.DUMMYFUNCTION("IFERROR(JOIN("","", SPLIT(R160, "","", TRUE ,TRUE)), """")"),"ER")</f>
        <v>ER</v>
      </c>
      <c r="T160" s="1" t="s">
        <v>264</v>
      </c>
      <c r="U160" s="1">
        <v>850</v>
      </c>
      <c r="V160" s="1" t="s">
        <v>203</v>
      </c>
      <c r="W160" s="12"/>
      <c r="X160" s="12"/>
      <c r="Y160" s="11"/>
      <c r="Z160" s="11"/>
      <c r="AA160" s="11"/>
    </row>
    <row r="161" spans="1:27" ht="15.75" customHeight="1" x14ac:dyDescent="0.15">
      <c r="A161" s="7">
        <v>45862</v>
      </c>
      <c r="B161" s="1"/>
      <c r="C161" s="1"/>
      <c r="D161" s="1"/>
      <c r="F161" s="1"/>
      <c r="G161" s="8"/>
      <c r="H161" s="1"/>
      <c r="I161" s="8">
        <v>45861</v>
      </c>
      <c r="M161" s="8">
        <v>45862</v>
      </c>
      <c r="Q161" s="1"/>
      <c r="R161" s="10"/>
      <c r="S161" s="10"/>
      <c r="T161" s="1" t="s">
        <v>265</v>
      </c>
      <c r="U161" s="1"/>
      <c r="V161" s="1"/>
      <c r="W161" s="12"/>
      <c r="X161" s="12"/>
      <c r="Y161" s="11"/>
      <c r="Z161" s="11"/>
      <c r="AA161" s="11"/>
    </row>
    <row r="162" spans="1:27" ht="15.75" customHeight="1" x14ac:dyDescent="0.15">
      <c r="A162" s="7">
        <v>45861</v>
      </c>
      <c r="B162" s="1"/>
      <c r="C162" s="1" t="s">
        <v>32</v>
      </c>
      <c r="D162" s="1" t="s">
        <v>89</v>
      </c>
      <c r="F162" s="1" t="s">
        <v>231</v>
      </c>
      <c r="G162" s="8"/>
      <c r="I162" s="8">
        <v>45859</v>
      </c>
      <c r="M162" s="8">
        <v>45861</v>
      </c>
      <c r="Q162" s="1" t="s">
        <v>251</v>
      </c>
      <c r="R162" s="10" t="str">
        <f ca="1">IFERROR(__xludf.DUMMYFUNCTION("JOIN("","", SORT(UNIQUE(TOCOL({VLOOKUP(D162,DM_fish!A:B,2,FALSE),VLOOKUP(C162,DM_fish!A:B,2,FALSE), ARRAYFORMULA(VLOOKUP(SPLIT(E162, "", ""),Injections!B:G,6,FALSE)), ARRAYFORMULA(VLOOKUP(SPLIT(F162, "", ""),Injections!H:M,6,FALSE)), ARRAYFORMULA(VLOOKUP("&amp;"SPLIT(G162, "", ""),Injections!N:S,6,FALSE)), ARRAYFORMULA(VLOOKUP(SPLIT(H162, "", ""),Injections!T:Y,6,FALSE)) },3))))"),",csp,male #1 founder (good percentage ++, multiple alleles),560,ER")</f>
        <v>,csp,male #1 founder (good percentage ++, multiple alleles),560,ER</v>
      </c>
      <c r="S162" s="10" t="str">
        <f ca="1">IFERROR(__xludf.DUMMYFUNCTION("IFERROR(JOIN("","", SPLIT(R162, "","", TRUE ,TRUE)), """")"),"csp,male #1 founder (good percentage ++, multiple alleles),560,ER")</f>
        <v>csp,male #1 founder (good percentage ++, multiple alleles),560,ER</v>
      </c>
      <c r="T162" s="1" t="s">
        <v>266</v>
      </c>
      <c r="U162" s="1">
        <v>175</v>
      </c>
      <c r="V162" s="1" t="s">
        <v>203</v>
      </c>
      <c r="W162" s="12"/>
      <c r="X162" s="12"/>
      <c r="Y162" s="11"/>
      <c r="Z162" s="11"/>
      <c r="AA162" s="11"/>
    </row>
    <row r="163" spans="1:27" ht="15.75" customHeight="1" x14ac:dyDescent="0.15">
      <c r="A163" s="7">
        <v>45860</v>
      </c>
      <c r="B163" s="1"/>
      <c r="C163" s="1" t="s">
        <v>250</v>
      </c>
      <c r="D163" s="1" t="s">
        <v>250</v>
      </c>
      <c r="F163" s="1" t="s">
        <v>231</v>
      </c>
      <c r="G163" s="8"/>
      <c r="H163" s="1" t="s">
        <v>267</v>
      </c>
      <c r="I163" s="8">
        <v>45859</v>
      </c>
      <c r="M163" s="8">
        <v>45860</v>
      </c>
      <c r="Q163" s="1" t="s">
        <v>251</v>
      </c>
      <c r="R163" s="10"/>
      <c r="S163" s="10"/>
      <c r="T163" s="1" t="s">
        <v>268</v>
      </c>
      <c r="U163" s="1">
        <v>95</v>
      </c>
      <c r="V163" s="1" t="s">
        <v>203</v>
      </c>
      <c r="W163" s="12"/>
      <c r="X163" s="12"/>
      <c r="Y163" s="11"/>
      <c r="Z163" s="11"/>
      <c r="AA163" s="11"/>
    </row>
    <row r="164" spans="1:27" ht="15.75" customHeight="1" x14ac:dyDescent="0.15">
      <c r="A164" s="7">
        <v>45860</v>
      </c>
      <c r="B164" s="1"/>
      <c r="C164" s="1" t="s">
        <v>245</v>
      </c>
      <c r="D164" s="1" t="s">
        <v>245</v>
      </c>
      <c r="F164" s="1" t="s">
        <v>101</v>
      </c>
      <c r="G164" s="8"/>
      <c r="H164" s="1"/>
      <c r="I164" s="8">
        <v>45859</v>
      </c>
      <c r="M164" s="8">
        <v>45860</v>
      </c>
      <c r="Q164" s="1" t="s">
        <v>251</v>
      </c>
      <c r="R164" s="10"/>
      <c r="S164" s="10"/>
      <c r="T164" s="1" t="s">
        <v>269</v>
      </c>
      <c r="U164" s="1">
        <v>890</v>
      </c>
      <c r="V164" s="1" t="s">
        <v>203</v>
      </c>
      <c r="W164" s="12"/>
      <c r="X164" s="12"/>
      <c r="Y164" s="11"/>
      <c r="Z164" s="11"/>
      <c r="AA164" s="11"/>
    </row>
    <row r="165" spans="1:27" ht="15.75" customHeight="1" x14ac:dyDescent="0.15">
      <c r="A165" s="7">
        <v>45859</v>
      </c>
      <c r="B165" s="1"/>
      <c r="C165" s="1" t="s">
        <v>32</v>
      </c>
      <c r="D165" s="1" t="s">
        <v>32</v>
      </c>
      <c r="E165" s="1"/>
      <c r="F165" s="1" t="s">
        <v>90</v>
      </c>
      <c r="G165" s="1" t="s">
        <v>270</v>
      </c>
      <c r="H165" s="1"/>
      <c r="I165" s="8"/>
      <c r="M165" s="8"/>
      <c r="Q165" s="1"/>
      <c r="R165" s="10"/>
      <c r="S165" s="10"/>
      <c r="T165" s="1"/>
      <c r="U165" s="1"/>
      <c r="V165" s="1"/>
      <c r="W165" s="12"/>
      <c r="X165" s="12"/>
      <c r="Y165" s="11"/>
      <c r="Z165" s="11"/>
      <c r="AA165" s="11"/>
    </row>
    <row r="166" spans="1:27" ht="15.75" customHeight="1" x14ac:dyDescent="0.15">
      <c r="A166" s="7">
        <f t="shared" ref="A166:A209" si="4">M166</f>
        <v>45855</v>
      </c>
      <c r="B166" s="1"/>
      <c r="C166" s="1" t="s">
        <v>253</v>
      </c>
      <c r="D166" s="1" t="s">
        <v>253</v>
      </c>
      <c r="E166" s="1" t="s">
        <v>237</v>
      </c>
      <c r="F166" s="1" t="s">
        <v>271</v>
      </c>
      <c r="G166" s="8"/>
      <c r="H166" s="1" t="s">
        <v>267</v>
      </c>
      <c r="I166" s="8">
        <v>45852</v>
      </c>
      <c r="M166" s="8">
        <v>45855</v>
      </c>
      <c r="Q166" s="1" t="s">
        <v>258</v>
      </c>
      <c r="R166" s="10" t="str">
        <f ca="1">IFERROR(__xludf.DUMMYFUNCTION("JOIN("","", SORT(UNIQUE(TOCOL({VLOOKUP(D166,DM_fish!A:B,2,FALSE),VLOOKUP(C166,DM_fish!A:B,2,FALSE), ARRAYFORMULA(VLOOKUP(SPLIT(E166, "", ""),Injections!B:G,6,FALSE)), ARRAYFORMULA(VLOOKUP(SPLIT(F166, "", ""),Injections!H:M,6,FALSE)), ARRAYFORMULA(VLOOKUP("&amp;"SPLIT(G166, "", ""),Injections!N:S,6,FALSE)), ARRAYFORMULA(VLOOKUP(SPLIT(H166, "", ""),Injections!T:Y,6,FALSE)) },3))))"),"Mitochondria")</f>
        <v>Mitochondria</v>
      </c>
      <c r="S166" s="10" t="str">
        <f ca="1">IFERROR(__xludf.DUMMYFUNCTION("IFERROR(JOIN("","", SPLIT(R166, "","", TRUE ,TRUE)), """")"),"Mitochondria")</f>
        <v>Mitochondria</v>
      </c>
      <c r="T166" s="1" t="s">
        <v>272</v>
      </c>
      <c r="U166" s="1">
        <v>243</v>
      </c>
      <c r="V166" s="1" t="s">
        <v>203</v>
      </c>
      <c r="W166" s="12"/>
      <c r="X166" s="12"/>
      <c r="Y166" s="11"/>
      <c r="Z166" s="11"/>
      <c r="AA166" s="11"/>
    </row>
    <row r="167" spans="1:27" ht="15.75" customHeight="1" x14ac:dyDescent="0.15">
      <c r="A167" s="7">
        <f t="shared" si="4"/>
        <v>45854</v>
      </c>
      <c r="B167" s="1"/>
      <c r="C167" s="1" t="s">
        <v>253</v>
      </c>
      <c r="D167" s="1" t="s">
        <v>253</v>
      </c>
      <c r="E167" s="1" t="s">
        <v>237</v>
      </c>
      <c r="F167" s="1" t="s">
        <v>271</v>
      </c>
      <c r="G167" s="8"/>
      <c r="H167" s="1" t="s">
        <v>267</v>
      </c>
      <c r="I167" s="8">
        <v>45852</v>
      </c>
      <c r="M167" s="8">
        <v>45854</v>
      </c>
      <c r="Q167" s="1" t="s">
        <v>273</v>
      </c>
      <c r="R167" s="10" t="str">
        <f ca="1">IFERROR(__xludf.DUMMYFUNCTION("JOIN("","", SORT(UNIQUE(TOCOL({VLOOKUP(D167,DM_fish!A:B,2,FALSE),VLOOKUP(C167,DM_fish!A:B,2,FALSE), ARRAYFORMULA(VLOOKUP(SPLIT(E167, "", ""),Injections!B:G,6,FALSE)), ARRAYFORMULA(VLOOKUP(SPLIT(F167, "", ""),Injections!H:M,6,FALSE)), ARRAYFORMULA(VLOOKUP("&amp;"SPLIT(G167, "", ""),Injections!N:S,6,FALSE)), ARRAYFORMULA(VLOOKUP(SPLIT(H167, "", ""),Injections!T:Y,6,FALSE)) },3))))"),"Mitochondria")</f>
        <v>Mitochondria</v>
      </c>
      <c r="S167" s="10" t="str">
        <f ca="1">IFERROR(__xludf.DUMMYFUNCTION("IFERROR(JOIN("","", SPLIT(R167, "","", TRUE ,TRUE)), """")"),"Mitochondria")</f>
        <v>Mitochondria</v>
      </c>
      <c r="T167" s="1" t="s">
        <v>272</v>
      </c>
      <c r="U167" s="1">
        <v>813</v>
      </c>
      <c r="V167" s="1" t="s">
        <v>203</v>
      </c>
      <c r="W167" s="12"/>
      <c r="X167" s="12"/>
      <c r="Y167" s="11"/>
      <c r="Z167" s="11"/>
      <c r="AA167" s="11"/>
    </row>
    <row r="168" spans="1:27" ht="15.75" customHeight="1" x14ac:dyDescent="0.15">
      <c r="A168" s="7">
        <f t="shared" si="4"/>
        <v>45853</v>
      </c>
      <c r="B168" s="1"/>
      <c r="C168" s="1" t="s">
        <v>253</v>
      </c>
      <c r="D168" s="1" t="s">
        <v>253</v>
      </c>
      <c r="E168" s="1" t="s">
        <v>237</v>
      </c>
      <c r="F168" s="1" t="s">
        <v>271</v>
      </c>
      <c r="G168" s="8"/>
      <c r="H168" s="1" t="s">
        <v>267</v>
      </c>
      <c r="I168" s="8">
        <v>45852</v>
      </c>
      <c r="M168" s="8">
        <v>45853</v>
      </c>
      <c r="Q168" s="1" t="s">
        <v>273</v>
      </c>
      <c r="R168" s="10" t="str">
        <f ca="1">IFERROR(__xludf.DUMMYFUNCTION("JOIN("","", SORT(UNIQUE(TOCOL({VLOOKUP(D168,DM_fish!A:B,2,FALSE),VLOOKUP(C168,DM_fish!A:B,2,FALSE), ARRAYFORMULA(VLOOKUP(SPLIT(E168, "", ""),Injections!B:G,6,FALSE)), ARRAYFORMULA(VLOOKUP(SPLIT(F168, "", ""),Injections!H:M,6,FALSE)), ARRAYFORMULA(VLOOKUP("&amp;"SPLIT(G168, "", ""),Injections!N:S,6,FALSE)), ARRAYFORMULA(VLOOKUP(SPLIT(#REF!, "", ""),Injections!T:Y,6,FALSE)) },3))))"),"Mitochondria")</f>
        <v>Mitochondria</v>
      </c>
      <c r="S168" s="10" t="str">
        <f ca="1">IFERROR(__xludf.DUMMYFUNCTION("IFERROR(JOIN("","", SPLIT(R168, "","", TRUE ,TRUE)), """")"),"Mitochondria")</f>
        <v>Mitochondria</v>
      </c>
      <c r="T168" s="1" t="s">
        <v>272</v>
      </c>
      <c r="U168" s="1">
        <v>828</v>
      </c>
      <c r="V168" s="1" t="s">
        <v>203</v>
      </c>
      <c r="W168" s="12"/>
      <c r="X168" s="12"/>
      <c r="Y168" s="11"/>
      <c r="Z168" s="11" t="str">
        <f ca="1">IFERROR(
CONCATENATE( "[",
IF(VLOOKUP(F168,Injections!H:L,3, FALSE)&gt;0, CONCATENATE( "{",CHAR(34),"target",CHAR(34),":",CHAR(34),VLOOKUP(F168,Injections!H:L,2, FALSE),CHAR(34),",", CHAR(34), "excitation",CHAR(34), ":", VLOOKUP(F168,Injections!H:L,3, FALSE), ",",  CHAR(34), "camera",CHAR(34), ":",
IF(VALUE(VLOOKUP(F168,Injections!H:L,3, FALSE))&lt;VALUE(VLOOKUP(V168,imaging_filters!A:K,11, FALSE)), CONCATENATE(CHAR(34),"CamA",CHAR(34)), CONCATENATE(CHAR(34),"CamB",CHAR(34))),"}"), ""),
IF(VLOOKUP(F168,Injections!H:L,5, FALSE)&gt;0, CONCATENATE(",{",CHAR(34),"target",CHAR(34),":",CHAR(34),VLOOKUP(F168,Injections!H:L,4, FALSE),CHAR(34),",", CHAR(34), "excitation",CHAR(34), ":", VLOOKUP(F168,Injections!H:L,5, FALSE), ",",  CHAR(34), "camera",CHAR(34), ":",
IF(VALUE(VLOOKUP(F168,Injections!H:L,5, FALSE))&lt;VALUE(VLOOKUP(V168,imaging_filters!A:K,11, FALSE)), CONCATENATE(CHAR(34),"CamA",CHAR(34)), CONCATENATE(CHAR(34),"CamB",CHAR(34))),"}"), ""),
 "]"), "[]")</f>
        <v>[]</v>
      </c>
      <c r="AA168" s="11"/>
    </row>
    <row r="169" spans="1:27" ht="15.75" customHeight="1" x14ac:dyDescent="0.15">
      <c r="A169" s="7">
        <f t="shared" si="4"/>
        <v>45853</v>
      </c>
      <c r="B169" s="1"/>
      <c r="C169" s="1" t="s">
        <v>253</v>
      </c>
      <c r="D169" s="1" t="s">
        <v>253</v>
      </c>
      <c r="E169" s="1" t="s">
        <v>274</v>
      </c>
      <c r="F169" s="1" t="s">
        <v>236</v>
      </c>
      <c r="G169" s="8"/>
      <c r="H169" s="1" t="s">
        <v>267</v>
      </c>
      <c r="I169" s="8">
        <v>45852</v>
      </c>
      <c r="M169" s="8">
        <v>45853</v>
      </c>
      <c r="Q169" s="1" t="s">
        <v>273</v>
      </c>
      <c r="R169" s="10" t="str">
        <f ca="1">IFERROR(__xludf.DUMMYFUNCTION("JOIN("","", SORT(UNIQUE(TOCOL({VLOOKUP(D169,DM_fish!A:B,2,FALSE),VLOOKUP(C169,DM_fish!A:B,2,FALSE), ARRAYFORMULA(VLOOKUP(SPLIT(E169, "", ""),Injections!B:G,6,FALSE)), ARRAYFORMULA(VLOOKUP(SPLIT(F169, "", ""),Injections!H:M,6,FALSE)), ARRAYFORMULA(VLOOKUP("&amp;"SPLIT(G169, "", ""),Injections!N:S,6,FALSE)), ARRAYFORMULA(VLOOKUP(SPLIT(H169, "", ""),Injections!T:Y,6,FALSE)) },3))))"),"Mitochondria")</f>
        <v>Mitochondria</v>
      </c>
      <c r="S169" s="10" t="str">
        <f ca="1">IFERROR(__xludf.DUMMYFUNCTION("IFERROR(JOIN("","", SPLIT(R169, "","", TRUE ,TRUE)), """")"),"Mitochondria")</f>
        <v>Mitochondria</v>
      </c>
      <c r="T169" s="1" t="s">
        <v>272</v>
      </c>
      <c r="U169" s="1">
        <v>250</v>
      </c>
      <c r="V169" s="1" t="s">
        <v>203</v>
      </c>
      <c r="W169" s="12"/>
      <c r="X169" s="12"/>
      <c r="Y169" s="11"/>
      <c r="Z169" s="11"/>
      <c r="AA169" s="11"/>
    </row>
    <row r="170" spans="1:27" ht="15.75" customHeight="1" x14ac:dyDescent="0.15">
      <c r="A170" s="7">
        <f t="shared" si="4"/>
        <v>45835</v>
      </c>
      <c r="B170" s="1"/>
      <c r="C170" s="1" t="s">
        <v>275</v>
      </c>
      <c r="D170" s="1" t="s">
        <v>276</v>
      </c>
      <c r="F170" s="1" t="s">
        <v>277</v>
      </c>
      <c r="G170" s="8"/>
      <c r="H170" s="8"/>
      <c r="I170" s="8">
        <v>45834</v>
      </c>
      <c r="M170" s="8">
        <v>45835</v>
      </c>
      <c r="N170" s="1" t="s">
        <v>278</v>
      </c>
      <c r="Q170" s="1" t="s">
        <v>273</v>
      </c>
      <c r="R170" s="10" t="str">
        <f ca="1">IFERROR(__xludf.DUMMYFUNCTION("JOIN("","", SORT(UNIQUE(TOCOL({VLOOKUP(D170,DM_fish!A:B,2,FALSE),VLOOKUP(C170,DM_fish!A:B,2,FALSE), ARRAYFORMULA(VLOOKUP(SPLIT(E170, "", ""),Injections!B:G,6,FALSE)), ARRAYFORMULA(VLOOKUP(SPLIT(F170, "", ""),Injections!H:M,6,FALSE)), ARRAYFORMULA(VLOOKUP("&amp;"SPLIT(G170, "", ""),Injections!N:S,6,FALSE)), ARRAYFORMULA(VLOOKUP(SPLIT(H170, "", ""),Injections!T:Y,6,FALSE)) },3))))"),",membrane")</f>
        <v>,membrane</v>
      </c>
      <c r="S170" s="10" t="str">
        <f ca="1">IFERROR(__xludf.DUMMYFUNCTION("IFERROR(JOIN("","", SPLIT(R170, "","", TRUE ,TRUE)), """")"),"membrane")</f>
        <v>membrane</v>
      </c>
      <c r="T170" s="1" t="s">
        <v>279</v>
      </c>
      <c r="U170" s="1">
        <v>444</v>
      </c>
      <c r="V170" s="1" t="s">
        <v>280</v>
      </c>
      <c r="W170" s="12"/>
      <c r="X170" s="12" t="str">
        <f ca="1">IFERROR(
CONCATENATE("[", CONCATENATE(IF(VLOOKUP(C170,DM_fish!C:X,14, FALSE)&gt;0, CONCATENATE("{",CHAR(34),"target",CHAR(34),":",CHAR(34),VLOOKUP(C170,DM_fish!C:X,13, FALSE),CHAR(34),",", CHAR(34), "excitation",CHAR(34), ":", VLOOKUP(C170,DM_fish!C:X,14, FALSE), ",",  CHAR(34), "camera",CHAR(34), ":", IF(VALUE(VLOOKUP(C170,DM_fish!C:X,14, FALSE))&lt;VALUE(VLOOKUP(V170,imaging_filters!A:K,11, FALSE)), CONCATENATE(CHAR(34),"CamA",CHAR(34)), CONCATENATE(CHAR(34),"CamB",CHAR(34))),"}"), ""),IF(VLOOKUP(C170,DM_fish!C:X,16, FALSE)&gt;0, CONCATENATE(",{",CHAR(34),"target",CHAR(34),":",CHAR(34),VLOOKUP(C170,DM_fish!C:X,15, FALSE),CHAR(34),",", CHAR(34), "excitation",CHAR(34), ":", VLOOKUP(C170,DM_fish!C:X,16, FALSE), ",",  CHAR(34), "camera",CHAR(34), ":", IF(VALUE(VLOOKUP(C170,DM_fish!C:X,16, FALSE))&lt;VALUE(VLOOKUP(V170,imaging_filters!A:K,11, FALSE)), CONCATENATE(CHAR(34),"CamA",CHAR(34)), CONCATENATE(CHAR(34),"CamB",CHAR(34))),"}"), ""),IF(VLOOKUP(C170,DM_fish!C:X,18, FALSE)&gt;0, CONCATENATE(",{",CHAR(34),"target",CHAR(34),":",CHAR(34),VLOOKUP(C170,DM_fish!C:X,17, FALSE),CHAR(34),",", CHAR(34), "excitation",CHAR(34), ":", VLOOKUP(C170,DM_fish!C:X,18, FALSE), ",",  CHAR(34), "camera",CHAR(34), ":", IF(VALUE(VLOOKUP(C170,DM_fish!C:X,18, FALSE))&lt;VALUE(VLOOKUP(V170,imaging_filters!A:K,11, FALSE)), CONCATENATE(CHAR(34),"CamA",CHAR(34)), CONCATENATE(CHAR(34),"CamB",CHAR(34))),"}"), ""),IF(VLOOKUP(C170,DM_fish!C:X,20, FALSE)&gt;0, CONCATENATE(",{",CHAR(34),"target",CHAR(34),":",CHAR(34),VLOOKUP(C170,DM_fish!C:X,19, FALSE),CHAR(34),",", CHAR(34), "excitation",CHAR(34), ":", VLOOKUP(C170,DM_fish!C:X,20, FALSE), ",",  CHAR(34), "camera",CHAR(34), ":", IF(VALUE(VLOOKUP(C170,DM_fish!C:X,20, FALSE))&lt;VALUE(VLOOKUP(V170,imaging_filters!A:K,11, FALSE)), CONCATENATE(CHAR(34),"CamA",CHAR(34)), CONCATENATE(CHAR(34),"CamB",CHAR(34))),"}"), ""),IF(VLOOKUP(C170,DM_fish!C:X,22, FALSE)&gt;0, CONCATENATE(",{",CHAR(34),"target",CHAR(34),":",CHAR(34),VLOOKUP(C170,DM_fish!C:X,21, FALSE),CHAR(34),",", CHAR(34), "excitation",CHAR(34), ":", VLOOKUP(C170,DM_fish!C:X,22, FALSE), ",",  CHAR(34), "camera",CHAR(34), ":", IF(VALUE(VLOOKUP(C170,DM_fish!C:X,22, FALSE))&lt;VALUE(VLOOKUP(V170,imaging_filters!A:K,11, FALSE)), CONCATENATE(CHAR(34),"CamA",CHAR(34)), CONCATENATE(CHAR(34),"CamB",CHAR(34))),"}"), "")), "]"), "")</f>
        <v/>
      </c>
      <c r="Y170" s="11"/>
      <c r="Z170" s="11" t="str">
        <f ca="1">IFERROR(
CONCATENATE( "[",
IF(VLOOKUP(F170,Injections!H:L,3, FALSE)&gt;0, CONCATENATE( "{",CHAR(34),"target",CHAR(34),":",CHAR(34),VLOOKUP(F170,Injections!H:L,2, FALSE),CHAR(34),",", CHAR(34), "excitation",CHAR(34), ":", VLOOKUP(F170,Injections!H:L,3, FALSE), ",",  CHAR(34), "camera",CHAR(34), ":",
IF(VALUE(VLOOKUP(F170,Injections!H:L,3, FALSE))&lt;VALUE(VLOOKUP(V170,imaging_filters!A:K,11, FALSE)), CONCATENATE(CHAR(34),"CamA",CHAR(34)), CONCATENATE(CHAR(34),"CamB",CHAR(34))),"}"), ""),
IF(VLOOKUP(F170,Injections!H:L,5, FALSE)&gt;0, CONCATENATE(",{",CHAR(34),"target",CHAR(34),":",CHAR(34),VLOOKUP(F170,Injections!H:L,4, FALSE),CHAR(34),",", CHAR(34), "excitation",CHAR(34), ":", VLOOKUP(F170,Injections!H:L,5, FALSE), ",",  CHAR(34), "camera",CHAR(34), ":",
IF(VALUE(VLOOKUP(F170,Injections!H:L,5, FALSE))&lt;VALUE(VLOOKUP(V170,imaging_filters!A:K,11, FALSE)), CONCATENATE(CHAR(34),"CamA",CHAR(34)), CONCATENATE(CHAR(34),"CamB",CHAR(34))),"}"), ""),
 "]"), "[]")</f>
        <v>[]</v>
      </c>
      <c r="AA170" s="11"/>
    </row>
    <row r="171" spans="1:27" ht="15.75" customHeight="1" x14ac:dyDescent="0.15">
      <c r="A171" s="7">
        <f t="shared" si="4"/>
        <v>45834</v>
      </c>
      <c r="B171" s="1"/>
      <c r="C171" s="1" t="s">
        <v>253</v>
      </c>
      <c r="D171" s="1" t="s">
        <v>253</v>
      </c>
      <c r="E171" s="1"/>
      <c r="F171" s="1" t="s">
        <v>64</v>
      </c>
      <c r="G171" s="8"/>
      <c r="H171" s="8"/>
      <c r="I171" s="8">
        <v>45832</v>
      </c>
      <c r="K171" s="1" t="s">
        <v>281</v>
      </c>
      <c r="M171" s="8">
        <v>45834</v>
      </c>
      <c r="Q171" s="1" t="s">
        <v>282</v>
      </c>
      <c r="R171" s="10" t="str">
        <f ca="1">IFERROR(__xludf.DUMMYFUNCTION("JOIN("","", SORT(UNIQUE(TOCOL({VLOOKUP(D171,DM_fish!A:B,2,FALSE),VLOOKUP(C171,DM_fish!A:B,2,FALSE), ARRAYFORMULA(VLOOKUP(SPLIT(E171, "", ""),Injections!B:G,6,FALSE)), ARRAYFORMULA(VLOOKUP(SPLIT(F171, "", ""),Injections!H:M,6,FALSE)), ARRAYFORMULA(VLOOKUP("&amp;"SPLIT(G171, "", ""),Injections!N:S,6,FALSE)), ARRAYFORMULA(VLOOKUP(SPLIT(H171, "", ""),Injections!T:Y,6,FALSE)) },3))))"),"nuclei")</f>
        <v>nuclei</v>
      </c>
      <c r="S171" s="10" t="str">
        <f ca="1">IFERROR(__xludf.DUMMYFUNCTION("IFERROR(JOIN("","", SPLIT(R171, "","", TRUE ,TRUE)), """")"),"nuclei")</f>
        <v>nuclei</v>
      </c>
      <c r="T171" s="1" t="s">
        <v>283</v>
      </c>
      <c r="U171" s="1">
        <v>871</v>
      </c>
      <c r="V171" s="1" t="s">
        <v>203</v>
      </c>
      <c r="W171" s="12" t="str">
        <f ca="1">IFERROR(CONCATENATE("[", CONCATENATE(IF(VLOOKUP(D171,DM_fish!C:X,14, FALSE)&gt;0, CONCATENATE("{",CHAR(34),"target",CHAR(34),":",CHAR(34),VLOOKUP(D171,DM_fish!C:X,13, FALSE),CHAR(34),",", CHAR(34), "excitation",CHAR(34), ":", VLOOKUP(D171,DM_fish!C:X,14, FALSE), ",",  CHAR(34), "camera",CHAR(34), ":", IF(VALUE(VLOOKUP(D171,DM_fish!C:X,14, FALSE))&lt;VALUE(VLOOKUP(V171,imaging_filters!A:K,11, FALSE)), CONCATENATE(CHAR(34),"CamA",CHAR(34)), CONCATENATE(CHAR(34),"CamB",CHAR(34))),"}"), ""),IF(VLOOKUP(D171,DM_fish!C:X,16, FALSE)&gt;0, CONCATENATE(",{",CHAR(34),"target",CHAR(34),":",CHAR(34),VLOOKUP(D171,DM_fish!C:X,15, FALSE),CHAR(34),",", CHAR(34), "excitation",CHAR(34), ":", VLOOKUP(D171,DM_fish!C:X,16, FALSE), ",",  CHAR(34), "camera",CHAR(34), ":", IF(VALUE(VLOOKUP(D171,DM_fish!C:X,16, FALSE))&lt;VALUE(VLOOKUP(V171,imaging_filters!A:K,11, FALSE)), CONCATENATE(CHAR(34),"CamA",CHAR(34)), CONCATENATE(CHAR(34),"CamB",CHAR(34))),"}"), ""),IF(VLOOKUP(D171,DM_fish!C:X,18, FALSE)&gt;0, CONCATENATE(",{",CHAR(34),"target",CHAR(34),":",CHAR(34),VLOOKUP(D171,DM_fish!C:X,17, FALSE),CHAR(34),",", CHAR(34), "excitation",CHAR(34), ":", VLOOKUP(D171,DM_fish!C:X,18, FALSE), ",",  CHAR(34), "camera",CHAR(34), ":", IF(VALUE(VLOOKUP(D171,DM_fish!C:X,18, FALSE))&lt;VALUE(VLOOKUP(V171,imaging_filters!A:K,11, FALSE)), CONCATENATE(CHAR(34),"CamA",CHAR(34)), CONCATENATE(CHAR(34),"CamB",CHAR(34))),"}"), ""),IF(VLOOKUP(D171,DM_fish!C:X,20, FALSE)&gt;0, CONCATENATE(",{",CHAR(34),"target",CHAR(34),":",CHAR(34),VLOOKUP(D171,DM_fish!C:X,19, FALSE),CHAR(34),",", CHAR(34), "excitation",CHAR(34), ":", VLOOKUP(D171,DM_fish!C:X,20, FALSE), ",",  CHAR(34), "camera",CHAR(34), ":", IF(VALUE(VLOOKUP(D171,DM_fish!C:X,20, FALSE))&lt;VALUE(VLOOKUP(V171,imaging_filters!A:K,11, FALSE)), CONCATENATE(CHAR(34),"CamA",CHAR(34)), CONCATENATE(CHAR(34),"CamB",CHAR(34))),"}"), ""),IF(VLOOKUP(D171,DM_fish!C:X,22, FALSE)&gt;0, CONCATENATE(",{",CHAR(34),"target",CHAR(34),":",CHAR(34),VLOOKUP(D171,DM_fish!C:X,21, FALSE),CHAR(34),",", CHAR(34), "excitation",CHAR(34), ":", VLOOKUP(D171,DM_fish!C:X,22, FALSE), ",",  CHAR(34), "camera",CHAR(34), ":", IF(VALUE(VLOOKUP(D171,DM_fish!C:X,22, FALSE))&lt;VALUE(VLOOKUP(V171,imaging_filters!A:K,11, FALSE)), CONCATENATE(CHAR(34),"CamA",CHAR(34)), CONCATENATE(CHAR(34),"CamB",CHAR(34))),"}"), "")), "]"), "")</f>
        <v/>
      </c>
      <c r="X171" s="12" t="str">
        <f ca="1">IFERROR(
CONCATENATE("[", CONCATENATE(IF(VLOOKUP(C171,DM_fish!C:X,14, FALSE)&gt;0, CONCATENATE("{",CHAR(34),"target",CHAR(34),":",CHAR(34),VLOOKUP(C171,DM_fish!C:X,13, FALSE),CHAR(34),",", CHAR(34), "excitation",CHAR(34), ":", VLOOKUP(C171,DM_fish!C:X,14, FALSE), ",",  CHAR(34), "camera",CHAR(34), ":", IF(VALUE(VLOOKUP(C171,DM_fish!C:X,14, FALSE))&lt;VALUE(VLOOKUP(V171,imaging_filters!A:K,11, FALSE)), CONCATENATE(CHAR(34),"CamA",CHAR(34)), CONCATENATE(CHAR(34),"CamB",CHAR(34))),"}"), ""),IF(VLOOKUP(C171,DM_fish!C:X,16, FALSE)&gt;0, CONCATENATE(",{",CHAR(34),"target",CHAR(34),":",CHAR(34),VLOOKUP(C171,DM_fish!C:X,15, FALSE),CHAR(34),",", CHAR(34), "excitation",CHAR(34), ":", VLOOKUP(C171,DM_fish!C:X,16, FALSE), ",",  CHAR(34), "camera",CHAR(34), ":", IF(VALUE(VLOOKUP(C171,DM_fish!C:X,16, FALSE))&lt;VALUE(VLOOKUP(V171,imaging_filters!A:K,11, FALSE)), CONCATENATE(CHAR(34),"CamA",CHAR(34)), CONCATENATE(CHAR(34),"CamB",CHAR(34))),"}"), ""),IF(VLOOKUP(C171,DM_fish!C:X,18, FALSE)&gt;0, CONCATENATE(",{",CHAR(34),"target",CHAR(34),":",CHAR(34),VLOOKUP(C171,DM_fish!C:X,17, FALSE),CHAR(34),",", CHAR(34), "excitation",CHAR(34), ":", VLOOKUP(C171,DM_fish!C:X,18, FALSE), ",",  CHAR(34), "camera",CHAR(34), ":", IF(VALUE(VLOOKUP(C171,DM_fish!C:X,18, FALSE))&lt;VALUE(VLOOKUP(V171,imaging_filters!A:K,11, FALSE)), CONCATENATE(CHAR(34),"CamA",CHAR(34)), CONCATENATE(CHAR(34),"CamB",CHAR(34))),"}"), ""),IF(VLOOKUP(C171,DM_fish!C:X,20, FALSE)&gt;0, CONCATENATE(",{",CHAR(34),"target",CHAR(34),":",CHAR(34),VLOOKUP(C171,DM_fish!C:X,19, FALSE),CHAR(34),",", CHAR(34), "excitation",CHAR(34), ":", VLOOKUP(C171,DM_fish!C:X,20, FALSE), ",",  CHAR(34), "camera",CHAR(34), ":", IF(VALUE(VLOOKUP(C171,DM_fish!C:X,20, FALSE))&lt;VALUE(VLOOKUP(V171,imaging_filters!A:K,11, FALSE)), CONCATENATE(CHAR(34),"CamA",CHAR(34)), CONCATENATE(CHAR(34),"CamB",CHAR(34))),"}"), ""),IF(VLOOKUP(C171,DM_fish!C:X,22, FALSE)&gt;0, CONCATENATE(",{",CHAR(34),"target",CHAR(34),":",CHAR(34),VLOOKUP(C171,DM_fish!C:X,21, FALSE),CHAR(34),",", CHAR(34), "excitation",CHAR(34), ":", VLOOKUP(C171,DM_fish!C:X,22, FALSE), ",",  CHAR(34), "camera",CHAR(34), ":", IF(VALUE(VLOOKUP(C171,DM_fish!C:X,22, FALSE))&lt;VALUE(VLOOKUP(V171,imaging_filters!A:K,11, FALSE)), CONCATENATE(CHAR(34),"CamA",CHAR(34)), CONCATENATE(CHAR(34),"CamB",CHAR(34))),"}"), "")), "]"), "")</f>
        <v/>
      </c>
      <c r="Y171" s="11"/>
      <c r="Z171" s="11" t="str">
        <f ca="1">IFERROR(
CONCATENATE( "[",
IF(VLOOKUP(F171,Injections!H:L,3, FALSE)&gt;0, CONCATENATE( "{",CHAR(34),"target",CHAR(34),":",CHAR(34),VLOOKUP(F171,Injections!H:L,2, FALSE),CHAR(34),",", CHAR(34), "excitation",CHAR(34), ":", VLOOKUP(F171,Injections!H:L,3, FALSE), ",",  CHAR(34), "camera",CHAR(34), ":",
IF(VALUE(VLOOKUP(F171,Injections!H:L,3, FALSE))&lt;VALUE(VLOOKUP(V171,imaging_filters!A:K,11, FALSE)), CONCATENATE(CHAR(34),"CamA",CHAR(34)), CONCATENATE(CHAR(34),"CamB",CHAR(34))),"}"), ""),
IF(VLOOKUP(F171,Injections!H:L,5, FALSE)&gt;0, CONCATENATE(",{",CHAR(34),"target",CHAR(34),":",CHAR(34),VLOOKUP(F171,Injections!H:L,4, FALSE),CHAR(34),",", CHAR(34), "excitation",CHAR(34), ":", VLOOKUP(F171,Injections!H:L,5, FALSE), ",",  CHAR(34), "camera",CHAR(34), ":",
IF(VALUE(VLOOKUP(F171,Injections!H:L,5, FALSE))&lt;VALUE(VLOOKUP(V171,imaging_filters!A:K,11, FALSE)), CONCATENATE(CHAR(34),"CamA",CHAR(34)), CONCATENATE(CHAR(34),"CamB",CHAR(34))),"}"), ""),
 "]"), "[]")</f>
        <v>[{"target":"nuclei","excitation":560,"camera":"CamB"}]</v>
      </c>
      <c r="AA171" s="11"/>
    </row>
    <row r="172" spans="1:27" ht="15.75" customHeight="1" x14ac:dyDescent="0.15">
      <c r="A172" s="7">
        <f t="shared" si="4"/>
        <v>45834</v>
      </c>
      <c r="B172" s="1"/>
      <c r="C172" s="1" t="s">
        <v>253</v>
      </c>
      <c r="D172" s="1" t="s">
        <v>253</v>
      </c>
      <c r="E172" s="1"/>
      <c r="F172" s="1" t="s">
        <v>64</v>
      </c>
      <c r="G172" s="8"/>
      <c r="H172" s="8"/>
      <c r="I172" s="8">
        <v>45832</v>
      </c>
      <c r="K172" s="1" t="s">
        <v>246</v>
      </c>
      <c r="M172" s="8">
        <v>45834</v>
      </c>
      <c r="Q172" s="1" t="s">
        <v>284</v>
      </c>
      <c r="R172" s="10" t="str">
        <f ca="1">IFERROR(__xludf.DUMMYFUNCTION("JOIN("","", SORT(UNIQUE(TOCOL({VLOOKUP(D172,DM_fish!A:B,2,FALSE),VLOOKUP(C172,DM_fish!A:B,2,FALSE), ARRAYFORMULA(VLOOKUP(SPLIT(E172, "", ""),Injections!B:G,6,FALSE)), ARRAYFORMULA(VLOOKUP(SPLIT(F172, "", ""),Injections!H:M,6,FALSE)), ARRAYFORMULA(VLOOKUP("&amp;"SPLIT(G172, "", ""),Injections!N:S,6,FALSE)), ARRAYFORMULA(VLOOKUP(SPLIT(H172, "", ""),Injections!T:Y,6,FALSE)) },3))))"),"nuclei")</f>
        <v>nuclei</v>
      </c>
      <c r="S172" s="10" t="str">
        <f ca="1">IFERROR(__xludf.DUMMYFUNCTION("IFERROR(JOIN("","", SPLIT(R172, "","", TRUE ,TRUE)), """")"),"nuclei")</f>
        <v>nuclei</v>
      </c>
      <c r="T172" s="1" t="s">
        <v>285</v>
      </c>
      <c r="U172" s="1">
        <v>4546</v>
      </c>
      <c r="V172" s="1" t="s">
        <v>203</v>
      </c>
      <c r="W172" s="12" t="str">
        <f ca="1">IFERROR(CONCATENATE("[", CONCATENATE(IF(VLOOKUP(D172,DM_fish!C:X,14, FALSE)&gt;0, CONCATENATE("{",CHAR(34),"target",CHAR(34),":",CHAR(34),VLOOKUP(D172,DM_fish!C:X,13, FALSE),CHAR(34),",", CHAR(34), "excitation",CHAR(34), ":", VLOOKUP(D172,DM_fish!C:X,14, FALSE), ",",  CHAR(34), "camera",CHAR(34), ":", IF(VALUE(VLOOKUP(D172,DM_fish!C:X,14, FALSE))&lt;VALUE(VLOOKUP(V172,imaging_filters!A:K,11, FALSE)), CONCATENATE(CHAR(34),"CamA",CHAR(34)), CONCATENATE(CHAR(34),"CamB",CHAR(34))),"}"), ""),IF(VLOOKUP(D172,DM_fish!C:X,16, FALSE)&gt;0, CONCATENATE(",{",CHAR(34),"target",CHAR(34),":",CHAR(34),VLOOKUP(D172,DM_fish!C:X,15, FALSE),CHAR(34),",", CHAR(34), "excitation",CHAR(34), ":", VLOOKUP(D172,DM_fish!C:X,16, FALSE), ",",  CHAR(34), "camera",CHAR(34), ":", IF(VALUE(VLOOKUP(D172,DM_fish!C:X,16, FALSE))&lt;VALUE(VLOOKUP(V172,imaging_filters!A:K,11, FALSE)), CONCATENATE(CHAR(34),"CamA",CHAR(34)), CONCATENATE(CHAR(34),"CamB",CHAR(34))),"}"), ""),IF(VLOOKUP(D172,DM_fish!C:X,18, FALSE)&gt;0, CONCATENATE(",{",CHAR(34),"target",CHAR(34),":",CHAR(34),VLOOKUP(D172,DM_fish!C:X,17, FALSE),CHAR(34),",", CHAR(34), "excitation",CHAR(34), ":", VLOOKUP(D172,DM_fish!C:X,18, FALSE), ",",  CHAR(34), "camera",CHAR(34), ":", IF(VALUE(VLOOKUP(D172,DM_fish!C:X,18, FALSE))&lt;VALUE(VLOOKUP(V172,imaging_filters!A:K,11, FALSE)), CONCATENATE(CHAR(34),"CamA",CHAR(34)), CONCATENATE(CHAR(34),"CamB",CHAR(34))),"}"), ""),IF(VLOOKUP(D172,DM_fish!C:X,20, FALSE)&gt;0, CONCATENATE(",{",CHAR(34),"target",CHAR(34),":",CHAR(34),VLOOKUP(D172,DM_fish!C:X,19, FALSE),CHAR(34),",", CHAR(34), "excitation",CHAR(34), ":", VLOOKUP(D172,DM_fish!C:X,20, FALSE), ",",  CHAR(34), "camera",CHAR(34), ":", IF(VALUE(VLOOKUP(D172,DM_fish!C:X,20, FALSE))&lt;VALUE(VLOOKUP(V172,imaging_filters!A:K,11, FALSE)), CONCATENATE(CHAR(34),"CamA",CHAR(34)), CONCATENATE(CHAR(34),"CamB",CHAR(34))),"}"), ""),IF(VLOOKUP(D172,DM_fish!C:X,22, FALSE)&gt;0, CONCATENATE(",{",CHAR(34),"target",CHAR(34),":",CHAR(34),VLOOKUP(D172,DM_fish!C:X,21, FALSE),CHAR(34),",", CHAR(34), "excitation",CHAR(34), ":", VLOOKUP(D172,DM_fish!C:X,22, FALSE), ",",  CHAR(34), "camera",CHAR(34), ":", IF(VALUE(VLOOKUP(D172,DM_fish!C:X,22, FALSE))&lt;VALUE(VLOOKUP(V172,imaging_filters!A:K,11, FALSE)), CONCATENATE(CHAR(34),"CamA",CHAR(34)), CONCATENATE(CHAR(34),"CamB",CHAR(34))),"}"), "")), "]"), "")</f>
        <v/>
      </c>
      <c r="X172" s="12" t="str">
        <f ca="1">IFERROR(
CONCATENATE("[", CONCATENATE(IF(VLOOKUP(C172,DM_fish!C:X,14, FALSE)&gt;0, CONCATENATE("{",CHAR(34),"target",CHAR(34),":",CHAR(34),VLOOKUP(C172,DM_fish!C:X,13, FALSE),CHAR(34),",", CHAR(34), "excitation",CHAR(34), ":", VLOOKUP(C172,DM_fish!C:X,14, FALSE), ",",  CHAR(34), "camera",CHAR(34), ":", IF(VALUE(VLOOKUP(C172,DM_fish!C:X,14, FALSE))&lt;VALUE(VLOOKUP(V172,imaging_filters!A:K,11, FALSE)), CONCATENATE(CHAR(34),"CamA",CHAR(34)), CONCATENATE(CHAR(34),"CamB",CHAR(34))),"}"), ""),IF(VLOOKUP(C172,DM_fish!C:X,16, FALSE)&gt;0, CONCATENATE(",{",CHAR(34),"target",CHAR(34),":",CHAR(34),VLOOKUP(C172,DM_fish!C:X,15, FALSE),CHAR(34),",", CHAR(34), "excitation",CHAR(34), ":", VLOOKUP(C172,DM_fish!C:X,16, FALSE), ",",  CHAR(34), "camera",CHAR(34), ":", IF(VALUE(VLOOKUP(C172,DM_fish!C:X,16, FALSE))&lt;VALUE(VLOOKUP(V172,imaging_filters!A:K,11, FALSE)), CONCATENATE(CHAR(34),"CamA",CHAR(34)), CONCATENATE(CHAR(34),"CamB",CHAR(34))),"}"), ""),IF(VLOOKUP(C172,DM_fish!C:X,18, FALSE)&gt;0, CONCATENATE(",{",CHAR(34),"target",CHAR(34),":",CHAR(34),VLOOKUP(C172,DM_fish!C:X,17, FALSE),CHAR(34),",", CHAR(34), "excitation",CHAR(34), ":", VLOOKUP(C172,DM_fish!C:X,18, FALSE), ",",  CHAR(34), "camera",CHAR(34), ":", IF(VALUE(VLOOKUP(C172,DM_fish!C:X,18, FALSE))&lt;VALUE(VLOOKUP(V172,imaging_filters!A:K,11, FALSE)), CONCATENATE(CHAR(34),"CamA",CHAR(34)), CONCATENATE(CHAR(34),"CamB",CHAR(34))),"}"), ""),IF(VLOOKUP(C172,DM_fish!C:X,20, FALSE)&gt;0, CONCATENATE(",{",CHAR(34),"target",CHAR(34),":",CHAR(34),VLOOKUP(C172,DM_fish!C:X,19, FALSE),CHAR(34),",", CHAR(34), "excitation",CHAR(34), ":", VLOOKUP(C172,DM_fish!C:X,20, FALSE), ",",  CHAR(34), "camera",CHAR(34), ":", IF(VALUE(VLOOKUP(C172,DM_fish!C:X,20, FALSE))&lt;VALUE(VLOOKUP(V172,imaging_filters!A:K,11, FALSE)), CONCATENATE(CHAR(34),"CamA",CHAR(34)), CONCATENATE(CHAR(34),"CamB",CHAR(34))),"}"), ""),IF(VLOOKUP(C172,DM_fish!C:X,22, FALSE)&gt;0, CONCATENATE(",{",CHAR(34),"target",CHAR(34),":",CHAR(34),VLOOKUP(C172,DM_fish!C:X,21, FALSE),CHAR(34),",", CHAR(34), "excitation",CHAR(34), ":", VLOOKUP(C172,DM_fish!C:X,22, FALSE), ",",  CHAR(34), "camera",CHAR(34), ":", IF(VALUE(VLOOKUP(C172,DM_fish!C:X,22, FALSE))&lt;VALUE(VLOOKUP(V172,imaging_filters!A:K,11, FALSE)), CONCATENATE(CHAR(34),"CamA",CHAR(34)), CONCATENATE(CHAR(34),"CamB",CHAR(34))),"}"), "")), "]"), "")</f>
        <v/>
      </c>
      <c r="Y172" s="11"/>
      <c r="Z172" s="11" t="str">
        <f ca="1">IFERROR(
CONCATENATE( "[",
IF(VLOOKUP(F172,Injections!H:L,3, FALSE)&gt;0, CONCATENATE( "{",CHAR(34),"target",CHAR(34),":",CHAR(34),VLOOKUP(F172,Injections!H:L,2, FALSE),CHAR(34),",", CHAR(34), "excitation",CHAR(34), ":", VLOOKUP(F172,Injections!H:L,3, FALSE), ",",  CHAR(34), "camera",CHAR(34), ":",
IF(VALUE(VLOOKUP(F172,Injections!H:L,3, FALSE))&lt;VALUE(VLOOKUP(V172,imaging_filters!A:K,11, FALSE)), CONCATENATE(CHAR(34),"CamA",CHAR(34)), CONCATENATE(CHAR(34),"CamB",CHAR(34))),"}"), ""),
IF(VLOOKUP(F172,Injections!H:L,5, FALSE)&gt;0, CONCATENATE(",{",CHAR(34),"target",CHAR(34),":",CHAR(34),VLOOKUP(F172,Injections!H:L,4, FALSE),CHAR(34),",", CHAR(34), "excitation",CHAR(34), ":", VLOOKUP(F172,Injections!H:L,5, FALSE), ",",  CHAR(34), "camera",CHAR(34), ":",
IF(VALUE(VLOOKUP(F172,Injections!H:L,5, FALSE))&lt;VALUE(VLOOKUP(V172,imaging_filters!A:K,11, FALSE)), CONCATENATE(CHAR(34),"CamA",CHAR(34)), CONCATENATE(CHAR(34),"CamB",CHAR(34))),"}"), ""),
 "]"), "[]")</f>
        <v>[{"target":"nuclei","excitation":560,"camera":"CamB"}]</v>
      </c>
      <c r="AA172" s="11"/>
    </row>
    <row r="173" spans="1:27" ht="15.75" customHeight="1" x14ac:dyDescent="0.15">
      <c r="A173" s="7">
        <f t="shared" si="4"/>
        <v>45833</v>
      </c>
      <c r="B173" s="1"/>
      <c r="C173" s="1" t="s">
        <v>276</v>
      </c>
      <c r="D173" s="1" t="s">
        <v>286</v>
      </c>
      <c r="F173" s="1" t="s">
        <v>277</v>
      </c>
      <c r="G173" s="1" t="s">
        <v>287</v>
      </c>
      <c r="H173" s="8"/>
      <c r="I173" s="8">
        <v>45832</v>
      </c>
      <c r="M173" s="8">
        <v>45833</v>
      </c>
      <c r="N173" s="1" t="s">
        <v>278</v>
      </c>
      <c r="Q173" s="1" t="s">
        <v>288</v>
      </c>
      <c r="R173" s="10" t="str">
        <f ca="1">IFERROR(__xludf.DUMMYFUNCTION("JOIN("","", SORT(UNIQUE(TOCOL({VLOOKUP(D173,DM_fish!A:B,2,FALSE),VLOOKUP(C173,DM_fish!A:B,2,FALSE), ARRAYFORMULA(VLOOKUP(SPLIT(E173, "", ""),Injections!B:G,6,FALSE)), ARRAYFORMULA(VLOOKUP(SPLIT(F173, "", ""),Injections!H:M,6,FALSE)), ARRAYFORMULA(VLOOKUP("&amp;"SPLIT(G173, "", ""),Injections!N:S,6,FALSE)), ARRAYFORMULA(VLOOKUP(SPLIT(H173, "", ""),Injections!T:Y,6,FALSE)) },3))))"),",membrane")</f>
        <v>,membrane</v>
      </c>
      <c r="S173" s="10" t="str">
        <f ca="1">IFERROR(__xludf.DUMMYFUNCTION("IFERROR(JOIN("","", SPLIT(R173, "","", TRUE ,TRUE)), """")"),"membrane")</f>
        <v>membrane</v>
      </c>
      <c r="T173" s="1" t="s">
        <v>289</v>
      </c>
      <c r="U173" s="1">
        <v>164</v>
      </c>
      <c r="V173" s="1" t="s">
        <v>280</v>
      </c>
      <c r="W173" s="12" t="str">
        <f ca="1">IFERROR(CONCATENATE("[", CONCATENATE(IF(VLOOKUP(D173,DM_fish!C:X,14, FALSE)&gt;0, CONCATENATE("{",CHAR(34),"target",CHAR(34),":",CHAR(34),VLOOKUP(D173,DM_fish!C:X,13, FALSE),CHAR(34),",", CHAR(34), "excitation",CHAR(34), ":", VLOOKUP(D173,DM_fish!C:X,14, FALSE), ",",  CHAR(34), "camera",CHAR(34), ":", IF(VALUE(VLOOKUP(D173,DM_fish!C:X,14, FALSE))&lt;VALUE(VLOOKUP(V173,imaging_filters!A:K,11, FALSE)), CONCATENATE(CHAR(34),"CamA",CHAR(34)), CONCATENATE(CHAR(34),"CamB",CHAR(34))),"}"), ""),IF(VLOOKUP(D173,DM_fish!C:X,16, FALSE)&gt;0, CONCATENATE(",{",CHAR(34),"target",CHAR(34),":",CHAR(34),VLOOKUP(D173,DM_fish!C:X,15, FALSE),CHAR(34),",", CHAR(34), "excitation",CHAR(34), ":", VLOOKUP(D173,DM_fish!C:X,16, FALSE), ",",  CHAR(34), "camera",CHAR(34), ":", IF(VALUE(VLOOKUP(D173,DM_fish!C:X,16, FALSE))&lt;VALUE(VLOOKUP(V173,imaging_filters!A:K,11, FALSE)), CONCATENATE(CHAR(34),"CamA",CHAR(34)), CONCATENATE(CHAR(34),"CamB",CHAR(34))),"}"), ""),IF(VLOOKUP(D173,DM_fish!C:X,18, FALSE)&gt;0, CONCATENATE(",{",CHAR(34),"target",CHAR(34),":",CHAR(34),VLOOKUP(D173,DM_fish!C:X,17, FALSE),CHAR(34),",", CHAR(34), "excitation",CHAR(34), ":", VLOOKUP(D173,DM_fish!C:X,18, FALSE), ",",  CHAR(34), "camera",CHAR(34), ":", IF(VALUE(VLOOKUP(D173,DM_fish!C:X,18, FALSE))&lt;VALUE(VLOOKUP(V173,imaging_filters!A:K,11, FALSE)), CONCATENATE(CHAR(34),"CamA",CHAR(34)), CONCATENATE(CHAR(34),"CamB",CHAR(34))),"}"), ""),IF(VLOOKUP(D173,DM_fish!C:X,20, FALSE)&gt;0, CONCATENATE(",{",CHAR(34),"target",CHAR(34),":",CHAR(34),VLOOKUP(D173,DM_fish!C:X,19, FALSE),CHAR(34),",", CHAR(34), "excitation",CHAR(34), ":", VLOOKUP(D173,DM_fish!C:X,20, FALSE), ",",  CHAR(34), "camera",CHAR(34), ":", IF(VALUE(VLOOKUP(D173,DM_fish!C:X,20, FALSE))&lt;VALUE(VLOOKUP(V173,imaging_filters!A:K,11, FALSE)), CONCATENATE(CHAR(34),"CamA",CHAR(34)), CONCATENATE(CHAR(34),"CamB",CHAR(34))),"}"), ""),IF(VLOOKUP(D173,DM_fish!C:X,22, FALSE)&gt;0, CONCATENATE(",{",CHAR(34),"target",CHAR(34),":",CHAR(34),VLOOKUP(D173,DM_fish!C:X,21, FALSE),CHAR(34),",", CHAR(34), "excitation",CHAR(34), ":", VLOOKUP(D173,DM_fish!C:X,22, FALSE), ",",  CHAR(34), "camera",CHAR(34), ":", IF(VALUE(VLOOKUP(D173,DM_fish!C:X,22, FALSE))&lt;VALUE(VLOOKUP(V173,imaging_filters!A:K,11, FALSE)), CONCATENATE(CHAR(34),"CamA",CHAR(34)), CONCATENATE(CHAR(34),"CamB",CHAR(34))),"}"), "")), "]"), "")</f>
        <v/>
      </c>
      <c r="X173" s="12" t="str">
        <f ca="1">IFERROR(
CONCATENATE("[", CONCATENATE(IF(VLOOKUP(C173,DM_fish!C:X,14, FALSE)&gt;0, CONCATENATE("{",CHAR(34),"target",CHAR(34),":",CHAR(34),VLOOKUP(C173,DM_fish!C:X,13, FALSE),CHAR(34),",", CHAR(34), "excitation",CHAR(34), ":", VLOOKUP(C173,DM_fish!C:X,14, FALSE), ",",  CHAR(34), "camera",CHAR(34), ":", IF(VALUE(VLOOKUP(C173,DM_fish!C:X,14, FALSE))&lt;VALUE(VLOOKUP(V173,imaging_filters!A:K,11, FALSE)), CONCATENATE(CHAR(34),"CamA",CHAR(34)), CONCATENATE(CHAR(34),"CamB",CHAR(34))),"}"), ""),IF(VLOOKUP(C173,DM_fish!C:X,16, FALSE)&gt;0, CONCATENATE(",{",CHAR(34),"target",CHAR(34),":",CHAR(34),VLOOKUP(C173,DM_fish!C:X,15, FALSE),CHAR(34),",", CHAR(34), "excitation",CHAR(34), ":", VLOOKUP(C173,DM_fish!C:X,16, FALSE), ",",  CHAR(34), "camera",CHAR(34), ":", IF(VALUE(VLOOKUP(C173,DM_fish!C:X,16, FALSE))&lt;VALUE(VLOOKUP(V173,imaging_filters!A:K,11, FALSE)), CONCATENATE(CHAR(34),"CamA",CHAR(34)), CONCATENATE(CHAR(34),"CamB",CHAR(34))),"}"), ""),IF(VLOOKUP(C173,DM_fish!C:X,18, FALSE)&gt;0, CONCATENATE(",{",CHAR(34),"target",CHAR(34),":",CHAR(34),VLOOKUP(C173,DM_fish!C:X,17, FALSE),CHAR(34),",", CHAR(34), "excitation",CHAR(34), ":", VLOOKUP(C173,DM_fish!C:X,18, FALSE), ",",  CHAR(34), "camera",CHAR(34), ":", IF(VALUE(VLOOKUP(C173,DM_fish!C:X,18, FALSE))&lt;VALUE(VLOOKUP(V173,imaging_filters!A:K,11, FALSE)), CONCATENATE(CHAR(34),"CamA",CHAR(34)), CONCATENATE(CHAR(34),"CamB",CHAR(34))),"}"), ""),IF(VLOOKUP(C173,DM_fish!C:X,20, FALSE)&gt;0, CONCATENATE(",{",CHAR(34),"target",CHAR(34),":",CHAR(34),VLOOKUP(C173,DM_fish!C:X,19, FALSE),CHAR(34),",", CHAR(34), "excitation",CHAR(34), ":", VLOOKUP(C173,DM_fish!C:X,20, FALSE), ",",  CHAR(34), "camera",CHAR(34), ":", IF(VALUE(VLOOKUP(C173,DM_fish!C:X,20, FALSE))&lt;VALUE(VLOOKUP(V173,imaging_filters!A:K,11, FALSE)), CONCATENATE(CHAR(34),"CamA",CHAR(34)), CONCATENATE(CHAR(34),"CamB",CHAR(34))),"}"), ""),IF(VLOOKUP(C173,DM_fish!C:X,22, FALSE)&gt;0, CONCATENATE(",{",CHAR(34),"target",CHAR(34),":",CHAR(34),VLOOKUP(C173,DM_fish!C:X,21, FALSE),CHAR(34),",", CHAR(34), "excitation",CHAR(34), ":", VLOOKUP(C173,DM_fish!C:X,22, FALSE), ",",  CHAR(34), "camera",CHAR(34), ":", IF(VALUE(VLOOKUP(C173,DM_fish!C:X,22, FALSE))&lt;VALUE(VLOOKUP(V173,imaging_filters!A:K,11, FALSE)), CONCATENATE(CHAR(34),"CamA",CHAR(34)), CONCATENATE(CHAR(34),"CamB",CHAR(34))),"}"), "")), "]"), "")</f>
        <v/>
      </c>
      <c r="Y173" s="11" t="str">
        <f ca="1">IFERROR(
CONCATENATE( "[",
IF(VLOOKUP(E173,Injections!B:F,3, FALSE)&gt;0, CONCATENATE( "{",CHAR(34),"target",CHAR(34),":",CHAR(34),VLOOKUP(E173,Injections!B:F,2, FALSE),CHAR(34),",", CHAR(34), "excitation",CHAR(34), ":", VLOOKUP(E173,Injections!B:F,3, FALSE), ",",  CHAR(34), "camera",CHAR(34), ":",
IF(VALUE(VLOOKUP(E173,Injections!B:F,3, FALSE))&lt;VALUE(VLOOKUP(V173,imaging_filters!A:C,2, FALSE)), CONCATENATE(CHAR(34),"CamA",CHAR(34)), CONCATENATE(CHAR(34),"CamB",CHAR(34))),"}"), ""),
IF(VLOOKUP(E173,Injections!B:F,5, FALSE)&gt;0, CONCATENATE(",{",CHAR(34),"target",CHAR(34),":",CHAR(34),VLOOKUP(E173,Injections!B:F,4, FALSE),CHAR(34),",", CHAR(34), "excitation",CHAR(34), ":", VLOOKUP(E173,Injections!B:F,5, FALSE), ",",  CHAR(34), "camera",CHAR(34), ":",
IF(VALUE(VLOOKUP(E173,Injections!B:F,5, FALSE))&lt;VALUE(VLOOKUP(V173,imaging_filters!A:C,2, FALSE)), CONCATENATE(CHAR(34),"CamA",CHAR(34)), CONCATENATE(CHAR(34),"CamB",CHAR(34))),"}"), ""),
 "]"), "[]")</f>
        <v>[]</v>
      </c>
      <c r="Z173" s="11" t="str">
        <f ca="1">IFERROR(
CONCATENATE( "[",
IF(VLOOKUP(F173,Injections!H:L,3, FALSE)&gt;0, CONCATENATE( "{",CHAR(34),"target",CHAR(34),":",CHAR(34),VLOOKUP(F173,Injections!H:L,2, FALSE),CHAR(34),",", CHAR(34), "excitation",CHAR(34), ":", VLOOKUP(F173,Injections!H:L,3, FALSE), ",",  CHAR(34), "camera",CHAR(34), ":",
IF(VALUE(VLOOKUP(F173,Injections!H:L,3, FALSE))&lt;VALUE(VLOOKUP(V173,imaging_filters!A:K,11, FALSE)), CONCATENATE(CHAR(34),"CamA",CHAR(34)), CONCATENATE(CHAR(34),"CamB",CHAR(34))),"}"), ""),
IF(VLOOKUP(F173,Injections!H:L,5, FALSE)&gt;0, CONCATENATE(",{",CHAR(34),"target",CHAR(34),":",CHAR(34),VLOOKUP(F173,Injections!H:L,4, FALSE),CHAR(34),",", CHAR(34), "excitation",CHAR(34), ":", VLOOKUP(F173,Injections!H:L,5, FALSE), ",",  CHAR(34), "camera",CHAR(34), ":",
IF(VALUE(VLOOKUP(F173,Injections!H:L,5, FALSE))&lt;VALUE(VLOOKUP(V173,imaging_filters!A:K,11, FALSE)), CONCATENATE(CHAR(34),"CamA",CHAR(34)), CONCATENATE(CHAR(34),"CamB",CHAR(34))),"}"), ""),
 "]"), "[]")</f>
        <v>[]</v>
      </c>
      <c r="AA173" s="11"/>
    </row>
    <row r="174" spans="1:27" ht="15.75" customHeight="1" x14ac:dyDescent="0.15">
      <c r="A174" s="7">
        <f t="shared" si="4"/>
        <v>45832</v>
      </c>
      <c r="B174" s="1"/>
      <c r="C174" s="1" t="s">
        <v>290</v>
      </c>
      <c r="D174" s="1" t="s">
        <v>291</v>
      </c>
      <c r="F174" s="1" t="s">
        <v>277</v>
      </c>
      <c r="G174" s="8"/>
      <c r="H174" s="8"/>
      <c r="I174" s="8">
        <v>45831</v>
      </c>
      <c r="M174" s="8">
        <v>45832</v>
      </c>
      <c r="N174" s="1" t="s">
        <v>292</v>
      </c>
      <c r="Q174" s="1" t="s">
        <v>293</v>
      </c>
      <c r="R174" s="10" t="str">
        <f ca="1">IFERROR(__xludf.DUMMYFUNCTION("JOIN("","", SORT(UNIQUE(TOCOL({VLOOKUP(D174,DM_fish!A:B,2,FALSE),VLOOKUP(C174,DM_fish!A:B,2,FALSE), ARRAYFORMULA(VLOOKUP(SPLIT(E174, "", ""),Injections!B:G,6,FALSE)), ARRAYFORMULA(VLOOKUP(SPLIT(F174, "", ""),Injections!H:M,6,FALSE)), ARRAYFORMULA(VLOOKUP("&amp;"SPLIT(G174, "", ""),Injections!N:S,6,FALSE)), ARRAYFORMULA(VLOOKUP(SPLIT(H174, "", ""),Injections!T:Y,6,FALSE)) },3))))"),",membrane")</f>
        <v>,membrane</v>
      </c>
      <c r="S174" s="10" t="str">
        <f ca="1">IFERROR(__xludf.DUMMYFUNCTION("IFERROR(JOIN("","", SPLIT(R174, "","", TRUE ,TRUE)), """")"),"membrane")</f>
        <v>membrane</v>
      </c>
      <c r="T174" s="1" t="s">
        <v>294</v>
      </c>
      <c r="U174" s="1">
        <v>39</v>
      </c>
      <c r="V174" s="1" t="s">
        <v>280</v>
      </c>
      <c r="W174" s="12" t="str">
        <f ca="1">IFERROR(CONCATENATE("[", CONCATENATE(IF(VLOOKUP(D174,DM_fish!C:X,14, FALSE)&gt;0, CONCATENATE("{",CHAR(34),"target",CHAR(34),":",CHAR(34),VLOOKUP(D174,DM_fish!C:X,13, FALSE),CHAR(34),",", CHAR(34), "excitation",CHAR(34), ":", VLOOKUP(D174,DM_fish!C:X,14, FALSE), ",",  CHAR(34), "camera",CHAR(34), ":", IF(VALUE(VLOOKUP(D174,DM_fish!C:X,14, FALSE))&lt;VALUE(VLOOKUP(V174,imaging_filters!A:K,11, FALSE)), CONCATENATE(CHAR(34),"CamA",CHAR(34)), CONCATENATE(CHAR(34),"CamB",CHAR(34))),"}"), ""),IF(VLOOKUP(D174,DM_fish!C:X,16, FALSE)&gt;0, CONCATENATE(",{",CHAR(34),"target",CHAR(34),":",CHAR(34),VLOOKUP(D174,DM_fish!C:X,15, FALSE),CHAR(34),",", CHAR(34), "excitation",CHAR(34), ":", VLOOKUP(D174,DM_fish!C:X,16, FALSE), ",",  CHAR(34), "camera",CHAR(34), ":", IF(VALUE(VLOOKUP(D174,DM_fish!C:X,16, FALSE))&lt;VALUE(VLOOKUP(V174,imaging_filters!A:K,11, FALSE)), CONCATENATE(CHAR(34),"CamA",CHAR(34)), CONCATENATE(CHAR(34),"CamB",CHAR(34))),"}"), ""),IF(VLOOKUP(D174,DM_fish!C:X,18, FALSE)&gt;0, CONCATENATE(",{",CHAR(34),"target",CHAR(34),":",CHAR(34),VLOOKUP(D174,DM_fish!C:X,17, FALSE),CHAR(34),",", CHAR(34), "excitation",CHAR(34), ":", VLOOKUP(D174,DM_fish!C:X,18, FALSE), ",",  CHAR(34), "camera",CHAR(34), ":", IF(VALUE(VLOOKUP(D174,DM_fish!C:X,18, FALSE))&lt;VALUE(VLOOKUP(V174,imaging_filters!A:K,11, FALSE)), CONCATENATE(CHAR(34),"CamA",CHAR(34)), CONCATENATE(CHAR(34),"CamB",CHAR(34))),"}"), ""),IF(VLOOKUP(D174,DM_fish!C:X,20, FALSE)&gt;0, CONCATENATE(",{",CHAR(34),"target",CHAR(34),":",CHAR(34),VLOOKUP(D174,DM_fish!C:X,19, FALSE),CHAR(34),",", CHAR(34), "excitation",CHAR(34), ":", VLOOKUP(D174,DM_fish!C:X,20, FALSE), ",",  CHAR(34), "camera",CHAR(34), ":", IF(VALUE(VLOOKUP(D174,DM_fish!C:X,20, FALSE))&lt;VALUE(VLOOKUP(V174,imaging_filters!A:K,11, FALSE)), CONCATENATE(CHAR(34),"CamA",CHAR(34)), CONCATENATE(CHAR(34),"CamB",CHAR(34))),"}"), ""),IF(VLOOKUP(D174,DM_fish!C:X,22, FALSE)&gt;0, CONCATENATE(",{",CHAR(34),"target",CHAR(34),":",CHAR(34),VLOOKUP(D174,DM_fish!C:X,21, FALSE),CHAR(34),",", CHAR(34), "excitation",CHAR(34), ":", VLOOKUP(D174,DM_fish!C:X,22, FALSE), ",",  CHAR(34), "camera",CHAR(34), ":", IF(VALUE(VLOOKUP(D174,DM_fish!C:X,22, FALSE))&lt;VALUE(VLOOKUP(V174,imaging_filters!A:K,11, FALSE)), CONCATENATE(CHAR(34),"CamA",CHAR(34)), CONCATENATE(CHAR(34),"CamB",CHAR(34))),"}"), "")), "]"), "")</f>
        <v/>
      </c>
      <c r="X174" s="12" t="str">
        <f ca="1">IFERROR(
CONCATENATE("[", CONCATENATE(IF(VLOOKUP(C174,DM_fish!C:X,14, FALSE)&gt;0, CONCATENATE("{",CHAR(34),"target",CHAR(34),":",CHAR(34),VLOOKUP(C174,DM_fish!C:X,13, FALSE),CHAR(34),",", CHAR(34), "excitation",CHAR(34), ":", VLOOKUP(C174,DM_fish!C:X,14, FALSE), ",",  CHAR(34), "camera",CHAR(34), ":", IF(VALUE(VLOOKUP(C174,DM_fish!C:X,14, FALSE))&lt;VALUE(VLOOKUP(V174,imaging_filters!A:K,11, FALSE)), CONCATENATE(CHAR(34),"CamA",CHAR(34)), CONCATENATE(CHAR(34),"CamB",CHAR(34))),"}"), ""),IF(VLOOKUP(C174,DM_fish!C:X,16, FALSE)&gt;0, CONCATENATE(",{",CHAR(34),"target",CHAR(34),":",CHAR(34),VLOOKUP(C174,DM_fish!C:X,15, FALSE),CHAR(34),",", CHAR(34), "excitation",CHAR(34), ":", VLOOKUP(C174,DM_fish!C:X,16, FALSE), ",",  CHAR(34), "camera",CHAR(34), ":", IF(VALUE(VLOOKUP(C174,DM_fish!C:X,16, FALSE))&lt;VALUE(VLOOKUP(V174,imaging_filters!A:K,11, FALSE)), CONCATENATE(CHAR(34),"CamA",CHAR(34)), CONCATENATE(CHAR(34),"CamB",CHAR(34))),"}"), ""),IF(VLOOKUP(C174,DM_fish!C:X,18, FALSE)&gt;0, CONCATENATE(",{",CHAR(34),"target",CHAR(34),":",CHAR(34),VLOOKUP(C174,DM_fish!C:X,17, FALSE),CHAR(34),",", CHAR(34), "excitation",CHAR(34), ":", VLOOKUP(C174,DM_fish!C:X,18, FALSE), ",",  CHAR(34), "camera",CHAR(34), ":", IF(VALUE(VLOOKUP(C174,DM_fish!C:X,18, FALSE))&lt;VALUE(VLOOKUP(V174,imaging_filters!A:K,11, FALSE)), CONCATENATE(CHAR(34),"CamA",CHAR(34)), CONCATENATE(CHAR(34),"CamB",CHAR(34))),"}"), ""),IF(VLOOKUP(C174,DM_fish!C:X,20, FALSE)&gt;0, CONCATENATE(",{",CHAR(34),"target",CHAR(34),":",CHAR(34),VLOOKUP(C174,DM_fish!C:X,19, FALSE),CHAR(34),",", CHAR(34), "excitation",CHAR(34), ":", VLOOKUP(C174,DM_fish!C:X,20, FALSE), ",",  CHAR(34), "camera",CHAR(34), ":", IF(VALUE(VLOOKUP(C174,DM_fish!C:X,20, FALSE))&lt;VALUE(VLOOKUP(V174,imaging_filters!A:K,11, FALSE)), CONCATENATE(CHAR(34),"CamA",CHAR(34)), CONCATENATE(CHAR(34),"CamB",CHAR(34))),"}"), ""),IF(VLOOKUP(C174,DM_fish!C:X,22, FALSE)&gt;0, CONCATENATE(",{",CHAR(34),"target",CHAR(34),":",CHAR(34),VLOOKUP(C174,DM_fish!C:X,21, FALSE),CHAR(34),",", CHAR(34), "excitation",CHAR(34), ":", VLOOKUP(C174,DM_fish!C:X,22, FALSE), ",",  CHAR(34), "camera",CHAR(34), ":", IF(VALUE(VLOOKUP(C174,DM_fish!C:X,22, FALSE))&lt;VALUE(VLOOKUP(V174,imaging_filters!A:K,11, FALSE)), CONCATENATE(CHAR(34),"CamA",CHAR(34)), CONCATENATE(CHAR(34),"CamB",CHAR(34))),"}"), "")), "]"), "")</f>
        <v/>
      </c>
      <c r="Y174" s="11" t="str">
        <f ca="1">IFERROR(
CONCATENATE( "[",
IF(VLOOKUP(E174,Injections!B:F,3, FALSE)&gt;0, CONCATENATE( "{",CHAR(34),"target",CHAR(34),":",CHAR(34),VLOOKUP(E174,Injections!B:F,2, FALSE),CHAR(34),",", CHAR(34), "excitation",CHAR(34), ":", VLOOKUP(E174,Injections!B:F,3, FALSE), ",",  CHAR(34), "camera",CHAR(34), ":",
IF(VALUE(VLOOKUP(E174,Injections!B:F,3, FALSE))&lt;VALUE(VLOOKUP(V174,imaging_filters!A:C,2, FALSE)), CONCATENATE(CHAR(34),"CamA",CHAR(34)), CONCATENATE(CHAR(34),"CamB",CHAR(34))),"}"), ""),
IF(VLOOKUP(E174,Injections!B:F,5, FALSE)&gt;0, CONCATENATE(",{",CHAR(34),"target",CHAR(34),":",CHAR(34),VLOOKUP(E174,Injections!B:F,4, FALSE),CHAR(34),",", CHAR(34), "excitation",CHAR(34), ":", VLOOKUP(E174,Injections!B:F,5, FALSE), ",",  CHAR(34), "camera",CHAR(34), ":",
IF(VALUE(VLOOKUP(E174,Injections!B:F,5, FALSE))&lt;VALUE(VLOOKUP(V174,imaging_filters!A:C,2, FALSE)), CONCATENATE(CHAR(34),"CamA",CHAR(34)), CONCATENATE(CHAR(34),"CamB",CHAR(34))),"}"), ""),
 "]"), "[]")</f>
        <v>[]</v>
      </c>
      <c r="Z174" s="11" t="str">
        <f ca="1">IFERROR(
CONCATENATE( "[",
IF(VLOOKUP(F174,Injections!H:L,3, FALSE)&gt;0, CONCATENATE( "{",CHAR(34),"target",CHAR(34),":",CHAR(34),VLOOKUP(F174,Injections!H:L,2, FALSE),CHAR(34),",", CHAR(34), "excitation",CHAR(34), ":", VLOOKUP(F174,Injections!H:L,3, FALSE), ",",  CHAR(34), "camera",CHAR(34), ":",
IF(VALUE(VLOOKUP(F174,Injections!H:L,3, FALSE))&lt;VALUE(VLOOKUP(V174,imaging_filters!A:K,11, FALSE)), CONCATENATE(CHAR(34),"CamA",CHAR(34)), CONCATENATE(CHAR(34),"CamB",CHAR(34))),"}"), ""),
IF(VLOOKUP(F174,Injections!H:L,5, FALSE)&gt;0, CONCATENATE(",{",CHAR(34),"target",CHAR(34),":",CHAR(34),VLOOKUP(F174,Injections!H:L,4, FALSE),CHAR(34),",", CHAR(34), "excitation",CHAR(34), ":", VLOOKUP(F174,Injections!H:L,5, FALSE), ",",  CHAR(34), "camera",CHAR(34), ":",
IF(VALUE(VLOOKUP(F174,Injections!H:L,5, FALSE))&lt;VALUE(VLOOKUP(V174,imaging_filters!A:K,11, FALSE)), CONCATENATE(CHAR(34),"CamA",CHAR(34)), CONCATENATE(CHAR(34),"CamB",CHAR(34))),"}"), ""),
 "]"), "[]")</f>
        <v>[]</v>
      </c>
      <c r="AA174" s="11"/>
    </row>
    <row r="175" spans="1:27" ht="15.75" customHeight="1" x14ac:dyDescent="0.15">
      <c r="A175" s="7">
        <f t="shared" si="4"/>
        <v>45832</v>
      </c>
      <c r="B175" s="1"/>
      <c r="C175" s="1" t="s">
        <v>295</v>
      </c>
      <c r="D175" s="1" t="s">
        <v>296</v>
      </c>
      <c r="F175" s="1" t="s">
        <v>277</v>
      </c>
      <c r="G175" s="8"/>
      <c r="H175" s="8"/>
      <c r="I175" s="8">
        <v>45831</v>
      </c>
      <c r="M175" s="8">
        <v>45832</v>
      </c>
      <c r="N175" s="1" t="s">
        <v>278</v>
      </c>
      <c r="Q175" s="1" t="s">
        <v>297</v>
      </c>
      <c r="R175" s="10" t="str">
        <f ca="1">IFERROR(__xludf.DUMMYFUNCTION("JOIN("","", SORT(UNIQUE(TOCOL({VLOOKUP(D175,DM_fish!A:B,2,FALSE),VLOOKUP(C175,DM_fish!A:B,2,FALSE), ARRAYFORMULA(VLOOKUP(SPLIT(E175, "", ""),Injections!B:G,6,FALSE)), ARRAYFORMULA(VLOOKUP(SPLIT(F175, "", ""),Injections!H:M,6,FALSE)), ARRAYFORMULA(VLOOKUP("&amp;"SPLIT(G175, "", ""),Injections!N:S,6,FALSE)), ARRAYFORMULA(VLOOKUP(SPLIT(H175, "", ""),Injections!T:Y,6,FALSE)) },3))))"),",membrane")</f>
        <v>,membrane</v>
      </c>
      <c r="S175" s="10" t="str">
        <f ca="1">IFERROR(__xludf.DUMMYFUNCTION("IFERROR(JOIN("","", SPLIT(R175, "","", TRUE ,TRUE)), """")"),"membrane")</f>
        <v>membrane</v>
      </c>
      <c r="T175" s="1" t="s">
        <v>289</v>
      </c>
      <c r="V175" s="1" t="s">
        <v>280</v>
      </c>
      <c r="W175" s="12" t="str">
        <f ca="1">IFERROR(CONCATENATE("[", CONCATENATE(IF(VLOOKUP(D175,DM_fish!C:X,14, FALSE)&gt;0, CONCATENATE("{",CHAR(34),"target",CHAR(34),":",CHAR(34),VLOOKUP(D175,DM_fish!C:X,13, FALSE),CHAR(34),",", CHAR(34), "excitation",CHAR(34), ":", VLOOKUP(D175,DM_fish!C:X,14, FALSE), ",",  CHAR(34), "camera",CHAR(34), ":", IF(VALUE(VLOOKUP(D175,DM_fish!C:X,14, FALSE))&lt;VALUE(VLOOKUP(V175,imaging_filters!A:K,11, FALSE)), CONCATENATE(CHAR(34),"CamA",CHAR(34)), CONCATENATE(CHAR(34),"CamB",CHAR(34))),"}"), ""),IF(VLOOKUP(D175,DM_fish!C:X,16, FALSE)&gt;0, CONCATENATE(",{",CHAR(34),"target",CHAR(34),":",CHAR(34),VLOOKUP(D175,DM_fish!C:X,15, FALSE),CHAR(34),",", CHAR(34), "excitation",CHAR(34), ":", VLOOKUP(D175,DM_fish!C:X,16, FALSE), ",",  CHAR(34), "camera",CHAR(34), ":", IF(VALUE(VLOOKUP(D175,DM_fish!C:X,16, FALSE))&lt;VALUE(VLOOKUP(V175,imaging_filters!A:K,11, FALSE)), CONCATENATE(CHAR(34),"CamA",CHAR(34)), CONCATENATE(CHAR(34),"CamB",CHAR(34))),"}"), ""),IF(VLOOKUP(D175,DM_fish!C:X,18, FALSE)&gt;0, CONCATENATE(",{",CHAR(34),"target",CHAR(34),":",CHAR(34),VLOOKUP(D175,DM_fish!C:X,17, FALSE),CHAR(34),",", CHAR(34), "excitation",CHAR(34), ":", VLOOKUP(D175,DM_fish!C:X,18, FALSE), ",",  CHAR(34), "camera",CHAR(34), ":", IF(VALUE(VLOOKUP(D175,DM_fish!C:X,18, FALSE))&lt;VALUE(VLOOKUP(V175,imaging_filters!A:K,11, FALSE)), CONCATENATE(CHAR(34),"CamA",CHAR(34)), CONCATENATE(CHAR(34),"CamB",CHAR(34))),"}"), ""),IF(VLOOKUP(D175,DM_fish!C:X,20, FALSE)&gt;0, CONCATENATE(",{",CHAR(34),"target",CHAR(34),":",CHAR(34),VLOOKUP(D175,DM_fish!C:X,19, FALSE),CHAR(34),",", CHAR(34), "excitation",CHAR(34), ":", VLOOKUP(D175,DM_fish!C:X,20, FALSE), ",",  CHAR(34), "camera",CHAR(34), ":", IF(VALUE(VLOOKUP(D175,DM_fish!C:X,20, FALSE))&lt;VALUE(VLOOKUP(V175,imaging_filters!A:K,11, FALSE)), CONCATENATE(CHAR(34),"CamA",CHAR(34)), CONCATENATE(CHAR(34),"CamB",CHAR(34))),"}"), ""),IF(VLOOKUP(D175,DM_fish!C:X,22, FALSE)&gt;0, CONCATENATE(",{",CHAR(34),"target",CHAR(34),":",CHAR(34),VLOOKUP(D175,DM_fish!C:X,21, FALSE),CHAR(34),",", CHAR(34), "excitation",CHAR(34), ":", VLOOKUP(D175,DM_fish!C:X,22, FALSE), ",",  CHAR(34), "camera",CHAR(34), ":", IF(VALUE(VLOOKUP(D175,DM_fish!C:X,22, FALSE))&lt;VALUE(VLOOKUP(V175,imaging_filters!A:K,11, FALSE)), CONCATENATE(CHAR(34),"CamA",CHAR(34)), CONCATENATE(CHAR(34),"CamB",CHAR(34))),"}"), "")), "]"), "")</f>
        <v/>
      </c>
      <c r="X175" s="12" t="str">
        <f ca="1">IFERROR(
CONCATENATE("[", CONCATENATE(IF(VLOOKUP(C175,DM_fish!C:X,14, FALSE)&gt;0, CONCATENATE("{",CHAR(34),"target",CHAR(34),":",CHAR(34),VLOOKUP(C175,DM_fish!C:X,13, FALSE),CHAR(34),",", CHAR(34), "excitation",CHAR(34), ":", VLOOKUP(C175,DM_fish!C:X,14, FALSE), ",",  CHAR(34), "camera",CHAR(34), ":", IF(VALUE(VLOOKUP(C175,DM_fish!C:X,14, FALSE))&lt;VALUE(VLOOKUP(V175,imaging_filters!A:K,11, FALSE)), CONCATENATE(CHAR(34),"CamA",CHAR(34)), CONCATENATE(CHAR(34),"CamB",CHAR(34))),"}"), ""),IF(VLOOKUP(C175,DM_fish!C:X,16, FALSE)&gt;0, CONCATENATE(",{",CHAR(34),"target",CHAR(34),":",CHAR(34),VLOOKUP(C175,DM_fish!C:X,15, FALSE),CHAR(34),",", CHAR(34), "excitation",CHAR(34), ":", VLOOKUP(C175,DM_fish!C:X,16, FALSE), ",",  CHAR(34), "camera",CHAR(34), ":", IF(VALUE(VLOOKUP(C175,DM_fish!C:X,16, FALSE))&lt;VALUE(VLOOKUP(V175,imaging_filters!A:K,11, FALSE)), CONCATENATE(CHAR(34),"CamA",CHAR(34)), CONCATENATE(CHAR(34),"CamB",CHAR(34))),"}"), ""),IF(VLOOKUP(C175,DM_fish!C:X,18, FALSE)&gt;0, CONCATENATE(",{",CHAR(34),"target",CHAR(34),":",CHAR(34),VLOOKUP(C175,DM_fish!C:X,17, FALSE),CHAR(34),",", CHAR(34), "excitation",CHAR(34), ":", VLOOKUP(C175,DM_fish!C:X,18, FALSE), ",",  CHAR(34), "camera",CHAR(34), ":", IF(VALUE(VLOOKUP(C175,DM_fish!C:X,18, FALSE))&lt;VALUE(VLOOKUP(V175,imaging_filters!A:K,11, FALSE)), CONCATENATE(CHAR(34),"CamA",CHAR(34)), CONCATENATE(CHAR(34),"CamB",CHAR(34))),"}"), ""),IF(VLOOKUP(C175,DM_fish!C:X,20, FALSE)&gt;0, CONCATENATE(",{",CHAR(34),"target",CHAR(34),":",CHAR(34),VLOOKUP(C175,DM_fish!C:X,19, FALSE),CHAR(34),",", CHAR(34), "excitation",CHAR(34), ":", VLOOKUP(C175,DM_fish!C:X,20, FALSE), ",",  CHAR(34), "camera",CHAR(34), ":", IF(VALUE(VLOOKUP(C175,DM_fish!C:X,20, FALSE))&lt;VALUE(VLOOKUP(V175,imaging_filters!A:K,11, FALSE)), CONCATENATE(CHAR(34),"CamA",CHAR(34)), CONCATENATE(CHAR(34),"CamB",CHAR(34))),"}"), ""),IF(VLOOKUP(C175,DM_fish!C:X,22, FALSE)&gt;0, CONCATENATE(",{",CHAR(34),"target",CHAR(34),":",CHAR(34),VLOOKUP(C175,DM_fish!C:X,21, FALSE),CHAR(34),",", CHAR(34), "excitation",CHAR(34), ":", VLOOKUP(C175,DM_fish!C:X,22, FALSE), ",",  CHAR(34), "camera",CHAR(34), ":", IF(VALUE(VLOOKUP(C175,DM_fish!C:X,22, FALSE))&lt;VALUE(VLOOKUP(V175,imaging_filters!A:K,11, FALSE)), CONCATENATE(CHAR(34),"CamA",CHAR(34)), CONCATENATE(CHAR(34),"CamB",CHAR(34))),"}"), "")), "]"), "")</f>
        <v/>
      </c>
      <c r="Y175" s="11" t="str">
        <f ca="1">IFERROR(
CONCATENATE( "[",
IF(VLOOKUP(E175,Injections!B:F,3, FALSE)&gt;0, CONCATENATE( "{",CHAR(34),"target",CHAR(34),":",CHAR(34),VLOOKUP(E175,Injections!B:F,2, FALSE),CHAR(34),",", CHAR(34), "excitation",CHAR(34), ":", VLOOKUP(E175,Injections!B:F,3, FALSE), ",",  CHAR(34), "camera",CHAR(34), ":",
IF(VALUE(VLOOKUP(E175,Injections!B:F,3, FALSE))&lt;VALUE(VLOOKUP(V175,imaging_filters!A:C,2, FALSE)), CONCATENATE(CHAR(34),"CamA",CHAR(34)), CONCATENATE(CHAR(34),"CamB",CHAR(34))),"}"), ""),
IF(VLOOKUP(E175,Injections!B:F,5, FALSE)&gt;0, CONCATENATE(",{",CHAR(34),"target",CHAR(34),":",CHAR(34),VLOOKUP(E175,Injections!B:F,4, FALSE),CHAR(34),",", CHAR(34), "excitation",CHAR(34), ":", VLOOKUP(E175,Injections!B:F,5, FALSE), ",",  CHAR(34), "camera",CHAR(34), ":",
IF(VALUE(VLOOKUP(E175,Injections!B:F,5, FALSE))&lt;VALUE(VLOOKUP(V175,imaging_filters!A:C,2, FALSE)), CONCATENATE(CHAR(34),"CamA",CHAR(34)), CONCATENATE(CHAR(34),"CamB",CHAR(34))),"}"), ""),
 "]"), "[]")</f>
        <v>[]</v>
      </c>
      <c r="Z175" s="11" t="str">
        <f ca="1">IFERROR(
CONCATENATE( "[",
IF(VLOOKUP(F175,Injections!H:L,3, FALSE)&gt;0, CONCATENATE( "{",CHAR(34),"target",CHAR(34),":",CHAR(34),VLOOKUP(F175,Injections!H:L,2, FALSE),CHAR(34),",", CHAR(34), "excitation",CHAR(34), ":", VLOOKUP(F175,Injections!H:L,3, FALSE), ",",  CHAR(34), "camera",CHAR(34), ":",
IF(VALUE(VLOOKUP(F175,Injections!H:L,3, FALSE))&lt;VALUE(VLOOKUP(V175,imaging_filters!A:K,11, FALSE)), CONCATENATE(CHAR(34),"CamA",CHAR(34)), CONCATENATE(CHAR(34),"CamB",CHAR(34))),"}"), ""),
IF(VLOOKUP(F175,Injections!H:L,5, FALSE)&gt;0, CONCATENATE(",{",CHAR(34),"target",CHAR(34),":",CHAR(34),VLOOKUP(F175,Injections!H:L,4, FALSE),CHAR(34),",", CHAR(34), "excitation",CHAR(34), ":", VLOOKUP(F175,Injections!H:L,5, FALSE), ",",  CHAR(34), "camera",CHAR(34), ":",
IF(VALUE(VLOOKUP(F175,Injections!H:L,5, FALSE))&lt;VALUE(VLOOKUP(V175,imaging_filters!A:K,11, FALSE)), CONCATENATE(CHAR(34),"CamA",CHAR(34)), CONCATENATE(CHAR(34),"CamB",CHAR(34))),"}"), ""),
 "]"), "[]")</f>
        <v>[]</v>
      </c>
      <c r="AA175" s="11"/>
    </row>
    <row r="176" spans="1:27" ht="15.75" customHeight="1" x14ac:dyDescent="0.15">
      <c r="A176" s="7">
        <f t="shared" si="4"/>
        <v>45827</v>
      </c>
      <c r="B176" s="1"/>
      <c r="C176" s="1" t="s">
        <v>298</v>
      </c>
      <c r="D176" s="1" t="s">
        <v>286</v>
      </c>
      <c r="F176" s="1" t="s">
        <v>277</v>
      </c>
      <c r="G176" s="8"/>
      <c r="H176" s="8"/>
      <c r="I176" s="8">
        <v>45826</v>
      </c>
      <c r="M176" s="8">
        <v>45827</v>
      </c>
      <c r="N176" s="1" t="s">
        <v>299</v>
      </c>
      <c r="Q176" s="1" t="s">
        <v>300</v>
      </c>
      <c r="R176" s="10" t="str">
        <f ca="1">IFERROR(__xludf.DUMMYFUNCTION("JOIN("","", SORT(UNIQUE(TOCOL({VLOOKUP(D176,DM_fish!A:B,2,FALSE),VLOOKUP(C176,DM_fish!A:B,2,FALSE), ARRAYFORMULA(VLOOKUP(SPLIT(E176, "", ""),Injections!B:G,6,FALSE)), ARRAYFORMULA(VLOOKUP(SPLIT(F176, "", ""),Injections!H:M,6,FALSE)), ARRAYFORMULA(VLOOKUP("&amp;"SPLIT(G176, "", ""),Injections!N:S,6,FALSE)), ARRAYFORMULA(VLOOKUP(SPLIT(H176, "", ""),Injections!T:Y,6,FALSE)) },3))))"),",membrane")</f>
        <v>,membrane</v>
      </c>
      <c r="S176" s="10" t="str">
        <f ca="1">IFERROR(__xludf.DUMMYFUNCTION("IFERROR(JOIN("","", SPLIT(R176, "","", TRUE ,TRUE)), """")"),"membrane")</f>
        <v>membrane</v>
      </c>
      <c r="T176" s="1" t="s">
        <v>301</v>
      </c>
      <c r="U176" s="1">
        <v>80</v>
      </c>
      <c r="V176" s="1" t="s">
        <v>280</v>
      </c>
      <c r="W176" s="12" t="str">
        <f ca="1">IFERROR(CONCATENATE("[", CONCATENATE(IF(VLOOKUP(D176,DM_fish!C:X,14, FALSE)&gt;0, CONCATENATE("{",CHAR(34),"target",CHAR(34),":",CHAR(34),VLOOKUP(D176,DM_fish!C:X,13, FALSE),CHAR(34),",", CHAR(34), "excitation",CHAR(34), ":", VLOOKUP(D176,DM_fish!C:X,14, FALSE), ",",  CHAR(34), "camera",CHAR(34), ":", IF(VALUE(VLOOKUP(D176,DM_fish!C:X,14, FALSE))&lt;VALUE(VLOOKUP(V176,imaging_filters!A:K,11, FALSE)), CONCATENATE(CHAR(34),"CamA",CHAR(34)), CONCATENATE(CHAR(34),"CamB",CHAR(34))),"}"), ""),IF(VLOOKUP(D176,DM_fish!C:X,16, FALSE)&gt;0, CONCATENATE(",{",CHAR(34),"target",CHAR(34),":",CHAR(34),VLOOKUP(D176,DM_fish!C:X,15, FALSE),CHAR(34),",", CHAR(34), "excitation",CHAR(34), ":", VLOOKUP(D176,DM_fish!C:X,16, FALSE), ",",  CHAR(34), "camera",CHAR(34), ":", IF(VALUE(VLOOKUP(D176,DM_fish!C:X,16, FALSE))&lt;VALUE(VLOOKUP(V176,imaging_filters!A:K,11, FALSE)), CONCATENATE(CHAR(34),"CamA",CHAR(34)), CONCATENATE(CHAR(34),"CamB",CHAR(34))),"}"), ""),IF(VLOOKUP(D176,DM_fish!C:X,18, FALSE)&gt;0, CONCATENATE(",{",CHAR(34),"target",CHAR(34),":",CHAR(34),VLOOKUP(D176,DM_fish!C:X,17, FALSE),CHAR(34),",", CHAR(34), "excitation",CHAR(34), ":", VLOOKUP(D176,DM_fish!C:X,18, FALSE), ",",  CHAR(34), "camera",CHAR(34), ":", IF(VALUE(VLOOKUP(D176,DM_fish!C:X,18, FALSE))&lt;VALUE(VLOOKUP(V176,imaging_filters!A:K,11, FALSE)), CONCATENATE(CHAR(34),"CamA",CHAR(34)), CONCATENATE(CHAR(34),"CamB",CHAR(34))),"}"), ""),IF(VLOOKUP(D176,DM_fish!C:X,20, FALSE)&gt;0, CONCATENATE(",{",CHAR(34),"target",CHAR(34),":",CHAR(34),VLOOKUP(D176,DM_fish!C:X,19, FALSE),CHAR(34),",", CHAR(34), "excitation",CHAR(34), ":", VLOOKUP(D176,DM_fish!C:X,20, FALSE), ",",  CHAR(34), "camera",CHAR(34), ":", IF(VALUE(VLOOKUP(D176,DM_fish!C:X,20, FALSE))&lt;VALUE(VLOOKUP(V176,imaging_filters!A:K,11, FALSE)), CONCATENATE(CHAR(34),"CamA",CHAR(34)), CONCATENATE(CHAR(34),"CamB",CHAR(34))),"}"), ""),IF(VLOOKUP(D176,DM_fish!C:X,22, FALSE)&gt;0, CONCATENATE(",{",CHAR(34),"target",CHAR(34),":",CHAR(34),VLOOKUP(D176,DM_fish!C:X,21, FALSE),CHAR(34),",", CHAR(34), "excitation",CHAR(34), ":", VLOOKUP(D176,DM_fish!C:X,22, FALSE), ",",  CHAR(34), "camera",CHAR(34), ":", IF(VALUE(VLOOKUP(D176,DM_fish!C:X,22, FALSE))&lt;VALUE(VLOOKUP(V176,imaging_filters!A:K,11, FALSE)), CONCATENATE(CHAR(34),"CamA",CHAR(34)), CONCATENATE(CHAR(34),"CamB",CHAR(34))),"}"), "")), "]"), "")</f>
        <v/>
      </c>
      <c r="X176" s="12" t="str">
        <f ca="1">IFERROR(
CONCATENATE("[", CONCATENATE(IF(VLOOKUP(C176,DM_fish!C:X,14, FALSE)&gt;0, CONCATENATE("{",CHAR(34),"target",CHAR(34),":",CHAR(34),VLOOKUP(C176,DM_fish!C:X,13, FALSE),CHAR(34),",", CHAR(34), "excitation",CHAR(34), ":", VLOOKUP(C176,DM_fish!C:X,14, FALSE), ",",  CHAR(34), "camera",CHAR(34), ":", IF(VALUE(VLOOKUP(C176,DM_fish!C:X,14, FALSE))&lt;VALUE(VLOOKUP(V176,imaging_filters!A:K,11, FALSE)), CONCATENATE(CHAR(34),"CamA",CHAR(34)), CONCATENATE(CHAR(34),"CamB",CHAR(34))),"}"), ""),IF(VLOOKUP(C176,DM_fish!C:X,16, FALSE)&gt;0, CONCATENATE(",{",CHAR(34),"target",CHAR(34),":",CHAR(34),VLOOKUP(C176,DM_fish!C:X,15, FALSE),CHAR(34),",", CHAR(34), "excitation",CHAR(34), ":", VLOOKUP(C176,DM_fish!C:X,16, FALSE), ",",  CHAR(34), "camera",CHAR(34), ":", IF(VALUE(VLOOKUP(C176,DM_fish!C:X,16, FALSE))&lt;VALUE(VLOOKUP(V176,imaging_filters!A:K,11, FALSE)), CONCATENATE(CHAR(34),"CamA",CHAR(34)), CONCATENATE(CHAR(34),"CamB",CHAR(34))),"}"), ""),IF(VLOOKUP(C176,DM_fish!C:X,18, FALSE)&gt;0, CONCATENATE(",{",CHAR(34),"target",CHAR(34),":",CHAR(34),VLOOKUP(C176,DM_fish!C:X,17, FALSE),CHAR(34),",", CHAR(34), "excitation",CHAR(34), ":", VLOOKUP(C176,DM_fish!C:X,18, FALSE), ",",  CHAR(34), "camera",CHAR(34), ":", IF(VALUE(VLOOKUP(C176,DM_fish!C:X,18, FALSE))&lt;VALUE(VLOOKUP(V176,imaging_filters!A:K,11, FALSE)), CONCATENATE(CHAR(34),"CamA",CHAR(34)), CONCATENATE(CHAR(34),"CamB",CHAR(34))),"}"), ""),IF(VLOOKUP(C176,DM_fish!C:X,20, FALSE)&gt;0, CONCATENATE(",{",CHAR(34),"target",CHAR(34),":",CHAR(34),VLOOKUP(C176,DM_fish!C:X,19, FALSE),CHAR(34),",", CHAR(34), "excitation",CHAR(34), ":", VLOOKUP(C176,DM_fish!C:X,20, FALSE), ",",  CHAR(34), "camera",CHAR(34), ":", IF(VALUE(VLOOKUP(C176,DM_fish!C:X,20, FALSE))&lt;VALUE(VLOOKUP(V176,imaging_filters!A:K,11, FALSE)), CONCATENATE(CHAR(34),"CamA",CHAR(34)), CONCATENATE(CHAR(34),"CamB",CHAR(34))),"}"), ""),IF(VLOOKUP(C176,DM_fish!C:X,22, FALSE)&gt;0, CONCATENATE(",{",CHAR(34),"target",CHAR(34),":",CHAR(34),VLOOKUP(C176,DM_fish!C:X,21, FALSE),CHAR(34),",", CHAR(34), "excitation",CHAR(34), ":", VLOOKUP(C176,DM_fish!C:X,22, FALSE), ",",  CHAR(34), "camera",CHAR(34), ":", IF(VALUE(VLOOKUP(C176,DM_fish!C:X,22, FALSE))&lt;VALUE(VLOOKUP(V176,imaging_filters!A:K,11, FALSE)), CONCATENATE(CHAR(34),"CamA",CHAR(34)), CONCATENATE(CHAR(34),"CamB",CHAR(34))),"}"), "")), "]"), "")</f>
        <v/>
      </c>
      <c r="Y176" s="11" t="str">
        <f ca="1">IFERROR(
CONCATENATE( "[",
IF(VLOOKUP(E176,Injections!B:F,3, FALSE)&gt;0, CONCATENATE( "{",CHAR(34),"target",CHAR(34),":",CHAR(34),VLOOKUP(E176,Injections!B:F,2, FALSE),CHAR(34),",", CHAR(34), "excitation",CHAR(34), ":", VLOOKUP(E176,Injections!B:F,3, FALSE), ",",  CHAR(34), "camera",CHAR(34), ":",
IF(VALUE(VLOOKUP(E176,Injections!B:F,3, FALSE))&lt;VALUE(VLOOKUP(V176,imaging_filters!A:C,2, FALSE)), CONCATENATE(CHAR(34),"CamA",CHAR(34)), CONCATENATE(CHAR(34),"CamB",CHAR(34))),"}"), ""),
IF(VLOOKUP(E176,Injections!B:F,5, FALSE)&gt;0, CONCATENATE(",{",CHAR(34),"target",CHAR(34),":",CHAR(34),VLOOKUP(E176,Injections!B:F,4, FALSE),CHAR(34),",", CHAR(34), "excitation",CHAR(34), ":", VLOOKUP(E176,Injections!B:F,5, FALSE), ",",  CHAR(34), "camera",CHAR(34), ":",
IF(VALUE(VLOOKUP(E176,Injections!B:F,5, FALSE))&lt;VALUE(VLOOKUP(V176,imaging_filters!A:C,2, FALSE)), CONCATENATE(CHAR(34),"CamA",CHAR(34)), CONCATENATE(CHAR(34),"CamB",CHAR(34))),"}"), ""),
 "]"), "[]")</f>
        <v>[]</v>
      </c>
      <c r="Z176" s="11" t="str">
        <f ca="1">IFERROR(
CONCATENATE( "[",
IF(VLOOKUP(F176,Injections!H:L,3, FALSE)&gt;0, CONCATENATE( "{",CHAR(34),"target",CHAR(34),":",CHAR(34),VLOOKUP(F176,Injections!H:L,2, FALSE),CHAR(34),",", CHAR(34), "excitation",CHAR(34), ":", VLOOKUP(F176,Injections!H:L,3, FALSE), ",",  CHAR(34), "camera",CHAR(34), ":",
IF(VALUE(VLOOKUP(F176,Injections!H:L,3, FALSE))&lt;VALUE(VLOOKUP(V176,imaging_filters!A:K,11, FALSE)), CONCATENATE(CHAR(34),"CamA",CHAR(34)), CONCATENATE(CHAR(34),"CamB",CHAR(34))),"}"), ""),
IF(VLOOKUP(F176,Injections!H:L,5, FALSE)&gt;0, CONCATENATE(",{",CHAR(34),"target",CHAR(34),":",CHAR(34),VLOOKUP(F176,Injections!H:L,4, FALSE),CHAR(34),",", CHAR(34), "excitation",CHAR(34), ":", VLOOKUP(F176,Injections!H:L,5, FALSE), ",",  CHAR(34), "camera",CHAR(34), ":",
IF(VALUE(VLOOKUP(F176,Injections!H:L,5, FALSE))&lt;VALUE(VLOOKUP(V176,imaging_filters!A:K,11, FALSE)), CONCATENATE(CHAR(34),"CamA",CHAR(34)), CONCATENATE(CHAR(34),"CamB",CHAR(34))),"}"), ""),
 "]"), "[]")</f>
        <v>[]</v>
      </c>
      <c r="AA176" s="11"/>
    </row>
    <row r="177" spans="1:27" ht="15.75" customHeight="1" x14ac:dyDescent="0.15">
      <c r="A177" s="7">
        <f t="shared" si="4"/>
        <v>45826</v>
      </c>
      <c r="B177" s="1"/>
      <c r="C177" s="1" t="s">
        <v>276</v>
      </c>
      <c r="D177" s="1" t="s">
        <v>286</v>
      </c>
      <c r="F177" s="1" t="s">
        <v>277</v>
      </c>
      <c r="G177" s="8"/>
      <c r="H177" s="8"/>
      <c r="I177" s="8">
        <v>45825</v>
      </c>
      <c r="M177" s="8">
        <v>45826</v>
      </c>
      <c r="N177" s="1" t="s">
        <v>302</v>
      </c>
      <c r="Q177" s="1" t="s">
        <v>300</v>
      </c>
      <c r="R177" s="10" t="str">
        <f ca="1">IFERROR(__xludf.DUMMYFUNCTION("JOIN("","", SORT(UNIQUE(TOCOL({VLOOKUP(D177,DM_fish!A:B,2,FALSE),VLOOKUP(C177,DM_fish!A:B,2,FALSE), ARRAYFORMULA(VLOOKUP(SPLIT(E177, "", ""),Injections!B:G,6,FALSE)), ARRAYFORMULA(VLOOKUP(SPLIT(F177, "", ""),Injections!H:M,6,FALSE)), ARRAYFORMULA(VLOOKUP("&amp;"SPLIT(G177, "", ""),Injections!N:S,6,FALSE)), ARRAYFORMULA(VLOOKUP(SPLIT(H177, "", ""),Injections!T:Y,6,FALSE)) },3))))"),",membrane")</f>
        <v>,membrane</v>
      </c>
      <c r="S177" s="10" t="str">
        <f ca="1">IFERROR(__xludf.DUMMYFUNCTION("IFERROR(JOIN("","", SPLIT(R177, "","", TRUE ,TRUE)), """")"),"membrane")</f>
        <v>membrane</v>
      </c>
      <c r="T177" s="1" t="s">
        <v>303</v>
      </c>
      <c r="U177" s="1">
        <v>181</v>
      </c>
      <c r="V177" s="1" t="s">
        <v>280</v>
      </c>
      <c r="W177" s="12" t="str">
        <f ca="1">IFERROR(CONCATENATE("[", CONCATENATE(IF(VLOOKUP(D177,DM_fish!C:X,14, FALSE)&gt;0, CONCATENATE("{",CHAR(34),"target",CHAR(34),":",CHAR(34),VLOOKUP(D177,DM_fish!C:X,13, FALSE),CHAR(34),",", CHAR(34), "excitation",CHAR(34), ":", VLOOKUP(D177,DM_fish!C:X,14, FALSE), ",",  CHAR(34), "camera",CHAR(34), ":", IF(VALUE(VLOOKUP(D177,DM_fish!C:X,14, FALSE))&lt;VALUE(VLOOKUP(V177,imaging_filters!A:K,11, FALSE)), CONCATENATE(CHAR(34),"CamA",CHAR(34)), CONCATENATE(CHAR(34),"CamB",CHAR(34))),"}"), ""),IF(VLOOKUP(D177,DM_fish!C:X,16, FALSE)&gt;0, CONCATENATE(",{",CHAR(34),"target",CHAR(34),":",CHAR(34),VLOOKUP(D177,DM_fish!C:X,15, FALSE),CHAR(34),",", CHAR(34), "excitation",CHAR(34), ":", VLOOKUP(D177,DM_fish!C:X,16, FALSE), ",",  CHAR(34), "camera",CHAR(34), ":", IF(VALUE(VLOOKUP(D177,DM_fish!C:X,16, FALSE))&lt;VALUE(VLOOKUP(V177,imaging_filters!A:K,11, FALSE)), CONCATENATE(CHAR(34),"CamA",CHAR(34)), CONCATENATE(CHAR(34),"CamB",CHAR(34))),"}"), ""),IF(VLOOKUP(D177,DM_fish!C:X,18, FALSE)&gt;0, CONCATENATE(",{",CHAR(34),"target",CHAR(34),":",CHAR(34),VLOOKUP(D177,DM_fish!C:X,17, FALSE),CHAR(34),",", CHAR(34), "excitation",CHAR(34), ":", VLOOKUP(D177,DM_fish!C:X,18, FALSE), ",",  CHAR(34), "camera",CHAR(34), ":", IF(VALUE(VLOOKUP(D177,DM_fish!C:X,18, FALSE))&lt;VALUE(VLOOKUP(V177,imaging_filters!A:K,11, FALSE)), CONCATENATE(CHAR(34),"CamA",CHAR(34)), CONCATENATE(CHAR(34),"CamB",CHAR(34))),"}"), ""),IF(VLOOKUP(D177,DM_fish!C:X,20, FALSE)&gt;0, CONCATENATE(",{",CHAR(34),"target",CHAR(34),":",CHAR(34),VLOOKUP(D177,DM_fish!C:X,19, FALSE),CHAR(34),",", CHAR(34), "excitation",CHAR(34), ":", VLOOKUP(D177,DM_fish!C:X,20, FALSE), ",",  CHAR(34), "camera",CHAR(34), ":", IF(VALUE(VLOOKUP(D177,DM_fish!C:X,20, FALSE))&lt;VALUE(VLOOKUP(V177,imaging_filters!A:K,11, FALSE)), CONCATENATE(CHAR(34),"CamA",CHAR(34)), CONCATENATE(CHAR(34),"CamB",CHAR(34))),"}"), ""),IF(VLOOKUP(D177,DM_fish!C:X,22, FALSE)&gt;0, CONCATENATE(",{",CHAR(34),"target",CHAR(34),":",CHAR(34),VLOOKUP(D177,DM_fish!C:X,21, FALSE),CHAR(34),",", CHAR(34), "excitation",CHAR(34), ":", VLOOKUP(D177,DM_fish!C:X,22, FALSE), ",",  CHAR(34), "camera",CHAR(34), ":", IF(VALUE(VLOOKUP(D177,DM_fish!C:X,22, FALSE))&lt;VALUE(VLOOKUP(V177,imaging_filters!A:K,11, FALSE)), CONCATENATE(CHAR(34),"CamA",CHAR(34)), CONCATENATE(CHAR(34),"CamB",CHAR(34))),"}"), "")), "]"), "")</f>
        <v/>
      </c>
      <c r="X177" s="12" t="str">
        <f ca="1">IFERROR(
CONCATENATE("[", CONCATENATE(IF(VLOOKUP(C177,DM_fish!C:X,14, FALSE)&gt;0, CONCATENATE("{",CHAR(34),"target",CHAR(34),":",CHAR(34),VLOOKUP(C177,DM_fish!C:X,13, FALSE),CHAR(34),",", CHAR(34), "excitation",CHAR(34), ":", VLOOKUP(C177,DM_fish!C:X,14, FALSE), ",",  CHAR(34), "camera",CHAR(34), ":", IF(VALUE(VLOOKUP(C177,DM_fish!C:X,14, FALSE))&lt;VALUE(VLOOKUP(V177,imaging_filters!A:K,11, FALSE)), CONCATENATE(CHAR(34),"CamA",CHAR(34)), CONCATENATE(CHAR(34),"CamB",CHAR(34))),"}"), ""),IF(VLOOKUP(C177,DM_fish!C:X,16, FALSE)&gt;0, CONCATENATE(",{",CHAR(34),"target",CHAR(34),":",CHAR(34),VLOOKUP(C177,DM_fish!C:X,15, FALSE),CHAR(34),",", CHAR(34), "excitation",CHAR(34), ":", VLOOKUP(C177,DM_fish!C:X,16, FALSE), ",",  CHAR(34), "camera",CHAR(34), ":", IF(VALUE(VLOOKUP(C177,DM_fish!C:X,16, FALSE))&lt;VALUE(VLOOKUP(V177,imaging_filters!A:K,11, FALSE)), CONCATENATE(CHAR(34),"CamA",CHAR(34)), CONCATENATE(CHAR(34),"CamB",CHAR(34))),"}"), ""),IF(VLOOKUP(C177,DM_fish!C:X,18, FALSE)&gt;0, CONCATENATE(",{",CHAR(34),"target",CHAR(34),":",CHAR(34),VLOOKUP(C177,DM_fish!C:X,17, FALSE),CHAR(34),",", CHAR(34), "excitation",CHAR(34), ":", VLOOKUP(C177,DM_fish!C:X,18, FALSE), ",",  CHAR(34), "camera",CHAR(34), ":", IF(VALUE(VLOOKUP(C177,DM_fish!C:X,18, FALSE))&lt;VALUE(VLOOKUP(V177,imaging_filters!A:K,11, FALSE)), CONCATENATE(CHAR(34),"CamA",CHAR(34)), CONCATENATE(CHAR(34),"CamB",CHAR(34))),"}"), ""),IF(VLOOKUP(C177,DM_fish!C:X,20, FALSE)&gt;0, CONCATENATE(",{",CHAR(34),"target",CHAR(34),":",CHAR(34),VLOOKUP(C177,DM_fish!C:X,19, FALSE),CHAR(34),",", CHAR(34), "excitation",CHAR(34), ":", VLOOKUP(C177,DM_fish!C:X,20, FALSE), ",",  CHAR(34), "camera",CHAR(34), ":", IF(VALUE(VLOOKUP(C177,DM_fish!C:X,20, FALSE))&lt;VALUE(VLOOKUP(V177,imaging_filters!A:K,11, FALSE)), CONCATENATE(CHAR(34),"CamA",CHAR(34)), CONCATENATE(CHAR(34),"CamB",CHAR(34))),"}"), ""),IF(VLOOKUP(C177,DM_fish!C:X,22, FALSE)&gt;0, CONCATENATE(",{",CHAR(34),"target",CHAR(34),":",CHAR(34),VLOOKUP(C177,DM_fish!C:X,21, FALSE),CHAR(34),",", CHAR(34), "excitation",CHAR(34), ":", VLOOKUP(C177,DM_fish!C:X,22, FALSE), ",",  CHAR(34), "camera",CHAR(34), ":", IF(VALUE(VLOOKUP(C177,DM_fish!C:X,22, FALSE))&lt;VALUE(VLOOKUP(V177,imaging_filters!A:K,11, FALSE)), CONCATENATE(CHAR(34),"CamA",CHAR(34)), CONCATENATE(CHAR(34),"CamB",CHAR(34))),"}"), "")), "]"), "")</f>
        <v/>
      </c>
      <c r="Y177" s="11" t="str">
        <f ca="1">IFERROR(
CONCATENATE( "[",
IF(VLOOKUP(E177,Injections!B:F,3, FALSE)&gt;0, CONCATENATE( "{",CHAR(34),"target",CHAR(34),":",CHAR(34),VLOOKUP(E177,Injections!B:F,2, FALSE),CHAR(34),",", CHAR(34), "excitation",CHAR(34), ":", VLOOKUP(E177,Injections!B:F,3, FALSE), ",",  CHAR(34), "camera",CHAR(34), ":",
IF(VALUE(VLOOKUP(E177,Injections!B:F,3, FALSE))&lt;VALUE(VLOOKUP(V177,imaging_filters!A:C,2, FALSE)), CONCATENATE(CHAR(34),"CamA",CHAR(34)), CONCATENATE(CHAR(34),"CamB",CHAR(34))),"}"), ""),
IF(VLOOKUP(E177,Injections!B:F,5, FALSE)&gt;0, CONCATENATE(",{",CHAR(34),"target",CHAR(34),":",CHAR(34),VLOOKUP(E177,Injections!B:F,4, FALSE),CHAR(34),",", CHAR(34), "excitation",CHAR(34), ":", VLOOKUP(E177,Injections!B:F,5, FALSE), ",",  CHAR(34), "camera",CHAR(34), ":",
IF(VALUE(VLOOKUP(E177,Injections!B:F,5, FALSE))&lt;VALUE(VLOOKUP(V177,imaging_filters!A:C,2, FALSE)), CONCATENATE(CHAR(34),"CamA",CHAR(34)), CONCATENATE(CHAR(34),"CamB",CHAR(34))),"}"), ""),
 "]"), "[]")</f>
        <v>[]</v>
      </c>
      <c r="Z177" s="11" t="str">
        <f ca="1">IFERROR(
CONCATENATE( "[",
IF(VLOOKUP(F177,Injections!H:L,3, FALSE)&gt;0, CONCATENATE( "{",CHAR(34),"target",CHAR(34),":",CHAR(34),VLOOKUP(F177,Injections!H:L,2, FALSE),CHAR(34),",", CHAR(34), "excitation",CHAR(34), ":", VLOOKUP(F177,Injections!H:L,3, FALSE), ",",  CHAR(34), "camera",CHAR(34), ":",
IF(VALUE(VLOOKUP(F177,Injections!H:L,3, FALSE))&lt;VALUE(VLOOKUP(V177,imaging_filters!A:K,11, FALSE)), CONCATENATE(CHAR(34),"CamA",CHAR(34)), CONCATENATE(CHAR(34),"CamB",CHAR(34))),"}"), ""),
IF(VLOOKUP(F177,Injections!H:L,5, FALSE)&gt;0, CONCATENATE(",{",CHAR(34),"target",CHAR(34),":",CHAR(34),VLOOKUP(F177,Injections!H:L,4, FALSE),CHAR(34),",", CHAR(34), "excitation",CHAR(34), ":", VLOOKUP(F177,Injections!H:L,5, FALSE), ",",  CHAR(34), "camera",CHAR(34), ":",
IF(VALUE(VLOOKUP(F177,Injections!H:L,5, FALSE))&lt;VALUE(VLOOKUP(V177,imaging_filters!A:K,11, FALSE)), CONCATENATE(CHAR(34),"CamA",CHAR(34)), CONCATENATE(CHAR(34),"CamB",CHAR(34))),"}"), ""),
 "]"), "[]")</f>
        <v>[]</v>
      </c>
      <c r="AA177" s="11"/>
    </row>
    <row r="178" spans="1:27" ht="15.75" customHeight="1" x14ac:dyDescent="0.15">
      <c r="A178" s="7">
        <f t="shared" si="4"/>
        <v>45825</v>
      </c>
      <c r="B178" s="1"/>
      <c r="C178" s="1" t="s">
        <v>253</v>
      </c>
      <c r="D178" s="1" t="s">
        <v>253</v>
      </c>
      <c r="E178" s="1"/>
      <c r="F178" s="1" t="s">
        <v>64</v>
      </c>
      <c r="G178" s="8"/>
      <c r="H178" s="8"/>
      <c r="I178" s="8">
        <v>45824</v>
      </c>
      <c r="K178" s="1" t="s">
        <v>56</v>
      </c>
      <c r="M178" s="8">
        <v>45825</v>
      </c>
      <c r="Q178" s="1" t="s">
        <v>304</v>
      </c>
      <c r="R178" s="10" t="str">
        <f ca="1">IFERROR(__xludf.DUMMYFUNCTION("JOIN("","", SORT(UNIQUE(TOCOL({VLOOKUP(D178,DM_fish!A:B,2,FALSE),VLOOKUP(C178,DM_fish!A:B,2,FALSE), ARRAYFORMULA(VLOOKUP(SPLIT(E178, "", ""),Injections!B:G,6,FALSE)), ARRAYFORMULA(VLOOKUP(SPLIT(F178, "", ""),Injections!H:M,6,FALSE)), ARRAYFORMULA(VLOOKUP("&amp;"SPLIT(G178, "", ""),Injections!N:S,6,FALSE)), ARRAYFORMULA(VLOOKUP(SPLIT(H178, "", ""),Injections!T:Y,6,FALSE)) },3))))"),"nuclei")</f>
        <v>nuclei</v>
      </c>
      <c r="S178" s="10" t="str">
        <f ca="1">IFERROR(__xludf.DUMMYFUNCTION("IFERROR(JOIN("","", SPLIT(R178, "","", TRUE ,TRUE)), """")"),"nuclei")</f>
        <v>nuclei</v>
      </c>
      <c r="T178" s="1" t="s">
        <v>305</v>
      </c>
      <c r="U178" s="1">
        <v>1382</v>
      </c>
      <c r="V178" s="1" t="s">
        <v>203</v>
      </c>
      <c r="W178" s="12" t="str">
        <f ca="1">IFERROR(CONCATENATE("[", CONCATENATE(IF(VLOOKUP(D178,DM_fish!C:X,14, FALSE)&gt;0, CONCATENATE("{",CHAR(34),"target",CHAR(34),":",CHAR(34),VLOOKUP(D178,DM_fish!C:X,13, FALSE),CHAR(34),",", CHAR(34), "excitation",CHAR(34), ":", VLOOKUP(D178,DM_fish!C:X,14, FALSE), ",",  CHAR(34), "camera",CHAR(34), ":", IF(VALUE(VLOOKUP(D178,DM_fish!C:X,14, FALSE))&lt;VALUE(VLOOKUP(V178,imaging_filters!A:K,11, FALSE)), CONCATENATE(CHAR(34),"CamA",CHAR(34)), CONCATENATE(CHAR(34),"CamB",CHAR(34))),"}"), ""),IF(VLOOKUP(D178,DM_fish!C:X,16, FALSE)&gt;0, CONCATENATE(",{",CHAR(34),"target",CHAR(34),":",CHAR(34),VLOOKUP(D178,DM_fish!C:X,15, FALSE),CHAR(34),",", CHAR(34), "excitation",CHAR(34), ":", VLOOKUP(D178,DM_fish!C:X,16, FALSE), ",",  CHAR(34), "camera",CHAR(34), ":", IF(VALUE(VLOOKUP(D178,DM_fish!C:X,16, FALSE))&lt;VALUE(VLOOKUP(V178,imaging_filters!A:K,11, FALSE)), CONCATENATE(CHAR(34),"CamA",CHAR(34)), CONCATENATE(CHAR(34),"CamB",CHAR(34))),"}"), ""),IF(VLOOKUP(D178,DM_fish!C:X,18, FALSE)&gt;0, CONCATENATE(",{",CHAR(34),"target",CHAR(34),":",CHAR(34),VLOOKUP(D178,DM_fish!C:X,17, FALSE),CHAR(34),",", CHAR(34), "excitation",CHAR(34), ":", VLOOKUP(D178,DM_fish!C:X,18, FALSE), ",",  CHAR(34), "camera",CHAR(34), ":", IF(VALUE(VLOOKUP(D178,DM_fish!C:X,18, FALSE))&lt;VALUE(VLOOKUP(V178,imaging_filters!A:K,11, FALSE)), CONCATENATE(CHAR(34),"CamA",CHAR(34)), CONCATENATE(CHAR(34),"CamB",CHAR(34))),"}"), ""),IF(VLOOKUP(D178,DM_fish!C:X,20, FALSE)&gt;0, CONCATENATE(",{",CHAR(34),"target",CHAR(34),":",CHAR(34),VLOOKUP(D178,DM_fish!C:X,19, FALSE),CHAR(34),",", CHAR(34), "excitation",CHAR(34), ":", VLOOKUP(D178,DM_fish!C:X,20, FALSE), ",",  CHAR(34), "camera",CHAR(34), ":", IF(VALUE(VLOOKUP(D178,DM_fish!C:X,20, FALSE))&lt;VALUE(VLOOKUP(V178,imaging_filters!A:K,11, FALSE)), CONCATENATE(CHAR(34),"CamA",CHAR(34)), CONCATENATE(CHAR(34),"CamB",CHAR(34))),"}"), ""),IF(VLOOKUP(D178,DM_fish!C:X,22, FALSE)&gt;0, CONCATENATE(",{",CHAR(34),"target",CHAR(34),":",CHAR(34),VLOOKUP(D178,DM_fish!C:X,21, FALSE),CHAR(34),",", CHAR(34), "excitation",CHAR(34), ":", VLOOKUP(D178,DM_fish!C:X,22, FALSE), ",",  CHAR(34), "camera",CHAR(34), ":", IF(VALUE(VLOOKUP(D178,DM_fish!C:X,22, FALSE))&lt;VALUE(VLOOKUP(V178,imaging_filters!A:K,11, FALSE)), CONCATENATE(CHAR(34),"CamA",CHAR(34)), CONCATENATE(CHAR(34),"CamB",CHAR(34))),"}"), "")), "]"), "")</f>
        <v/>
      </c>
      <c r="X178" s="12" t="str">
        <f ca="1">IFERROR(
CONCATENATE("[", CONCATENATE(IF(VLOOKUP(C178,DM_fish!C:X,14, FALSE)&gt;0, CONCATENATE("{",CHAR(34),"target",CHAR(34),":",CHAR(34),VLOOKUP(C178,DM_fish!C:X,13, FALSE),CHAR(34),",", CHAR(34), "excitation",CHAR(34), ":", VLOOKUP(C178,DM_fish!C:X,14, FALSE), ",",  CHAR(34), "camera",CHAR(34), ":", IF(VALUE(VLOOKUP(C178,DM_fish!C:X,14, FALSE))&lt;VALUE(VLOOKUP(V178,imaging_filters!A:K,11, FALSE)), CONCATENATE(CHAR(34),"CamA",CHAR(34)), CONCATENATE(CHAR(34),"CamB",CHAR(34))),"}"), ""),IF(VLOOKUP(C178,DM_fish!C:X,16, FALSE)&gt;0, CONCATENATE(",{",CHAR(34),"target",CHAR(34),":",CHAR(34),VLOOKUP(C178,DM_fish!C:X,15, FALSE),CHAR(34),",", CHAR(34), "excitation",CHAR(34), ":", VLOOKUP(C178,DM_fish!C:X,16, FALSE), ",",  CHAR(34), "camera",CHAR(34), ":", IF(VALUE(VLOOKUP(C178,DM_fish!C:X,16, FALSE))&lt;VALUE(VLOOKUP(V178,imaging_filters!A:K,11, FALSE)), CONCATENATE(CHAR(34),"CamA",CHAR(34)), CONCATENATE(CHAR(34),"CamB",CHAR(34))),"}"), ""),IF(VLOOKUP(C178,DM_fish!C:X,18, FALSE)&gt;0, CONCATENATE(",{",CHAR(34),"target",CHAR(34),":",CHAR(34),VLOOKUP(C178,DM_fish!C:X,17, FALSE),CHAR(34),",", CHAR(34), "excitation",CHAR(34), ":", VLOOKUP(C178,DM_fish!C:X,18, FALSE), ",",  CHAR(34), "camera",CHAR(34), ":", IF(VALUE(VLOOKUP(C178,DM_fish!C:X,18, FALSE))&lt;VALUE(VLOOKUP(V178,imaging_filters!A:K,11, FALSE)), CONCATENATE(CHAR(34),"CamA",CHAR(34)), CONCATENATE(CHAR(34),"CamB",CHAR(34))),"}"), ""),IF(VLOOKUP(C178,DM_fish!C:X,20, FALSE)&gt;0, CONCATENATE(",{",CHAR(34),"target",CHAR(34),":",CHAR(34),VLOOKUP(C178,DM_fish!C:X,19, FALSE),CHAR(34),",", CHAR(34), "excitation",CHAR(34), ":", VLOOKUP(C178,DM_fish!C:X,20, FALSE), ",",  CHAR(34), "camera",CHAR(34), ":", IF(VALUE(VLOOKUP(C178,DM_fish!C:X,20, FALSE))&lt;VALUE(VLOOKUP(V178,imaging_filters!A:K,11, FALSE)), CONCATENATE(CHAR(34),"CamA",CHAR(34)), CONCATENATE(CHAR(34),"CamB",CHAR(34))),"}"), ""),IF(VLOOKUP(C178,DM_fish!C:X,22, FALSE)&gt;0, CONCATENATE(",{",CHAR(34),"target",CHAR(34),":",CHAR(34),VLOOKUP(C178,DM_fish!C:X,21, FALSE),CHAR(34),",", CHAR(34), "excitation",CHAR(34), ":", VLOOKUP(C178,DM_fish!C:X,22, FALSE), ",",  CHAR(34), "camera",CHAR(34), ":", IF(VALUE(VLOOKUP(C178,DM_fish!C:X,22, FALSE))&lt;VALUE(VLOOKUP(V178,imaging_filters!A:K,11, FALSE)), CONCATENATE(CHAR(34),"CamA",CHAR(34)), CONCATENATE(CHAR(34),"CamB",CHAR(34))),"}"), "")), "]"), "")</f>
        <v/>
      </c>
      <c r="Y178" s="11" t="str">
        <f ca="1">IFERROR(
CONCATENATE( "[",
IF(VLOOKUP(E178,Injections!B:F,3, FALSE)&gt;0, CONCATENATE( "{",CHAR(34),"target",CHAR(34),":",CHAR(34),VLOOKUP(E178,Injections!B:F,2, FALSE),CHAR(34),",", CHAR(34), "excitation",CHAR(34), ":", VLOOKUP(E178,Injections!B:F,3, FALSE), ",",  CHAR(34), "camera",CHAR(34), ":",
IF(VALUE(VLOOKUP(E178,Injections!B:F,3, FALSE))&lt;VALUE(VLOOKUP(V178,imaging_filters!A:C,2, FALSE)), CONCATENATE(CHAR(34),"CamA",CHAR(34)), CONCATENATE(CHAR(34),"CamB",CHAR(34))),"}"), ""),
IF(VLOOKUP(E178,Injections!B:F,5, FALSE)&gt;0, CONCATENATE(",{",CHAR(34),"target",CHAR(34),":",CHAR(34),VLOOKUP(E178,Injections!B:F,4, FALSE),CHAR(34),",", CHAR(34), "excitation",CHAR(34), ":", VLOOKUP(E178,Injections!B:F,5, FALSE), ",",  CHAR(34), "camera",CHAR(34), ":",
IF(VALUE(VLOOKUP(E178,Injections!B:F,5, FALSE))&lt;VALUE(VLOOKUP(V178,imaging_filters!A:C,2, FALSE)), CONCATENATE(CHAR(34),"CamA",CHAR(34)), CONCATENATE(CHAR(34),"CamB",CHAR(34))),"}"), ""),
 "]"), "[]")</f>
        <v>[]</v>
      </c>
      <c r="Z178" s="11" t="str">
        <f ca="1">IFERROR(
CONCATENATE( "[",
IF(VLOOKUP(F178,Injections!H:L,3, FALSE)&gt;0, CONCATENATE( "{",CHAR(34),"target",CHAR(34),":",CHAR(34),VLOOKUP(F178,Injections!H:L,2, FALSE),CHAR(34),",", CHAR(34), "excitation",CHAR(34), ":", VLOOKUP(F178,Injections!H:L,3, FALSE), ",",  CHAR(34), "camera",CHAR(34), ":",
IF(VALUE(VLOOKUP(F178,Injections!H:L,3, FALSE))&lt;VALUE(VLOOKUP(V178,imaging_filters!A:K,11, FALSE)), CONCATENATE(CHAR(34),"CamA",CHAR(34)), CONCATENATE(CHAR(34),"CamB",CHAR(34))),"}"), ""),
IF(VLOOKUP(F178,Injections!H:L,5, FALSE)&gt;0, CONCATENATE(",{",CHAR(34),"target",CHAR(34),":",CHAR(34),VLOOKUP(F178,Injections!H:L,4, FALSE),CHAR(34),",", CHAR(34), "excitation",CHAR(34), ":", VLOOKUP(F178,Injections!H:L,5, FALSE), ",",  CHAR(34), "camera",CHAR(34), ":",
IF(VALUE(VLOOKUP(F178,Injections!H:L,5, FALSE))&lt;VALUE(VLOOKUP(V178,imaging_filters!A:K,11, FALSE)), CONCATENATE(CHAR(34),"CamA",CHAR(34)), CONCATENATE(CHAR(34),"CamB",CHAR(34))),"}"), ""),
 "]"), "[]")</f>
        <v>[{"target":"nuclei","excitation":560,"camera":"CamB"}]</v>
      </c>
      <c r="AA178" s="11"/>
    </row>
    <row r="179" spans="1:27" ht="15.75" customHeight="1" x14ac:dyDescent="0.15">
      <c r="A179" s="7">
        <f t="shared" si="4"/>
        <v>45824</v>
      </c>
      <c r="B179" s="1"/>
      <c r="C179" s="1" t="s">
        <v>253</v>
      </c>
      <c r="D179" s="1" t="s">
        <v>253</v>
      </c>
      <c r="E179" s="1"/>
      <c r="F179" s="1" t="s">
        <v>64</v>
      </c>
      <c r="G179" s="8"/>
      <c r="H179" s="8"/>
      <c r="I179" s="8">
        <v>45822</v>
      </c>
      <c r="K179" s="1" t="s">
        <v>246</v>
      </c>
      <c r="M179" s="8">
        <v>45824</v>
      </c>
      <c r="Q179" s="1" t="s">
        <v>306</v>
      </c>
      <c r="R179" s="10" t="str">
        <f ca="1">IFERROR(__xludf.DUMMYFUNCTION("JOIN("","", SORT(UNIQUE(TOCOL({VLOOKUP(D179,DM_fish!A:B,2,FALSE),VLOOKUP(C179,DM_fish!A:B,2,FALSE), ARRAYFORMULA(VLOOKUP(SPLIT(E179, "", ""),Injections!B:G,6,FALSE)), ARRAYFORMULA(VLOOKUP(SPLIT(F179, "", ""),Injections!H:M,6,FALSE)), ARRAYFORMULA(VLOOKUP("&amp;"SPLIT(G179, "", ""),Injections!N:S,6,FALSE)), ARRAYFORMULA(VLOOKUP(SPLIT(H179, "", ""),Injections!T:Y,6,FALSE)) },3))))"),"nuclei")</f>
        <v>nuclei</v>
      </c>
      <c r="S179" s="10" t="str">
        <f ca="1">IFERROR(__xludf.DUMMYFUNCTION("IFERROR(JOIN("","", SPLIT(R179, "","", TRUE ,TRUE)), """")"),"nuclei")</f>
        <v>nuclei</v>
      </c>
      <c r="T179" s="1" t="s">
        <v>307</v>
      </c>
      <c r="U179" s="1">
        <v>2816</v>
      </c>
      <c r="V179" s="1" t="s">
        <v>203</v>
      </c>
      <c r="W179" s="12" t="str">
        <f ca="1">IFERROR(CONCATENATE("[", CONCATENATE(IF(VLOOKUP(D179,DM_fish!C:X,14, FALSE)&gt;0, CONCATENATE("{",CHAR(34),"target",CHAR(34),":",CHAR(34),VLOOKUP(D179,DM_fish!C:X,13, FALSE),CHAR(34),",", CHAR(34), "excitation",CHAR(34), ":", VLOOKUP(D179,DM_fish!C:X,14, FALSE), ",",  CHAR(34), "camera",CHAR(34), ":", IF(VALUE(VLOOKUP(D179,DM_fish!C:X,14, FALSE))&lt;VALUE(VLOOKUP(V179,imaging_filters!A:K,11, FALSE)), CONCATENATE(CHAR(34),"CamA",CHAR(34)), CONCATENATE(CHAR(34),"CamB",CHAR(34))),"}"), ""),IF(VLOOKUP(D179,DM_fish!C:X,16, FALSE)&gt;0, CONCATENATE(",{",CHAR(34),"target",CHAR(34),":",CHAR(34),VLOOKUP(D179,DM_fish!C:X,15, FALSE),CHAR(34),",", CHAR(34), "excitation",CHAR(34), ":", VLOOKUP(D179,DM_fish!C:X,16, FALSE), ",",  CHAR(34), "camera",CHAR(34), ":", IF(VALUE(VLOOKUP(D179,DM_fish!C:X,16, FALSE))&lt;VALUE(VLOOKUP(V179,imaging_filters!A:K,11, FALSE)), CONCATENATE(CHAR(34),"CamA",CHAR(34)), CONCATENATE(CHAR(34),"CamB",CHAR(34))),"}"), ""),IF(VLOOKUP(D179,DM_fish!C:X,18, FALSE)&gt;0, CONCATENATE(",{",CHAR(34),"target",CHAR(34),":",CHAR(34),VLOOKUP(D179,DM_fish!C:X,17, FALSE),CHAR(34),",", CHAR(34), "excitation",CHAR(34), ":", VLOOKUP(D179,DM_fish!C:X,18, FALSE), ",",  CHAR(34), "camera",CHAR(34), ":", IF(VALUE(VLOOKUP(D179,DM_fish!C:X,18, FALSE))&lt;VALUE(VLOOKUP(V179,imaging_filters!A:K,11, FALSE)), CONCATENATE(CHAR(34),"CamA",CHAR(34)), CONCATENATE(CHAR(34),"CamB",CHAR(34))),"}"), ""),IF(VLOOKUP(D179,DM_fish!C:X,20, FALSE)&gt;0, CONCATENATE(",{",CHAR(34),"target",CHAR(34),":",CHAR(34),VLOOKUP(D179,DM_fish!C:X,19, FALSE),CHAR(34),",", CHAR(34), "excitation",CHAR(34), ":", VLOOKUP(D179,DM_fish!C:X,20, FALSE), ",",  CHAR(34), "camera",CHAR(34), ":", IF(VALUE(VLOOKUP(D179,DM_fish!C:X,20, FALSE))&lt;VALUE(VLOOKUP(V179,imaging_filters!A:K,11, FALSE)), CONCATENATE(CHAR(34),"CamA",CHAR(34)), CONCATENATE(CHAR(34),"CamB",CHAR(34))),"}"), ""),IF(VLOOKUP(D179,DM_fish!C:X,22, FALSE)&gt;0, CONCATENATE(",{",CHAR(34),"target",CHAR(34),":",CHAR(34),VLOOKUP(D179,DM_fish!C:X,21, FALSE),CHAR(34),",", CHAR(34), "excitation",CHAR(34), ":", VLOOKUP(D179,DM_fish!C:X,22, FALSE), ",",  CHAR(34), "camera",CHAR(34), ":", IF(VALUE(VLOOKUP(D179,DM_fish!C:X,22, FALSE))&lt;VALUE(VLOOKUP(V179,imaging_filters!A:K,11, FALSE)), CONCATENATE(CHAR(34),"CamA",CHAR(34)), CONCATENATE(CHAR(34),"CamB",CHAR(34))),"}"), "")), "]"), "")</f>
        <v/>
      </c>
      <c r="X179" s="12" t="str">
        <f ca="1">IFERROR(
CONCATENATE("[", CONCATENATE(IF(VLOOKUP(C179,DM_fish!C:X,14, FALSE)&gt;0, CONCATENATE("{",CHAR(34),"target",CHAR(34),":",CHAR(34),VLOOKUP(C179,DM_fish!C:X,13, FALSE),CHAR(34),",", CHAR(34), "excitation",CHAR(34), ":", VLOOKUP(C179,DM_fish!C:X,14, FALSE), ",",  CHAR(34), "camera",CHAR(34), ":", IF(VALUE(VLOOKUP(C179,DM_fish!C:X,14, FALSE))&lt;VALUE(VLOOKUP(V179,imaging_filters!A:K,11, FALSE)), CONCATENATE(CHAR(34),"CamA",CHAR(34)), CONCATENATE(CHAR(34),"CamB",CHAR(34))),"}"), ""),IF(VLOOKUP(C179,DM_fish!C:X,16, FALSE)&gt;0, CONCATENATE(",{",CHAR(34),"target",CHAR(34),":",CHAR(34),VLOOKUP(C179,DM_fish!C:X,15, FALSE),CHAR(34),",", CHAR(34), "excitation",CHAR(34), ":", VLOOKUP(C179,DM_fish!C:X,16, FALSE), ",",  CHAR(34), "camera",CHAR(34), ":", IF(VALUE(VLOOKUP(C179,DM_fish!C:X,16, FALSE))&lt;VALUE(VLOOKUP(V179,imaging_filters!A:K,11, FALSE)), CONCATENATE(CHAR(34),"CamA",CHAR(34)), CONCATENATE(CHAR(34),"CamB",CHAR(34))),"}"), ""),IF(VLOOKUP(C179,DM_fish!C:X,18, FALSE)&gt;0, CONCATENATE(",{",CHAR(34),"target",CHAR(34),":",CHAR(34),VLOOKUP(C179,DM_fish!C:X,17, FALSE),CHAR(34),",", CHAR(34), "excitation",CHAR(34), ":", VLOOKUP(C179,DM_fish!C:X,18, FALSE), ",",  CHAR(34), "camera",CHAR(34), ":", IF(VALUE(VLOOKUP(C179,DM_fish!C:X,18, FALSE))&lt;VALUE(VLOOKUP(V179,imaging_filters!A:K,11, FALSE)), CONCATENATE(CHAR(34),"CamA",CHAR(34)), CONCATENATE(CHAR(34),"CamB",CHAR(34))),"}"), ""),IF(VLOOKUP(C179,DM_fish!C:X,20, FALSE)&gt;0, CONCATENATE(",{",CHAR(34),"target",CHAR(34),":",CHAR(34),VLOOKUP(C179,DM_fish!C:X,19, FALSE),CHAR(34),",", CHAR(34), "excitation",CHAR(34), ":", VLOOKUP(C179,DM_fish!C:X,20, FALSE), ",",  CHAR(34), "camera",CHAR(34), ":", IF(VALUE(VLOOKUP(C179,DM_fish!C:X,20, FALSE))&lt;VALUE(VLOOKUP(V179,imaging_filters!A:K,11, FALSE)), CONCATENATE(CHAR(34),"CamA",CHAR(34)), CONCATENATE(CHAR(34),"CamB",CHAR(34))),"}"), ""),IF(VLOOKUP(C179,DM_fish!C:X,22, FALSE)&gt;0, CONCATENATE(",{",CHAR(34),"target",CHAR(34),":",CHAR(34),VLOOKUP(C179,DM_fish!C:X,21, FALSE),CHAR(34),",", CHAR(34), "excitation",CHAR(34), ":", VLOOKUP(C179,DM_fish!C:X,22, FALSE), ",",  CHAR(34), "camera",CHAR(34), ":", IF(VALUE(VLOOKUP(C179,DM_fish!C:X,22, FALSE))&lt;VALUE(VLOOKUP(V179,imaging_filters!A:K,11, FALSE)), CONCATENATE(CHAR(34),"CamA",CHAR(34)), CONCATENATE(CHAR(34),"CamB",CHAR(34))),"}"), "")), "]"), "")</f>
        <v/>
      </c>
      <c r="Y179" s="11" t="str">
        <f ca="1">IFERROR(
CONCATENATE( "[",
IF(VLOOKUP(E179,Injections!B:F,3, FALSE)&gt;0, CONCATENATE( "{",CHAR(34),"target",CHAR(34),":",CHAR(34),VLOOKUP(E179,Injections!B:F,2, FALSE),CHAR(34),",", CHAR(34), "excitation",CHAR(34), ":", VLOOKUP(E179,Injections!B:F,3, FALSE), ",",  CHAR(34), "camera",CHAR(34), ":",
IF(VALUE(VLOOKUP(E179,Injections!B:F,3, FALSE))&lt;VALUE(VLOOKUP(V179,imaging_filters!A:C,2, FALSE)), CONCATENATE(CHAR(34),"CamA",CHAR(34)), CONCATENATE(CHAR(34),"CamB",CHAR(34))),"}"), ""),
IF(VLOOKUP(E179,Injections!B:F,5, FALSE)&gt;0, CONCATENATE(",{",CHAR(34),"target",CHAR(34),":",CHAR(34),VLOOKUP(E179,Injections!B:F,4, FALSE),CHAR(34),",", CHAR(34), "excitation",CHAR(34), ":", VLOOKUP(E179,Injections!B:F,5, FALSE), ",",  CHAR(34), "camera",CHAR(34), ":",
IF(VALUE(VLOOKUP(E179,Injections!B:F,5, FALSE))&lt;VALUE(VLOOKUP(V179,imaging_filters!A:C,2, FALSE)), CONCATENATE(CHAR(34),"CamA",CHAR(34)), CONCATENATE(CHAR(34),"CamB",CHAR(34))),"}"), ""),
 "]"), "[]")</f>
        <v>[]</v>
      </c>
      <c r="Z179" s="11" t="str">
        <f ca="1">IFERROR(
CONCATENATE( "[",
IF(VLOOKUP(F179,Injections!H:L,3, FALSE)&gt;0, CONCATENATE( "{",CHAR(34),"target",CHAR(34),":",CHAR(34),VLOOKUP(F179,Injections!H:L,2, FALSE),CHAR(34),",", CHAR(34), "excitation",CHAR(34), ":", VLOOKUP(F179,Injections!H:L,3, FALSE), ",",  CHAR(34), "camera",CHAR(34), ":",
IF(VALUE(VLOOKUP(F179,Injections!H:L,3, FALSE))&lt;VALUE(VLOOKUP(V179,imaging_filters!A:K,11, FALSE)), CONCATENATE(CHAR(34),"CamA",CHAR(34)), CONCATENATE(CHAR(34),"CamB",CHAR(34))),"}"), ""),
IF(VLOOKUP(F179,Injections!H:L,5, FALSE)&gt;0, CONCATENATE(",{",CHAR(34),"target",CHAR(34),":",CHAR(34),VLOOKUP(F179,Injections!H:L,4, FALSE),CHAR(34),",", CHAR(34), "excitation",CHAR(34), ":", VLOOKUP(F179,Injections!H:L,5, FALSE), ",",  CHAR(34), "camera",CHAR(34), ":",
IF(VALUE(VLOOKUP(F179,Injections!H:L,5, FALSE))&lt;VALUE(VLOOKUP(V179,imaging_filters!A:K,11, FALSE)), CONCATENATE(CHAR(34),"CamA",CHAR(34)), CONCATENATE(CHAR(34),"CamB",CHAR(34))),"}"), ""),
 "]"), "[]")</f>
        <v>[{"target":"nuclei","excitation":560,"camera":"CamB"}]</v>
      </c>
      <c r="AA179" s="11"/>
    </row>
    <row r="180" spans="1:27" ht="15.75" customHeight="1" x14ac:dyDescent="0.15">
      <c r="A180" s="7">
        <f t="shared" si="4"/>
        <v>45821</v>
      </c>
      <c r="B180" s="1"/>
      <c r="C180" s="1" t="s">
        <v>275</v>
      </c>
      <c r="D180" s="1" t="s">
        <v>298</v>
      </c>
      <c r="E180" s="1"/>
      <c r="F180" s="1" t="s">
        <v>277</v>
      </c>
      <c r="G180" s="1" t="s">
        <v>308</v>
      </c>
      <c r="H180" s="8"/>
      <c r="I180" s="8">
        <v>45820</v>
      </c>
      <c r="K180" s="1"/>
      <c r="M180" s="8">
        <v>45821</v>
      </c>
      <c r="N180" s="1" t="s">
        <v>309</v>
      </c>
      <c r="Q180" s="1" t="s">
        <v>300</v>
      </c>
      <c r="R180" s="10" t="str">
        <f ca="1">IFERROR(__xludf.DUMMYFUNCTION("JOIN("","", SORT(UNIQUE(TOCOL({VLOOKUP(D180,DM_fish!A:B,2,FALSE),VLOOKUP(C180,DM_fish!A:B,2,FALSE), ARRAYFORMULA(VLOOKUP(SPLIT(E180, "", ""),Injections!B:G,6,FALSE)), ARRAYFORMULA(VLOOKUP(SPLIT(F180, "", ""),Injections!H:M,6,FALSE)), ARRAYFORMULA(VLOOKUP("&amp;"SPLIT(G180, "", ""),Injections!N:S,6,FALSE)), ARRAYFORMULA(VLOOKUP(SPLIT(H180, "", ""),Injections!T:Y,6,FALSE)) },3))))"),",membrane")</f>
        <v>,membrane</v>
      </c>
      <c r="S180" s="10" t="str">
        <f ca="1">IFERROR(__xludf.DUMMYFUNCTION("IFERROR(JOIN("","", SPLIT(R180, "","", TRUE ,TRUE)), """")"),"membrane")</f>
        <v>membrane</v>
      </c>
      <c r="T180" s="1" t="s">
        <v>310</v>
      </c>
      <c r="U180" s="1">
        <v>374</v>
      </c>
      <c r="V180" s="1" t="s">
        <v>280</v>
      </c>
      <c r="W180" s="12" t="str">
        <f ca="1">IFERROR(CONCATENATE("[", CONCATENATE(IF(VLOOKUP(D180,DM_fish!C:X,14, FALSE)&gt;0, CONCATENATE("{",CHAR(34),"target",CHAR(34),":",CHAR(34),VLOOKUP(D180,DM_fish!C:X,13, FALSE),CHAR(34),",", CHAR(34), "excitation",CHAR(34), ":", VLOOKUP(D180,DM_fish!C:X,14, FALSE), ",",  CHAR(34), "camera",CHAR(34), ":", IF(VALUE(VLOOKUP(D180,DM_fish!C:X,14, FALSE))&lt;VALUE(VLOOKUP(V180,imaging_filters!A:K,11, FALSE)), CONCATENATE(CHAR(34),"CamA",CHAR(34)), CONCATENATE(CHAR(34),"CamB",CHAR(34))),"}"), ""),IF(VLOOKUP(D180,DM_fish!C:X,16, FALSE)&gt;0, CONCATENATE(",{",CHAR(34),"target",CHAR(34),":",CHAR(34),VLOOKUP(D180,DM_fish!C:X,15, FALSE),CHAR(34),",", CHAR(34), "excitation",CHAR(34), ":", VLOOKUP(D180,DM_fish!C:X,16, FALSE), ",",  CHAR(34), "camera",CHAR(34), ":", IF(VALUE(VLOOKUP(D180,DM_fish!C:X,16, FALSE))&lt;VALUE(VLOOKUP(V180,imaging_filters!A:K,11, FALSE)), CONCATENATE(CHAR(34),"CamA",CHAR(34)), CONCATENATE(CHAR(34),"CamB",CHAR(34))),"}"), ""),IF(VLOOKUP(D180,DM_fish!C:X,18, FALSE)&gt;0, CONCATENATE(",{",CHAR(34),"target",CHAR(34),":",CHAR(34),VLOOKUP(D180,DM_fish!C:X,17, FALSE),CHAR(34),",", CHAR(34), "excitation",CHAR(34), ":", VLOOKUP(D180,DM_fish!C:X,18, FALSE), ",",  CHAR(34), "camera",CHAR(34), ":", IF(VALUE(VLOOKUP(D180,DM_fish!C:X,18, FALSE))&lt;VALUE(VLOOKUP(V180,imaging_filters!A:K,11, FALSE)), CONCATENATE(CHAR(34),"CamA",CHAR(34)), CONCATENATE(CHAR(34),"CamB",CHAR(34))),"}"), ""),IF(VLOOKUP(D180,DM_fish!C:X,20, FALSE)&gt;0, CONCATENATE(",{",CHAR(34),"target",CHAR(34),":",CHAR(34),VLOOKUP(D180,DM_fish!C:X,19, FALSE),CHAR(34),",", CHAR(34), "excitation",CHAR(34), ":", VLOOKUP(D180,DM_fish!C:X,20, FALSE), ",",  CHAR(34), "camera",CHAR(34), ":", IF(VALUE(VLOOKUP(D180,DM_fish!C:X,20, FALSE))&lt;VALUE(VLOOKUP(V180,imaging_filters!A:K,11, FALSE)), CONCATENATE(CHAR(34),"CamA",CHAR(34)), CONCATENATE(CHAR(34),"CamB",CHAR(34))),"}"), ""),IF(VLOOKUP(D180,DM_fish!C:X,22, FALSE)&gt;0, CONCATENATE(",{",CHAR(34),"target",CHAR(34),":",CHAR(34),VLOOKUP(D180,DM_fish!C:X,21, FALSE),CHAR(34),",", CHAR(34), "excitation",CHAR(34), ":", VLOOKUP(D180,DM_fish!C:X,22, FALSE), ",",  CHAR(34), "camera",CHAR(34), ":", IF(VALUE(VLOOKUP(D180,DM_fish!C:X,22, FALSE))&lt;VALUE(VLOOKUP(V180,imaging_filters!A:K,11, FALSE)), CONCATENATE(CHAR(34),"CamA",CHAR(34)), CONCATENATE(CHAR(34),"CamB",CHAR(34))),"}"), "")), "]"), "")</f>
        <v/>
      </c>
      <c r="X180" s="12" t="str">
        <f ca="1">IFERROR(
CONCATENATE("[", CONCATENATE(IF(VLOOKUP(C180,DM_fish!C:X,14, FALSE)&gt;0, CONCATENATE("{",CHAR(34),"target",CHAR(34),":",CHAR(34),VLOOKUP(C180,DM_fish!C:X,13, FALSE),CHAR(34),",", CHAR(34), "excitation",CHAR(34), ":", VLOOKUP(C180,DM_fish!C:X,14, FALSE), ",",  CHAR(34), "camera",CHAR(34), ":", IF(VALUE(VLOOKUP(C180,DM_fish!C:X,14, FALSE))&lt;VALUE(VLOOKUP(V180,imaging_filters!A:K,11, FALSE)), CONCATENATE(CHAR(34),"CamA",CHAR(34)), CONCATENATE(CHAR(34),"CamB",CHAR(34))),"}"), ""),IF(VLOOKUP(C180,DM_fish!C:X,16, FALSE)&gt;0, CONCATENATE(",{",CHAR(34),"target",CHAR(34),":",CHAR(34),VLOOKUP(C180,DM_fish!C:X,15, FALSE),CHAR(34),",", CHAR(34), "excitation",CHAR(34), ":", VLOOKUP(C180,DM_fish!C:X,16, FALSE), ",",  CHAR(34), "camera",CHAR(34), ":", IF(VALUE(VLOOKUP(C180,DM_fish!C:X,16, FALSE))&lt;VALUE(VLOOKUP(V180,imaging_filters!A:K,11, FALSE)), CONCATENATE(CHAR(34),"CamA",CHAR(34)), CONCATENATE(CHAR(34),"CamB",CHAR(34))),"}"), ""),IF(VLOOKUP(C180,DM_fish!C:X,18, FALSE)&gt;0, CONCATENATE(",{",CHAR(34),"target",CHAR(34),":",CHAR(34),VLOOKUP(C180,DM_fish!C:X,17, FALSE),CHAR(34),",", CHAR(34), "excitation",CHAR(34), ":", VLOOKUP(C180,DM_fish!C:X,18, FALSE), ",",  CHAR(34), "camera",CHAR(34), ":", IF(VALUE(VLOOKUP(C180,DM_fish!C:X,18, FALSE))&lt;VALUE(VLOOKUP(V180,imaging_filters!A:K,11, FALSE)), CONCATENATE(CHAR(34),"CamA",CHAR(34)), CONCATENATE(CHAR(34),"CamB",CHAR(34))),"}"), ""),IF(VLOOKUP(C180,DM_fish!C:X,20, FALSE)&gt;0, CONCATENATE(",{",CHAR(34),"target",CHAR(34),":",CHAR(34),VLOOKUP(C180,DM_fish!C:X,19, FALSE),CHAR(34),",", CHAR(34), "excitation",CHAR(34), ":", VLOOKUP(C180,DM_fish!C:X,20, FALSE), ",",  CHAR(34), "camera",CHAR(34), ":", IF(VALUE(VLOOKUP(C180,DM_fish!C:X,20, FALSE))&lt;VALUE(VLOOKUP(V180,imaging_filters!A:K,11, FALSE)), CONCATENATE(CHAR(34),"CamA",CHAR(34)), CONCATENATE(CHAR(34),"CamB",CHAR(34))),"}"), ""),IF(VLOOKUP(C180,DM_fish!C:X,22, FALSE)&gt;0, CONCATENATE(",{",CHAR(34),"target",CHAR(34),":",CHAR(34),VLOOKUP(C180,DM_fish!C:X,21, FALSE),CHAR(34),",", CHAR(34), "excitation",CHAR(34), ":", VLOOKUP(C180,DM_fish!C:X,22, FALSE), ",",  CHAR(34), "camera",CHAR(34), ":", IF(VALUE(VLOOKUP(C180,DM_fish!C:X,22, FALSE))&lt;VALUE(VLOOKUP(V180,imaging_filters!A:K,11, FALSE)), CONCATENATE(CHAR(34),"CamA",CHAR(34)), CONCATENATE(CHAR(34),"CamB",CHAR(34))),"}"), "")), "]"), "")</f>
        <v/>
      </c>
      <c r="Y180" s="11" t="str">
        <f ca="1">IFERROR(
CONCATENATE( "[",
IF(VLOOKUP(E180,Injections!B:F,3, FALSE)&gt;0, CONCATENATE( "{",CHAR(34),"target",CHAR(34),":",CHAR(34),VLOOKUP(E180,Injections!B:F,2, FALSE),CHAR(34),",", CHAR(34), "excitation",CHAR(34), ":", VLOOKUP(E180,Injections!B:F,3, FALSE), ",",  CHAR(34), "camera",CHAR(34), ":",
IF(VALUE(VLOOKUP(E180,Injections!B:F,3, FALSE))&lt;VALUE(VLOOKUP(V180,imaging_filters!A:C,2, FALSE)), CONCATENATE(CHAR(34),"CamA",CHAR(34)), CONCATENATE(CHAR(34),"CamB",CHAR(34))),"}"), ""),
IF(VLOOKUP(E180,Injections!B:F,5, FALSE)&gt;0, CONCATENATE(",{",CHAR(34),"target",CHAR(34),":",CHAR(34),VLOOKUP(E180,Injections!B:F,4, FALSE),CHAR(34),",", CHAR(34), "excitation",CHAR(34), ":", VLOOKUP(E180,Injections!B:F,5, FALSE), ",",  CHAR(34), "camera",CHAR(34), ":",
IF(VALUE(VLOOKUP(E180,Injections!B:F,5, FALSE))&lt;VALUE(VLOOKUP(V180,imaging_filters!A:C,2, FALSE)), CONCATENATE(CHAR(34),"CamA",CHAR(34)), CONCATENATE(CHAR(34),"CamB",CHAR(34))),"}"), ""),
 "]"), "[]")</f>
        <v>[]</v>
      </c>
      <c r="Z180" s="11" t="str">
        <f ca="1">IFERROR(
CONCATENATE( "[",
IF(VLOOKUP(F180,Injections!H:L,3, FALSE)&gt;0, CONCATENATE( "{",CHAR(34),"target",CHAR(34),":",CHAR(34),VLOOKUP(F180,Injections!H:L,2, FALSE),CHAR(34),",", CHAR(34), "excitation",CHAR(34), ":", VLOOKUP(F180,Injections!H:L,3, FALSE), ",",  CHAR(34), "camera",CHAR(34), ":",
IF(VALUE(VLOOKUP(F180,Injections!H:L,3, FALSE))&lt;VALUE(VLOOKUP(V180,imaging_filters!A:K,11, FALSE)), CONCATENATE(CHAR(34),"CamA",CHAR(34)), CONCATENATE(CHAR(34),"CamB",CHAR(34))),"}"), ""),
IF(VLOOKUP(F180,Injections!H:L,5, FALSE)&gt;0, CONCATENATE(",{",CHAR(34),"target",CHAR(34),":",CHAR(34),VLOOKUP(F180,Injections!H:L,4, FALSE),CHAR(34),",", CHAR(34), "excitation",CHAR(34), ":", VLOOKUP(F180,Injections!H:L,5, FALSE), ",",  CHAR(34), "camera",CHAR(34), ":",
IF(VALUE(VLOOKUP(F180,Injections!H:L,5, FALSE))&lt;VALUE(VLOOKUP(V180,imaging_filters!A:K,11, FALSE)), CONCATENATE(CHAR(34),"CamA",CHAR(34)), CONCATENATE(CHAR(34),"CamB",CHAR(34))),"}"), ""),
 "]"), "[]")</f>
        <v>[]</v>
      </c>
      <c r="AA180" s="11"/>
    </row>
    <row r="181" spans="1:27" ht="15.75" customHeight="1" x14ac:dyDescent="0.15">
      <c r="A181" s="7">
        <f t="shared" si="4"/>
        <v>45820</v>
      </c>
      <c r="B181" s="1"/>
      <c r="C181" s="1" t="s">
        <v>298</v>
      </c>
      <c r="D181" s="1" t="s">
        <v>286</v>
      </c>
      <c r="E181" s="1"/>
      <c r="F181" s="1" t="s">
        <v>277</v>
      </c>
      <c r="G181" s="8"/>
      <c r="H181" s="8"/>
      <c r="I181" s="8">
        <v>45819</v>
      </c>
      <c r="K181" s="1"/>
      <c r="M181" s="8">
        <v>45820</v>
      </c>
      <c r="N181" s="1" t="s">
        <v>278</v>
      </c>
      <c r="Q181" s="1" t="s">
        <v>311</v>
      </c>
      <c r="R181" s="10" t="str">
        <f ca="1">IFERROR(__xludf.DUMMYFUNCTION("JOIN("","", SORT(UNIQUE(TOCOL({VLOOKUP(D181,DM_fish!A:B,2,FALSE),VLOOKUP(C181,DM_fish!A:B,2,FALSE), ARRAYFORMULA(VLOOKUP(SPLIT(E181, "", ""),Injections!B:G,6,FALSE)), ARRAYFORMULA(VLOOKUP(SPLIT(F181, "", ""),Injections!H:M,6,FALSE)), ARRAYFORMULA(VLOOKUP("&amp;"SPLIT(G181, "", ""),Injections!N:S,6,FALSE)), ARRAYFORMULA(VLOOKUP(SPLIT(H181, "", ""),Injections!T:Y,6,FALSE)) },3))))"),",membrane")</f>
        <v>,membrane</v>
      </c>
      <c r="S181" s="10" t="str">
        <f ca="1">IFERROR(__xludf.DUMMYFUNCTION("IFERROR(JOIN("","", SPLIT(R181, "","", TRUE ,TRUE)), """")"),"membrane")</f>
        <v>membrane</v>
      </c>
      <c r="T181" s="1" t="s">
        <v>312</v>
      </c>
      <c r="U181" s="1">
        <v>402</v>
      </c>
      <c r="V181" s="1" t="s">
        <v>280</v>
      </c>
      <c r="W181" s="12" t="str">
        <f ca="1">IFERROR(CONCATENATE("[", CONCATENATE(IF(VLOOKUP(D181,DM_fish!C:X,14, FALSE)&gt;0, CONCATENATE("{",CHAR(34),"target",CHAR(34),":",CHAR(34),VLOOKUP(D181,DM_fish!C:X,13, FALSE),CHAR(34),",", CHAR(34), "excitation",CHAR(34), ":", VLOOKUP(D181,DM_fish!C:X,14, FALSE), ",",  CHAR(34), "camera",CHAR(34), ":", IF(VALUE(VLOOKUP(D181,DM_fish!C:X,14, FALSE))&lt;VALUE(VLOOKUP(V181,imaging_filters!A:K,11, FALSE)), CONCATENATE(CHAR(34),"CamA",CHAR(34)), CONCATENATE(CHAR(34),"CamB",CHAR(34))),"}"), ""),IF(VLOOKUP(D181,DM_fish!C:X,16, FALSE)&gt;0, CONCATENATE(",{",CHAR(34),"target",CHAR(34),":",CHAR(34),VLOOKUP(D181,DM_fish!C:X,15, FALSE),CHAR(34),",", CHAR(34), "excitation",CHAR(34), ":", VLOOKUP(D181,DM_fish!C:X,16, FALSE), ",",  CHAR(34), "camera",CHAR(34), ":", IF(VALUE(VLOOKUP(D181,DM_fish!C:X,16, FALSE))&lt;VALUE(VLOOKUP(V181,imaging_filters!A:K,11, FALSE)), CONCATENATE(CHAR(34),"CamA",CHAR(34)), CONCATENATE(CHAR(34),"CamB",CHAR(34))),"}"), ""),IF(VLOOKUP(D181,DM_fish!C:X,18, FALSE)&gt;0, CONCATENATE(",{",CHAR(34),"target",CHAR(34),":",CHAR(34),VLOOKUP(D181,DM_fish!C:X,17, FALSE),CHAR(34),",", CHAR(34), "excitation",CHAR(34), ":", VLOOKUP(D181,DM_fish!C:X,18, FALSE), ",",  CHAR(34), "camera",CHAR(34), ":", IF(VALUE(VLOOKUP(D181,DM_fish!C:X,18, FALSE))&lt;VALUE(VLOOKUP(V181,imaging_filters!A:K,11, FALSE)), CONCATENATE(CHAR(34),"CamA",CHAR(34)), CONCATENATE(CHAR(34),"CamB",CHAR(34))),"}"), ""),IF(VLOOKUP(D181,DM_fish!C:X,20, FALSE)&gt;0, CONCATENATE(",{",CHAR(34),"target",CHAR(34),":",CHAR(34),VLOOKUP(D181,DM_fish!C:X,19, FALSE),CHAR(34),",", CHAR(34), "excitation",CHAR(34), ":", VLOOKUP(D181,DM_fish!C:X,20, FALSE), ",",  CHAR(34), "camera",CHAR(34), ":", IF(VALUE(VLOOKUP(D181,DM_fish!C:X,20, FALSE))&lt;VALUE(VLOOKUP(V181,imaging_filters!A:K,11, FALSE)), CONCATENATE(CHAR(34),"CamA",CHAR(34)), CONCATENATE(CHAR(34),"CamB",CHAR(34))),"}"), ""),IF(VLOOKUP(D181,DM_fish!C:X,22, FALSE)&gt;0, CONCATENATE(",{",CHAR(34),"target",CHAR(34),":",CHAR(34),VLOOKUP(D181,DM_fish!C:X,21, FALSE),CHAR(34),",", CHAR(34), "excitation",CHAR(34), ":", VLOOKUP(D181,DM_fish!C:X,22, FALSE), ",",  CHAR(34), "camera",CHAR(34), ":", IF(VALUE(VLOOKUP(D181,DM_fish!C:X,22, FALSE))&lt;VALUE(VLOOKUP(V181,imaging_filters!A:K,11, FALSE)), CONCATENATE(CHAR(34),"CamA",CHAR(34)), CONCATENATE(CHAR(34),"CamB",CHAR(34))),"}"), "")), "]"), "")</f>
        <v/>
      </c>
      <c r="X181" s="12" t="str">
        <f ca="1">IFERROR(
CONCATENATE("[", CONCATENATE(IF(VLOOKUP(C181,DM_fish!C:X,14, FALSE)&gt;0, CONCATENATE("{",CHAR(34),"target",CHAR(34),":",CHAR(34),VLOOKUP(C181,DM_fish!C:X,13, FALSE),CHAR(34),",", CHAR(34), "excitation",CHAR(34), ":", VLOOKUP(C181,DM_fish!C:X,14, FALSE), ",",  CHAR(34), "camera",CHAR(34), ":", IF(VALUE(VLOOKUP(C181,DM_fish!C:X,14, FALSE))&lt;VALUE(VLOOKUP(V181,imaging_filters!A:K,11, FALSE)), CONCATENATE(CHAR(34),"CamA",CHAR(34)), CONCATENATE(CHAR(34),"CamB",CHAR(34))),"}"), ""),IF(VLOOKUP(C181,DM_fish!C:X,16, FALSE)&gt;0, CONCATENATE(",{",CHAR(34),"target",CHAR(34),":",CHAR(34),VLOOKUP(C181,DM_fish!C:X,15, FALSE),CHAR(34),",", CHAR(34), "excitation",CHAR(34), ":", VLOOKUP(C181,DM_fish!C:X,16, FALSE), ",",  CHAR(34), "camera",CHAR(34), ":", IF(VALUE(VLOOKUP(C181,DM_fish!C:X,16, FALSE))&lt;VALUE(VLOOKUP(V181,imaging_filters!A:K,11, FALSE)), CONCATENATE(CHAR(34),"CamA",CHAR(34)), CONCATENATE(CHAR(34),"CamB",CHAR(34))),"}"), ""),IF(VLOOKUP(C181,DM_fish!C:X,18, FALSE)&gt;0, CONCATENATE(",{",CHAR(34),"target",CHAR(34),":",CHAR(34),VLOOKUP(C181,DM_fish!C:X,17, FALSE),CHAR(34),",", CHAR(34), "excitation",CHAR(34), ":", VLOOKUP(C181,DM_fish!C:X,18, FALSE), ",",  CHAR(34), "camera",CHAR(34), ":", IF(VALUE(VLOOKUP(C181,DM_fish!C:X,18, FALSE))&lt;VALUE(VLOOKUP(V181,imaging_filters!A:K,11, FALSE)), CONCATENATE(CHAR(34),"CamA",CHAR(34)), CONCATENATE(CHAR(34),"CamB",CHAR(34))),"}"), ""),IF(VLOOKUP(C181,DM_fish!C:X,20, FALSE)&gt;0, CONCATENATE(",{",CHAR(34),"target",CHAR(34),":",CHAR(34),VLOOKUP(C181,DM_fish!C:X,19, FALSE),CHAR(34),",", CHAR(34), "excitation",CHAR(34), ":", VLOOKUP(C181,DM_fish!C:X,20, FALSE), ",",  CHAR(34), "camera",CHAR(34), ":", IF(VALUE(VLOOKUP(C181,DM_fish!C:X,20, FALSE))&lt;VALUE(VLOOKUP(V181,imaging_filters!A:K,11, FALSE)), CONCATENATE(CHAR(34),"CamA",CHAR(34)), CONCATENATE(CHAR(34),"CamB",CHAR(34))),"}"), ""),IF(VLOOKUP(C181,DM_fish!C:X,22, FALSE)&gt;0, CONCATENATE(",{",CHAR(34),"target",CHAR(34),":",CHAR(34),VLOOKUP(C181,DM_fish!C:X,21, FALSE),CHAR(34),",", CHAR(34), "excitation",CHAR(34), ":", VLOOKUP(C181,DM_fish!C:X,22, FALSE), ",",  CHAR(34), "camera",CHAR(34), ":", IF(VALUE(VLOOKUP(C181,DM_fish!C:X,22, FALSE))&lt;VALUE(VLOOKUP(V181,imaging_filters!A:K,11, FALSE)), CONCATENATE(CHAR(34),"CamA",CHAR(34)), CONCATENATE(CHAR(34),"CamB",CHAR(34))),"}"), "")), "]"), "")</f>
        <v/>
      </c>
      <c r="Y181" s="11" t="str">
        <f ca="1">IFERROR(
CONCATENATE( "[",
IF(VLOOKUP(E181,Injections!B:F,3, FALSE)&gt;0, CONCATENATE( "{",CHAR(34),"target",CHAR(34),":",CHAR(34),VLOOKUP(E181,Injections!B:F,2, FALSE),CHAR(34),",", CHAR(34), "excitation",CHAR(34), ":", VLOOKUP(E181,Injections!B:F,3, FALSE), ",",  CHAR(34), "camera",CHAR(34), ":",
IF(VALUE(VLOOKUP(E181,Injections!B:F,3, FALSE))&lt;VALUE(VLOOKUP(V181,imaging_filters!A:C,2, FALSE)), CONCATENATE(CHAR(34),"CamA",CHAR(34)), CONCATENATE(CHAR(34),"CamB",CHAR(34))),"}"), ""),
IF(VLOOKUP(E181,Injections!B:F,5, FALSE)&gt;0, CONCATENATE(",{",CHAR(34),"target",CHAR(34),":",CHAR(34),VLOOKUP(E181,Injections!B:F,4, FALSE),CHAR(34),",", CHAR(34), "excitation",CHAR(34), ":", VLOOKUP(E181,Injections!B:F,5, FALSE), ",",  CHAR(34), "camera",CHAR(34), ":",
IF(VALUE(VLOOKUP(E181,Injections!B:F,5, FALSE))&lt;VALUE(VLOOKUP(V181,imaging_filters!A:C,2, FALSE)), CONCATENATE(CHAR(34),"CamA",CHAR(34)), CONCATENATE(CHAR(34),"CamB",CHAR(34))),"}"), ""),
 "]"), "[]")</f>
        <v>[]</v>
      </c>
      <c r="Z181" s="11" t="str">
        <f ca="1">IFERROR(
CONCATENATE( "[",
IF(VLOOKUP(F181,Injections!H:L,3, FALSE)&gt;0, CONCATENATE( "{",CHAR(34),"target",CHAR(34),":",CHAR(34),VLOOKUP(F181,Injections!H:L,2, FALSE),CHAR(34),",", CHAR(34), "excitation",CHAR(34), ":", VLOOKUP(F181,Injections!H:L,3, FALSE), ",",  CHAR(34), "camera",CHAR(34), ":",
IF(VALUE(VLOOKUP(F181,Injections!H:L,3, FALSE))&lt;VALUE(VLOOKUP(V181,imaging_filters!A:K,11, FALSE)), CONCATENATE(CHAR(34),"CamA",CHAR(34)), CONCATENATE(CHAR(34),"CamB",CHAR(34))),"}"), ""),
IF(VLOOKUP(F181,Injections!H:L,5, FALSE)&gt;0, CONCATENATE(",{",CHAR(34),"target",CHAR(34),":",CHAR(34),VLOOKUP(F181,Injections!H:L,4, FALSE),CHAR(34),",", CHAR(34), "excitation",CHAR(34), ":", VLOOKUP(F181,Injections!H:L,5, FALSE), ",",  CHAR(34), "camera",CHAR(34), ":",
IF(VALUE(VLOOKUP(F181,Injections!H:L,5, FALSE))&lt;VALUE(VLOOKUP(V181,imaging_filters!A:K,11, FALSE)), CONCATENATE(CHAR(34),"CamA",CHAR(34)), CONCATENATE(CHAR(34),"CamB",CHAR(34))),"}"), ""),
 "]"), "[]")</f>
        <v>[]</v>
      </c>
      <c r="AA181" s="11"/>
    </row>
    <row r="182" spans="1:27" ht="15.75" customHeight="1" x14ac:dyDescent="0.15">
      <c r="A182" s="7">
        <f t="shared" si="4"/>
        <v>45818</v>
      </c>
      <c r="B182" s="1"/>
      <c r="C182" s="1" t="s">
        <v>253</v>
      </c>
      <c r="D182" s="1" t="s">
        <v>253</v>
      </c>
      <c r="E182" s="1"/>
      <c r="F182" s="1" t="s">
        <v>64</v>
      </c>
      <c r="G182" s="8"/>
      <c r="H182" s="8"/>
      <c r="I182" s="8">
        <v>45817</v>
      </c>
      <c r="K182" s="1" t="s">
        <v>313</v>
      </c>
      <c r="M182" s="8">
        <v>45818</v>
      </c>
      <c r="Q182" s="1" t="s">
        <v>314</v>
      </c>
      <c r="R182" s="10" t="str">
        <f ca="1">IFERROR(__xludf.DUMMYFUNCTION("JOIN("","", SORT(UNIQUE(TOCOL({VLOOKUP(D182,DM_fish!A:B,2,FALSE),VLOOKUP(C182,DM_fish!A:B,2,FALSE), ARRAYFORMULA(VLOOKUP(SPLIT(E182, "", ""),Injections!B:G,6,FALSE)), ARRAYFORMULA(VLOOKUP(SPLIT(F182, "", ""),Injections!H:M,6,FALSE)), ARRAYFORMULA(VLOOKUP("&amp;"SPLIT(G182, "", ""),Injections!N:S,6,FALSE)), ARRAYFORMULA(VLOOKUP(SPLIT(H182, "", ""),Injections!T:Y,6,FALSE)) },3))))"),"nuclei")</f>
        <v>nuclei</v>
      </c>
      <c r="S182" s="10" t="str">
        <f ca="1">IFERROR(__xludf.DUMMYFUNCTION("IFERROR(JOIN("","", SPLIT(R182, "","", TRUE ,TRUE)), """")"),"nuclei")</f>
        <v>nuclei</v>
      </c>
      <c r="T182" s="1" t="s">
        <v>315</v>
      </c>
      <c r="U182" s="1">
        <v>1792</v>
      </c>
      <c r="V182" s="1" t="s">
        <v>203</v>
      </c>
      <c r="W182" s="12" t="str">
        <f ca="1">IFERROR(CONCATENATE("[", CONCATENATE(IF(VLOOKUP(D182,DM_fish!C:X,14, FALSE)&gt;0, CONCATENATE("{",CHAR(34),"target",CHAR(34),":",CHAR(34),VLOOKUP(D182,DM_fish!C:X,13, FALSE),CHAR(34),",", CHAR(34), "excitation",CHAR(34), ":", VLOOKUP(D182,DM_fish!C:X,14, FALSE), ",",  CHAR(34), "camera",CHAR(34), ":", IF(VALUE(VLOOKUP(D182,DM_fish!C:X,14, FALSE))&lt;VALUE(VLOOKUP(V182,imaging_filters!A:K,11, FALSE)), CONCATENATE(CHAR(34),"CamA",CHAR(34)), CONCATENATE(CHAR(34),"CamB",CHAR(34))),"}"), ""),IF(VLOOKUP(D182,DM_fish!C:X,16, FALSE)&gt;0, CONCATENATE(",{",CHAR(34),"target",CHAR(34),":",CHAR(34),VLOOKUP(D182,DM_fish!C:X,15, FALSE),CHAR(34),",", CHAR(34), "excitation",CHAR(34), ":", VLOOKUP(D182,DM_fish!C:X,16, FALSE), ",",  CHAR(34), "camera",CHAR(34), ":", IF(VALUE(VLOOKUP(D182,DM_fish!C:X,16, FALSE))&lt;VALUE(VLOOKUP(V182,imaging_filters!A:K,11, FALSE)), CONCATENATE(CHAR(34),"CamA",CHAR(34)), CONCATENATE(CHAR(34),"CamB",CHAR(34))),"}"), ""),IF(VLOOKUP(D182,DM_fish!C:X,18, FALSE)&gt;0, CONCATENATE(",{",CHAR(34),"target",CHAR(34),":",CHAR(34),VLOOKUP(D182,DM_fish!C:X,17, FALSE),CHAR(34),",", CHAR(34), "excitation",CHAR(34), ":", VLOOKUP(D182,DM_fish!C:X,18, FALSE), ",",  CHAR(34), "camera",CHAR(34), ":", IF(VALUE(VLOOKUP(D182,DM_fish!C:X,18, FALSE))&lt;VALUE(VLOOKUP(V182,imaging_filters!A:K,11, FALSE)), CONCATENATE(CHAR(34),"CamA",CHAR(34)), CONCATENATE(CHAR(34),"CamB",CHAR(34))),"}"), ""),IF(VLOOKUP(D182,DM_fish!C:X,20, FALSE)&gt;0, CONCATENATE(",{",CHAR(34),"target",CHAR(34),":",CHAR(34),VLOOKUP(D182,DM_fish!C:X,19, FALSE),CHAR(34),",", CHAR(34), "excitation",CHAR(34), ":", VLOOKUP(D182,DM_fish!C:X,20, FALSE), ",",  CHAR(34), "camera",CHAR(34), ":", IF(VALUE(VLOOKUP(D182,DM_fish!C:X,20, FALSE))&lt;VALUE(VLOOKUP(V182,imaging_filters!A:K,11, FALSE)), CONCATENATE(CHAR(34),"CamA",CHAR(34)), CONCATENATE(CHAR(34),"CamB",CHAR(34))),"}"), ""),IF(VLOOKUP(D182,DM_fish!C:X,22, FALSE)&gt;0, CONCATENATE(",{",CHAR(34),"target",CHAR(34),":",CHAR(34),VLOOKUP(D182,DM_fish!C:X,21, FALSE),CHAR(34),",", CHAR(34), "excitation",CHAR(34), ":", VLOOKUP(D182,DM_fish!C:X,22, FALSE), ",",  CHAR(34), "camera",CHAR(34), ":", IF(VALUE(VLOOKUP(D182,DM_fish!C:X,22, FALSE))&lt;VALUE(VLOOKUP(V182,imaging_filters!A:K,11, FALSE)), CONCATENATE(CHAR(34),"CamA",CHAR(34)), CONCATENATE(CHAR(34),"CamB",CHAR(34))),"}"), "")), "]"), "")</f>
        <v/>
      </c>
      <c r="X182" s="12" t="str">
        <f ca="1">IFERROR(
CONCATENATE("[", CONCATENATE(IF(VLOOKUP(C182,DM_fish!C:X,14, FALSE)&gt;0, CONCATENATE("{",CHAR(34),"target",CHAR(34),":",CHAR(34),VLOOKUP(C182,DM_fish!C:X,13, FALSE),CHAR(34),",", CHAR(34), "excitation",CHAR(34), ":", VLOOKUP(C182,DM_fish!C:X,14, FALSE), ",",  CHAR(34), "camera",CHAR(34), ":", IF(VALUE(VLOOKUP(C182,DM_fish!C:X,14, FALSE))&lt;VALUE(VLOOKUP(V182,imaging_filters!A:K,11, FALSE)), CONCATENATE(CHAR(34),"CamA",CHAR(34)), CONCATENATE(CHAR(34),"CamB",CHAR(34))),"}"), ""),IF(VLOOKUP(C182,DM_fish!C:X,16, FALSE)&gt;0, CONCATENATE(",{",CHAR(34),"target",CHAR(34),":",CHAR(34),VLOOKUP(C182,DM_fish!C:X,15, FALSE),CHAR(34),",", CHAR(34), "excitation",CHAR(34), ":", VLOOKUP(C182,DM_fish!C:X,16, FALSE), ",",  CHAR(34), "camera",CHAR(34), ":", IF(VALUE(VLOOKUP(C182,DM_fish!C:X,16, FALSE))&lt;VALUE(VLOOKUP(V182,imaging_filters!A:K,11, FALSE)), CONCATENATE(CHAR(34),"CamA",CHAR(34)), CONCATENATE(CHAR(34),"CamB",CHAR(34))),"}"), ""),IF(VLOOKUP(C182,DM_fish!C:X,18, FALSE)&gt;0, CONCATENATE(",{",CHAR(34),"target",CHAR(34),":",CHAR(34),VLOOKUP(C182,DM_fish!C:X,17, FALSE),CHAR(34),",", CHAR(34), "excitation",CHAR(34), ":", VLOOKUP(C182,DM_fish!C:X,18, FALSE), ",",  CHAR(34), "camera",CHAR(34), ":", IF(VALUE(VLOOKUP(C182,DM_fish!C:X,18, FALSE))&lt;VALUE(VLOOKUP(V182,imaging_filters!A:K,11, FALSE)), CONCATENATE(CHAR(34),"CamA",CHAR(34)), CONCATENATE(CHAR(34),"CamB",CHAR(34))),"}"), ""),IF(VLOOKUP(C182,DM_fish!C:X,20, FALSE)&gt;0, CONCATENATE(",{",CHAR(34),"target",CHAR(34),":",CHAR(34),VLOOKUP(C182,DM_fish!C:X,19, FALSE),CHAR(34),",", CHAR(34), "excitation",CHAR(34), ":", VLOOKUP(C182,DM_fish!C:X,20, FALSE), ",",  CHAR(34), "camera",CHAR(34), ":", IF(VALUE(VLOOKUP(C182,DM_fish!C:X,20, FALSE))&lt;VALUE(VLOOKUP(V182,imaging_filters!A:K,11, FALSE)), CONCATENATE(CHAR(34),"CamA",CHAR(34)), CONCATENATE(CHAR(34),"CamB",CHAR(34))),"}"), ""),IF(VLOOKUP(C182,DM_fish!C:X,22, FALSE)&gt;0, CONCATENATE(",{",CHAR(34),"target",CHAR(34),":",CHAR(34),VLOOKUP(C182,DM_fish!C:X,21, FALSE),CHAR(34),",", CHAR(34), "excitation",CHAR(34), ":", VLOOKUP(C182,DM_fish!C:X,22, FALSE), ",",  CHAR(34), "camera",CHAR(34), ":", IF(VALUE(VLOOKUP(C182,DM_fish!C:X,22, FALSE))&lt;VALUE(VLOOKUP(V182,imaging_filters!A:K,11, FALSE)), CONCATENATE(CHAR(34),"CamA",CHAR(34)), CONCATENATE(CHAR(34),"CamB",CHAR(34))),"}"), "")), "]"), "")</f>
        <v/>
      </c>
      <c r="Y182" s="11" t="str">
        <f ca="1">IFERROR(
CONCATENATE( "[",
IF(VLOOKUP(E182,Injections!B:F,3, FALSE)&gt;0, CONCATENATE( "{",CHAR(34),"target",CHAR(34),":",CHAR(34),VLOOKUP(E182,Injections!B:F,2, FALSE),CHAR(34),",", CHAR(34), "excitation",CHAR(34), ":", VLOOKUP(E182,Injections!B:F,3, FALSE), ",",  CHAR(34), "camera",CHAR(34), ":",
IF(VALUE(VLOOKUP(E182,Injections!B:F,3, FALSE))&lt;VALUE(VLOOKUP(V182,imaging_filters!A:C,2, FALSE)), CONCATENATE(CHAR(34),"CamA",CHAR(34)), CONCATENATE(CHAR(34),"CamB",CHAR(34))),"}"), ""),
IF(VLOOKUP(E182,Injections!B:F,5, FALSE)&gt;0, CONCATENATE(",{",CHAR(34),"target",CHAR(34),":",CHAR(34),VLOOKUP(E182,Injections!B:F,4, FALSE),CHAR(34),",", CHAR(34), "excitation",CHAR(34), ":", VLOOKUP(E182,Injections!B:F,5, FALSE), ",",  CHAR(34), "camera",CHAR(34), ":",
IF(VALUE(VLOOKUP(E182,Injections!B:F,5, FALSE))&lt;VALUE(VLOOKUP(V182,imaging_filters!A:C,2, FALSE)), CONCATENATE(CHAR(34),"CamA",CHAR(34)), CONCATENATE(CHAR(34),"CamB",CHAR(34))),"}"), ""),
 "]"), "[]")</f>
        <v>[]</v>
      </c>
      <c r="Z182" s="11" t="str">
        <f ca="1">IFERROR(
CONCATENATE( "[",
IF(VLOOKUP(F182,Injections!H:L,3, FALSE)&gt;0, CONCATENATE( "{",CHAR(34),"target",CHAR(34),":",CHAR(34),VLOOKUP(F182,Injections!H:L,2, FALSE),CHAR(34),",", CHAR(34), "excitation",CHAR(34), ":", VLOOKUP(F182,Injections!H:L,3, FALSE), ",",  CHAR(34), "camera",CHAR(34), ":",
IF(VALUE(VLOOKUP(F182,Injections!H:L,3, FALSE))&lt;VALUE(VLOOKUP(V182,imaging_filters!A:K,11, FALSE)), CONCATENATE(CHAR(34),"CamA",CHAR(34)), CONCATENATE(CHAR(34),"CamB",CHAR(34))),"}"), ""),
IF(VLOOKUP(F182,Injections!H:L,5, FALSE)&gt;0, CONCATENATE(",{",CHAR(34),"target",CHAR(34),":",CHAR(34),VLOOKUP(F182,Injections!H:L,4, FALSE),CHAR(34),",", CHAR(34), "excitation",CHAR(34), ":", VLOOKUP(F182,Injections!H:L,5, FALSE), ",",  CHAR(34), "camera",CHAR(34), ":",
IF(VALUE(VLOOKUP(F182,Injections!H:L,5, FALSE))&lt;VALUE(VLOOKUP(V182,imaging_filters!A:K,11, FALSE)), CONCATENATE(CHAR(34),"CamA",CHAR(34)), CONCATENATE(CHAR(34),"CamB",CHAR(34))),"}"), ""),
 "]"), "[]")</f>
        <v>[{"target":"nuclei","excitation":560,"camera":"CamB"}]</v>
      </c>
      <c r="AA182" s="11"/>
    </row>
    <row r="183" spans="1:27" ht="15.75" customHeight="1" x14ac:dyDescent="0.15">
      <c r="A183" s="7">
        <f t="shared" si="4"/>
        <v>45818</v>
      </c>
      <c r="B183" s="1"/>
      <c r="C183" s="1" t="s">
        <v>253</v>
      </c>
      <c r="D183" s="1" t="s">
        <v>253</v>
      </c>
      <c r="E183" s="1"/>
      <c r="F183" s="1" t="s">
        <v>64</v>
      </c>
      <c r="G183" s="8"/>
      <c r="H183" s="8"/>
      <c r="I183" s="8">
        <v>45817</v>
      </c>
      <c r="K183" s="1" t="s">
        <v>246</v>
      </c>
      <c r="M183" s="8">
        <v>45818</v>
      </c>
      <c r="Q183" s="1" t="s">
        <v>316</v>
      </c>
      <c r="R183" s="10" t="str">
        <f ca="1">IFERROR(__xludf.DUMMYFUNCTION("JOIN("","", SORT(UNIQUE(TOCOL({VLOOKUP(D183,DM_fish!A:B,2,FALSE),VLOOKUP(C183,DM_fish!A:B,2,FALSE), ARRAYFORMULA(VLOOKUP(SPLIT(E183, "", ""),Injections!B:G,6,FALSE)), ARRAYFORMULA(VLOOKUP(SPLIT(F183, "", ""),Injections!H:M,6,FALSE)), ARRAYFORMULA(VLOOKUP("&amp;"SPLIT(G183, "", ""),Injections!N:S,6,FALSE)), ARRAYFORMULA(VLOOKUP(SPLIT(H183, "", ""),Injections!T:Y,6,FALSE)) },3))))"),"nuclei")</f>
        <v>nuclei</v>
      </c>
      <c r="S183" s="10" t="str">
        <f ca="1">IFERROR(__xludf.DUMMYFUNCTION("IFERROR(JOIN("","", SPLIT(R183, "","", TRUE ,TRUE)), """")"),"nuclei")</f>
        <v>nuclei</v>
      </c>
      <c r="T183" s="1" t="s">
        <v>317</v>
      </c>
      <c r="U183" s="1">
        <v>4280</v>
      </c>
      <c r="V183" s="1" t="s">
        <v>203</v>
      </c>
      <c r="W183" s="12" t="str">
        <f ca="1">IFERROR(CONCATENATE("[", CONCATENATE(IF(VLOOKUP(D183,DM_fish!C:X,14, FALSE)&gt;0, CONCATENATE("{",CHAR(34),"target",CHAR(34),":",CHAR(34),VLOOKUP(D183,DM_fish!C:X,13, FALSE),CHAR(34),",", CHAR(34), "excitation",CHAR(34), ":", VLOOKUP(D183,DM_fish!C:X,14, FALSE), ",",  CHAR(34), "camera",CHAR(34), ":", IF(VALUE(VLOOKUP(D183,DM_fish!C:X,14, FALSE))&lt;VALUE(VLOOKUP(V183,imaging_filters!A:K,11, FALSE)), CONCATENATE(CHAR(34),"CamA",CHAR(34)), CONCATENATE(CHAR(34),"CamB",CHAR(34))),"}"), ""),IF(VLOOKUP(D183,DM_fish!C:X,16, FALSE)&gt;0, CONCATENATE(",{",CHAR(34),"target",CHAR(34),":",CHAR(34),VLOOKUP(D183,DM_fish!C:X,15, FALSE),CHAR(34),",", CHAR(34), "excitation",CHAR(34), ":", VLOOKUP(D183,DM_fish!C:X,16, FALSE), ",",  CHAR(34), "camera",CHAR(34), ":", IF(VALUE(VLOOKUP(D183,DM_fish!C:X,16, FALSE))&lt;VALUE(VLOOKUP(V183,imaging_filters!A:K,11, FALSE)), CONCATENATE(CHAR(34),"CamA",CHAR(34)), CONCATENATE(CHAR(34),"CamB",CHAR(34))),"}"), ""),IF(VLOOKUP(D183,DM_fish!C:X,18, FALSE)&gt;0, CONCATENATE(",{",CHAR(34),"target",CHAR(34),":",CHAR(34),VLOOKUP(D183,DM_fish!C:X,17, FALSE),CHAR(34),",", CHAR(34), "excitation",CHAR(34), ":", VLOOKUP(D183,DM_fish!C:X,18, FALSE), ",",  CHAR(34), "camera",CHAR(34), ":", IF(VALUE(VLOOKUP(D183,DM_fish!C:X,18, FALSE))&lt;VALUE(VLOOKUP(V183,imaging_filters!A:K,11, FALSE)), CONCATENATE(CHAR(34),"CamA",CHAR(34)), CONCATENATE(CHAR(34),"CamB",CHAR(34))),"}"), ""),IF(VLOOKUP(D183,DM_fish!C:X,20, FALSE)&gt;0, CONCATENATE(",{",CHAR(34),"target",CHAR(34),":",CHAR(34),VLOOKUP(D183,DM_fish!C:X,19, FALSE),CHAR(34),",", CHAR(34), "excitation",CHAR(34), ":", VLOOKUP(D183,DM_fish!C:X,20, FALSE), ",",  CHAR(34), "camera",CHAR(34), ":", IF(VALUE(VLOOKUP(D183,DM_fish!C:X,20, FALSE))&lt;VALUE(VLOOKUP(V183,imaging_filters!A:K,11, FALSE)), CONCATENATE(CHAR(34),"CamA",CHAR(34)), CONCATENATE(CHAR(34),"CamB",CHAR(34))),"}"), ""),IF(VLOOKUP(D183,DM_fish!C:X,22, FALSE)&gt;0, CONCATENATE(",{",CHAR(34),"target",CHAR(34),":",CHAR(34),VLOOKUP(D183,DM_fish!C:X,21, FALSE),CHAR(34),",", CHAR(34), "excitation",CHAR(34), ":", VLOOKUP(D183,DM_fish!C:X,22, FALSE), ",",  CHAR(34), "camera",CHAR(34), ":", IF(VALUE(VLOOKUP(D183,DM_fish!C:X,22, FALSE))&lt;VALUE(VLOOKUP(V183,imaging_filters!A:K,11, FALSE)), CONCATENATE(CHAR(34),"CamA",CHAR(34)), CONCATENATE(CHAR(34),"CamB",CHAR(34))),"}"), "")), "]"), "")</f>
        <v/>
      </c>
      <c r="X183" s="12" t="str">
        <f ca="1">IFERROR(
CONCATENATE("[", CONCATENATE(IF(VLOOKUP(C183,DM_fish!C:X,14, FALSE)&gt;0, CONCATENATE("{",CHAR(34),"target",CHAR(34),":",CHAR(34),VLOOKUP(C183,DM_fish!C:X,13, FALSE),CHAR(34),",", CHAR(34), "excitation",CHAR(34), ":", VLOOKUP(C183,DM_fish!C:X,14, FALSE), ",",  CHAR(34), "camera",CHAR(34), ":", IF(VALUE(VLOOKUP(C183,DM_fish!C:X,14, FALSE))&lt;VALUE(VLOOKUP(V183,imaging_filters!A:K,11, FALSE)), CONCATENATE(CHAR(34),"CamA",CHAR(34)), CONCATENATE(CHAR(34),"CamB",CHAR(34))),"}"), ""),IF(VLOOKUP(C183,DM_fish!C:X,16, FALSE)&gt;0, CONCATENATE(",{",CHAR(34),"target",CHAR(34),":",CHAR(34),VLOOKUP(C183,DM_fish!C:X,15, FALSE),CHAR(34),",", CHAR(34), "excitation",CHAR(34), ":", VLOOKUP(C183,DM_fish!C:X,16, FALSE), ",",  CHAR(34), "camera",CHAR(34), ":", IF(VALUE(VLOOKUP(C183,DM_fish!C:X,16, FALSE))&lt;VALUE(VLOOKUP(V183,imaging_filters!A:K,11, FALSE)), CONCATENATE(CHAR(34),"CamA",CHAR(34)), CONCATENATE(CHAR(34),"CamB",CHAR(34))),"}"), ""),IF(VLOOKUP(C183,DM_fish!C:X,18, FALSE)&gt;0, CONCATENATE(",{",CHAR(34),"target",CHAR(34),":",CHAR(34),VLOOKUP(C183,DM_fish!C:X,17, FALSE),CHAR(34),",", CHAR(34), "excitation",CHAR(34), ":", VLOOKUP(C183,DM_fish!C:X,18, FALSE), ",",  CHAR(34), "camera",CHAR(34), ":", IF(VALUE(VLOOKUP(C183,DM_fish!C:X,18, FALSE))&lt;VALUE(VLOOKUP(V183,imaging_filters!A:K,11, FALSE)), CONCATENATE(CHAR(34),"CamA",CHAR(34)), CONCATENATE(CHAR(34),"CamB",CHAR(34))),"}"), ""),IF(VLOOKUP(C183,DM_fish!C:X,20, FALSE)&gt;0, CONCATENATE(",{",CHAR(34),"target",CHAR(34),":",CHAR(34),VLOOKUP(C183,DM_fish!C:X,19, FALSE),CHAR(34),",", CHAR(34), "excitation",CHAR(34), ":", VLOOKUP(C183,DM_fish!C:X,20, FALSE), ",",  CHAR(34), "camera",CHAR(34), ":", IF(VALUE(VLOOKUP(C183,DM_fish!C:X,20, FALSE))&lt;VALUE(VLOOKUP(V183,imaging_filters!A:K,11, FALSE)), CONCATENATE(CHAR(34),"CamA",CHAR(34)), CONCATENATE(CHAR(34),"CamB",CHAR(34))),"}"), ""),IF(VLOOKUP(C183,DM_fish!C:X,22, FALSE)&gt;0, CONCATENATE(",{",CHAR(34),"target",CHAR(34),":",CHAR(34),VLOOKUP(C183,DM_fish!C:X,21, FALSE),CHAR(34),",", CHAR(34), "excitation",CHAR(34), ":", VLOOKUP(C183,DM_fish!C:X,22, FALSE), ",",  CHAR(34), "camera",CHAR(34), ":", IF(VALUE(VLOOKUP(C183,DM_fish!C:X,22, FALSE))&lt;VALUE(VLOOKUP(V183,imaging_filters!A:K,11, FALSE)), CONCATENATE(CHAR(34),"CamA",CHAR(34)), CONCATENATE(CHAR(34),"CamB",CHAR(34))),"}"), "")), "]"), "")</f>
        <v/>
      </c>
      <c r="Y183" s="11" t="str">
        <f ca="1">IFERROR(
CONCATENATE( "[",
IF(VLOOKUP(E183,Injections!B:F,3, FALSE)&gt;0, CONCATENATE( "{",CHAR(34),"target",CHAR(34),":",CHAR(34),VLOOKUP(E183,Injections!B:F,2, FALSE),CHAR(34),",", CHAR(34), "excitation",CHAR(34), ":", VLOOKUP(E183,Injections!B:F,3, FALSE), ",",  CHAR(34), "camera",CHAR(34), ":",
IF(VALUE(VLOOKUP(E183,Injections!B:F,3, FALSE))&lt;VALUE(VLOOKUP(V183,imaging_filters!A:C,2, FALSE)), CONCATENATE(CHAR(34),"CamA",CHAR(34)), CONCATENATE(CHAR(34),"CamB",CHAR(34))),"}"), ""),
IF(VLOOKUP(E183,Injections!B:F,5, FALSE)&gt;0, CONCATENATE(",{",CHAR(34),"target",CHAR(34),":",CHAR(34),VLOOKUP(E183,Injections!B:F,4, FALSE),CHAR(34),",", CHAR(34), "excitation",CHAR(34), ":", VLOOKUP(E183,Injections!B:F,5, FALSE), ",",  CHAR(34), "camera",CHAR(34), ":",
IF(VALUE(VLOOKUP(E183,Injections!B:F,5, FALSE))&lt;VALUE(VLOOKUP(V183,imaging_filters!A:C,2, FALSE)), CONCATENATE(CHAR(34),"CamA",CHAR(34)), CONCATENATE(CHAR(34),"CamB",CHAR(34))),"}"), ""),
 "]"), "[]")</f>
        <v>[]</v>
      </c>
      <c r="Z183" s="11" t="str">
        <f ca="1">IFERROR(
CONCATENATE( "[",
IF(VLOOKUP(F183,Injections!H:L,3, FALSE)&gt;0, CONCATENATE( "{",CHAR(34),"target",CHAR(34),":",CHAR(34),VLOOKUP(F183,Injections!H:L,2, FALSE),CHAR(34),",", CHAR(34), "excitation",CHAR(34), ":", VLOOKUP(F183,Injections!H:L,3, FALSE), ",",  CHAR(34), "camera",CHAR(34), ":",
IF(VALUE(VLOOKUP(F183,Injections!H:L,3, FALSE))&lt;VALUE(VLOOKUP(V183,imaging_filters!A:K,11, FALSE)), CONCATENATE(CHAR(34),"CamA",CHAR(34)), CONCATENATE(CHAR(34),"CamB",CHAR(34))),"}"), ""),
IF(VLOOKUP(F183,Injections!H:L,5, FALSE)&gt;0, CONCATENATE(",{",CHAR(34),"target",CHAR(34),":",CHAR(34),VLOOKUP(F183,Injections!H:L,4, FALSE),CHAR(34),",", CHAR(34), "excitation",CHAR(34), ":", VLOOKUP(F183,Injections!H:L,5, FALSE), ",",  CHAR(34), "camera",CHAR(34), ":",
IF(VALUE(VLOOKUP(F183,Injections!H:L,5, FALSE))&lt;VALUE(VLOOKUP(V183,imaging_filters!A:K,11, FALSE)), CONCATENATE(CHAR(34),"CamA",CHAR(34)), CONCATENATE(CHAR(34),"CamB",CHAR(34))),"}"), ""),
 "]"), "[]")</f>
        <v>[{"target":"nuclei","excitation":560,"camera":"CamB"}]</v>
      </c>
      <c r="AA183" s="11"/>
    </row>
    <row r="184" spans="1:27" ht="15.75" customHeight="1" x14ac:dyDescent="0.15">
      <c r="A184" s="7">
        <f t="shared" si="4"/>
        <v>45817</v>
      </c>
      <c r="B184" s="1"/>
      <c r="C184" s="1" t="s">
        <v>253</v>
      </c>
      <c r="D184" s="1" t="s">
        <v>253</v>
      </c>
      <c r="E184" s="1"/>
      <c r="F184" s="1" t="s">
        <v>64</v>
      </c>
      <c r="G184" s="8"/>
      <c r="H184" s="8"/>
      <c r="I184" s="8">
        <v>45814</v>
      </c>
      <c r="K184" s="1" t="s">
        <v>34</v>
      </c>
      <c r="M184" s="8">
        <v>45817</v>
      </c>
      <c r="Q184" s="1" t="s">
        <v>318</v>
      </c>
      <c r="R184" s="10" t="str">
        <f ca="1">IFERROR(__xludf.DUMMYFUNCTION("JOIN("","", SORT(UNIQUE(TOCOL({VLOOKUP(D184,DM_fish!A:B,2,FALSE),VLOOKUP(C184,DM_fish!A:B,2,FALSE), ARRAYFORMULA(VLOOKUP(SPLIT(E184, "", ""),Injections!B:G,6,FALSE)), ARRAYFORMULA(VLOOKUP(SPLIT(F184, "", ""),Injections!H:M,6,FALSE)), ARRAYFORMULA(VLOOKUP("&amp;"SPLIT(G184, "", ""),Injections!N:S,6,FALSE)), ARRAYFORMULA(VLOOKUP(SPLIT(H184, "", ""),Injections!T:Y,6,FALSE)) },3))))"),"nuclei")</f>
        <v>nuclei</v>
      </c>
      <c r="S184" s="10" t="str">
        <f ca="1">IFERROR(__xludf.DUMMYFUNCTION("IFERROR(JOIN("","", SPLIT(R184, "","", TRUE ,TRUE)), """")"),"nuclei")</f>
        <v>nuclei</v>
      </c>
      <c r="T184" s="1" t="s">
        <v>319</v>
      </c>
      <c r="U184" s="1">
        <v>2478</v>
      </c>
      <c r="V184" s="1" t="s">
        <v>203</v>
      </c>
      <c r="W184" s="12" t="str">
        <f ca="1">IFERROR(CONCATENATE("[", CONCATENATE(IF(VLOOKUP(D184,DM_fish!C:X,14, FALSE)&gt;0, CONCATENATE("{",CHAR(34),"target",CHAR(34),":",CHAR(34),VLOOKUP(D184,DM_fish!C:X,13, FALSE),CHAR(34),",", CHAR(34), "excitation",CHAR(34), ":", VLOOKUP(D184,DM_fish!C:X,14, FALSE), ",",  CHAR(34), "camera",CHAR(34), ":", IF(VALUE(VLOOKUP(D184,DM_fish!C:X,14, FALSE))&lt;VALUE(VLOOKUP(V184,imaging_filters!A:K,11, FALSE)), CONCATENATE(CHAR(34),"CamA",CHAR(34)), CONCATENATE(CHAR(34),"CamB",CHAR(34))),"}"), ""),IF(VLOOKUP(D184,DM_fish!C:X,16, FALSE)&gt;0, CONCATENATE(",{",CHAR(34),"target",CHAR(34),":",CHAR(34),VLOOKUP(D184,DM_fish!C:X,15, FALSE),CHAR(34),",", CHAR(34), "excitation",CHAR(34), ":", VLOOKUP(D184,DM_fish!C:X,16, FALSE), ",",  CHAR(34), "camera",CHAR(34), ":", IF(VALUE(VLOOKUP(D184,DM_fish!C:X,16, FALSE))&lt;VALUE(VLOOKUP(V184,imaging_filters!A:K,11, FALSE)), CONCATENATE(CHAR(34),"CamA",CHAR(34)), CONCATENATE(CHAR(34),"CamB",CHAR(34))),"}"), ""),IF(VLOOKUP(D184,DM_fish!C:X,18, FALSE)&gt;0, CONCATENATE(",{",CHAR(34),"target",CHAR(34),":",CHAR(34),VLOOKUP(D184,DM_fish!C:X,17, FALSE),CHAR(34),",", CHAR(34), "excitation",CHAR(34), ":", VLOOKUP(D184,DM_fish!C:X,18, FALSE), ",",  CHAR(34), "camera",CHAR(34), ":", IF(VALUE(VLOOKUP(D184,DM_fish!C:X,18, FALSE))&lt;VALUE(VLOOKUP(V184,imaging_filters!A:K,11, FALSE)), CONCATENATE(CHAR(34),"CamA",CHAR(34)), CONCATENATE(CHAR(34),"CamB",CHAR(34))),"}"), ""),IF(VLOOKUP(D184,DM_fish!C:X,20, FALSE)&gt;0, CONCATENATE(",{",CHAR(34),"target",CHAR(34),":",CHAR(34),VLOOKUP(D184,DM_fish!C:X,19, FALSE),CHAR(34),",", CHAR(34), "excitation",CHAR(34), ":", VLOOKUP(D184,DM_fish!C:X,20, FALSE), ",",  CHAR(34), "camera",CHAR(34), ":", IF(VALUE(VLOOKUP(D184,DM_fish!C:X,20, FALSE))&lt;VALUE(VLOOKUP(V184,imaging_filters!A:K,11, FALSE)), CONCATENATE(CHAR(34),"CamA",CHAR(34)), CONCATENATE(CHAR(34),"CamB",CHAR(34))),"}"), ""),IF(VLOOKUP(D184,DM_fish!C:X,22, FALSE)&gt;0, CONCATENATE(",{",CHAR(34),"target",CHAR(34),":",CHAR(34),VLOOKUP(D184,DM_fish!C:X,21, FALSE),CHAR(34),",", CHAR(34), "excitation",CHAR(34), ":", VLOOKUP(D184,DM_fish!C:X,22, FALSE), ",",  CHAR(34), "camera",CHAR(34), ":", IF(VALUE(VLOOKUP(D184,DM_fish!C:X,22, FALSE))&lt;VALUE(VLOOKUP(V184,imaging_filters!A:K,11, FALSE)), CONCATENATE(CHAR(34),"CamA",CHAR(34)), CONCATENATE(CHAR(34),"CamB",CHAR(34))),"}"), "")), "]"), "")</f>
        <v/>
      </c>
      <c r="X184" s="12" t="str">
        <f ca="1">IFERROR(
CONCATENATE("[", CONCATENATE(IF(VLOOKUP(C184,DM_fish!C:X,14, FALSE)&gt;0, CONCATENATE("{",CHAR(34),"target",CHAR(34),":",CHAR(34),VLOOKUP(C184,DM_fish!C:X,13, FALSE),CHAR(34),",", CHAR(34), "excitation",CHAR(34), ":", VLOOKUP(C184,DM_fish!C:X,14, FALSE), ",",  CHAR(34), "camera",CHAR(34), ":", IF(VALUE(VLOOKUP(C184,DM_fish!C:X,14, FALSE))&lt;VALUE(VLOOKUP(V184,imaging_filters!A:K,11, FALSE)), CONCATENATE(CHAR(34),"CamA",CHAR(34)), CONCATENATE(CHAR(34),"CamB",CHAR(34))),"}"), ""),IF(VLOOKUP(C184,DM_fish!C:X,16, FALSE)&gt;0, CONCATENATE(",{",CHAR(34),"target",CHAR(34),":",CHAR(34),VLOOKUP(C184,DM_fish!C:X,15, FALSE),CHAR(34),",", CHAR(34), "excitation",CHAR(34), ":", VLOOKUP(C184,DM_fish!C:X,16, FALSE), ",",  CHAR(34), "camera",CHAR(34), ":", IF(VALUE(VLOOKUP(C184,DM_fish!C:X,16, FALSE))&lt;VALUE(VLOOKUP(V184,imaging_filters!A:K,11, FALSE)), CONCATENATE(CHAR(34),"CamA",CHAR(34)), CONCATENATE(CHAR(34),"CamB",CHAR(34))),"}"), ""),IF(VLOOKUP(C184,DM_fish!C:X,18, FALSE)&gt;0, CONCATENATE(",{",CHAR(34),"target",CHAR(34),":",CHAR(34),VLOOKUP(C184,DM_fish!C:X,17, FALSE),CHAR(34),",", CHAR(34), "excitation",CHAR(34), ":", VLOOKUP(C184,DM_fish!C:X,18, FALSE), ",",  CHAR(34), "camera",CHAR(34), ":", IF(VALUE(VLOOKUP(C184,DM_fish!C:X,18, FALSE))&lt;VALUE(VLOOKUP(V184,imaging_filters!A:K,11, FALSE)), CONCATENATE(CHAR(34),"CamA",CHAR(34)), CONCATENATE(CHAR(34),"CamB",CHAR(34))),"}"), ""),IF(VLOOKUP(C184,DM_fish!C:X,20, FALSE)&gt;0, CONCATENATE(",{",CHAR(34),"target",CHAR(34),":",CHAR(34),VLOOKUP(C184,DM_fish!C:X,19, FALSE),CHAR(34),",", CHAR(34), "excitation",CHAR(34), ":", VLOOKUP(C184,DM_fish!C:X,20, FALSE), ",",  CHAR(34), "camera",CHAR(34), ":", IF(VALUE(VLOOKUP(C184,DM_fish!C:X,20, FALSE))&lt;VALUE(VLOOKUP(V184,imaging_filters!A:K,11, FALSE)), CONCATENATE(CHAR(34),"CamA",CHAR(34)), CONCATENATE(CHAR(34),"CamB",CHAR(34))),"}"), ""),IF(VLOOKUP(C184,DM_fish!C:X,22, FALSE)&gt;0, CONCATENATE(",{",CHAR(34),"target",CHAR(34),":",CHAR(34),VLOOKUP(C184,DM_fish!C:X,21, FALSE),CHAR(34),",", CHAR(34), "excitation",CHAR(34), ":", VLOOKUP(C184,DM_fish!C:X,22, FALSE), ",",  CHAR(34), "camera",CHAR(34), ":", IF(VALUE(VLOOKUP(C184,DM_fish!C:X,22, FALSE))&lt;VALUE(VLOOKUP(V184,imaging_filters!A:K,11, FALSE)), CONCATENATE(CHAR(34),"CamA",CHAR(34)), CONCATENATE(CHAR(34),"CamB",CHAR(34))),"}"), "")), "]"), "")</f>
        <v/>
      </c>
      <c r="Y184" s="11" t="str">
        <f ca="1">IFERROR(
CONCATENATE( "[",
IF(VLOOKUP(E184,Injections!B:F,3, FALSE)&gt;0, CONCATENATE( "{",CHAR(34),"target",CHAR(34),":",CHAR(34),VLOOKUP(E184,Injections!B:F,2, FALSE),CHAR(34),",", CHAR(34), "excitation",CHAR(34), ":", VLOOKUP(E184,Injections!B:F,3, FALSE), ",",  CHAR(34), "camera",CHAR(34), ":",
IF(VALUE(VLOOKUP(E184,Injections!B:F,3, FALSE))&lt;VALUE(VLOOKUP(V184,imaging_filters!A:C,2, FALSE)), CONCATENATE(CHAR(34),"CamA",CHAR(34)), CONCATENATE(CHAR(34),"CamB",CHAR(34))),"}"), ""),
IF(VLOOKUP(E184,Injections!B:F,5, FALSE)&gt;0, CONCATENATE(",{",CHAR(34),"target",CHAR(34),":",CHAR(34),VLOOKUP(E184,Injections!B:F,4, FALSE),CHAR(34),",", CHAR(34), "excitation",CHAR(34), ":", VLOOKUP(E184,Injections!B:F,5, FALSE), ",",  CHAR(34), "camera",CHAR(34), ":",
IF(VALUE(VLOOKUP(E184,Injections!B:F,5, FALSE))&lt;VALUE(VLOOKUP(V184,imaging_filters!A:C,2, FALSE)), CONCATENATE(CHAR(34),"CamA",CHAR(34)), CONCATENATE(CHAR(34),"CamB",CHAR(34))),"}"), ""),
 "]"), "[]")</f>
        <v>[]</v>
      </c>
      <c r="Z184" s="11" t="str">
        <f ca="1">IFERROR(
CONCATENATE( "[",
IF(VLOOKUP(F184,Injections!H:L,3, FALSE)&gt;0, CONCATENATE( "{",CHAR(34),"target",CHAR(34),":",CHAR(34),VLOOKUP(F184,Injections!H:L,2, FALSE),CHAR(34),",", CHAR(34), "excitation",CHAR(34), ":", VLOOKUP(F184,Injections!H:L,3, FALSE), ",",  CHAR(34), "camera",CHAR(34), ":",
IF(VALUE(VLOOKUP(F184,Injections!H:L,3, FALSE))&lt;VALUE(VLOOKUP(V184,imaging_filters!A:K,11, FALSE)), CONCATENATE(CHAR(34),"CamA",CHAR(34)), CONCATENATE(CHAR(34),"CamB",CHAR(34))),"}"), ""),
IF(VLOOKUP(F184,Injections!H:L,5, FALSE)&gt;0, CONCATENATE(",{",CHAR(34),"target",CHAR(34),":",CHAR(34),VLOOKUP(F184,Injections!H:L,4, FALSE),CHAR(34),",", CHAR(34), "excitation",CHAR(34), ":", VLOOKUP(F184,Injections!H:L,5, FALSE), ",",  CHAR(34), "camera",CHAR(34), ":",
IF(VALUE(VLOOKUP(F184,Injections!H:L,5, FALSE))&lt;VALUE(VLOOKUP(V184,imaging_filters!A:K,11, FALSE)), CONCATENATE(CHAR(34),"CamA",CHAR(34)), CONCATENATE(CHAR(34),"CamB",CHAR(34))),"}"), ""),
 "]"), "[]")</f>
        <v>[{"target":"nuclei","excitation":560,"camera":"CamB"}]</v>
      </c>
      <c r="AA184" s="11"/>
    </row>
    <row r="185" spans="1:27" ht="15.75" customHeight="1" x14ac:dyDescent="0.15">
      <c r="A185" s="7">
        <f t="shared" si="4"/>
        <v>45814</v>
      </c>
      <c r="B185" s="1"/>
      <c r="C185" s="1" t="s">
        <v>275</v>
      </c>
      <c r="D185" s="1" t="s">
        <v>276</v>
      </c>
      <c r="E185" s="1"/>
      <c r="F185" s="1" t="s">
        <v>277</v>
      </c>
      <c r="G185" s="8"/>
      <c r="H185" s="8"/>
      <c r="I185" s="8">
        <v>45813</v>
      </c>
      <c r="K185" s="1"/>
      <c r="M185" s="8">
        <v>45814</v>
      </c>
      <c r="N185" s="1" t="s">
        <v>309</v>
      </c>
      <c r="Q185" s="1" t="s">
        <v>320</v>
      </c>
      <c r="R185" s="10" t="str">
        <f ca="1">IFERROR(__xludf.DUMMYFUNCTION("JOIN("","", SORT(UNIQUE(TOCOL({VLOOKUP(D185,DM_fish!A:B,2,FALSE),VLOOKUP(C185,DM_fish!A:B,2,FALSE), ARRAYFORMULA(VLOOKUP(SPLIT(E185, "", ""),Injections!B:G,6,FALSE)), ARRAYFORMULA(VLOOKUP(SPLIT(F185, "", ""),Injections!H:M,6,FALSE)), ARRAYFORMULA(VLOOKUP("&amp;"SPLIT(G185, "", ""),Injections!N:S,6,FALSE)), ARRAYFORMULA(VLOOKUP(SPLIT(H185, "", ""),Injections!T:Y,6,FALSE)) },3))))"),",membrane")</f>
        <v>,membrane</v>
      </c>
      <c r="S185" s="10" t="str">
        <f ca="1">IFERROR(__xludf.DUMMYFUNCTION("IFERROR(JOIN("","", SPLIT(R185, "","", TRUE ,TRUE)), """")"),"membrane")</f>
        <v>membrane</v>
      </c>
      <c r="T185" s="1" t="s">
        <v>321</v>
      </c>
      <c r="U185" s="1">
        <v>795</v>
      </c>
      <c r="V185" s="1" t="s">
        <v>280</v>
      </c>
      <c r="W185" s="12" t="str">
        <f ca="1">IFERROR(CONCATENATE("[", CONCATENATE(IF(VLOOKUP(D185,DM_fish!C:X,14, FALSE)&gt;0, CONCATENATE("{",CHAR(34),"target",CHAR(34),":",CHAR(34),VLOOKUP(D185,DM_fish!C:X,13, FALSE),CHAR(34),",", CHAR(34), "excitation",CHAR(34), ":", VLOOKUP(D185,DM_fish!C:X,14, FALSE), ",",  CHAR(34), "camera",CHAR(34), ":", IF(VALUE(VLOOKUP(D185,DM_fish!C:X,14, FALSE))&lt;VALUE(VLOOKUP(V185,imaging_filters!A:K,11, FALSE)), CONCATENATE(CHAR(34),"CamA",CHAR(34)), CONCATENATE(CHAR(34),"CamB",CHAR(34))),"}"), ""),IF(VLOOKUP(D185,DM_fish!C:X,16, FALSE)&gt;0, CONCATENATE(",{",CHAR(34),"target",CHAR(34),":",CHAR(34),VLOOKUP(D185,DM_fish!C:X,15, FALSE),CHAR(34),",", CHAR(34), "excitation",CHAR(34), ":", VLOOKUP(D185,DM_fish!C:X,16, FALSE), ",",  CHAR(34), "camera",CHAR(34), ":", IF(VALUE(VLOOKUP(D185,DM_fish!C:X,16, FALSE))&lt;VALUE(VLOOKUP(V185,imaging_filters!A:K,11, FALSE)), CONCATENATE(CHAR(34),"CamA",CHAR(34)), CONCATENATE(CHAR(34),"CamB",CHAR(34))),"}"), ""),IF(VLOOKUP(D185,DM_fish!C:X,18, FALSE)&gt;0, CONCATENATE(",{",CHAR(34),"target",CHAR(34),":",CHAR(34),VLOOKUP(D185,DM_fish!C:X,17, FALSE),CHAR(34),",", CHAR(34), "excitation",CHAR(34), ":", VLOOKUP(D185,DM_fish!C:X,18, FALSE), ",",  CHAR(34), "camera",CHAR(34), ":", IF(VALUE(VLOOKUP(D185,DM_fish!C:X,18, FALSE))&lt;VALUE(VLOOKUP(V185,imaging_filters!A:K,11, FALSE)), CONCATENATE(CHAR(34),"CamA",CHAR(34)), CONCATENATE(CHAR(34),"CamB",CHAR(34))),"}"), ""),IF(VLOOKUP(D185,DM_fish!C:X,20, FALSE)&gt;0, CONCATENATE(",{",CHAR(34),"target",CHAR(34),":",CHAR(34),VLOOKUP(D185,DM_fish!C:X,19, FALSE),CHAR(34),",", CHAR(34), "excitation",CHAR(34), ":", VLOOKUP(D185,DM_fish!C:X,20, FALSE), ",",  CHAR(34), "camera",CHAR(34), ":", IF(VALUE(VLOOKUP(D185,DM_fish!C:X,20, FALSE))&lt;VALUE(VLOOKUP(V185,imaging_filters!A:K,11, FALSE)), CONCATENATE(CHAR(34),"CamA",CHAR(34)), CONCATENATE(CHAR(34),"CamB",CHAR(34))),"}"), ""),IF(VLOOKUP(D185,DM_fish!C:X,22, FALSE)&gt;0, CONCATENATE(",{",CHAR(34),"target",CHAR(34),":",CHAR(34),VLOOKUP(D185,DM_fish!C:X,21, FALSE),CHAR(34),",", CHAR(34), "excitation",CHAR(34), ":", VLOOKUP(D185,DM_fish!C:X,22, FALSE), ",",  CHAR(34), "camera",CHAR(34), ":", IF(VALUE(VLOOKUP(D185,DM_fish!C:X,22, FALSE))&lt;VALUE(VLOOKUP(V185,imaging_filters!A:K,11, FALSE)), CONCATENATE(CHAR(34),"CamA",CHAR(34)), CONCATENATE(CHAR(34),"CamB",CHAR(34))),"}"), "")), "]"), "")</f>
        <v/>
      </c>
      <c r="X185" s="12" t="str">
        <f ca="1">IFERROR(
CONCATENATE("[", CONCATENATE(IF(VLOOKUP(C185,DM_fish!C:X,14, FALSE)&gt;0, CONCATENATE("{",CHAR(34),"target",CHAR(34),":",CHAR(34),VLOOKUP(C185,DM_fish!C:X,13, FALSE),CHAR(34),",", CHAR(34), "excitation",CHAR(34), ":", VLOOKUP(C185,DM_fish!C:X,14, FALSE), ",",  CHAR(34), "camera",CHAR(34), ":", IF(VALUE(VLOOKUP(C185,DM_fish!C:X,14, FALSE))&lt;VALUE(VLOOKUP(V185,imaging_filters!A:K,11, FALSE)), CONCATENATE(CHAR(34),"CamA",CHAR(34)), CONCATENATE(CHAR(34),"CamB",CHAR(34))),"}"), ""),IF(VLOOKUP(C185,DM_fish!C:X,16, FALSE)&gt;0, CONCATENATE(",{",CHAR(34),"target",CHAR(34),":",CHAR(34),VLOOKUP(C185,DM_fish!C:X,15, FALSE),CHAR(34),",", CHAR(34), "excitation",CHAR(34), ":", VLOOKUP(C185,DM_fish!C:X,16, FALSE), ",",  CHAR(34), "camera",CHAR(34), ":", IF(VALUE(VLOOKUP(C185,DM_fish!C:X,16, FALSE))&lt;VALUE(VLOOKUP(V185,imaging_filters!A:K,11, FALSE)), CONCATENATE(CHAR(34),"CamA",CHAR(34)), CONCATENATE(CHAR(34),"CamB",CHAR(34))),"}"), ""),IF(VLOOKUP(C185,DM_fish!C:X,18, FALSE)&gt;0, CONCATENATE(",{",CHAR(34),"target",CHAR(34),":",CHAR(34),VLOOKUP(C185,DM_fish!C:X,17, FALSE),CHAR(34),",", CHAR(34), "excitation",CHAR(34), ":", VLOOKUP(C185,DM_fish!C:X,18, FALSE), ",",  CHAR(34), "camera",CHAR(34), ":", IF(VALUE(VLOOKUP(C185,DM_fish!C:X,18, FALSE))&lt;VALUE(VLOOKUP(V185,imaging_filters!A:K,11, FALSE)), CONCATENATE(CHAR(34),"CamA",CHAR(34)), CONCATENATE(CHAR(34),"CamB",CHAR(34))),"}"), ""),IF(VLOOKUP(C185,DM_fish!C:X,20, FALSE)&gt;0, CONCATENATE(",{",CHAR(34),"target",CHAR(34),":",CHAR(34),VLOOKUP(C185,DM_fish!C:X,19, FALSE),CHAR(34),",", CHAR(34), "excitation",CHAR(34), ":", VLOOKUP(C185,DM_fish!C:X,20, FALSE), ",",  CHAR(34), "camera",CHAR(34), ":", IF(VALUE(VLOOKUP(C185,DM_fish!C:X,20, FALSE))&lt;VALUE(VLOOKUP(V185,imaging_filters!A:K,11, FALSE)), CONCATENATE(CHAR(34),"CamA",CHAR(34)), CONCATENATE(CHAR(34),"CamB",CHAR(34))),"}"), ""),IF(VLOOKUP(C185,DM_fish!C:X,22, FALSE)&gt;0, CONCATENATE(",{",CHAR(34),"target",CHAR(34),":",CHAR(34),VLOOKUP(C185,DM_fish!C:X,21, FALSE),CHAR(34),",", CHAR(34), "excitation",CHAR(34), ":", VLOOKUP(C185,DM_fish!C:X,22, FALSE), ",",  CHAR(34), "camera",CHAR(34), ":", IF(VALUE(VLOOKUP(C185,DM_fish!C:X,22, FALSE))&lt;VALUE(VLOOKUP(V185,imaging_filters!A:K,11, FALSE)), CONCATENATE(CHAR(34),"CamA",CHAR(34)), CONCATENATE(CHAR(34),"CamB",CHAR(34))),"}"), "")), "]"), "")</f>
        <v/>
      </c>
      <c r="Y185" s="11" t="str">
        <f ca="1">IFERROR(
CONCATENATE( "[",
IF(VLOOKUP(E185,Injections!B:F,3, FALSE)&gt;0, CONCATENATE( "{",CHAR(34),"target",CHAR(34),":",CHAR(34),VLOOKUP(E185,Injections!B:F,2, FALSE),CHAR(34),",", CHAR(34), "excitation",CHAR(34), ":", VLOOKUP(E185,Injections!B:F,3, FALSE), ",",  CHAR(34), "camera",CHAR(34), ":",
IF(VALUE(VLOOKUP(E185,Injections!B:F,3, FALSE))&lt;VALUE(VLOOKUP(V185,imaging_filters!A:C,2, FALSE)), CONCATENATE(CHAR(34),"CamA",CHAR(34)), CONCATENATE(CHAR(34),"CamB",CHAR(34))),"}"), ""),
IF(VLOOKUP(E185,Injections!B:F,5, FALSE)&gt;0, CONCATENATE(",{",CHAR(34),"target",CHAR(34),":",CHAR(34),VLOOKUP(E185,Injections!B:F,4, FALSE),CHAR(34),",", CHAR(34), "excitation",CHAR(34), ":", VLOOKUP(E185,Injections!B:F,5, FALSE), ",",  CHAR(34), "camera",CHAR(34), ":",
IF(VALUE(VLOOKUP(E185,Injections!B:F,5, FALSE))&lt;VALUE(VLOOKUP(V185,imaging_filters!A:C,2, FALSE)), CONCATENATE(CHAR(34),"CamA",CHAR(34)), CONCATENATE(CHAR(34),"CamB",CHAR(34))),"}"), ""),
 "]"), "[]")</f>
        <v>[]</v>
      </c>
      <c r="Z185" s="11" t="str">
        <f ca="1">IFERROR(
CONCATENATE( "[",
IF(VLOOKUP(F185,Injections!H:L,3, FALSE)&gt;0, CONCATENATE( "{",CHAR(34),"target",CHAR(34),":",CHAR(34),VLOOKUP(F185,Injections!H:L,2, FALSE),CHAR(34),",", CHAR(34), "excitation",CHAR(34), ":", VLOOKUP(F185,Injections!H:L,3, FALSE), ",",  CHAR(34), "camera",CHAR(34), ":",
IF(VALUE(VLOOKUP(F185,Injections!H:L,3, FALSE))&lt;VALUE(VLOOKUP(V185,imaging_filters!A:K,11, FALSE)), CONCATENATE(CHAR(34),"CamA",CHAR(34)), CONCATENATE(CHAR(34),"CamB",CHAR(34))),"}"), ""),
IF(VLOOKUP(F185,Injections!H:L,5, FALSE)&gt;0, CONCATENATE(",{",CHAR(34),"target",CHAR(34),":",CHAR(34),VLOOKUP(F185,Injections!H:L,4, FALSE),CHAR(34),",", CHAR(34), "excitation",CHAR(34), ":", VLOOKUP(F185,Injections!H:L,5, FALSE), ",",  CHAR(34), "camera",CHAR(34), ":",
IF(VALUE(VLOOKUP(F185,Injections!H:L,5, FALSE))&lt;VALUE(VLOOKUP(V185,imaging_filters!A:K,11, FALSE)), CONCATENATE(CHAR(34),"CamA",CHAR(34)), CONCATENATE(CHAR(34),"CamB",CHAR(34))),"}"), ""),
 "]"), "[]")</f>
        <v>[]</v>
      </c>
      <c r="AA185" s="11"/>
    </row>
    <row r="186" spans="1:27" ht="15.75" customHeight="1" x14ac:dyDescent="0.15">
      <c r="A186" s="7">
        <f t="shared" si="4"/>
        <v>45813</v>
      </c>
      <c r="B186" s="1"/>
      <c r="C186" s="1" t="s">
        <v>298</v>
      </c>
      <c r="D186" s="1" t="s">
        <v>286</v>
      </c>
      <c r="E186" s="1"/>
      <c r="F186" s="1" t="s">
        <v>277</v>
      </c>
      <c r="G186" s="8"/>
      <c r="H186" s="8"/>
      <c r="I186" s="8">
        <v>45812</v>
      </c>
      <c r="K186" s="1"/>
      <c r="M186" s="8">
        <v>45813</v>
      </c>
      <c r="N186" s="1" t="s">
        <v>322</v>
      </c>
      <c r="Q186" s="1" t="s">
        <v>320</v>
      </c>
      <c r="R186" s="10" t="str">
        <f ca="1">IFERROR(__xludf.DUMMYFUNCTION("JOIN("","", SORT(UNIQUE(TOCOL({VLOOKUP(D186,DM_fish!A:B,2,FALSE),VLOOKUP(C186,DM_fish!A:B,2,FALSE), ARRAYFORMULA(VLOOKUP(SPLIT(E186, "", ""),Injections!B:G,6,FALSE)), ARRAYFORMULA(VLOOKUP(SPLIT(F186, "", ""),Injections!H:M,6,FALSE)), ARRAYFORMULA(VLOOKUP("&amp;"SPLIT(G186, "", ""),Injections!N:S,6,FALSE)), ARRAYFORMULA(VLOOKUP(SPLIT(H186, "", ""),Injections!T:Y,6,FALSE)) },3))))"),",membrane")</f>
        <v>,membrane</v>
      </c>
      <c r="S186" s="10" t="str">
        <f ca="1">IFERROR(__xludf.DUMMYFUNCTION("IFERROR(JOIN("","", SPLIT(R186, "","", TRUE ,TRUE)), """")"),"membrane")</f>
        <v>membrane</v>
      </c>
      <c r="T186" s="1" t="s">
        <v>323</v>
      </c>
      <c r="U186" s="1">
        <v>495</v>
      </c>
      <c r="V186" s="1" t="s">
        <v>280</v>
      </c>
      <c r="W186" s="12" t="str">
        <f ca="1">IFERROR(CONCATENATE("[", CONCATENATE(IF(VLOOKUP(D186,DM_fish!C:X,14, FALSE)&gt;0, CONCATENATE("{",CHAR(34),"target",CHAR(34),":",CHAR(34),VLOOKUP(D186,DM_fish!C:X,13, FALSE),CHAR(34),",", CHAR(34), "excitation",CHAR(34), ":", VLOOKUP(D186,DM_fish!C:X,14, FALSE), ",",  CHAR(34), "camera",CHAR(34), ":", IF(VALUE(VLOOKUP(D186,DM_fish!C:X,14, FALSE))&lt;VALUE(VLOOKUP(V186,imaging_filters!A:K,11, FALSE)), CONCATENATE(CHAR(34),"CamA",CHAR(34)), CONCATENATE(CHAR(34),"CamB",CHAR(34))),"}"), ""),IF(VLOOKUP(D186,DM_fish!C:X,16, FALSE)&gt;0, CONCATENATE(",{",CHAR(34),"target",CHAR(34),":",CHAR(34),VLOOKUP(D186,DM_fish!C:X,15, FALSE),CHAR(34),",", CHAR(34), "excitation",CHAR(34), ":", VLOOKUP(D186,DM_fish!C:X,16, FALSE), ",",  CHAR(34), "camera",CHAR(34), ":", IF(VALUE(VLOOKUP(D186,DM_fish!C:X,16, FALSE))&lt;VALUE(VLOOKUP(V186,imaging_filters!A:K,11, FALSE)), CONCATENATE(CHAR(34),"CamA",CHAR(34)), CONCATENATE(CHAR(34),"CamB",CHAR(34))),"}"), ""),IF(VLOOKUP(D186,DM_fish!C:X,18, FALSE)&gt;0, CONCATENATE(",{",CHAR(34),"target",CHAR(34),":",CHAR(34),VLOOKUP(D186,DM_fish!C:X,17, FALSE),CHAR(34),",", CHAR(34), "excitation",CHAR(34), ":", VLOOKUP(D186,DM_fish!C:X,18, FALSE), ",",  CHAR(34), "camera",CHAR(34), ":", IF(VALUE(VLOOKUP(D186,DM_fish!C:X,18, FALSE))&lt;VALUE(VLOOKUP(V186,imaging_filters!A:K,11, FALSE)), CONCATENATE(CHAR(34),"CamA",CHAR(34)), CONCATENATE(CHAR(34),"CamB",CHAR(34))),"}"), ""),IF(VLOOKUP(D186,DM_fish!C:X,20, FALSE)&gt;0, CONCATENATE(",{",CHAR(34),"target",CHAR(34),":",CHAR(34),VLOOKUP(D186,DM_fish!C:X,19, FALSE),CHAR(34),",", CHAR(34), "excitation",CHAR(34), ":", VLOOKUP(D186,DM_fish!C:X,20, FALSE), ",",  CHAR(34), "camera",CHAR(34), ":", IF(VALUE(VLOOKUP(D186,DM_fish!C:X,20, FALSE))&lt;VALUE(VLOOKUP(V186,imaging_filters!A:K,11, FALSE)), CONCATENATE(CHAR(34),"CamA",CHAR(34)), CONCATENATE(CHAR(34),"CamB",CHAR(34))),"}"), ""),IF(VLOOKUP(D186,DM_fish!C:X,22, FALSE)&gt;0, CONCATENATE(",{",CHAR(34),"target",CHAR(34),":",CHAR(34),VLOOKUP(D186,DM_fish!C:X,21, FALSE),CHAR(34),",", CHAR(34), "excitation",CHAR(34), ":", VLOOKUP(D186,DM_fish!C:X,22, FALSE), ",",  CHAR(34), "camera",CHAR(34), ":", IF(VALUE(VLOOKUP(D186,DM_fish!C:X,22, FALSE))&lt;VALUE(VLOOKUP(V186,imaging_filters!A:K,11, FALSE)), CONCATENATE(CHAR(34),"CamA",CHAR(34)), CONCATENATE(CHAR(34),"CamB",CHAR(34))),"}"), "")), "]"), "")</f>
        <v/>
      </c>
      <c r="X186" s="12" t="str">
        <f ca="1">IFERROR(
CONCATENATE("[", CONCATENATE(IF(VLOOKUP(C186,DM_fish!C:X,14, FALSE)&gt;0, CONCATENATE("{",CHAR(34),"target",CHAR(34),":",CHAR(34),VLOOKUP(C186,DM_fish!C:X,13, FALSE),CHAR(34),",", CHAR(34), "excitation",CHAR(34), ":", VLOOKUP(C186,DM_fish!C:X,14, FALSE), ",",  CHAR(34), "camera",CHAR(34), ":", IF(VALUE(VLOOKUP(C186,DM_fish!C:X,14, FALSE))&lt;VALUE(VLOOKUP(V186,imaging_filters!A:K,11, FALSE)), CONCATENATE(CHAR(34),"CamA",CHAR(34)), CONCATENATE(CHAR(34),"CamB",CHAR(34))),"}"), ""),IF(VLOOKUP(C186,DM_fish!C:X,16, FALSE)&gt;0, CONCATENATE(",{",CHAR(34),"target",CHAR(34),":",CHAR(34),VLOOKUP(C186,DM_fish!C:X,15, FALSE),CHAR(34),",", CHAR(34), "excitation",CHAR(34), ":", VLOOKUP(C186,DM_fish!C:X,16, FALSE), ",",  CHAR(34), "camera",CHAR(34), ":", IF(VALUE(VLOOKUP(C186,DM_fish!C:X,16, FALSE))&lt;VALUE(VLOOKUP(V186,imaging_filters!A:K,11, FALSE)), CONCATENATE(CHAR(34),"CamA",CHAR(34)), CONCATENATE(CHAR(34),"CamB",CHAR(34))),"}"), ""),IF(VLOOKUP(C186,DM_fish!C:X,18, FALSE)&gt;0, CONCATENATE(",{",CHAR(34),"target",CHAR(34),":",CHAR(34),VLOOKUP(C186,DM_fish!C:X,17, FALSE),CHAR(34),",", CHAR(34), "excitation",CHAR(34), ":", VLOOKUP(C186,DM_fish!C:X,18, FALSE), ",",  CHAR(34), "camera",CHAR(34), ":", IF(VALUE(VLOOKUP(C186,DM_fish!C:X,18, FALSE))&lt;VALUE(VLOOKUP(V186,imaging_filters!A:K,11, FALSE)), CONCATENATE(CHAR(34),"CamA",CHAR(34)), CONCATENATE(CHAR(34),"CamB",CHAR(34))),"}"), ""),IF(VLOOKUP(C186,DM_fish!C:X,20, FALSE)&gt;0, CONCATENATE(",{",CHAR(34),"target",CHAR(34),":",CHAR(34),VLOOKUP(C186,DM_fish!C:X,19, FALSE),CHAR(34),",", CHAR(34), "excitation",CHAR(34), ":", VLOOKUP(C186,DM_fish!C:X,20, FALSE), ",",  CHAR(34), "camera",CHAR(34), ":", IF(VALUE(VLOOKUP(C186,DM_fish!C:X,20, FALSE))&lt;VALUE(VLOOKUP(V186,imaging_filters!A:K,11, FALSE)), CONCATENATE(CHAR(34),"CamA",CHAR(34)), CONCATENATE(CHAR(34),"CamB",CHAR(34))),"}"), ""),IF(VLOOKUP(C186,DM_fish!C:X,22, FALSE)&gt;0, CONCATENATE(",{",CHAR(34),"target",CHAR(34),":",CHAR(34),VLOOKUP(C186,DM_fish!C:X,21, FALSE),CHAR(34),",", CHAR(34), "excitation",CHAR(34), ":", VLOOKUP(C186,DM_fish!C:X,22, FALSE), ",",  CHAR(34), "camera",CHAR(34), ":", IF(VALUE(VLOOKUP(C186,DM_fish!C:X,22, FALSE))&lt;VALUE(VLOOKUP(V186,imaging_filters!A:K,11, FALSE)), CONCATENATE(CHAR(34),"CamA",CHAR(34)), CONCATENATE(CHAR(34),"CamB",CHAR(34))),"}"), "")), "]"), "")</f>
        <v/>
      </c>
      <c r="Y186" s="11" t="str">
        <f ca="1">IFERROR(
CONCATENATE( "[",
IF(VLOOKUP(E186,Injections!B:F,3, FALSE)&gt;0, CONCATENATE( "{",CHAR(34),"target",CHAR(34),":",CHAR(34),VLOOKUP(E186,Injections!B:F,2, FALSE),CHAR(34),",", CHAR(34), "excitation",CHAR(34), ":", VLOOKUP(E186,Injections!B:F,3, FALSE), ",",  CHAR(34), "camera",CHAR(34), ":",
IF(VALUE(VLOOKUP(E186,Injections!B:F,3, FALSE))&lt;VALUE(VLOOKUP(V186,imaging_filters!A:C,2, FALSE)), CONCATENATE(CHAR(34),"CamA",CHAR(34)), CONCATENATE(CHAR(34),"CamB",CHAR(34))),"}"), ""),
IF(VLOOKUP(E186,Injections!B:F,5, FALSE)&gt;0, CONCATENATE(",{",CHAR(34),"target",CHAR(34),":",CHAR(34),VLOOKUP(E186,Injections!B:F,4, FALSE),CHAR(34),",", CHAR(34), "excitation",CHAR(34), ":", VLOOKUP(E186,Injections!B:F,5, FALSE), ",",  CHAR(34), "camera",CHAR(34), ":",
IF(VALUE(VLOOKUP(E186,Injections!B:F,5, FALSE))&lt;VALUE(VLOOKUP(V186,imaging_filters!A:C,2, FALSE)), CONCATENATE(CHAR(34),"CamA",CHAR(34)), CONCATENATE(CHAR(34),"CamB",CHAR(34))),"}"), ""),
 "]"), "[]")</f>
        <v>[]</v>
      </c>
      <c r="Z186" s="11" t="str">
        <f ca="1">IFERROR(
CONCATENATE( "[",
IF(VLOOKUP(F186,Injections!H:L,3, FALSE)&gt;0, CONCATENATE( "{",CHAR(34),"target",CHAR(34),":",CHAR(34),VLOOKUP(F186,Injections!H:L,2, FALSE),CHAR(34),",", CHAR(34), "excitation",CHAR(34), ":", VLOOKUP(F186,Injections!H:L,3, FALSE), ",",  CHAR(34), "camera",CHAR(34), ":",
IF(VALUE(VLOOKUP(F186,Injections!H:L,3, FALSE))&lt;VALUE(VLOOKUP(V186,imaging_filters!A:K,11, FALSE)), CONCATENATE(CHAR(34),"CamA",CHAR(34)), CONCATENATE(CHAR(34),"CamB",CHAR(34))),"}"), ""),
IF(VLOOKUP(F186,Injections!H:L,5, FALSE)&gt;0, CONCATENATE(",{",CHAR(34),"target",CHAR(34),":",CHAR(34),VLOOKUP(F186,Injections!H:L,4, FALSE),CHAR(34),",", CHAR(34), "excitation",CHAR(34), ":", VLOOKUP(F186,Injections!H:L,5, FALSE), ",",  CHAR(34), "camera",CHAR(34), ":",
IF(VALUE(VLOOKUP(F186,Injections!H:L,5, FALSE))&lt;VALUE(VLOOKUP(V186,imaging_filters!A:K,11, FALSE)), CONCATENATE(CHAR(34),"CamA",CHAR(34)), CONCATENATE(CHAR(34),"CamB",CHAR(34))),"}"), ""),
 "]"), "[]")</f>
        <v>[]</v>
      </c>
      <c r="AA186" s="11"/>
    </row>
    <row r="187" spans="1:27" ht="15.75" customHeight="1" x14ac:dyDescent="0.15">
      <c r="A187" s="7">
        <f t="shared" si="4"/>
        <v>45811</v>
      </c>
      <c r="B187" s="1"/>
      <c r="C187" s="1" t="s">
        <v>295</v>
      </c>
      <c r="D187" s="1" t="s">
        <v>296</v>
      </c>
      <c r="E187" s="1"/>
      <c r="F187" s="1" t="s">
        <v>277</v>
      </c>
      <c r="G187" s="8"/>
      <c r="H187" s="8"/>
      <c r="I187" s="8">
        <v>45810</v>
      </c>
      <c r="K187" s="1"/>
      <c r="M187" s="8">
        <v>45811</v>
      </c>
      <c r="N187" s="1" t="s">
        <v>324</v>
      </c>
      <c r="Q187" s="1" t="s">
        <v>325</v>
      </c>
      <c r="R187" s="10" t="str">
        <f ca="1">IFERROR(__xludf.DUMMYFUNCTION("JOIN("","", SORT(UNIQUE(TOCOL({VLOOKUP(D187,DM_fish!A:B,2,FALSE),VLOOKUP(C187,DM_fish!A:B,2,FALSE), ARRAYFORMULA(VLOOKUP(SPLIT(E187, "", ""),Injections!B:G,6,FALSE)), ARRAYFORMULA(VLOOKUP(SPLIT(F187, "", ""),Injections!H:M,6,FALSE)), ARRAYFORMULA(VLOOKUP("&amp;"SPLIT(G187, "", ""),Injections!N:S,6,FALSE)), ARRAYFORMULA(VLOOKUP(SPLIT(H187, "", ""),Injections!T:Y,6,FALSE)) },3))))"),",membrane")</f>
        <v>,membrane</v>
      </c>
      <c r="S187" s="10" t="str">
        <f ca="1">IFERROR(__xludf.DUMMYFUNCTION("IFERROR(JOIN("","", SPLIT(R187, "","", TRUE ,TRUE)), """")"),"membrane")</f>
        <v>membrane</v>
      </c>
      <c r="T187" s="1" t="s">
        <v>326</v>
      </c>
      <c r="U187" s="1">
        <v>419</v>
      </c>
      <c r="V187" s="1" t="s">
        <v>280</v>
      </c>
      <c r="W187" s="12" t="str">
        <f ca="1">IFERROR(CONCATENATE("[", CONCATENATE(IF(VLOOKUP(D187,DM_fish!C:X,14, FALSE)&gt;0, CONCATENATE("{",CHAR(34),"target",CHAR(34),":",CHAR(34),VLOOKUP(D187,DM_fish!C:X,13, FALSE),CHAR(34),",", CHAR(34), "excitation",CHAR(34), ":", VLOOKUP(D187,DM_fish!C:X,14, FALSE), ",",  CHAR(34), "camera",CHAR(34), ":", IF(VALUE(VLOOKUP(D187,DM_fish!C:X,14, FALSE))&lt;VALUE(VLOOKUP(V187,imaging_filters!A:K,11, FALSE)), CONCATENATE(CHAR(34),"CamA",CHAR(34)), CONCATENATE(CHAR(34),"CamB",CHAR(34))),"}"), ""),IF(VLOOKUP(D187,DM_fish!C:X,16, FALSE)&gt;0, CONCATENATE(",{",CHAR(34),"target",CHAR(34),":",CHAR(34),VLOOKUP(D187,DM_fish!C:X,15, FALSE),CHAR(34),",", CHAR(34), "excitation",CHAR(34), ":", VLOOKUP(D187,DM_fish!C:X,16, FALSE), ",",  CHAR(34), "camera",CHAR(34), ":", IF(VALUE(VLOOKUP(D187,DM_fish!C:X,16, FALSE))&lt;VALUE(VLOOKUP(V187,imaging_filters!A:K,11, FALSE)), CONCATENATE(CHAR(34),"CamA",CHAR(34)), CONCATENATE(CHAR(34),"CamB",CHAR(34))),"}"), ""),IF(VLOOKUP(D187,DM_fish!C:X,18, FALSE)&gt;0, CONCATENATE(",{",CHAR(34),"target",CHAR(34),":",CHAR(34),VLOOKUP(D187,DM_fish!C:X,17, FALSE),CHAR(34),",", CHAR(34), "excitation",CHAR(34), ":", VLOOKUP(D187,DM_fish!C:X,18, FALSE), ",",  CHAR(34), "camera",CHAR(34), ":", IF(VALUE(VLOOKUP(D187,DM_fish!C:X,18, FALSE))&lt;VALUE(VLOOKUP(V187,imaging_filters!A:K,11, FALSE)), CONCATENATE(CHAR(34),"CamA",CHAR(34)), CONCATENATE(CHAR(34),"CamB",CHAR(34))),"}"), ""),IF(VLOOKUP(D187,DM_fish!C:X,20, FALSE)&gt;0, CONCATENATE(",{",CHAR(34),"target",CHAR(34),":",CHAR(34),VLOOKUP(D187,DM_fish!C:X,19, FALSE),CHAR(34),",", CHAR(34), "excitation",CHAR(34), ":", VLOOKUP(D187,DM_fish!C:X,20, FALSE), ",",  CHAR(34), "camera",CHAR(34), ":", IF(VALUE(VLOOKUP(D187,DM_fish!C:X,20, FALSE))&lt;VALUE(VLOOKUP(V187,imaging_filters!A:K,11, FALSE)), CONCATENATE(CHAR(34),"CamA",CHAR(34)), CONCATENATE(CHAR(34),"CamB",CHAR(34))),"}"), ""),IF(VLOOKUP(D187,DM_fish!C:X,22, FALSE)&gt;0, CONCATENATE(",{",CHAR(34),"target",CHAR(34),":",CHAR(34),VLOOKUP(D187,DM_fish!C:X,21, FALSE),CHAR(34),",", CHAR(34), "excitation",CHAR(34), ":", VLOOKUP(D187,DM_fish!C:X,22, FALSE), ",",  CHAR(34), "camera",CHAR(34), ":", IF(VALUE(VLOOKUP(D187,DM_fish!C:X,22, FALSE))&lt;VALUE(VLOOKUP(V187,imaging_filters!A:K,11, FALSE)), CONCATENATE(CHAR(34),"CamA",CHAR(34)), CONCATENATE(CHAR(34),"CamB",CHAR(34))),"}"), "")), "]"), "")</f>
        <v/>
      </c>
      <c r="X187" s="12" t="str">
        <f ca="1">IFERROR(
CONCATENATE("[", CONCATENATE(IF(VLOOKUP(C187,DM_fish!C:X,14, FALSE)&gt;0, CONCATENATE("{",CHAR(34),"target",CHAR(34),":",CHAR(34),VLOOKUP(C187,DM_fish!C:X,13, FALSE),CHAR(34),",", CHAR(34), "excitation",CHAR(34), ":", VLOOKUP(C187,DM_fish!C:X,14, FALSE), ",",  CHAR(34), "camera",CHAR(34), ":", IF(VALUE(VLOOKUP(C187,DM_fish!C:X,14, FALSE))&lt;VALUE(VLOOKUP(V187,imaging_filters!A:K,11, FALSE)), CONCATENATE(CHAR(34),"CamA",CHAR(34)), CONCATENATE(CHAR(34),"CamB",CHAR(34))),"}"), ""),IF(VLOOKUP(C187,DM_fish!C:X,16, FALSE)&gt;0, CONCATENATE(",{",CHAR(34),"target",CHAR(34),":",CHAR(34),VLOOKUP(C187,DM_fish!C:X,15, FALSE),CHAR(34),",", CHAR(34), "excitation",CHAR(34), ":", VLOOKUP(C187,DM_fish!C:X,16, FALSE), ",",  CHAR(34), "camera",CHAR(34), ":", IF(VALUE(VLOOKUP(C187,DM_fish!C:X,16, FALSE))&lt;VALUE(VLOOKUP(V187,imaging_filters!A:K,11, FALSE)), CONCATENATE(CHAR(34),"CamA",CHAR(34)), CONCATENATE(CHAR(34),"CamB",CHAR(34))),"}"), ""),IF(VLOOKUP(C187,DM_fish!C:X,18, FALSE)&gt;0, CONCATENATE(",{",CHAR(34),"target",CHAR(34),":",CHAR(34),VLOOKUP(C187,DM_fish!C:X,17, FALSE),CHAR(34),",", CHAR(34), "excitation",CHAR(34), ":", VLOOKUP(C187,DM_fish!C:X,18, FALSE), ",",  CHAR(34), "camera",CHAR(34), ":", IF(VALUE(VLOOKUP(C187,DM_fish!C:X,18, FALSE))&lt;VALUE(VLOOKUP(V187,imaging_filters!A:K,11, FALSE)), CONCATENATE(CHAR(34),"CamA",CHAR(34)), CONCATENATE(CHAR(34),"CamB",CHAR(34))),"}"), ""),IF(VLOOKUP(C187,DM_fish!C:X,20, FALSE)&gt;0, CONCATENATE(",{",CHAR(34),"target",CHAR(34),":",CHAR(34),VLOOKUP(C187,DM_fish!C:X,19, FALSE),CHAR(34),",", CHAR(34), "excitation",CHAR(34), ":", VLOOKUP(C187,DM_fish!C:X,20, FALSE), ",",  CHAR(34), "camera",CHAR(34), ":", IF(VALUE(VLOOKUP(C187,DM_fish!C:X,20, FALSE))&lt;VALUE(VLOOKUP(V187,imaging_filters!A:K,11, FALSE)), CONCATENATE(CHAR(34),"CamA",CHAR(34)), CONCATENATE(CHAR(34),"CamB",CHAR(34))),"}"), ""),IF(VLOOKUP(C187,DM_fish!C:X,22, FALSE)&gt;0, CONCATENATE(",{",CHAR(34),"target",CHAR(34),":",CHAR(34),VLOOKUP(C187,DM_fish!C:X,21, FALSE),CHAR(34),",", CHAR(34), "excitation",CHAR(34), ":", VLOOKUP(C187,DM_fish!C:X,22, FALSE), ",",  CHAR(34), "camera",CHAR(34), ":", IF(VALUE(VLOOKUP(C187,DM_fish!C:X,22, FALSE))&lt;VALUE(VLOOKUP(V187,imaging_filters!A:K,11, FALSE)), CONCATENATE(CHAR(34),"CamA",CHAR(34)), CONCATENATE(CHAR(34),"CamB",CHAR(34))),"}"), "")), "]"), "")</f>
        <v/>
      </c>
      <c r="Y187" s="11" t="str">
        <f ca="1">IFERROR(
CONCATENATE( "[",
IF(VLOOKUP(E187,Injections!B:F,3, FALSE)&gt;0, CONCATENATE( "{",CHAR(34),"target",CHAR(34),":",CHAR(34),VLOOKUP(E187,Injections!B:F,2, FALSE),CHAR(34),",", CHAR(34), "excitation",CHAR(34), ":", VLOOKUP(E187,Injections!B:F,3, FALSE), ",",  CHAR(34), "camera",CHAR(34), ":",
IF(VALUE(VLOOKUP(E187,Injections!B:F,3, FALSE))&lt;VALUE(VLOOKUP(V187,imaging_filters!A:C,2, FALSE)), CONCATENATE(CHAR(34),"CamA",CHAR(34)), CONCATENATE(CHAR(34),"CamB",CHAR(34))),"}"), ""),
IF(VLOOKUP(E187,Injections!B:F,5, FALSE)&gt;0, CONCATENATE(",{",CHAR(34),"target",CHAR(34),":",CHAR(34),VLOOKUP(E187,Injections!B:F,4, FALSE),CHAR(34),",", CHAR(34), "excitation",CHAR(34), ":", VLOOKUP(E187,Injections!B:F,5, FALSE), ",",  CHAR(34), "camera",CHAR(34), ":",
IF(VALUE(VLOOKUP(E187,Injections!B:F,5, FALSE))&lt;VALUE(VLOOKUP(V187,imaging_filters!A:C,2, FALSE)), CONCATENATE(CHAR(34),"CamA",CHAR(34)), CONCATENATE(CHAR(34),"CamB",CHAR(34))),"}"), ""),
 "]"), "[]")</f>
        <v>[]</v>
      </c>
      <c r="Z187" s="11" t="str">
        <f ca="1">IFERROR(
CONCATENATE( "[",
IF(VLOOKUP(F187,Injections!H:L,3, FALSE)&gt;0, CONCATENATE( "{",CHAR(34),"target",CHAR(34),":",CHAR(34),VLOOKUP(F187,Injections!H:L,2, FALSE),CHAR(34),",", CHAR(34), "excitation",CHAR(34), ":", VLOOKUP(F187,Injections!H:L,3, FALSE), ",",  CHAR(34), "camera",CHAR(34), ":",
IF(VALUE(VLOOKUP(F187,Injections!H:L,3, FALSE))&lt;VALUE(VLOOKUP(V187,imaging_filters!A:K,11, FALSE)), CONCATENATE(CHAR(34),"CamA",CHAR(34)), CONCATENATE(CHAR(34),"CamB",CHAR(34))),"}"), ""),
IF(VLOOKUP(F187,Injections!H:L,5, FALSE)&gt;0, CONCATENATE(",{",CHAR(34),"target",CHAR(34),":",CHAR(34),VLOOKUP(F187,Injections!H:L,4, FALSE),CHAR(34),",", CHAR(34), "excitation",CHAR(34), ":", VLOOKUP(F187,Injections!H:L,5, FALSE), ",",  CHAR(34), "camera",CHAR(34), ":",
IF(VALUE(VLOOKUP(F187,Injections!H:L,5, FALSE))&lt;VALUE(VLOOKUP(V187,imaging_filters!A:K,11, FALSE)), CONCATENATE(CHAR(34),"CamA",CHAR(34)), CONCATENATE(CHAR(34),"CamB",CHAR(34))),"}"), ""),
 "]"), "[]")</f>
        <v>[]</v>
      </c>
      <c r="AA187" s="11"/>
    </row>
    <row r="188" spans="1:27" ht="15.75" customHeight="1" x14ac:dyDescent="0.15">
      <c r="A188" s="7">
        <f t="shared" si="4"/>
        <v>45810</v>
      </c>
      <c r="B188" s="1"/>
      <c r="C188" s="1" t="s">
        <v>107</v>
      </c>
      <c r="D188" s="1" t="s">
        <v>327</v>
      </c>
      <c r="E188" s="1"/>
      <c r="F188" s="1"/>
      <c r="G188" s="8"/>
      <c r="H188" s="8"/>
      <c r="I188" s="8">
        <v>45807</v>
      </c>
      <c r="K188" s="1" t="s">
        <v>257</v>
      </c>
      <c r="M188" s="8">
        <v>45810</v>
      </c>
      <c r="Q188" s="1" t="s">
        <v>328</v>
      </c>
      <c r="R188" s="10" t="str">
        <f ca="1">IFERROR(__xludf.DUMMYFUNCTION("JOIN("","", SORT(UNIQUE(TOCOL({VLOOKUP(D188,DM_fish!A:B,2,FALSE),VLOOKUP(C188,DM_fish!A:B,2,FALSE), ARRAYFORMULA(VLOOKUP(SPLIT(E188, "", ""),Injections!B:G,6,FALSE)), ARRAYFORMULA(VLOOKUP(SPLIT(F188, "", ""),Injections!H:M,6,FALSE)), ARRAYFORMULA(VLOOKUP("&amp;"SPLIT(G188, "", ""),Injections!N:S,6,FALSE)), ARRAYFORMULA(VLOOKUP(SPLIT(H188, "", ""),Injections!T:Y,6,FALSE)) },3))))"),"")</f>
        <v/>
      </c>
      <c r="S188" s="10" t="str">
        <f ca="1">IFERROR(__xludf.DUMMYFUNCTION("IFERROR(JOIN("","", SPLIT(R188, "","", TRUE ,TRUE)), """")"),"")</f>
        <v/>
      </c>
      <c r="T188" s="1" t="s">
        <v>329</v>
      </c>
      <c r="U188" s="1">
        <v>5771</v>
      </c>
      <c r="V188" s="1" t="s">
        <v>203</v>
      </c>
      <c r="W188" s="12" t="str">
        <f ca="1">IFERROR(CONCATENATE("[", CONCATENATE(IF(VLOOKUP(D188,DM_fish!C:X,14, FALSE)&gt;0, CONCATENATE("{",CHAR(34),"target",CHAR(34),":",CHAR(34),VLOOKUP(D188,DM_fish!C:X,13, FALSE),CHAR(34),",", CHAR(34), "excitation",CHAR(34), ":", VLOOKUP(D188,DM_fish!C:X,14, FALSE), ",",  CHAR(34), "camera",CHAR(34), ":", IF(VALUE(VLOOKUP(D188,DM_fish!C:X,14, FALSE))&lt;VALUE(VLOOKUP(V188,imaging_filters!A:K,11, FALSE)), CONCATENATE(CHAR(34),"CamA",CHAR(34)), CONCATENATE(CHAR(34),"CamB",CHAR(34))),"}"), ""),IF(VLOOKUP(D188,DM_fish!C:X,16, FALSE)&gt;0, CONCATENATE(",{",CHAR(34),"target",CHAR(34),":",CHAR(34),VLOOKUP(D188,DM_fish!C:X,15, FALSE),CHAR(34),",", CHAR(34), "excitation",CHAR(34), ":", VLOOKUP(D188,DM_fish!C:X,16, FALSE), ",",  CHAR(34), "camera",CHAR(34), ":", IF(VALUE(VLOOKUP(D188,DM_fish!C:X,16, FALSE))&lt;VALUE(VLOOKUP(V188,imaging_filters!A:K,11, FALSE)), CONCATENATE(CHAR(34),"CamA",CHAR(34)), CONCATENATE(CHAR(34),"CamB",CHAR(34))),"}"), ""),IF(VLOOKUP(D188,DM_fish!C:X,18, FALSE)&gt;0, CONCATENATE(",{",CHAR(34),"target",CHAR(34),":",CHAR(34),VLOOKUP(D188,DM_fish!C:X,17, FALSE),CHAR(34),",", CHAR(34), "excitation",CHAR(34), ":", VLOOKUP(D188,DM_fish!C:X,18, FALSE), ",",  CHAR(34), "camera",CHAR(34), ":", IF(VALUE(VLOOKUP(D188,DM_fish!C:X,18, FALSE))&lt;VALUE(VLOOKUP(V188,imaging_filters!A:K,11, FALSE)), CONCATENATE(CHAR(34),"CamA",CHAR(34)), CONCATENATE(CHAR(34),"CamB",CHAR(34))),"}"), ""),IF(VLOOKUP(D188,DM_fish!C:X,20, FALSE)&gt;0, CONCATENATE(",{",CHAR(34),"target",CHAR(34),":",CHAR(34),VLOOKUP(D188,DM_fish!C:X,19, FALSE),CHAR(34),",", CHAR(34), "excitation",CHAR(34), ":", VLOOKUP(D188,DM_fish!C:X,20, FALSE), ",",  CHAR(34), "camera",CHAR(34), ":", IF(VALUE(VLOOKUP(D188,DM_fish!C:X,20, FALSE))&lt;VALUE(VLOOKUP(V188,imaging_filters!A:K,11, FALSE)), CONCATENATE(CHAR(34),"CamA",CHAR(34)), CONCATENATE(CHAR(34),"CamB",CHAR(34))),"}"), ""),IF(VLOOKUP(D188,DM_fish!C:X,22, FALSE)&gt;0, CONCATENATE(",{",CHAR(34),"target",CHAR(34),":",CHAR(34),VLOOKUP(D188,DM_fish!C:X,21, FALSE),CHAR(34),",", CHAR(34), "excitation",CHAR(34), ":", VLOOKUP(D188,DM_fish!C:X,22, FALSE), ",",  CHAR(34), "camera",CHAR(34), ":", IF(VALUE(VLOOKUP(D188,DM_fish!C:X,22, FALSE))&lt;VALUE(VLOOKUP(V188,imaging_filters!A:K,11, FALSE)), CONCATENATE(CHAR(34),"CamA",CHAR(34)), CONCATENATE(CHAR(34),"CamB",CHAR(34))),"}"), "")), "]"), "")</f>
        <v/>
      </c>
      <c r="X188" s="12" t="str">
        <f ca="1">IFERROR(
CONCATENATE("[", CONCATENATE(IF(VLOOKUP(C188,DM_fish!C:X,14, FALSE)&gt;0, CONCATENATE("{",CHAR(34),"target",CHAR(34),":",CHAR(34),VLOOKUP(C188,DM_fish!C:X,13, FALSE),CHAR(34),",", CHAR(34), "excitation",CHAR(34), ":", VLOOKUP(C188,DM_fish!C:X,14, FALSE), ",",  CHAR(34), "camera",CHAR(34), ":", IF(VALUE(VLOOKUP(C188,DM_fish!C:X,14, FALSE))&lt;VALUE(VLOOKUP(V188,imaging_filters!A:K,11, FALSE)), CONCATENATE(CHAR(34),"CamA",CHAR(34)), CONCATENATE(CHAR(34),"CamB",CHAR(34))),"}"), ""),IF(VLOOKUP(C188,DM_fish!C:X,16, FALSE)&gt;0, CONCATENATE(",{",CHAR(34),"target",CHAR(34),":",CHAR(34),VLOOKUP(C188,DM_fish!C:X,15, FALSE),CHAR(34),",", CHAR(34), "excitation",CHAR(34), ":", VLOOKUP(C188,DM_fish!C:X,16, FALSE), ",",  CHAR(34), "camera",CHAR(34), ":", IF(VALUE(VLOOKUP(C188,DM_fish!C:X,16, FALSE))&lt;VALUE(VLOOKUP(V188,imaging_filters!A:K,11, FALSE)), CONCATENATE(CHAR(34),"CamA",CHAR(34)), CONCATENATE(CHAR(34),"CamB",CHAR(34))),"}"), ""),IF(VLOOKUP(C188,DM_fish!C:X,18, FALSE)&gt;0, CONCATENATE(",{",CHAR(34),"target",CHAR(34),":",CHAR(34),VLOOKUP(C188,DM_fish!C:X,17, FALSE),CHAR(34),",", CHAR(34), "excitation",CHAR(34), ":", VLOOKUP(C188,DM_fish!C:X,18, FALSE), ",",  CHAR(34), "camera",CHAR(34), ":", IF(VALUE(VLOOKUP(C188,DM_fish!C:X,18, FALSE))&lt;VALUE(VLOOKUP(V188,imaging_filters!A:K,11, FALSE)), CONCATENATE(CHAR(34),"CamA",CHAR(34)), CONCATENATE(CHAR(34),"CamB",CHAR(34))),"}"), ""),IF(VLOOKUP(C188,DM_fish!C:X,20, FALSE)&gt;0, CONCATENATE(",{",CHAR(34),"target",CHAR(34),":",CHAR(34),VLOOKUP(C188,DM_fish!C:X,19, FALSE),CHAR(34),",", CHAR(34), "excitation",CHAR(34), ":", VLOOKUP(C188,DM_fish!C:X,20, FALSE), ",",  CHAR(34), "camera",CHAR(34), ":", IF(VALUE(VLOOKUP(C188,DM_fish!C:X,20, FALSE))&lt;VALUE(VLOOKUP(V188,imaging_filters!A:K,11, FALSE)), CONCATENATE(CHAR(34),"CamA",CHAR(34)), CONCATENATE(CHAR(34),"CamB",CHAR(34))),"}"), ""),IF(VLOOKUP(C188,DM_fish!C:X,22, FALSE)&gt;0, CONCATENATE(",{",CHAR(34),"target",CHAR(34),":",CHAR(34),VLOOKUP(C188,DM_fish!C:X,21, FALSE),CHAR(34),",", CHAR(34), "excitation",CHAR(34), ":", VLOOKUP(C188,DM_fish!C:X,22, FALSE), ",",  CHAR(34), "camera",CHAR(34), ":", IF(VALUE(VLOOKUP(C188,DM_fish!C:X,22, FALSE))&lt;VALUE(VLOOKUP(V188,imaging_filters!A:K,11, FALSE)), CONCATENATE(CHAR(34),"CamA",CHAR(34)), CONCATENATE(CHAR(34),"CamB",CHAR(34))),"}"), "")), "]"), "")</f>
        <v/>
      </c>
      <c r="Y188" s="11" t="str">
        <f ca="1">IFERROR(
CONCATENATE( "[",
IF(VLOOKUP(E188,Injections!B:F,3, FALSE)&gt;0, CONCATENATE( "{",CHAR(34),"target",CHAR(34),":",CHAR(34),VLOOKUP(E188,Injections!B:F,2, FALSE),CHAR(34),",", CHAR(34), "excitation",CHAR(34), ":", VLOOKUP(E188,Injections!B:F,3, FALSE), ",",  CHAR(34), "camera",CHAR(34), ":",
IF(VALUE(VLOOKUP(E188,Injections!B:F,3, FALSE))&lt;VALUE(VLOOKUP(V188,imaging_filters!A:C,2, FALSE)), CONCATENATE(CHAR(34),"CamA",CHAR(34)), CONCATENATE(CHAR(34),"CamB",CHAR(34))),"}"), ""),
IF(VLOOKUP(E188,Injections!B:F,5, FALSE)&gt;0, CONCATENATE(",{",CHAR(34),"target",CHAR(34),":",CHAR(34),VLOOKUP(E188,Injections!B:F,4, FALSE),CHAR(34),",", CHAR(34), "excitation",CHAR(34), ":", VLOOKUP(E188,Injections!B:F,5, FALSE), ",",  CHAR(34), "camera",CHAR(34), ":",
IF(VALUE(VLOOKUP(E188,Injections!B:F,5, FALSE))&lt;VALUE(VLOOKUP(V188,imaging_filters!A:C,2, FALSE)), CONCATENATE(CHAR(34),"CamA",CHAR(34)), CONCATENATE(CHAR(34),"CamB",CHAR(34))),"}"), ""),
 "]"), "[]")</f>
        <v>[]</v>
      </c>
      <c r="Z188" s="11" t="str">
        <f ca="1">IFERROR(
CONCATENATE( "[",
IF(VLOOKUP(F188,Injections!H:L,3, FALSE)&gt;0, CONCATENATE( "{",CHAR(34),"target",CHAR(34),":",CHAR(34),VLOOKUP(F188,Injections!H:L,2, FALSE),CHAR(34),",", CHAR(34), "excitation",CHAR(34), ":", VLOOKUP(F188,Injections!H:L,3, FALSE), ",",  CHAR(34), "camera",CHAR(34), ":",
IF(VALUE(VLOOKUP(F188,Injections!H:L,3, FALSE))&lt;VALUE(VLOOKUP(V188,imaging_filters!A:K,11, FALSE)), CONCATENATE(CHAR(34),"CamA",CHAR(34)), CONCATENATE(CHAR(34),"CamB",CHAR(34))),"}"), ""),
IF(VLOOKUP(F188,Injections!H:L,5, FALSE)&gt;0, CONCATENATE(",{",CHAR(34),"target",CHAR(34),":",CHAR(34),VLOOKUP(F188,Injections!H:L,4, FALSE),CHAR(34),",", CHAR(34), "excitation",CHAR(34), ":", VLOOKUP(F188,Injections!H:L,5, FALSE), ",",  CHAR(34), "camera",CHAR(34), ":",
IF(VALUE(VLOOKUP(F188,Injections!H:L,5, FALSE))&lt;VALUE(VLOOKUP(V188,imaging_filters!A:K,11, FALSE)), CONCATENATE(CHAR(34),"CamA",CHAR(34)), CONCATENATE(CHAR(34),"CamB",CHAR(34))),"}"), ""),
 "]"), "[]")</f>
        <v>[]</v>
      </c>
      <c r="AA188" s="11"/>
    </row>
    <row r="189" spans="1:27" ht="15.75" customHeight="1" x14ac:dyDescent="0.15">
      <c r="A189" s="7">
        <f t="shared" si="4"/>
        <v>45807</v>
      </c>
      <c r="B189" s="1"/>
      <c r="C189" s="1" t="s">
        <v>327</v>
      </c>
      <c r="D189" s="1" t="s">
        <v>327</v>
      </c>
      <c r="E189" s="1"/>
      <c r="F189" s="1" t="s">
        <v>64</v>
      </c>
      <c r="G189" s="8"/>
      <c r="H189" s="8"/>
      <c r="I189" s="8">
        <v>45805</v>
      </c>
      <c r="K189" s="1" t="s">
        <v>246</v>
      </c>
      <c r="M189" s="8">
        <v>45807</v>
      </c>
      <c r="N189" s="9">
        <v>0.45833333333333331</v>
      </c>
      <c r="O189" s="9">
        <v>0.48958333333333331</v>
      </c>
      <c r="P189" s="1" t="s">
        <v>330</v>
      </c>
      <c r="Q189" s="1" t="s">
        <v>331</v>
      </c>
      <c r="R189" s="10" t="str">
        <f ca="1">IFERROR(__xludf.DUMMYFUNCTION("JOIN("","", SORT(UNIQUE(TOCOL({VLOOKUP(D189,DM_fish!A:B,2,FALSE),VLOOKUP(C189,DM_fish!A:B,2,FALSE), ARRAYFORMULA(VLOOKUP(SPLIT(E189, "", ""),Injections!B:G,6,FALSE)), ARRAYFORMULA(VLOOKUP(SPLIT(F189, "", ""),Injections!H:M,6,FALSE)), ARRAYFORMULA(VLOOKUP("&amp;"SPLIT(G189, "", ""),Injections!N:S,6,FALSE)), ARRAYFORMULA(VLOOKUP(SPLIT(H189, "", ""),Injections!T:Y,6,FALSE)) },3))))"),"nuclei")</f>
        <v>nuclei</v>
      </c>
      <c r="S189" s="10" t="str">
        <f ca="1">IFERROR(__xludf.DUMMYFUNCTION("IFERROR(JOIN("","", SPLIT(R189, "","", TRUE ,TRUE)), """")"),"nuclei")</f>
        <v>nuclei</v>
      </c>
      <c r="T189" s="1" t="s">
        <v>332</v>
      </c>
      <c r="U189" s="1">
        <v>5816</v>
      </c>
      <c r="V189" s="1" t="s">
        <v>203</v>
      </c>
      <c r="W189" s="12" t="str">
        <f ca="1">IFERROR(CONCATENATE("[", CONCATENATE(IF(VLOOKUP(D189,DM_fish!C:X,14, FALSE)&gt;0, CONCATENATE("{",CHAR(34),"target",CHAR(34),":",CHAR(34),VLOOKUP(D189,DM_fish!C:X,13, FALSE),CHAR(34),",", CHAR(34), "excitation",CHAR(34), ":", VLOOKUP(D189,DM_fish!C:X,14, FALSE), ",",  CHAR(34), "camera",CHAR(34), ":", IF(VALUE(VLOOKUP(D189,DM_fish!C:X,14, FALSE))&lt;VALUE(VLOOKUP(V189,imaging_filters!A:K,11, FALSE)), CONCATENATE(CHAR(34),"CamA",CHAR(34)), CONCATENATE(CHAR(34),"CamB",CHAR(34))),"}"), ""),IF(VLOOKUP(D189,DM_fish!C:X,16, FALSE)&gt;0, CONCATENATE(",{",CHAR(34),"target",CHAR(34),":",CHAR(34),VLOOKUP(D189,DM_fish!C:X,15, FALSE),CHAR(34),",", CHAR(34), "excitation",CHAR(34), ":", VLOOKUP(D189,DM_fish!C:X,16, FALSE), ",",  CHAR(34), "camera",CHAR(34), ":", IF(VALUE(VLOOKUP(D189,DM_fish!C:X,16, FALSE))&lt;VALUE(VLOOKUP(V189,imaging_filters!A:K,11, FALSE)), CONCATENATE(CHAR(34),"CamA",CHAR(34)), CONCATENATE(CHAR(34),"CamB",CHAR(34))),"}"), ""),IF(VLOOKUP(D189,DM_fish!C:X,18, FALSE)&gt;0, CONCATENATE(",{",CHAR(34),"target",CHAR(34),":",CHAR(34),VLOOKUP(D189,DM_fish!C:X,17, FALSE),CHAR(34),",", CHAR(34), "excitation",CHAR(34), ":", VLOOKUP(D189,DM_fish!C:X,18, FALSE), ",",  CHAR(34), "camera",CHAR(34), ":", IF(VALUE(VLOOKUP(D189,DM_fish!C:X,18, FALSE))&lt;VALUE(VLOOKUP(V189,imaging_filters!A:K,11, FALSE)), CONCATENATE(CHAR(34),"CamA",CHAR(34)), CONCATENATE(CHAR(34),"CamB",CHAR(34))),"}"), ""),IF(VLOOKUP(D189,DM_fish!C:X,20, FALSE)&gt;0, CONCATENATE(",{",CHAR(34),"target",CHAR(34),":",CHAR(34),VLOOKUP(D189,DM_fish!C:X,19, FALSE),CHAR(34),",", CHAR(34), "excitation",CHAR(34), ":", VLOOKUP(D189,DM_fish!C:X,20, FALSE), ",",  CHAR(34), "camera",CHAR(34), ":", IF(VALUE(VLOOKUP(D189,DM_fish!C:X,20, FALSE))&lt;VALUE(VLOOKUP(V189,imaging_filters!A:K,11, FALSE)), CONCATENATE(CHAR(34),"CamA",CHAR(34)), CONCATENATE(CHAR(34),"CamB",CHAR(34))),"}"), ""),IF(VLOOKUP(D189,DM_fish!C:X,22, FALSE)&gt;0, CONCATENATE(",{",CHAR(34),"target",CHAR(34),":",CHAR(34),VLOOKUP(D189,DM_fish!C:X,21, FALSE),CHAR(34),",", CHAR(34), "excitation",CHAR(34), ":", VLOOKUP(D189,DM_fish!C:X,22, FALSE), ",",  CHAR(34), "camera",CHAR(34), ":", IF(VALUE(VLOOKUP(D189,DM_fish!C:X,22, FALSE))&lt;VALUE(VLOOKUP(V189,imaging_filters!A:K,11, FALSE)), CONCATENATE(CHAR(34),"CamA",CHAR(34)), CONCATENATE(CHAR(34),"CamB",CHAR(34))),"}"), "")), "]"), "")</f>
        <v/>
      </c>
      <c r="X189" s="12" t="str">
        <f ca="1">IFERROR(
CONCATENATE("[", CONCATENATE(IF(VLOOKUP(C189,DM_fish!C:X,14, FALSE)&gt;0, CONCATENATE("{",CHAR(34),"target",CHAR(34),":",CHAR(34),VLOOKUP(C189,DM_fish!C:X,13, FALSE),CHAR(34),",", CHAR(34), "excitation",CHAR(34), ":", VLOOKUP(C189,DM_fish!C:X,14, FALSE), ",",  CHAR(34), "camera",CHAR(34), ":", IF(VALUE(VLOOKUP(C189,DM_fish!C:X,14, FALSE))&lt;VALUE(VLOOKUP(V189,imaging_filters!A:K,11, FALSE)), CONCATENATE(CHAR(34),"CamA",CHAR(34)), CONCATENATE(CHAR(34),"CamB",CHAR(34))),"}"), ""),IF(VLOOKUP(C189,DM_fish!C:X,16, FALSE)&gt;0, CONCATENATE(",{",CHAR(34),"target",CHAR(34),":",CHAR(34),VLOOKUP(C189,DM_fish!C:X,15, FALSE),CHAR(34),",", CHAR(34), "excitation",CHAR(34), ":", VLOOKUP(C189,DM_fish!C:X,16, FALSE), ",",  CHAR(34), "camera",CHAR(34), ":", IF(VALUE(VLOOKUP(C189,DM_fish!C:X,16, FALSE))&lt;VALUE(VLOOKUP(V189,imaging_filters!A:K,11, FALSE)), CONCATENATE(CHAR(34),"CamA",CHAR(34)), CONCATENATE(CHAR(34),"CamB",CHAR(34))),"}"), ""),IF(VLOOKUP(C189,DM_fish!C:X,18, FALSE)&gt;0, CONCATENATE(",{",CHAR(34),"target",CHAR(34),":",CHAR(34),VLOOKUP(C189,DM_fish!C:X,17, FALSE),CHAR(34),",", CHAR(34), "excitation",CHAR(34), ":", VLOOKUP(C189,DM_fish!C:X,18, FALSE), ",",  CHAR(34), "camera",CHAR(34), ":", IF(VALUE(VLOOKUP(C189,DM_fish!C:X,18, FALSE))&lt;VALUE(VLOOKUP(V189,imaging_filters!A:K,11, FALSE)), CONCATENATE(CHAR(34),"CamA",CHAR(34)), CONCATENATE(CHAR(34),"CamB",CHAR(34))),"}"), ""),IF(VLOOKUP(C189,DM_fish!C:X,20, FALSE)&gt;0, CONCATENATE(",{",CHAR(34),"target",CHAR(34),":",CHAR(34),VLOOKUP(C189,DM_fish!C:X,19, FALSE),CHAR(34),",", CHAR(34), "excitation",CHAR(34), ":", VLOOKUP(C189,DM_fish!C:X,20, FALSE), ",",  CHAR(34), "camera",CHAR(34), ":", IF(VALUE(VLOOKUP(C189,DM_fish!C:X,20, FALSE))&lt;VALUE(VLOOKUP(V189,imaging_filters!A:K,11, FALSE)), CONCATENATE(CHAR(34),"CamA",CHAR(34)), CONCATENATE(CHAR(34),"CamB",CHAR(34))),"}"), ""),IF(VLOOKUP(C189,DM_fish!C:X,22, FALSE)&gt;0, CONCATENATE(",{",CHAR(34),"target",CHAR(34),":",CHAR(34),VLOOKUP(C189,DM_fish!C:X,21, FALSE),CHAR(34),",", CHAR(34), "excitation",CHAR(34), ":", VLOOKUP(C189,DM_fish!C:X,22, FALSE), ",",  CHAR(34), "camera",CHAR(34), ":", IF(VALUE(VLOOKUP(C189,DM_fish!C:X,22, FALSE))&lt;VALUE(VLOOKUP(V189,imaging_filters!A:K,11, FALSE)), CONCATENATE(CHAR(34),"CamA",CHAR(34)), CONCATENATE(CHAR(34),"CamB",CHAR(34))),"}"), "")), "]"), "")</f>
        <v/>
      </c>
      <c r="Y189" s="11" t="str">
        <f ca="1">IFERROR(
CONCATENATE( "[",
IF(VLOOKUP(E189,Injections!B:F,3, FALSE)&gt;0, CONCATENATE( "{",CHAR(34),"target",CHAR(34),":",CHAR(34),VLOOKUP(E189,Injections!B:F,2, FALSE),CHAR(34),",", CHAR(34), "excitation",CHAR(34), ":", VLOOKUP(E189,Injections!B:F,3, FALSE), ",",  CHAR(34), "camera",CHAR(34), ":",
IF(VALUE(VLOOKUP(E189,Injections!B:F,3, FALSE))&lt;VALUE(VLOOKUP(V189,imaging_filters!A:C,2, FALSE)), CONCATENATE(CHAR(34),"CamA",CHAR(34)), CONCATENATE(CHAR(34),"CamB",CHAR(34))),"}"), ""),
IF(VLOOKUP(E189,Injections!B:F,5, FALSE)&gt;0, CONCATENATE(",{",CHAR(34),"target",CHAR(34),":",CHAR(34),VLOOKUP(E189,Injections!B:F,4, FALSE),CHAR(34),",", CHAR(34), "excitation",CHAR(34), ":", VLOOKUP(E189,Injections!B:F,5, FALSE), ",",  CHAR(34), "camera",CHAR(34), ":",
IF(VALUE(VLOOKUP(E189,Injections!B:F,5, FALSE))&lt;VALUE(VLOOKUP(V189,imaging_filters!A:C,2, FALSE)), CONCATENATE(CHAR(34),"CamA",CHAR(34)), CONCATENATE(CHAR(34),"CamB",CHAR(34))),"}"), ""),
 "]"), "[]")</f>
        <v>[]</v>
      </c>
      <c r="Z189" s="11" t="str">
        <f ca="1">IFERROR(
CONCATENATE( "[",
IF(VLOOKUP(F189,Injections!H:L,3, FALSE)&gt;0, CONCATENATE( "{",CHAR(34),"target",CHAR(34),":",CHAR(34),VLOOKUP(F189,Injections!H:L,2, FALSE),CHAR(34),",", CHAR(34), "excitation",CHAR(34), ":", VLOOKUP(F189,Injections!H:L,3, FALSE), ",",  CHAR(34), "camera",CHAR(34), ":",
IF(VALUE(VLOOKUP(F189,Injections!H:L,3, FALSE))&lt;VALUE(VLOOKUP(V189,imaging_filters!A:K,11, FALSE)), CONCATENATE(CHAR(34),"CamA",CHAR(34)), CONCATENATE(CHAR(34),"CamB",CHAR(34))),"}"), ""),
IF(VLOOKUP(F189,Injections!H:L,5, FALSE)&gt;0, CONCATENATE(",{",CHAR(34),"target",CHAR(34),":",CHAR(34),VLOOKUP(F189,Injections!H:L,4, FALSE),CHAR(34),",", CHAR(34), "excitation",CHAR(34), ":", VLOOKUP(F189,Injections!H:L,5, FALSE), ",",  CHAR(34), "camera",CHAR(34), ":",
IF(VALUE(VLOOKUP(F189,Injections!H:L,5, FALSE))&lt;VALUE(VLOOKUP(V189,imaging_filters!A:K,11, FALSE)), CONCATENATE(CHAR(34),"CamA",CHAR(34)), CONCATENATE(CHAR(34),"CamB",CHAR(34))),"}"), ""),
 "]"), "[]")</f>
        <v>[{"target":"nuclei","excitation":560,"camera":"CamB"}]</v>
      </c>
      <c r="AA189" s="11"/>
    </row>
    <row r="190" spans="1:27" ht="15.75" customHeight="1" x14ac:dyDescent="0.15">
      <c r="A190" s="7">
        <f t="shared" si="4"/>
        <v>45806</v>
      </c>
      <c r="B190" s="1"/>
      <c r="C190" s="1" t="s">
        <v>327</v>
      </c>
      <c r="D190" s="1" t="s">
        <v>327</v>
      </c>
      <c r="E190" s="1"/>
      <c r="F190" s="1" t="s">
        <v>64</v>
      </c>
      <c r="G190" s="8"/>
      <c r="H190" s="8"/>
      <c r="I190" s="8">
        <v>45804</v>
      </c>
      <c r="K190" s="1" t="s">
        <v>246</v>
      </c>
      <c r="M190" s="8">
        <v>45806</v>
      </c>
      <c r="N190" s="9">
        <v>0.70833333333333337</v>
      </c>
      <c r="O190" s="9">
        <v>0.30208333333333331</v>
      </c>
      <c r="P190" s="9">
        <v>0.52777777777777779</v>
      </c>
      <c r="Q190" s="1" t="s">
        <v>333</v>
      </c>
      <c r="R190" s="10" t="str">
        <f ca="1">IFERROR(__xludf.DUMMYFUNCTION("JOIN("","", SORT(UNIQUE(TOCOL({VLOOKUP(D190,DM_fish!A:B,2,FALSE),VLOOKUP(C190,DM_fish!A:B,2,FALSE), ARRAYFORMULA(VLOOKUP(SPLIT(E190, "", ""),Injections!B:G,6,FALSE)), ARRAYFORMULA(VLOOKUP(SPLIT(F190, "", ""),Injections!H:M,6,FALSE)), ARRAYFORMULA(VLOOKUP("&amp;"SPLIT(G190, "", ""),Injections!N:S,6,FALSE)), ARRAYFORMULA(VLOOKUP(SPLIT(H190, "", ""),Injections!T:Y,6,FALSE)) },3))))"),"nuclei")</f>
        <v>nuclei</v>
      </c>
      <c r="S190" s="10" t="str">
        <f ca="1">IFERROR(__xludf.DUMMYFUNCTION("IFERROR(JOIN("","", SPLIT(R190, "","", TRUE ,TRUE)), """")"),"nuclei")</f>
        <v>nuclei</v>
      </c>
      <c r="T190" s="1" t="s">
        <v>334</v>
      </c>
      <c r="U190" s="1">
        <v>886</v>
      </c>
      <c r="V190" s="1" t="s">
        <v>203</v>
      </c>
      <c r="W190" s="12" t="str">
        <f ca="1">IFERROR(CONCATENATE("[", CONCATENATE(IF(VLOOKUP(D190,DM_fish!C:X,14, FALSE)&gt;0, CONCATENATE("{",CHAR(34),"target",CHAR(34),":",CHAR(34),VLOOKUP(D190,DM_fish!C:X,13, FALSE),CHAR(34),",", CHAR(34), "excitation",CHAR(34), ":", VLOOKUP(D190,DM_fish!C:X,14, FALSE), ",",  CHAR(34), "camera",CHAR(34), ":", IF(VALUE(VLOOKUP(D190,DM_fish!C:X,14, FALSE))&lt;VALUE(VLOOKUP(V190,imaging_filters!A:K,11, FALSE)), CONCATENATE(CHAR(34),"CamA",CHAR(34)), CONCATENATE(CHAR(34),"CamB",CHAR(34))),"}"), ""),IF(VLOOKUP(D190,DM_fish!C:X,16, FALSE)&gt;0, CONCATENATE(",{",CHAR(34),"target",CHAR(34),":",CHAR(34),VLOOKUP(D190,DM_fish!C:X,15, FALSE),CHAR(34),",", CHAR(34), "excitation",CHAR(34), ":", VLOOKUP(D190,DM_fish!C:X,16, FALSE), ",",  CHAR(34), "camera",CHAR(34), ":", IF(VALUE(VLOOKUP(D190,DM_fish!C:X,16, FALSE))&lt;VALUE(VLOOKUP(V190,imaging_filters!A:K,11, FALSE)), CONCATENATE(CHAR(34),"CamA",CHAR(34)), CONCATENATE(CHAR(34),"CamB",CHAR(34))),"}"), ""),IF(VLOOKUP(D190,DM_fish!C:X,18, FALSE)&gt;0, CONCATENATE(",{",CHAR(34),"target",CHAR(34),":",CHAR(34),VLOOKUP(D190,DM_fish!C:X,17, FALSE),CHAR(34),",", CHAR(34), "excitation",CHAR(34), ":", VLOOKUP(D190,DM_fish!C:X,18, FALSE), ",",  CHAR(34), "camera",CHAR(34), ":", IF(VALUE(VLOOKUP(D190,DM_fish!C:X,18, FALSE))&lt;VALUE(VLOOKUP(V190,imaging_filters!A:K,11, FALSE)), CONCATENATE(CHAR(34),"CamA",CHAR(34)), CONCATENATE(CHAR(34),"CamB",CHAR(34))),"}"), ""),IF(VLOOKUP(D190,DM_fish!C:X,20, FALSE)&gt;0, CONCATENATE(",{",CHAR(34),"target",CHAR(34),":",CHAR(34),VLOOKUP(D190,DM_fish!C:X,19, FALSE),CHAR(34),",", CHAR(34), "excitation",CHAR(34), ":", VLOOKUP(D190,DM_fish!C:X,20, FALSE), ",",  CHAR(34), "camera",CHAR(34), ":", IF(VALUE(VLOOKUP(D190,DM_fish!C:X,20, FALSE))&lt;VALUE(VLOOKUP(V190,imaging_filters!A:K,11, FALSE)), CONCATENATE(CHAR(34),"CamA",CHAR(34)), CONCATENATE(CHAR(34),"CamB",CHAR(34))),"}"), ""),IF(VLOOKUP(D190,DM_fish!C:X,22, FALSE)&gt;0, CONCATENATE(",{",CHAR(34),"target",CHAR(34),":",CHAR(34),VLOOKUP(D190,DM_fish!C:X,21, FALSE),CHAR(34),",", CHAR(34), "excitation",CHAR(34), ":", VLOOKUP(D190,DM_fish!C:X,22, FALSE), ",",  CHAR(34), "camera",CHAR(34), ":", IF(VALUE(VLOOKUP(D190,DM_fish!C:X,22, FALSE))&lt;VALUE(VLOOKUP(V190,imaging_filters!A:K,11, FALSE)), CONCATENATE(CHAR(34),"CamA",CHAR(34)), CONCATENATE(CHAR(34),"CamB",CHAR(34))),"}"), "")), "]"), "")</f>
        <v/>
      </c>
      <c r="X190" s="12" t="str">
        <f ca="1">IFERROR(
CONCATENATE("[", CONCATENATE(IF(VLOOKUP(C190,DM_fish!C:X,14, FALSE)&gt;0, CONCATENATE("{",CHAR(34),"target",CHAR(34),":",CHAR(34),VLOOKUP(C190,DM_fish!C:X,13, FALSE),CHAR(34),",", CHAR(34), "excitation",CHAR(34), ":", VLOOKUP(C190,DM_fish!C:X,14, FALSE), ",",  CHAR(34), "camera",CHAR(34), ":", IF(VALUE(VLOOKUP(C190,DM_fish!C:X,14, FALSE))&lt;VALUE(VLOOKUP(V190,imaging_filters!A:K,11, FALSE)), CONCATENATE(CHAR(34),"CamA",CHAR(34)), CONCATENATE(CHAR(34),"CamB",CHAR(34))),"}"), ""),IF(VLOOKUP(C190,DM_fish!C:X,16, FALSE)&gt;0, CONCATENATE(",{",CHAR(34),"target",CHAR(34),":",CHAR(34),VLOOKUP(C190,DM_fish!C:X,15, FALSE),CHAR(34),",", CHAR(34), "excitation",CHAR(34), ":", VLOOKUP(C190,DM_fish!C:X,16, FALSE), ",",  CHAR(34), "camera",CHAR(34), ":", IF(VALUE(VLOOKUP(C190,DM_fish!C:X,16, FALSE))&lt;VALUE(VLOOKUP(V190,imaging_filters!A:K,11, FALSE)), CONCATENATE(CHAR(34),"CamA",CHAR(34)), CONCATENATE(CHAR(34),"CamB",CHAR(34))),"}"), ""),IF(VLOOKUP(C190,DM_fish!C:X,18, FALSE)&gt;0, CONCATENATE(",{",CHAR(34),"target",CHAR(34),":",CHAR(34),VLOOKUP(C190,DM_fish!C:X,17, FALSE),CHAR(34),",", CHAR(34), "excitation",CHAR(34), ":", VLOOKUP(C190,DM_fish!C:X,18, FALSE), ",",  CHAR(34), "camera",CHAR(34), ":", IF(VALUE(VLOOKUP(C190,DM_fish!C:X,18, FALSE))&lt;VALUE(VLOOKUP(V190,imaging_filters!A:K,11, FALSE)), CONCATENATE(CHAR(34),"CamA",CHAR(34)), CONCATENATE(CHAR(34),"CamB",CHAR(34))),"}"), ""),IF(VLOOKUP(C190,DM_fish!C:X,20, FALSE)&gt;0, CONCATENATE(",{",CHAR(34),"target",CHAR(34),":",CHAR(34),VLOOKUP(C190,DM_fish!C:X,19, FALSE),CHAR(34),",", CHAR(34), "excitation",CHAR(34), ":", VLOOKUP(C190,DM_fish!C:X,20, FALSE), ",",  CHAR(34), "camera",CHAR(34), ":", IF(VALUE(VLOOKUP(C190,DM_fish!C:X,20, FALSE))&lt;VALUE(VLOOKUP(V190,imaging_filters!A:K,11, FALSE)), CONCATENATE(CHAR(34),"CamA",CHAR(34)), CONCATENATE(CHAR(34),"CamB",CHAR(34))),"}"), ""),IF(VLOOKUP(C190,DM_fish!C:X,22, FALSE)&gt;0, CONCATENATE(",{",CHAR(34),"target",CHAR(34),":",CHAR(34),VLOOKUP(C190,DM_fish!C:X,21, FALSE),CHAR(34),",", CHAR(34), "excitation",CHAR(34), ":", VLOOKUP(C190,DM_fish!C:X,22, FALSE), ",",  CHAR(34), "camera",CHAR(34), ":", IF(VALUE(VLOOKUP(C190,DM_fish!C:X,22, FALSE))&lt;VALUE(VLOOKUP(V190,imaging_filters!A:K,11, FALSE)), CONCATENATE(CHAR(34),"CamA",CHAR(34)), CONCATENATE(CHAR(34),"CamB",CHAR(34))),"}"), "")), "]"), "")</f>
        <v/>
      </c>
      <c r="Y190" s="11" t="str">
        <f ca="1">IFERROR(
CONCATENATE( "[",
IF(VLOOKUP(E190,Injections!B:F,3, FALSE)&gt;0, CONCATENATE( "{",CHAR(34),"target",CHAR(34),":",CHAR(34),VLOOKUP(E190,Injections!B:F,2, FALSE),CHAR(34),",", CHAR(34), "excitation",CHAR(34), ":", VLOOKUP(E190,Injections!B:F,3, FALSE), ",",  CHAR(34), "camera",CHAR(34), ":",
IF(VALUE(VLOOKUP(E190,Injections!B:F,3, FALSE))&lt;VALUE(VLOOKUP(V190,imaging_filters!A:C,2, FALSE)), CONCATENATE(CHAR(34),"CamA",CHAR(34)), CONCATENATE(CHAR(34),"CamB",CHAR(34))),"}"), ""),
IF(VLOOKUP(E190,Injections!B:F,5, FALSE)&gt;0, CONCATENATE(",{",CHAR(34),"target",CHAR(34),":",CHAR(34),VLOOKUP(E190,Injections!B:F,4, FALSE),CHAR(34),",", CHAR(34), "excitation",CHAR(34), ":", VLOOKUP(E190,Injections!B:F,5, FALSE), ",",  CHAR(34), "camera",CHAR(34), ":",
IF(VALUE(VLOOKUP(E190,Injections!B:F,5, FALSE))&lt;VALUE(VLOOKUP(V190,imaging_filters!A:C,2, FALSE)), CONCATENATE(CHAR(34),"CamA",CHAR(34)), CONCATENATE(CHAR(34),"CamB",CHAR(34))),"}"), ""),
 "]"), "[]")</f>
        <v>[]</v>
      </c>
      <c r="Z190" s="11" t="str">
        <f ca="1">IFERROR(
CONCATENATE( "[",
IF(VLOOKUP(F190,Injections!H:L,3, FALSE)&gt;0, CONCATENATE( "{",CHAR(34),"target",CHAR(34),":",CHAR(34),VLOOKUP(F190,Injections!H:L,2, FALSE),CHAR(34),",", CHAR(34), "excitation",CHAR(34), ":", VLOOKUP(F190,Injections!H:L,3, FALSE), ",",  CHAR(34), "camera",CHAR(34), ":",
IF(VALUE(VLOOKUP(F190,Injections!H:L,3, FALSE))&lt;VALUE(VLOOKUP(V190,imaging_filters!A:K,11, FALSE)), CONCATENATE(CHAR(34),"CamA",CHAR(34)), CONCATENATE(CHAR(34),"CamB",CHAR(34))),"}"), ""),
IF(VLOOKUP(F190,Injections!H:L,5, FALSE)&gt;0, CONCATENATE(",{",CHAR(34),"target",CHAR(34),":",CHAR(34),VLOOKUP(F190,Injections!H:L,4, FALSE),CHAR(34),",", CHAR(34), "excitation",CHAR(34), ":", VLOOKUP(F190,Injections!H:L,5, FALSE), ",",  CHAR(34), "camera",CHAR(34), ":",
IF(VALUE(VLOOKUP(F190,Injections!H:L,5, FALSE))&lt;VALUE(VLOOKUP(V190,imaging_filters!A:K,11, FALSE)), CONCATENATE(CHAR(34),"CamA",CHAR(34)), CONCATENATE(CHAR(34),"CamB",CHAR(34))),"}"), ""),
 "]"), "[]")</f>
        <v>[{"target":"nuclei","excitation":560,"camera":"CamB"}]</v>
      </c>
      <c r="AA190" s="11"/>
    </row>
    <row r="191" spans="1:27" ht="15.75" customHeight="1" x14ac:dyDescent="0.15">
      <c r="A191" s="7">
        <f t="shared" si="4"/>
        <v>45806</v>
      </c>
      <c r="B191" s="1"/>
      <c r="C191" s="1" t="s">
        <v>275</v>
      </c>
      <c r="D191" s="1" t="s">
        <v>276</v>
      </c>
      <c r="E191" s="1"/>
      <c r="F191" s="1" t="s">
        <v>335</v>
      </c>
      <c r="G191" s="8"/>
      <c r="H191" s="8"/>
      <c r="I191" s="8">
        <v>45805</v>
      </c>
      <c r="K191" s="1"/>
      <c r="L191" s="8">
        <v>45806</v>
      </c>
      <c r="M191" s="8">
        <v>45806</v>
      </c>
      <c r="N191" s="1" t="s">
        <v>309</v>
      </c>
      <c r="Q191" s="1" t="s">
        <v>336</v>
      </c>
      <c r="R191" s="10"/>
      <c r="S191" s="10" t="str">
        <f ca="1">IFERROR(__xludf.DUMMYFUNCTION("IFERROR(JOIN("","", SPLIT(R191, "","", TRUE ,TRUE)), """")"),"")</f>
        <v/>
      </c>
      <c r="T191" s="1" t="s">
        <v>337</v>
      </c>
      <c r="U191" s="1">
        <v>305</v>
      </c>
      <c r="V191" s="1" t="s">
        <v>280</v>
      </c>
      <c r="W191" s="12" t="str">
        <f ca="1">IFERROR(CONCATENATE("[", CONCATENATE(IF(VLOOKUP(D191,DM_fish!C:X,14, FALSE)&gt;0, CONCATENATE("{",CHAR(34),"target",CHAR(34),":",CHAR(34),VLOOKUP(D191,DM_fish!C:X,13, FALSE),CHAR(34),",", CHAR(34), "excitation",CHAR(34), ":", VLOOKUP(D191,DM_fish!C:X,14, FALSE), ",",  CHAR(34), "camera",CHAR(34), ":", IF(VALUE(VLOOKUP(D191,DM_fish!C:X,14, FALSE))&lt;VALUE(VLOOKUP(V191,imaging_filters!A:K,11, FALSE)), CONCATENATE(CHAR(34),"CamA",CHAR(34)), CONCATENATE(CHAR(34),"CamB",CHAR(34))),"}"), ""),IF(VLOOKUP(D191,DM_fish!C:X,16, FALSE)&gt;0, CONCATENATE(",{",CHAR(34),"target",CHAR(34),":",CHAR(34),VLOOKUP(D191,DM_fish!C:X,15, FALSE),CHAR(34),",", CHAR(34), "excitation",CHAR(34), ":", VLOOKUP(D191,DM_fish!C:X,16, FALSE), ",",  CHAR(34), "camera",CHAR(34), ":", IF(VALUE(VLOOKUP(D191,DM_fish!C:X,16, FALSE))&lt;VALUE(VLOOKUP(V191,imaging_filters!A:K,11, FALSE)), CONCATENATE(CHAR(34),"CamA",CHAR(34)), CONCATENATE(CHAR(34),"CamB",CHAR(34))),"}"), ""),IF(VLOOKUP(D191,DM_fish!C:X,18, FALSE)&gt;0, CONCATENATE(",{",CHAR(34),"target",CHAR(34),":",CHAR(34),VLOOKUP(D191,DM_fish!C:X,17, FALSE),CHAR(34),",", CHAR(34), "excitation",CHAR(34), ":", VLOOKUP(D191,DM_fish!C:X,18, FALSE), ",",  CHAR(34), "camera",CHAR(34), ":", IF(VALUE(VLOOKUP(D191,DM_fish!C:X,18, FALSE))&lt;VALUE(VLOOKUP(V191,imaging_filters!A:K,11, FALSE)), CONCATENATE(CHAR(34),"CamA",CHAR(34)), CONCATENATE(CHAR(34),"CamB",CHAR(34))),"}"), ""),IF(VLOOKUP(D191,DM_fish!C:X,20, FALSE)&gt;0, CONCATENATE(",{",CHAR(34),"target",CHAR(34),":",CHAR(34),VLOOKUP(D191,DM_fish!C:X,19, FALSE),CHAR(34),",", CHAR(34), "excitation",CHAR(34), ":", VLOOKUP(D191,DM_fish!C:X,20, FALSE), ",",  CHAR(34), "camera",CHAR(34), ":", IF(VALUE(VLOOKUP(D191,DM_fish!C:X,20, FALSE))&lt;VALUE(VLOOKUP(V191,imaging_filters!A:K,11, FALSE)), CONCATENATE(CHAR(34),"CamA",CHAR(34)), CONCATENATE(CHAR(34),"CamB",CHAR(34))),"}"), ""),IF(VLOOKUP(D191,DM_fish!C:X,22, FALSE)&gt;0, CONCATENATE(",{",CHAR(34),"target",CHAR(34),":",CHAR(34),VLOOKUP(D191,DM_fish!C:X,21, FALSE),CHAR(34),",", CHAR(34), "excitation",CHAR(34), ":", VLOOKUP(D191,DM_fish!C:X,22, FALSE), ",",  CHAR(34), "camera",CHAR(34), ":", IF(VALUE(VLOOKUP(D191,DM_fish!C:X,22, FALSE))&lt;VALUE(VLOOKUP(V191,imaging_filters!A:K,11, FALSE)), CONCATENATE(CHAR(34),"CamA",CHAR(34)), CONCATENATE(CHAR(34),"CamB",CHAR(34))),"}"), "")), "]"), "")</f>
        <v/>
      </c>
      <c r="X191" s="12" t="str">
        <f ca="1">IFERROR(
CONCATENATE("[", CONCATENATE(IF(VLOOKUP(C191,DM_fish!C:X,14, FALSE)&gt;0, CONCATENATE("{",CHAR(34),"target",CHAR(34),":",CHAR(34),VLOOKUP(C191,DM_fish!C:X,13, FALSE),CHAR(34),",", CHAR(34), "excitation",CHAR(34), ":", VLOOKUP(C191,DM_fish!C:X,14, FALSE), ",",  CHAR(34), "camera",CHAR(34), ":", IF(VALUE(VLOOKUP(C191,DM_fish!C:X,14, FALSE))&lt;VALUE(VLOOKUP(V191,imaging_filters!A:K,11, FALSE)), CONCATENATE(CHAR(34),"CamA",CHAR(34)), CONCATENATE(CHAR(34),"CamB",CHAR(34))),"}"), ""),IF(VLOOKUP(C191,DM_fish!C:X,16, FALSE)&gt;0, CONCATENATE(",{",CHAR(34),"target",CHAR(34),":",CHAR(34),VLOOKUP(C191,DM_fish!C:X,15, FALSE),CHAR(34),",", CHAR(34), "excitation",CHAR(34), ":", VLOOKUP(C191,DM_fish!C:X,16, FALSE), ",",  CHAR(34), "camera",CHAR(34), ":", IF(VALUE(VLOOKUP(C191,DM_fish!C:X,16, FALSE))&lt;VALUE(VLOOKUP(V191,imaging_filters!A:K,11, FALSE)), CONCATENATE(CHAR(34),"CamA",CHAR(34)), CONCATENATE(CHAR(34),"CamB",CHAR(34))),"}"), ""),IF(VLOOKUP(C191,DM_fish!C:X,18, FALSE)&gt;0, CONCATENATE(",{",CHAR(34),"target",CHAR(34),":",CHAR(34),VLOOKUP(C191,DM_fish!C:X,17, FALSE),CHAR(34),",", CHAR(34), "excitation",CHAR(34), ":", VLOOKUP(C191,DM_fish!C:X,18, FALSE), ",",  CHAR(34), "camera",CHAR(34), ":", IF(VALUE(VLOOKUP(C191,DM_fish!C:X,18, FALSE))&lt;VALUE(VLOOKUP(V191,imaging_filters!A:K,11, FALSE)), CONCATENATE(CHAR(34),"CamA",CHAR(34)), CONCATENATE(CHAR(34),"CamB",CHAR(34))),"}"), ""),IF(VLOOKUP(C191,DM_fish!C:X,20, FALSE)&gt;0, CONCATENATE(",{",CHAR(34),"target",CHAR(34),":",CHAR(34),VLOOKUP(C191,DM_fish!C:X,19, FALSE),CHAR(34),",", CHAR(34), "excitation",CHAR(34), ":", VLOOKUP(C191,DM_fish!C:X,20, FALSE), ",",  CHAR(34), "camera",CHAR(34), ":", IF(VALUE(VLOOKUP(C191,DM_fish!C:X,20, FALSE))&lt;VALUE(VLOOKUP(V191,imaging_filters!A:K,11, FALSE)), CONCATENATE(CHAR(34),"CamA",CHAR(34)), CONCATENATE(CHAR(34),"CamB",CHAR(34))),"}"), ""),IF(VLOOKUP(C191,DM_fish!C:X,22, FALSE)&gt;0, CONCATENATE(",{",CHAR(34),"target",CHAR(34),":",CHAR(34),VLOOKUP(C191,DM_fish!C:X,21, FALSE),CHAR(34),",", CHAR(34), "excitation",CHAR(34), ":", VLOOKUP(C191,DM_fish!C:X,22, FALSE), ",",  CHAR(34), "camera",CHAR(34), ":", IF(VALUE(VLOOKUP(C191,DM_fish!C:X,22, FALSE))&lt;VALUE(VLOOKUP(V191,imaging_filters!A:K,11, FALSE)), CONCATENATE(CHAR(34),"CamA",CHAR(34)), CONCATENATE(CHAR(34),"CamB",CHAR(34))),"}"), "")), "]"), "")</f>
        <v/>
      </c>
      <c r="Y191" s="11" t="str">
        <f ca="1">IFERROR(
CONCATENATE( "[",
IF(VLOOKUP(E191,Injections!B:F,3, FALSE)&gt;0, CONCATENATE( "{",CHAR(34),"target",CHAR(34),":",CHAR(34),VLOOKUP(E191,Injections!B:F,2, FALSE),CHAR(34),",", CHAR(34), "excitation",CHAR(34), ":", VLOOKUP(E191,Injections!B:F,3, FALSE), ",",  CHAR(34), "camera",CHAR(34), ":",
IF(VALUE(VLOOKUP(E191,Injections!B:F,3, FALSE))&lt;VALUE(VLOOKUP(V191,imaging_filters!A:C,2, FALSE)), CONCATENATE(CHAR(34),"CamA",CHAR(34)), CONCATENATE(CHAR(34),"CamB",CHAR(34))),"}"), ""),
IF(VLOOKUP(E191,Injections!B:F,5, FALSE)&gt;0, CONCATENATE(",{",CHAR(34),"target",CHAR(34),":",CHAR(34),VLOOKUP(E191,Injections!B:F,4, FALSE),CHAR(34),",", CHAR(34), "excitation",CHAR(34), ":", VLOOKUP(E191,Injections!B:F,5, FALSE), ",",  CHAR(34), "camera",CHAR(34), ":",
IF(VALUE(VLOOKUP(E191,Injections!B:F,5, FALSE))&lt;VALUE(VLOOKUP(V191,imaging_filters!A:C,2, FALSE)), CONCATENATE(CHAR(34),"CamA",CHAR(34)), CONCATENATE(CHAR(34),"CamB",CHAR(34))),"}"), ""),
 "]"), "[]")</f>
        <v>[]</v>
      </c>
      <c r="Z191" s="11" t="str">
        <f ca="1">IFERROR(
CONCATENATE( "[",
IF(VLOOKUP(F191,Injections!H:L,3, FALSE)&gt;0, CONCATENATE( "{",CHAR(34),"target",CHAR(34),":",CHAR(34),VLOOKUP(F191,Injections!H:L,2, FALSE),CHAR(34),",", CHAR(34), "excitation",CHAR(34), ":", VLOOKUP(F191,Injections!H:L,3, FALSE), ",",  CHAR(34), "camera",CHAR(34), ":",
IF(VALUE(VLOOKUP(F191,Injections!H:L,3, FALSE))&lt;VALUE(VLOOKUP(V191,imaging_filters!A:K,11, FALSE)), CONCATENATE(CHAR(34),"CamA",CHAR(34)), CONCATENATE(CHAR(34),"CamB",CHAR(34))),"}"), ""),
IF(VLOOKUP(F191,Injections!H:L,5, FALSE)&gt;0, CONCATENATE(",{",CHAR(34),"target",CHAR(34),":",CHAR(34),VLOOKUP(F191,Injections!H:L,4, FALSE),CHAR(34),",", CHAR(34), "excitation",CHAR(34), ":", VLOOKUP(F191,Injections!H:L,5, FALSE), ",",  CHAR(34), "camera",CHAR(34), ":",
IF(VALUE(VLOOKUP(F191,Injections!H:L,5, FALSE))&lt;VALUE(VLOOKUP(V191,imaging_filters!A:K,11, FALSE)), CONCATENATE(CHAR(34),"CamA",CHAR(34)), CONCATENATE(CHAR(34),"CamB",CHAR(34))),"}"), ""),
 "]"), "[]")</f>
        <v>[]</v>
      </c>
      <c r="AA191" s="11"/>
    </row>
    <row r="192" spans="1:27" ht="15.75" customHeight="1" x14ac:dyDescent="0.15">
      <c r="A192" s="7">
        <f t="shared" si="4"/>
        <v>45805</v>
      </c>
      <c r="B192" s="1"/>
      <c r="C192" s="1"/>
      <c r="D192" s="1"/>
      <c r="E192" s="1"/>
      <c r="F192" s="1"/>
      <c r="G192" s="8"/>
      <c r="H192" s="8"/>
      <c r="I192" s="8">
        <v>45804</v>
      </c>
      <c r="K192" s="1" t="s">
        <v>246</v>
      </c>
      <c r="L192" s="8">
        <v>45805</v>
      </c>
      <c r="M192" s="8">
        <v>45805</v>
      </c>
      <c r="Q192" s="1" t="s">
        <v>338</v>
      </c>
      <c r="R192" s="10" t="str">
        <f ca="1">IFERROR(__xludf.DUMMYFUNCTION("JOIN("","", SORT(UNIQUE(TOCOL({VLOOKUP(D192,DM_fish!A:B,2,FALSE),VLOOKUP(C192,DM_fish!A:B,2,FALSE), ARRAYFORMULA(VLOOKUP(SPLIT(E192, "", ""),Injections!B:G,6,FALSE)), ARRAYFORMULA(VLOOKUP(SPLIT(F192, "", ""),Injections!H:M,6,FALSE)), ARRAYFORMULA(VLOOKUP("&amp;"SPLIT(G192, "", ""),Injections!N:S,6,FALSE)), ARRAYFORMULA(VLOOKUP(SPLIT(H192, "", ""),Injections!T:Y,6,FALSE)) },3))))"),"")</f>
        <v/>
      </c>
      <c r="S192" s="10" t="str">
        <f ca="1">IFERROR(__xludf.DUMMYFUNCTION("IFERROR(JOIN("","", SPLIT(R192, "","", TRUE ,TRUE)), """")"),"")</f>
        <v/>
      </c>
      <c r="T192" s="1" t="s">
        <v>339</v>
      </c>
      <c r="U192" s="1">
        <v>8</v>
      </c>
      <c r="V192" s="1" t="s">
        <v>280</v>
      </c>
      <c r="W192" s="12" t="str">
        <f ca="1">IFERROR(CONCATENATE("[", CONCATENATE(IF(VLOOKUP(D192,DM_fish!C:X,14, FALSE)&gt;0, CONCATENATE("{",CHAR(34),"target",CHAR(34),":",CHAR(34),VLOOKUP(D192,DM_fish!C:X,13, FALSE),CHAR(34),",", CHAR(34), "excitation",CHAR(34), ":", VLOOKUP(D192,DM_fish!C:X,14, FALSE), ",",  CHAR(34), "camera",CHAR(34), ":", IF(VALUE(VLOOKUP(D192,DM_fish!C:X,14, FALSE))&lt;VALUE(VLOOKUP(V192,imaging_filters!A:K,11, FALSE)), CONCATENATE(CHAR(34),"CamA",CHAR(34)), CONCATENATE(CHAR(34),"CamB",CHAR(34))),"}"), ""),IF(VLOOKUP(D192,DM_fish!C:X,16, FALSE)&gt;0, CONCATENATE(",{",CHAR(34),"target",CHAR(34),":",CHAR(34),VLOOKUP(D192,DM_fish!C:X,15, FALSE),CHAR(34),",", CHAR(34), "excitation",CHAR(34), ":", VLOOKUP(D192,DM_fish!C:X,16, FALSE), ",",  CHAR(34), "camera",CHAR(34), ":", IF(VALUE(VLOOKUP(D192,DM_fish!C:X,16, FALSE))&lt;VALUE(VLOOKUP(V192,imaging_filters!A:K,11, FALSE)), CONCATENATE(CHAR(34),"CamA",CHAR(34)), CONCATENATE(CHAR(34),"CamB",CHAR(34))),"}"), ""),IF(VLOOKUP(D192,DM_fish!C:X,18, FALSE)&gt;0, CONCATENATE(",{",CHAR(34),"target",CHAR(34),":",CHAR(34),VLOOKUP(D192,DM_fish!C:X,17, FALSE),CHAR(34),",", CHAR(34), "excitation",CHAR(34), ":", VLOOKUP(D192,DM_fish!C:X,18, FALSE), ",",  CHAR(34), "camera",CHAR(34), ":", IF(VALUE(VLOOKUP(D192,DM_fish!C:X,18, FALSE))&lt;VALUE(VLOOKUP(V192,imaging_filters!A:K,11, FALSE)), CONCATENATE(CHAR(34),"CamA",CHAR(34)), CONCATENATE(CHAR(34),"CamB",CHAR(34))),"}"), ""),IF(VLOOKUP(D192,DM_fish!C:X,20, FALSE)&gt;0, CONCATENATE(",{",CHAR(34),"target",CHAR(34),":",CHAR(34),VLOOKUP(D192,DM_fish!C:X,19, FALSE),CHAR(34),",", CHAR(34), "excitation",CHAR(34), ":", VLOOKUP(D192,DM_fish!C:X,20, FALSE), ",",  CHAR(34), "camera",CHAR(34), ":", IF(VALUE(VLOOKUP(D192,DM_fish!C:X,20, FALSE))&lt;VALUE(VLOOKUP(V192,imaging_filters!A:K,11, FALSE)), CONCATENATE(CHAR(34),"CamA",CHAR(34)), CONCATENATE(CHAR(34),"CamB",CHAR(34))),"}"), ""),IF(VLOOKUP(D192,DM_fish!C:X,22, FALSE)&gt;0, CONCATENATE(",{",CHAR(34),"target",CHAR(34),":",CHAR(34),VLOOKUP(D192,DM_fish!C:X,21, FALSE),CHAR(34),",", CHAR(34), "excitation",CHAR(34), ":", VLOOKUP(D192,DM_fish!C:X,22, FALSE), ",",  CHAR(34), "camera",CHAR(34), ":", IF(VALUE(VLOOKUP(D192,DM_fish!C:X,22, FALSE))&lt;VALUE(VLOOKUP(V192,imaging_filters!A:K,11, FALSE)), CONCATENATE(CHAR(34),"CamA",CHAR(34)), CONCATENATE(CHAR(34),"CamB",CHAR(34))),"}"), "")), "]"), "")</f>
        <v/>
      </c>
      <c r="X192" s="12" t="str">
        <f ca="1">IFERROR(
CONCATENATE("[", CONCATENATE(IF(VLOOKUP(C192,DM_fish!C:X,14, FALSE)&gt;0, CONCATENATE("{",CHAR(34),"target",CHAR(34),":",CHAR(34),VLOOKUP(C192,DM_fish!C:X,13, FALSE),CHAR(34),",", CHAR(34), "excitation",CHAR(34), ":", VLOOKUP(C192,DM_fish!C:X,14, FALSE), ",",  CHAR(34), "camera",CHAR(34), ":", IF(VALUE(VLOOKUP(C192,DM_fish!C:X,14, FALSE))&lt;VALUE(VLOOKUP(V192,imaging_filters!A:K,11, FALSE)), CONCATENATE(CHAR(34),"CamA",CHAR(34)), CONCATENATE(CHAR(34),"CamB",CHAR(34))),"}"), ""),IF(VLOOKUP(C192,DM_fish!C:X,16, FALSE)&gt;0, CONCATENATE(",{",CHAR(34),"target",CHAR(34),":",CHAR(34),VLOOKUP(C192,DM_fish!C:X,15, FALSE),CHAR(34),",", CHAR(34), "excitation",CHAR(34), ":", VLOOKUP(C192,DM_fish!C:X,16, FALSE), ",",  CHAR(34), "camera",CHAR(34), ":", IF(VALUE(VLOOKUP(C192,DM_fish!C:X,16, FALSE))&lt;VALUE(VLOOKUP(V192,imaging_filters!A:K,11, FALSE)), CONCATENATE(CHAR(34),"CamA",CHAR(34)), CONCATENATE(CHAR(34),"CamB",CHAR(34))),"}"), ""),IF(VLOOKUP(C192,DM_fish!C:X,18, FALSE)&gt;0, CONCATENATE(",{",CHAR(34),"target",CHAR(34),":",CHAR(34),VLOOKUP(C192,DM_fish!C:X,17, FALSE),CHAR(34),",", CHAR(34), "excitation",CHAR(34), ":", VLOOKUP(C192,DM_fish!C:X,18, FALSE), ",",  CHAR(34), "camera",CHAR(34), ":", IF(VALUE(VLOOKUP(C192,DM_fish!C:X,18, FALSE))&lt;VALUE(VLOOKUP(V192,imaging_filters!A:K,11, FALSE)), CONCATENATE(CHAR(34),"CamA",CHAR(34)), CONCATENATE(CHAR(34),"CamB",CHAR(34))),"}"), ""),IF(VLOOKUP(C192,DM_fish!C:X,20, FALSE)&gt;0, CONCATENATE(",{",CHAR(34),"target",CHAR(34),":",CHAR(34),VLOOKUP(C192,DM_fish!C:X,19, FALSE),CHAR(34),",", CHAR(34), "excitation",CHAR(34), ":", VLOOKUP(C192,DM_fish!C:X,20, FALSE), ",",  CHAR(34), "camera",CHAR(34), ":", IF(VALUE(VLOOKUP(C192,DM_fish!C:X,20, FALSE))&lt;VALUE(VLOOKUP(V192,imaging_filters!A:K,11, FALSE)), CONCATENATE(CHAR(34),"CamA",CHAR(34)), CONCATENATE(CHAR(34),"CamB",CHAR(34))),"}"), ""),IF(VLOOKUP(C192,DM_fish!C:X,22, FALSE)&gt;0, CONCATENATE(",{",CHAR(34),"target",CHAR(34),":",CHAR(34),VLOOKUP(C192,DM_fish!C:X,21, FALSE),CHAR(34),",", CHAR(34), "excitation",CHAR(34), ":", VLOOKUP(C192,DM_fish!C:X,22, FALSE), ",",  CHAR(34), "camera",CHAR(34), ":", IF(VALUE(VLOOKUP(C192,DM_fish!C:X,22, FALSE))&lt;VALUE(VLOOKUP(V192,imaging_filters!A:K,11, FALSE)), CONCATENATE(CHAR(34),"CamA",CHAR(34)), CONCATENATE(CHAR(34),"CamB",CHAR(34))),"}"), "")), "]"), "")</f>
        <v/>
      </c>
      <c r="Y192" s="11" t="str">
        <f ca="1">IFERROR(
CONCATENATE( "[",
IF(VLOOKUP(E192,Injections!B:F,3, FALSE)&gt;0, CONCATENATE( "{",CHAR(34),"target",CHAR(34),":",CHAR(34),VLOOKUP(E192,Injections!B:F,2, FALSE),CHAR(34),",", CHAR(34), "excitation",CHAR(34), ":", VLOOKUP(E192,Injections!B:F,3, FALSE), ",",  CHAR(34), "camera",CHAR(34), ":",
IF(VALUE(VLOOKUP(E192,Injections!B:F,3, FALSE))&lt;VALUE(VLOOKUP(V192,imaging_filters!A:C,2, FALSE)), CONCATENATE(CHAR(34),"CamA",CHAR(34)), CONCATENATE(CHAR(34),"CamB",CHAR(34))),"}"), ""),
IF(VLOOKUP(E192,Injections!B:F,5, FALSE)&gt;0, CONCATENATE(",{",CHAR(34),"target",CHAR(34),":",CHAR(34),VLOOKUP(E192,Injections!B:F,4, FALSE),CHAR(34),",", CHAR(34), "excitation",CHAR(34), ":", VLOOKUP(E192,Injections!B:F,5, FALSE), ",",  CHAR(34), "camera",CHAR(34), ":",
IF(VALUE(VLOOKUP(E192,Injections!B:F,5, FALSE))&lt;VALUE(VLOOKUP(V192,imaging_filters!A:C,2, FALSE)), CONCATENATE(CHAR(34),"CamA",CHAR(34)), CONCATENATE(CHAR(34),"CamB",CHAR(34))),"}"), ""),
 "]"), "[]")</f>
        <v>[]</v>
      </c>
      <c r="Z192" s="11" t="str">
        <f ca="1">IFERROR(
CONCATENATE( "[",
IF(VLOOKUP(F192,Injections!H:L,3, FALSE)&gt;0, CONCATENATE( "{",CHAR(34),"target",CHAR(34),":",CHAR(34),VLOOKUP(F192,Injections!H:L,2, FALSE),CHAR(34),",", CHAR(34), "excitation",CHAR(34), ":", VLOOKUP(F192,Injections!H:L,3, FALSE), ",",  CHAR(34), "camera",CHAR(34), ":",
IF(VALUE(VLOOKUP(F192,Injections!H:L,3, FALSE))&lt;VALUE(VLOOKUP(V192,imaging_filters!A:K,11, FALSE)), CONCATENATE(CHAR(34),"CamA",CHAR(34)), CONCATENATE(CHAR(34),"CamB",CHAR(34))),"}"), ""),
IF(VLOOKUP(F192,Injections!H:L,5, FALSE)&gt;0, CONCATENATE(",{",CHAR(34),"target",CHAR(34),":",CHAR(34),VLOOKUP(F192,Injections!H:L,4, FALSE),CHAR(34),",", CHAR(34), "excitation",CHAR(34), ":", VLOOKUP(F192,Injections!H:L,5, FALSE), ",",  CHAR(34), "camera",CHAR(34), ":",
IF(VALUE(VLOOKUP(F192,Injections!H:L,5, FALSE))&lt;VALUE(VLOOKUP(V192,imaging_filters!A:K,11, FALSE)), CONCATENATE(CHAR(34),"CamA",CHAR(34)), CONCATENATE(CHAR(34),"CamB",CHAR(34))),"}"), ""),
 "]"), "[]")</f>
        <v>[]</v>
      </c>
      <c r="AA192" s="11" t="s">
        <v>340</v>
      </c>
    </row>
    <row r="193" spans="1:28" ht="15.75" customHeight="1" x14ac:dyDescent="0.15">
      <c r="A193" s="7">
        <f t="shared" si="4"/>
        <v>45805</v>
      </c>
      <c r="B193" s="1"/>
      <c r="C193" s="1" t="s">
        <v>327</v>
      </c>
      <c r="D193" s="1" t="s">
        <v>327</v>
      </c>
      <c r="E193" s="1"/>
      <c r="F193" s="1" t="s">
        <v>64</v>
      </c>
      <c r="G193" s="8"/>
      <c r="H193" s="8"/>
      <c r="I193" s="8">
        <v>45804</v>
      </c>
      <c r="K193" s="1" t="s">
        <v>281</v>
      </c>
      <c r="M193" s="8">
        <v>45805</v>
      </c>
      <c r="N193" s="9">
        <v>0.70833333333333337</v>
      </c>
      <c r="O193" s="9">
        <v>0.72916666666666663</v>
      </c>
      <c r="P193" s="9">
        <v>0.86458333333333337</v>
      </c>
      <c r="Q193" s="1" t="s">
        <v>341</v>
      </c>
      <c r="R193" s="10" t="str">
        <f ca="1">IFERROR(__xludf.DUMMYFUNCTION("JOIN("","", SORT(UNIQUE(TOCOL({VLOOKUP(D193,DM_fish!A:B,2,FALSE),VLOOKUP(C193,DM_fish!A:B,2,FALSE), ARRAYFORMULA(VLOOKUP(SPLIT(E193, "", ""),Injections!B:G,6,FALSE)), ARRAYFORMULA(VLOOKUP(SPLIT(F193, "", ""),Injections!H:M,6,FALSE)), ARRAYFORMULA(VLOOKUP("&amp;"SPLIT(G193, "", ""),Injections!N:S,6,FALSE)), ARRAYFORMULA(VLOOKUP(SPLIT(H193, "", ""),Injections!T:Y,6,FALSE)) },3))))"),"nuclei")</f>
        <v>nuclei</v>
      </c>
      <c r="S193" s="10" t="str">
        <f ca="1">IFERROR(__xludf.DUMMYFUNCTION("IFERROR(JOIN("","", SPLIT(R193, "","", TRUE ,TRUE)), """")"),"nuclei")</f>
        <v>nuclei</v>
      </c>
      <c r="T193" s="1" t="s">
        <v>342</v>
      </c>
      <c r="U193" s="1">
        <v>365</v>
      </c>
      <c r="V193" s="1" t="s">
        <v>203</v>
      </c>
      <c r="W193" s="12" t="str">
        <f ca="1">IFERROR(CONCATENATE("[", CONCATENATE(IF(VLOOKUP(D193,DM_fish!C:X,14, FALSE)&gt;0, CONCATENATE("{",CHAR(34),"target",CHAR(34),":",CHAR(34),VLOOKUP(D193,DM_fish!C:X,13, FALSE),CHAR(34),",", CHAR(34), "excitation",CHAR(34), ":", VLOOKUP(D193,DM_fish!C:X,14, FALSE), ",",  CHAR(34), "camera",CHAR(34), ":", IF(VALUE(VLOOKUP(D193,DM_fish!C:X,14, FALSE))&lt;VALUE(VLOOKUP(V193,imaging_filters!A:K,11, FALSE)), CONCATENATE(CHAR(34),"CamA",CHAR(34)), CONCATENATE(CHAR(34),"CamB",CHAR(34))),"}"), ""),IF(VLOOKUP(D193,DM_fish!C:X,16, FALSE)&gt;0, CONCATENATE(",{",CHAR(34),"target",CHAR(34),":",CHAR(34),VLOOKUP(D193,DM_fish!C:X,15, FALSE),CHAR(34),",", CHAR(34), "excitation",CHAR(34), ":", VLOOKUP(D193,DM_fish!C:X,16, FALSE), ",",  CHAR(34), "camera",CHAR(34), ":", IF(VALUE(VLOOKUP(D193,DM_fish!C:X,16, FALSE))&lt;VALUE(VLOOKUP(V193,imaging_filters!A:K,11, FALSE)), CONCATENATE(CHAR(34),"CamA",CHAR(34)), CONCATENATE(CHAR(34),"CamB",CHAR(34))),"}"), ""),IF(VLOOKUP(D193,DM_fish!C:X,18, FALSE)&gt;0, CONCATENATE(",{",CHAR(34),"target",CHAR(34),":",CHAR(34),VLOOKUP(D193,DM_fish!C:X,17, FALSE),CHAR(34),",", CHAR(34), "excitation",CHAR(34), ":", VLOOKUP(D193,DM_fish!C:X,18, FALSE), ",",  CHAR(34), "camera",CHAR(34), ":", IF(VALUE(VLOOKUP(D193,DM_fish!C:X,18, FALSE))&lt;VALUE(VLOOKUP(V193,imaging_filters!A:K,11, FALSE)), CONCATENATE(CHAR(34),"CamA",CHAR(34)), CONCATENATE(CHAR(34),"CamB",CHAR(34))),"}"), ""),IF(VLOOKUP(D193,DM_fish!C:X,20, FALSE)&gt;0, CONCATENATE(",{",CHAR(34),"target",CHAR(34),":",CHAR(34),VLOOKUP(D193,DM_fish!C:X,19, FALSE),CHAR(34),",", CHAR(34), "excitation",CHAR(34), ":", VLOOKUP(D193,DM_fish!C:X,20, FALSE), ",",  CHAR(34), "camera",CHAR(34), ":", IF(VALUE(VLOOKUP(D193,DM_fish!C:X,20, FALSE))&lt;VALUE(VLOOKUP(V193,imaging_filters!A:K,11, FALSE)), CONCATENATE(CHAR(34),"CamA",CHAR(34)), CONCATENATE(CHAR(34),"CamB",CHAR(34))),"}"), ""),IF(VLOOKUP(D193,DM_fish!C:X,22, FALSE)&gt;0, CONCATENATE(",{",CHAR(34),"target",CHAR(34),":",CHAR(34),VLOOKUP(D193,DM_fish!C:X,21, FALSE),CHAR(34),",", CHAR(34), "excitation",CHAR(34), ":", VLOOKUP(D193,DM_fish!C:X,22, FALSE), ",",  CHAR(34), "camera",CHAR(34), ":", IF(VALUE(VLOOKUP(D193,DM_fish!C:X,22, FALSE))&lt;VALUE(VLOOKUP(V193,imaging_filters!A:K,11, FALSE)), CONCATENATE(CHAR(34),"CamA",CHAR(34)), CONCATENATE(CHAR(34),"CamB",CHAR(34))),"}"), "")), "]"), "")</f>
        <v/>
      </c>
      <c r="X193" s="12" t="str">
        <f ca="1">IFERROR(
CONCATENATE("[", CONCATENATE(IF(VLOOKUP(C193,DM_fish!C:X,14, FALSE)&gt;0, CONCATENATE("{",CHAR(34),"target",CHAR(34),":",CHAR(34),VLOOKUP(C193,DM_fish!C:X,13, FALSE),CHAR(34),",", CHAR(34), "excitation",CHAR(34), ":", VLOOKUP(C193,DM_fish!C:X,14, FALSE), ",",  CHAR(34), "camera",CHAR(34), ":", IF(VALUE(VLOOKUP(C193,DM_fish!C:X,14, FALSE))&lt;VALUE(VLOOKUP(V193,imaging_filters!A:K,11, FALSE)), CONCATENATE(CHAR(34),"CamA",CHAR(34)), CONCATENATE(CHAR(34),"CamB",CHAR(34))),"}"), ""),IF(VLOOKUP(C193,DM_fish!C:X,16, FALSE)&gt;0, CONCATENATE(",{",CHAR(34),"target",CHAR(34),":",CHAR(34),VLOOKUP(C193,DM_fish!C:X,15, FALSE),CHAR(34),",", CHAR(34), "excitation",CHAR(34), ":", VLOOKUP(C193,DM_fish!C:X,16, FALSE), ",",  CHAR(34), "camera",CHAR(34), ":", IF(VALUE(VLOOKUP(C193,DM_fish!C:X,16, FALSE))&lt;VALUE(VLOOKUP(V193,imaging_filters!A:K,11, FALSE)), CONCATENATE(CHAR(34),"CamA",CHAR(34)), CONCATENATE(CHAR(34),"CamB",CHAR(34))),"}"), ""),IF(VLOOKUP(C193,DM_fish!C:X,18, FALSE)&gt;0, CONCATENATE(",{",CHAR(34),"target",CHAR(34),":",CHAR(34),VLOOKUP(C193,DM_fish!C:X,17, FALSE),CHAR(34),",", CHAR(34), "excitation",CHAR(34), ":", VLOOKUP(C193,DM_fish!C:X,18, FALSE), ",",  CHAR(34), "camera",CHAR(34), ":", IF(VALUE(VLOOKUP(C193,DM_fish!C:X,18, FALSE))&lt;VALUE(VLOOKUP(V193,imaging_filters!A:K,11, FALSE)), CONCATENATE(CHAR(34),"CamA",CHAR(34)), CONCATENATE(CHAR(34),"CamB",CHAR(34))),"}"), ""),IF(VLOOKUP(C193,DM_fish!C:X,20, FALSE)&gt;0, CONCATENATE(",{",CHAR(34),"target",CHAR(34),":",CHAR(34),VLOOKUP(C193,DM_fish!C:X,19, FALSE),CHAR(34),",", CHAR(34), "excitation",CHAR(34), ":", VLOOKUP(C193,DM_fish!C:X,20, FALSE), ",",  CHAR(34), "camera",CHAR(34), ":", IF(VALUE(VLOOKUP(C193,DM_fish!C:X,20, FALSE))&lt;VALUE(VLOOKUP(V193,imaging_filters!A:K,11, FALSE)), CONCATENATE(CHAR(34),"CamA",CHAR(34)), CONCATENATE(CHAR(34),"CamB",CHAR(34))),"}"), ""),IF(VLOOKUP(C193,DM_fish!C:X,22, FALSE)&gt;0, CONCATENATE(",{",CHAR(34),"target",CHAR(34),":",CHAR(34),VLOOKUP(C193,DM_fish!C:X,21, FALSE),CHAR(34),",", CHAR(34), "excitation",CHAR(34), ":", VLOOKUP(C193,DM_fish!C:X,22, FALSE), ",",  CHAR(34), "camera",CHAR(34), ":", IF(VALUE(VLOOKUP(C193,DM_fish!C:X,22, FALSE))&lt;VALUE(VLOOKUP(V193,imaging_filters!A:K,11, FALSE)), CONCATENATE(CHAR(34),"CamA",CHAR(34)), CONCATENATE(CHAR(34),"CamB",CHAR(34))),"}"), "")), "]"), "")</f>
        <v/>
      </c>
      <c r="Y193" s="11" t="str">
        <f ca="1">IFERROR(
CONCATENATE( "[",
IF(VLOOKUP(E193,Injections!B:F,3, FALSE)&gt;0, CONCATENATE( "{",CHAR(34),"target",CHAR(34),":",CHAR(34),VLOOKUP(E193,Injections!B:F,2, FALSE),CHAR(34),",", CHAR(34), "excitation",CHAR(34), ":", VLOOKUP(E193,Injections!B:F,3, FALSE), ",",  CHAR(34), "camera",CHAR(34), ":",
IF(VALUE(VLOOKUP(E193,Injections!B:F,3, FALSE))&lt;VALUE(VLOOKUP(V193,imaging_filters!A:C,2, FALSE)), CONCATENATE(CHAR(34),"CamA",CHAR(34)), CONCATENATE(CHAR(34),"CamB",CHAR(34))),"}"), ""),
IF(VLOOKUP(E193,Injections!B:F,5, FALSE)&gt;0, CONCATENATE(",{",CHAR(34),"target",CHAR(34),":",CHAR(34),VLOOKUP(E193,Injections!B:F,4, FALSE),CHAR(34),",", CHAR(34), "excitation",CHAR(34), ":", VLOOKUP(E193,Injections!B:F,5, FALSE), ",",  CHAR(34), "camera",CHAR(34), ":",
IF(VALUE(VLOOKUP(E193,Injections!B:F,5, FALSE))&lt;VALUE(VLOOKUP(V193,imaging_filters!A:C,2, FALSE)), CONCATENATE(CHAR(34),"CamA",CHAR(34)), CONCATENATE(CHAR(34),"CamB",CHAR(34))),"}"), ""),
 "]"), "[]")</f>
        <v>[]</v>
      </c>
      <c r="Z193" s="11" t="str">
        <f ca="1">IFERROR(
CONCATENATE( "[",
IF(VLOOKUP(F193,Injections!H:L,3, FALSE)&gt;0, CONCATENATE( "{",CHAR(34),"target",CHAR(34),":",CHAR(34),VLOOKUP(F193,Injections!H:L,2, FALSE),CHAR(34),",", CHAR(34), "excitation",CHAR(34), ":", VLOOKUP(F193,Injections!H:L,3, FALSE), ",",  CHAR(34), "camera",CHAR(34), ":",
IF(VALUE(VLOOKUP(F193,Injections!H:L,3, FALSE))&lt;VALUE(VLOOKUP(V193,imaging_filters!A:K,11, FALSE)), CONCATENATE(CHAR(34),"CamA",CHAR(34)), CONCATENATE(CHAR(34),"CamB",CHAR(34))),"}"), ""),
IF(VLOOKUP(F193,Injections!H:L,5, FALSE)&gt;0, CONCATENATE(",{",CHAR(34),"target",CHAR(34),":",CHAR(34),VLOOKUP(F193,Injections!H:L,4, FALSE),CHAR(34),",", CHAR(34), "excitation",CHAR(34), ":", VLOOKUP(F193,Injections!H:L,5, FALSE), ",",  CHAR(34), "camera",CHAR(34), ":",
IF(VALUE(VLOOKUP(F193,Injections!H:L,5, FALSE))&lt;VALUE(VLOOKUP(V193,imaging_filters!A:K,11, FALSE)), CONCATENATE(CHAR(34),"CamA",CHAR(34)), CONCATENATE(CHAR(34),"CamB",CHAR(34))),"}"), ""),
 "]"), "[]")</f>
        <v>[{"target":"nuclei","excitation":560,"camera":"CamB"}]</v>
      </c>
      <c r="AA193" s="11"/>
    </row>
    <row r="194" spans="1:28" ht="15.75" customHeight="1" x14ac:dyDescent="0.15">
      <c r="A194" s="7">
        <f t="shared" si="4"/>
        <v>45805</v>
      </c>
      <c r="B194" s="1"/>
      <c r="C194" s="1" t="s">
        <v>327</v>
      </c>
      <c r="D194" s="1" t="s">
        <v>327</v>
      </c>
      <c r="E194" s="1"/>
      <c r="F194" s="1" t="s">
        <v>64</v>
      </c>
      <c r="G194" s="8"/>
      <c r="H194" s="8"/>
      <c r="I194" s="8">
        <v>45804</v>
      </c>
      <c r="K194" s="1" t="s">
        <v>246</v>
      </c>
      <c r="M194" s="8">
        <v>45805</v>
      </c>
      <c r="N194" s="9">
        <v>0.70833333333333337</v>
      </c>
      <c r="O194" s="9">
        <v>0.87152777777777779</v>
      </c>
      <c r="Q194" s="1" t="s">
        <v>333</v>
      </c>
      <c r="R194" s="10" t="str">
        <f ca="1">IFERROR(__xludf.DUMMYFUNCTION("JOIN("","", SORT(UNIQUE(TOCOL({VLOOKUP(D194,DM_fish!A:B,2,FALSE),VLOOKUP(C194,DM_fish!A:B,2,FALSE), ARRAYFORMULA(VLOOKUP(SPLIT(E194, "", ""),Injections!B:G,6,FALSE)), ARRAYFORMULA(VLOOKUP(SPLIT(F194, "", ""),Injections!H:M,6,FALSE)), ARRAYFORMULA(VLOOKUP("&amp;"SPLIT(G194, "", ""),Injections!N:S,6,FALSE)), ARRAYFORMULA(VLOOKUP(SPLIT(H194, "", ""),Injections!T:Y,6,FALSE)) },3))))"),"nuclei")</f>
        <v>nuclei</v>
      </c>
      <c r="S194" s="10" t="str">
        <f ca="1">IFERROR(__xludf.DUMMYFUNCTION("IFERROR(JOIN("","", SPLIT(R194, "","", TRUE ,TRUE)), """")"),"nuclei")</f>
        <v>nuclei</v>
      </c>
      <c r="T194" s="1" t="s">
        <v>343</v>
      </c>
      <c r="U194" s="1">
        <v>1649</v>
      </c>
      <c r="V194" s="1" t="s">
        <v>203</v>
      </c>
      <c r="W194" s="12" t="str">
        <f ca="1">IFERROR(CONCATENATE("[", CONCATENATE(IF(VLOOKUP(D194,DM_fish!C:X,14, FALSE)&gt;0, CONCATENATE("{",CHAR(34),"target",CHAR(34),":",CHAR(34),VLOOKUP(D194,DM_fish!C:X,13, FALSE),CHAR(34),",", CHAR(34), "excitation",CHAR(34), ":", VLOOKUP(D194,DM_fish!C:X,14, FALSE), ",",  CHAR(34), "camera",CHAR(34), ":", IF(VALUE(VLOOKUP(D194,DM_fish!C:X,14, FALSE))&lt;VALUE(VLOOKUP(V194,imaging_filters!A:K,11, FALSE)), CONCATENATE(CHAR(34),"CamA",CHAR(34)), CONCATENATE(CHAR(34),"CamB",CHAR(34))),"}"), ""),IF(VLOOKUP(D194,DM_fish!C:X,16, FALSE)&gt;0, CONCATENATE(",{",CHAR(34),"target",CHAR(34),":",CHAR(34),VLOOKUP(D194,DM_fish!C:X,15, FALSE),CHAR(34),",", CHAR(34), "excitation",CHAR(34), ":", VLOOKUP(D194,DM_fish!C:X,16, FALSE), ",",  CHAR(34), "camera",CHAR(34), ":", IF(VALUE(VLOOKUP(D194,DM_fish!C:X,16, FALSE))&lt;VALUE(VLOOKUP(V194,imaging_filters!A:K,11, FALSE)), CONCATENATE(CHAR(34),"CamA",CHAR(34)), CONCATENATE(CHAR(34),"CamB",CHAR(34))),"}"), ""),IF(VLOOKUP(D194,DM_fish!C:X,18, FALSE)&gt;0, CONCATENATE(",{",CHAR(34),"target",CHAR(34),":",CHAR(34),VLOOKUP(D194,DM_fish!C:X,17, FALSE),CHAR(34),",", CHAR(34), "excitation",CHAR(34), ":", VLOOKUP(D194,DM_fish!C:X,18, FALSE), ",",  CHAR(34), "camera",CHAR(34), ":", IF(VALUE(VLOOKUP(D194,DM_fish!C:X,18, FALSE))&lt;VALUE(VLOOKUP(V194,imaging_filters!A:K,11, FALSE)), CONCATENATE(CHAR(34),"CamA",CHAR(34)), CONCATENATE(CHAR(34),"CamB",CHAR(34))),"}"), ""),IF(VLOOKUP(D194,DM_fish!C:X,20, FALSE)&gt;0, CONCATENATE(",{",CHAR(34),"target",CHAR(34),":",CHAR(34),VLOOKUP(D194,DM_fish!C:X,19, FALSE),CHAR(34),",", CHAR(34), "excitation",CHAR(34), ":", VLOOKUP(D194,DM_fish!C:X,20, FALSE), ",",  CHAR(34), "camera",CHAR(34), ":", IF(VALUE(VLOOKUP(D194,DM_fish!C:X,20, FALSE))&lt;VALUE(VLOOKUP(V194,imaging_filters!A:K,11, FALSE)), CONCATENATE(CHAR(34),"CamA",CHAR(34)), CONCATENATE(CHAR(34),"CamB",CHAR(34))),"}"), ""),IF(VLOOKUP(D194,DM_fish!C:X,22, FALSE)&gt;0, CONCATENATE(",{",CHAR(34),"target",CHAR(34),":",CHAR(34),VLOOKUP(D194,DM_fish!C:X,21, FALSE),CHAR(34),",", CHAR(34), "excitation",CHAR(34), ":", VLOOKUP(D194,DM_fish!C:X,22, FALSE), ",",  CHAR(34), "camera",CHAR(34), ":", IF(VALUE(VLOOKUP(D194,DM_fish!C:X,22, FALSE))&lt;VALUE(VLOOKUP(V194,imaging_filters!A:K,11, FALSE)), CONCATENATE(CHAR(34),"CamA",CHAR(34)), CONCATENATE(CHAR(34),"CamB",CHAR(34))),"}"), "")), "]"), "")</f>
        <v/>
      </c>
      <c r="X194" s="12" t="str">
        <f ca="1">IFERROR(
CONCATENATE("[", CONCATENATE(IF(VLOOKUP(C194,DM_fish!C:X,14, FALSE)&gt;0, CONCATENATE("{",CHAR(34),"target",CHAR(34),":",CHAR(34),VLOOKUP(C194,DM_fish!C:X,13, FALSE),CHAR(34),",", CHAR(34), "excitation",CHAR(34), ":", VLOOKUP(C194,DM_fish!C:X,14, FALSE), ",",  CHAR(34), "camera",CHAR(34), ":", IF(VALUE(VLOOKUP(C194,DM_fish!C:X,14, FALSE))&lt;VALUE(VLOOKUP(V194,imaging_filters!A:K,11, FALSE)), CONCATENATE(CHAR(34),"CamA",CHAR(34)), CONCATENATE(CHAR(34),"CamB",CHAR(34))),"}"), ""),IF(VLOOKUP(C194,DM_fish!C:X,16, FALSE)&gt;0, CONCATENATE(",{",CHAR(34),"target",CHAR(34),":",CHAR(34),VLOOKUP(C194,DM_fish!C:X,15, FALSE),CHAR(34),",", CHAR(34), "excitation",CHAR(34), ":", VLOOKUP(C194,DM_fish!C:X,16, FALSE), ",",  CHAR(34), "camera",CHAR(34), ":", IF(VALUE(VLOOKUP(C194,DM_fish!C:X,16, FALSE))&lt;VALUE(VLOOKUP(V194,imaging_filters!A:K,11, FALSE)), CONCATENATE(CHAR(34),"CamA",CHAR(34)), CONCATENATE(CHAR(34),"CamB",CHAR(34))),"}"), ""),IF(VLOOKUP(C194,DM_fish!C:X,18, FALSE)&gt;0, CONCATENATE(",{",CHAR(34),"target",CHAR(34),":",CHAR(34),VLOOKUP(C194,DM_fish!C:X,17, FALSE),CHAR(34),",", CHAR(34), "excitation",CHAR(34), ":", VLOOKUP(C194,DM_fish!C:X,18, FALSE), ",",  CHAR(34), "camera",CHAR(34), ":", IF(VALUE(VLOOKUP(C194,DM_fish!C:X,18, FALSE))&lt;VALUE(VLOOKUP(V194,imaging_filters!A:K,11, FALSE)), CONCATENATE(CHAR(34),"CamA",CHAR(34)), CONCATENATE(CHAR(34),"CamB",CHAR(34))),"}"), ""),IF(VLOOKUP(C194,DM_fish!C:X,20, FALSE)&gt;0, CONCATENATE(",{",CHAR(34),"target",CHAR(34),":",CHAR(34),VLOOKUP(C194,DM_fish!C:X,19, FALSE),CHAR(34),",", CHAR(34), "excitation",CHAR(34), ":", VLOOKUP(C194,DM_fish!C:X,20, FALSE), ",",  CHAR(34), "camera",CHAR(34), ":", IF(VALUE(VLOOKUP(C194,DM_fish!C:X,20, FALSE))&lt;VALUE(VLOOKUP(V194,imaging_filters!A:K,11, FALSE)), CONCATENATE(CHAR(34),"CamA",CHAR(34)), CONCATENATE(CHAR(34),"CamB",CHAR(34))),"}"), ""),IF(VLOOKUP(C194,DM_fish!C:X,22, FALSE)&gt;0, CONCATENATE(",{",CHAR(34),"target",CHAR(34),":",CHAR(34),VLOOKUP(C194,DM_fish!C:X,21, FALSE),CHAR(34),",", CHAR(34), "excitation",CHAR(34), ":", VLOOKUP(C194,DM_fish!C:X,22, FALSE), ",",  CHAR(34), "camera",CHAR(34), ":", IF(VALUE(VLOOKUP(C194,DM_fish!C:X,22, FALSE))&lt;VALUE(VLOOKUP(V194,imaging_filters!A:K,11, FALSE)), CONCATENATE(CHAR(34),"CamA",CHAR(34)), CONCATENATE(CHAR(34),"CamB",CHAR(34))),"}"), "")), "]"), "")</f>
        <v/>
      </c>
      <c r="Y194" s="11" t="str">
        <f ca="1">IFERROR(
CONCATENATE( "[",
IF(VLOOKUP(E194,Injections!B:F,3, FALSE)&gt;0, CONCATENATE( "{",CHAR(34),"target",CHAR(34),":",CHAR(34),VLOOKUP(E194,Injections!B:F,2, FALSE),CHAR(34),",", CHAR(34), "excitation",CHAR(34), ":", VLOOKUP(E194,Injections!B:F,3, FALSE), ",",  CHAR(34), "camera",CHAR(34), ":",
IF(VALUE(VLOOKUP(E194,Injections!B:F,3, FALSE))&lt;VALUE(VLOOKUP(V194,imaging_filters!A:C,2, FALSE)), CONCATENATE(CHAR(34),"CamA",CHAR(34)), CONCATENATE(CHAR(34),"CamB",CHAR(34))),"}"), ""),
IF(VLOOKUP(E194,Injections!B:F,5, FALSE)&gt;0, CONCATENATE(",{",CHAR(34),"target",CHAR(34),":",CHAR(34),VLOOKUP(E194,Injections!B:F,4, FALSE),CHAR(34),",", CHAR(34), "excitation",CHAR(34), ":", VLOOKUP(E194,Injections!B:F,5, FALSE), ",",  CHAR(34), "camera",CHAR(34), ":",
IF(VALUE(VLOOKUP(E194,Injections!B:F,5, FALSE))&lt;VALUE(VLOOKUP(V194,imaging_filters!A:C,2, FALSE)), CONCATENATE(CHAR(34),"CamA",CHAR(34)), CONCATENATE(CHAR(34),"CamB",CHAR(34))),"}"), ""),
 "]"), "[]")</f>
        <v>[]</v>
      </c>
      <c r="Z194" s="11" t="str">
        <f ca="1">IFERROR(
CONCATENATE( "[",
IF(VLOOKUP(F194,Injections!H:L,3, FALSE)&gt;0, CONCATENATE( "{",CHAR(34),"target",CHAR(34),":",CHAR(34),VLOOKUP(F194,Injections!H:L,2, FALSE),CHAR(34),",", CHAR(34), "excitation",CHAR(34), ":", VLOOKUP(F194,Injections!H:L,3, FALSE), ",",  CHAR(34), "camera",CHAR(34), ":",
IF(VALUE(VLOOKUP(F194,Injections!H:L,3, FALSE))&lt;VALUE(VLOOKUP(V194,imaging_filters!A:K,11, FALSE)), CONCATENATE(CHAR(34),"CamA",CHAR(34)), CONCATENATE(CHAR(34),"CamB",CHAR(34))),"}"), ""),
IF(VLOOKUP(F194,Injections!H:L,5, FALSE)&gt;0, CONCATENATE(",{",CHAR(34),"target",CHAR(34),":",CHAR(34),VLOOKUP(F194,Injections!H:L,4, FALSE),CHAR(34),",", CHAR(34), "excitation",CHAR(34), ":", VLOOKUP(F194,Injections!H:L,5, FALSE), ",",  CHAR(34), "camera",CHAR(34), ":",
IF(VALUE(VLOOKUP(F194,Injections!H:L,5, FALSE))&lt;VALUE(VLOOKUP(V194,imaging_filters!A:K,11, FALSE)), CONCATENATE(CHAR(34),"CamA",CHAR(34)), CONCATENATE(CHAR(34),"CamB",CHAR(34))),"}"), ""),
 "]"), "[]")</f>
        <v>[{"target":"nuclei","excitation":560,"camera":"CamB"}]</v>
      </c>
      <c r="AA194" s="11"/>
    </row>
    <row r="195" spans="1:28" ht="15.75" customHeight="1" x14ac:dyDescent="0.15">
      <c r="A195" s="7">
        <f t="shared" si="4"/>
        <v>45800</v>
      </c>
      <c r="B195" s="1"/>
      <c r="C195" s="1" t="s">
        <v>327</v>
      </c>
      <c r="D195" s="1" t="s">
        <v>327</v>
      </c>
      <c r="E195" s="1"/>
      <c r="F195" s="1" t="s">
        <v>64</v>
      </c>
      <c r="G195" s="8"/>
      <c r="H195" s="8"/>
      <c r="I195" s="8"/>
      <c r="K195" s="1" t="s">
        <v>281</v>
      </c>
      <c r="M195" s="8">
        <v>45800</v>
      </c>
      <c r="P195" s="1" t="s">
        <v>344</v>
      </c>
      <c r="Q195" s="1" t="s">
        <v>345</v>
      </c>
      <c r="R195" s="10" t="str">
        <f ca="1">IFERROR(__xludf.DUMMYFUNCTION("JOIN("","", SORT(UNIQUE(TOCOL({VLOOKUP(D195,DM_fish!A:B,2,FALSE),VLOOKUP(C195,DM_fish!A:B,2,FALSE), ARRAYFORMULA(VLOOKUP(SPLIT(E195, "", ""),Injections!B:G,6,FALSE)), ARRAYFORMULA(VLOOKUP(SPLIT(F195, "", ""),Injections!H:M,6,FALSE)), ARRAYFORMULA(VLOOKUP("&amp;"SPLIT(G195, "", ""),Injections!N:S,6,FALSE)), ARRAYFORMULA(VLOOKUP(SPLIT(H195, "", ""),Injections!T:Y,6,FALSE)) },3))))"),"nuclei")</f>
        <v>nuclei</v>
      </c>
      <c r="S195" s="10" t="str">
        <f ca="1">IFERROR(__xludf.DUMMYFUNCTION("IFERROR(JOIN("","", SPLIT(R195, "","", TRUE ,TRUE)), """")"),"nuclei")</f>
        <v>nuclei</v>
      </c>
      <c r="T195" s="1" t="s">
        <v>346</v>
      </c>
      <c r="U195" s="1">
        <v>1341</v>
      </c>
      <c r="V195" s="1" t="s">
        <v>203</v>
      </c>
      <c r="W195" s="12" t="str">
        <f ca="1">IFERROR(CONCATENATE("[", CONCATENATE(IF(VLOOKUP(D195,DM_fish!C:X,14, FALSE)&gt;0, CONCATENATE("{",CHAR(34),"target",CHAR(34),":",CHAR(34),VLOOKUP(D195,DM_fish!C:X,13, FALSE),CHAR(34),",", CHAR(34), "excitation",CHAR(34), ":", VLOOKUP(D195,DM_fish!C:X,14, FALSE), ",",  CHAR(34), "camera",CHAR(34), ":", IF(VALUE(VLOOKUP(D195,DM_fish!C:X,14, FALSE))&lt;VALUE(VLOOKUP(V195,imaging_filters!A:K,11, FALSE)), CONCATENATE(CHAR(34),"CamA",CHAR(34)), CONCATENATE(CHAR(34),"CamB",CHAR(34))),"}"), ""),IF(VLOOKUP(D195,DM_fish!C:X,16, FALSE)&gt;0, CONCATENATE(",{",CHAR(34),"target",CHAR(34),":",CHAR(34),VLOOKUP(D195,DM_fish!C:X,15, FALSE),CHAR(34),",", CHAR(34), "excitation",CHAR(34), ":", VLOOKUP(D195,DM_fish!C:X,16, FALSE), ",",  CHAR(34), "camera",CHAR(34), ":", IF(VALUE(VLOOKUP(D195,DM_fish!C:X,16, FALSE))&lt;VALUE(VLOOKUP(V195,imaging_filters!A:K,11, FALSE)), CONCATENATE(CHAR(34),"CamA",CHAR(34)), CONCATENATE(CHAR(34),"CamB",CHAR(34))),"}"), ""),IF(VLOOKUP(D195,DM_fish!C:X,18, FALSE)&gt;0, CONCATENATE(",{",CHAR(34),"target",CHAR(34),":",CHAR(34),VLOOKUP(D195,DM_fish!C:X,17, FALSE),CHAR(34),",", CHAR(34), "excitation",CHAR(34), ":", VLOOKUP(D195,DM_fish!C:X,18, FALSE), ",",  CHAR(34), "camera",CHAR(34), ":", IF(VALUE(VLOOKUP(D195,DM_fish!C:X,18, FALSE))&lt;VALUE(VLOOKUP(V195,imaging_filters!A:K,11, FALSE)), CONCATENATE(CHAR(34),"CamA",CHAR(34)), CONCATENATE(CHAR(34),"CamB",CHAR(34))),"}"), ""),IF(VLOOKUP(D195,DM_fish!C:X,20, FALSE)&gt;0, CONCATENATE(",{",CHAR(34),"target",CHAR(34),":",CHAR(34),VLOOKUP(D195,DM_fish!C:X,19, FALSE),CHAR(34),",", CHAR(34), "excitation",CHAR(34), ":", VLOOKUP(D195,DM_fish!C:X,20, FALSE), ",",  CHAR(34), "camera",CHAR(34), ":", IF(VALUE(VLOOKUP(D195,DM_fish!C:X,20, FALSE))&lt;VALUE(VLOOKUP(V195,imaging_filters!A:K,11, FALSE)), CONCATENATE(CHAR(34),"CamA",CHAR(34)), CONCATENATE(CHAR(34),"CamB",CHAR(34))),"}"), ""),IF(VLOOKUP(D195,DM_fish!C:X,22, FALSE)&gt;0, CONCATENATE(",{",CHAR(34),"target",CHAR(34),":",CHAR(34),VLOOKUP(D195,DM_fish!C:X,21, FALSE),CHAR(34),",", CHAR(34), "excitation",CHAR(34), ":", VLOOKUP(D195,DM_fish!C:X,22, FALSE), ",",  CHAR(34), "camera",CHAR(34), ":", IF(VALUE(VLOOKUP(D195,DM_fish!C:X,22, FALSE))&lt;VALUE(VLOOKUP(V195,imaging_filters!A:K,11, FALSE)), CONCATENATE(CHAR(34),"CamA",CHAR(34)), CONCATENATE(CHAR(34),"CamB",CHAR(34))),"}"), "")), "]"), "")</f>
        <v/>
      </c>
      <c r="X195" s="12" t="str">
        <f ca="1">IFERROR(
CONCATENATE("[", CONCATENATE(IF(VLOOKUP(C195,DM_fish!C:X,14, FALSE)&gt;0, CONCATENATE("{",CHAR(34),"target",CHAR(34),":",CHAR(34),VLOOKUP(C195,DM_fish!C:X,13, FALSE),CHAR(34),",", CHAR(34), "excitation",CHAR(34), ":", VLOOKUP(C195,DM_fish!C:X,14, FALSE), ",",  CHAR(34), "camera",CHAR(34), ":", IF(VALUE(VLOOKUP(C195,DM_fish!C:X,14, FALSE))&lt;VALUE(VLOOKUP(V195,imaging_filters!A:K,11, FALSE)), CONCATENATE(CHAR(34),"CamA",CHAR(34)), CONCATENATE(CHAR(34),"CamB",CHAR(34))),"}"), ""),IF(VLOOKUP(C195,DM_fish!C:X,16, FALSE)&gt;0, CONCATENATE(",{",CHAR(34),"target",CHAR(34),":",CHAR(34),VLOOKUP(C195,DM_fish!C:X,15, FALSE),CHAR(34),",", CHAR(34), "excitation",CHAR(34), ":", VLOOKUP(C195,DM_fish!C:X,16, FALSE), ",",  CHAR(34), "camera",CHAR(34), ":", IF(VALUE(VLOOKUP(C195,DM_fish!C:X,16, FALSE))&lt;VALUE(VLOOKUP(V195,imaging_filters!A:K,11, FALSE)), CONCATENATE(CHAR(34),"CamA",CHAR(34)), CONCATENATE(CHAR(34),"CamB",CHAR(34))),"}"), ""),IF(VLOOKUP(C195,DM_fish!C:X,18, FALSE)&gt;0, CONCATENATE(",{",CHAR(34),"target",CHAR(34),":",CHAR(34),VLOOKUP(C195,DM_fish!C:X,17, FALSE),CHAR(34),",", CHAR(34), "excitation",CHAR(34), ":", VLOOKUP(C195,DM_fish!C:X,18, FALSE), ",",  CHAR(34), "camera",CHAR(34), ":", IF(VALUE(VLOOKUP(C195,DM_fish!C:X,18, FALSE))&lt;VALUE(VLOOKUP(V195,imaging_filters!A:K,11, FALSE)), CONCATENATE(CHAR(34),"CamA",CHAR(34)), CONCATENATE(CHAR(34),"CamB",CHAR(34))),"}"), ""),IF(VLOOKUP(C195,DM_fish!C:X,20, FALSE)&gt;0, CONCATENATE(",{",CHAR(34),"target",CHAR(34),":",CHAR(34),VLOOKUP(C195,DM_fish!C:X,19, FALSE),CHAR(34),",", CHAR(34), "excitation",CHAR(34), ":", VLOOKUP(C195,DM_fish!C:X,20, FALSE), ",",  CHAR(34), "camera",CHAR(34), ":", IF(VALUE(VLOOKUP(C195,DM_fish!C:X,20, FALSE))&lt;VALUE(VLOOKUP(V195,imaging_filters!A:K,11, FALSE)), CONCATENATE(CHAR(34),"CamA",CHAR(34)), CONCATENATE(CHAR(34),"CamB",CHAR(34))),"}"), ""),IF(VLOOKUP(C195,DM_fish!C:X,22, FALSE)&gt;0, CONCATENATE(",{",CHAR(34),"target",CHAR(34),":",CHAR(34),VLOOKUP(C195,DM_fish!C:X,21, FALSE),CHAR(34),",", CHAR(34), "excitation",CHAR(34), ":", VLOOKUP(C195,DM_fish!C:X,22, FALSE), ",",  CHAR(34), "camera",CHAR(34), ":", IF(VALUE(VLOOKUP(C195,DM_fish!C:X,22, FALSE))&lt;VALUE(VLOOKUP(V195,imaging_filters!A:K,11, FALSE)), CONCATENATE(CHAR(34),"CamA",CHAR(34)), CONCATENATE(CHAR(34),"CamB",CHAR(34))),"}"), "")), "]"), "")</f>
        <v/>
      </c>
      <c r="Y195" s="11" t="str">
        <f ca="1">IFERROR(
CONCATENATE( "[",
IF(VLOOKUP(E195,Injections!B:F,3, FALSE)&gt;0, CONCATENATE( "{",CHAR(34),"target",CHAR(34),":",CHAR(34),VLOOKUP(E195,Injections!B:F,2, FALSE),CHAR(34),",", CHAR(34), "excitation",CHAR(34), ":", VLOOKUP(E195,Injections!B:F,3, FALSE), ",",  CHAR(34), "camera",CHAR(34), ":",
IF(VALUE(VLOOKUP(E195,Injections!B:F,3, FALSE))&lt;VALUE(VLOOKUP(V195,imaging_filters!A:C,2, FALSE)), CONCATENATE(CHAR(34),"CamA",CHAR(34)), CONCATENATE(CHAR(34),"CamB",CHAR(34))),"}"), ""),
IF(VLOOKUP(E195,Injections!B:F,5, FALSE)&gt;0, CONCATENATE(",{",CHAR(34),"target",CHAR(34),":",CHAR(34),VLOOKUP(E195,Injections!B:F,4, FALSE),CHAR(34),",", CHAR(34), "excitation",CHAR(34), ":", VLOOKUP(E195,Injections!B:F,5, FALSE), ",",  CHAR(34), "camera",CHAR(34), ":",
IF(VALUE(VLOOKUP(E195,Injections!B:F,5, FALSE))&lt;VALUE(VLOOKUP(V195,imaging_filters!A:C,2, FALSE)), CONCATENATE(CHAR(34),"CamA",CHAR(34)), CONCATENATE(CHAR(34),"CamB",CHAR(34))),"}"), ""),
 "]"), "[]")</f>
        <v>[]</v>
      </c>
      <c r="Z195" s="11" t="str">
        <f ca="1">IFERROR(
CONCATENATE( "[",
IF(VLOOKUP(F195,Injections!H:L,3, FALSE)&gt;0, CONCATENATE( "{",CHAR(34),"target",CHAR(34),":",CHAR(34),VLOOKUP(F195,Injections!H:L,2, FALSE),CHAR(34),",", CHAR(34), "excitation",CHAR(34), ":", VLOOKUP(F195,Injections!H:L,3, FALSE), ",",  CHAR(34), "camera",CHAR(34), ":",
IF(VALUE(VLOOKUP(F195,Injections!H:L,3, FALSE))&lt;VALUE(VLOOKUP(V195,imaging_filters!A:K,11, FALSE)), CONCATENATE(CHAR(34),"CamA",CHAR(34)), CONCATENATE(CHAR(34),"CamB",CHAR(34))),"}"), ""),
IF(VLOOKUP(F195,Injections!H:L,5, FALSE)&gt;0, CONCATENATE(",{",CHAR(34),"target",CHAR(34),":",CHAR(34),VLOOKUP(F195,Injections!H:L,4, FALSE),CHAR(34),",", CHAR(34), "excitation",CHAR(34), ":", VLOOKUP(F195,Injections!H:L,5, FALSE), ",",  CHAR(34), "camera",CHAR(34), ":",
IF(VALUE(VLOOKUP(F195,Injections!H:L,5, FALSE))&lt;VALUE(VLOOKUP(V195,imaging_filters!A:K,11, FALSE)), CONCATENATE(CHAR(34),"CamA",CHAR(34)), CONCATENATE(CHAR(34),"CamB",CHAR(34))),"}"), ""),
 "]"), "[]")</f>
        <v>[{"target":"nuclei","excitation":560,"camera":"CamB"}]</v>
      </c>
      <c r="AA195" s="11"/>
    </row>
    <row r="196" spans="1:28" ht="15.75" customHeight="1" x14ac:dyDescent="0.15">
      <c r="A196" s="7">
        <f t="shared" si="4"/>
        <v>45800</v>
      </c>
      <c r="B196" s="1"/>
      <c r="C196" s="1" t="s">
        <v>327</v>
      </c>
      <c r="D196" s="1" t="s">
        <v>327</v>
      </c>
      <c r="E196" s="1"/>
      <c r="F196" s="1" t="s">
        <v>64</v>
      </c>
      <c r="G196" s="8"/>
      <c r="H196" s="8"/>
      <c r="I196" s="8">
        <v>45799</v>
      </c>
      <c r="K196" s="1" t="s">
        <v>246</v>
      </c>
      <c r="L196" s="8">
        <v>45800</v>
      </c>
      <c r="M196" s="8">
        <v>45800</v>
      </c>
      <c r="N196" s="1" t="s">
        <v>347</v>
      </c>
      <c r="P196" s="1" t="s">
        <v>344</v>
      </c>
      <c r="Q196" s="1" t="s">
        <v>348</v>
      </c>
      <c r="R196" s="10" t="str">
        <f ca="1">IFERROR(__xludf.DUMMYFUNCTION("JOIN("","", SORT(UNIQUE(TOCOL({VLOOKUP(D196,DM_fish!A:B,2,FALSE),VLOOKUP(C196,DM_fish!A:B,2,FALSE), ARRAYFORMULA(VLOOKUP(SPLIT(E196, "", ""),Injections!B:G,6,FALSE)), ARRAYFORMULA(VLOOKUP(SPLIT(F196, "", ""),Injections!H:M,6,FALSE)), ARRAYFORMULA(VLOOKUP("&amp;"SPLIT(G196, "", ""),Injections!N:S,6,FALSE)), ARRAYFORMULA(VLOOKUP(SPLIT(H196, "", ""),Injections!T:Y,6,FALSE)) },3))))"),"nuclei")</f>
        <v>nuclei</v>
      </c>
      <c r="S196" s="10" t="str">
        <f ca="1">IFERROR(__xludf.DUMMYFUNCTION("IFERROR(JOIN("","", SPLIT(R196, "","", TRUE ,TRUE)), """")"),"nuclei")</f>
        <v>nuclei</v>
      </c>
      <c r="T196" s="1" t="s">
        <v>349</v>
      </c>
      <c r="U196" s="1">
        <v>5908</v>
      </c>
      <c r="V196" s="1" t="s">
        <v>203</v>
      </c>
      <c r="W196" s="12" t="str">
        <f ca="1">IFERROR(CONCATENATE("[", CONCATENATE(IF(VLOOKUP(D196,DM_fish!C:X,14, FALSE)&gt;0, CONCATENATE("{",CHAR(34),"target",CHAR(34),":",CHAR(34),VLOOKUP(D196,DM_fish!C:X,13, FALSE),CHAR(34),",", CHAR(34), "excitation",CHAR(34), ":", VLOOKUP(D196,DM_fish!C:X,14, FALSE), ",",  CHAR(34), "camera",CHAR(34), ":", IF(VALUE(VLOOKUP(D196,DM_fish!C:X,14, FALSE))&lt;VALUE(VLOOKUP(V196,imaging_filters!A:K,11, FALSE)), CONCATENATE(CHAR(34),"CamA",CHAR(34)), CONCATENATE(CHAR(34),"CamB",CHAR(34))),"}"), ""),IF(VLOOKUP(D196,DM_fish!C:X,16, FALSE)&gt;0, CONCATENATE(",{",CHAR(34),"target",CHAR(34),":",CHAR(34),VLOOKUP(D196,DM_fish!C:X,15, FALSE),CHAR(34),",", CHAR(34), "excitation",CHAR(34), ":", VLOOKUP(D196,DM_fish!C:X,16, FALSE), ",",  CHAR(34), "camera",CHAR(34), ":", IF(VALUE(VLOOKUP(D196,DM_fish!C:X,16, FALSE))&lt;VALUE(VLOOKUP(V196,imaging_filters!A:K,11, FALSE)), CONCATENATE(CHAR(34),"CamA",CHAR(34)), CONCATENATE(CHAR(34),"CamB",CHAR(34))),"}"), ""),IF(VLOOKUP(D196,DM_fish!C:X,18, FALSE)&gt;0, CONCATENATE(",{",CHAR(34),"target",CHAR(34),":",CHAR(34),VLOOKUP(D196,DM_fish!C:X,17, FALSE),CHAR(34),",", CHAR(34), "excitation",CHAR(34), ":", VLOOKUP(D196,DM_fish!C:X,18, FALSE), ",",  CHAR(34), "camera",CHAR(34), ":", IF(VALUE(VLOOKUP(D196,DM_fish!C:X,18, FALSE))&lt;VALUE(VLOOKUP(V196,imaging_filters!A:K,11, FALSE)), CONCATENATE(CHAR(34),"CamA",CHAR(34)), CONCATENATE(CHAR(34),"CamB",CHAR(34))),"}"), ""),IF(VLOOKUP(D196,DM_fish!C:X,20, FALSE)&gt;0, CONCATENATE(",{",CHAR(34),"target",CHAR(34),":",CHAR(34),VLOOKUP(D196,DM_fish!C:X,19, FALSE),CHAR(34),",", CHAR(34), "excitation",CHAR(34), ":", VLOOKUP(D196,DM_fish!C:X,20, FALSE), ",",  CHAR(34), "camera",CHAR(34), ":", IF(VALUE(VLOOKUP(D196,DM_fish!C:X,20, FALSE))&lt;VALUE(VLOOKUP(V196,imaging_filters!A:K,11, FALSE)), CONCATENATE(CHAR(34),"CamA",CHAR(34)), CONCATENATE(CHAR(34),"CamB",CHAR(34))),"}"), ""),IF(VLOOKUP(D196,DM_fish!C:X,22, FALSE)&gt;0, CONCATENATE(",{",CHAR(34),"target",CHAR(34),":",CHAR(34),VLOOKUP(D196,DM_fish!C:X,21, FALSE),CHAR(34),",", CHAR(34), "excitation",CHAR(34), ":", VLOOKUP(D196,DM_fish!C:X,22, FALSE), ",",  CHAR(34), "camera",CHAR(34), ":", IF(VALUE(VLOOKUP(D196,DM_fish!C:X,22, FALSE))&lt;VALUE(VLOOKUP(V196,imaging_filters!A:K,11, FALSE)), CONCATENATE(CHAR(34),"CamA",CHAR(34)), CONCATENATE(CHAR(34),"CamB",CHAR(34))),"}"), "")), "]"), "")</f>
        <v/>
      </c>
      <c r="X196" s="12" t="str">
        <f ca="1">IFERROR(
CONCATENATE("[", CONCATENATE(IF(VLOOKUP(C196,DM_fish!C:X,14, FALSE)&gt;0, CONCATENATE("{",CHAR(34),"target",CHAR(34),":",CHAR(34),VLOOKUP(C196,DM_fish!C:X,13, FALSE),CHAR(34),",", CHAR(34), "excitation",CHAR(34), ":", VLOOKUP(C196,DM_fish!C:X,14, FALSE), ",",  CHAR(34), "camera",CHAR(34), ":", IF(VALUE(VLOOKUP(C196,DM_fish!C:X,14, FALSE))&lt;VALUE(VLOOKUP(V196,imaging_filters!A:K,11, FALSE)), CONCATENATE(CHAR(34),"CamA",CHAR(34)), CONCATENATE(CHAR(34),"CamB",CHAR(34))),"}"), ""),IF(VLOOKUP(C196,DM_fish!C:X,16, FALSE)&gt;0, CONCATENATE(",{",CHAR(34),"target",CHAR(34),":",CHAR(34),VLOOKUP(C196,DM_fish!C:X,15, FALSE),CHAR(34),",", CHAR(34), "excitation",CHAR(34), ":", VLOOKUP(C196,DM_fish!C:X,16, FALSE), ",",  CHAR(34), "camera",CHAR(34), ":", IF(VALUE(VLOOKUP(C196,DM_fish!C:X,16, FALSE))&lt;VALUE(VLOOKUP(V196,imaging_filters!A:K,11, FALSE)), CONCATENATE(CHAR(34),"CamA",CHAR(34)), CONCATENATE(CHAR(34),"CamB",CHAR(34))),"}"), ""),IF(VLOOKUP(C196,DM_fish!C:X,18, FALSE)&gt;0, CONCATENATE(",{",CHAR(34),"target",CHAR(34),":",CHAR(34),VLOOKUP(C196,DM_fish!C:X,17, FALSE),CHAR(34),",", CHAR(34), "excitation",CHAR(34), ":", VLOOKUP(C196,DM_fish!C:X,18, FALSE), ",",  CHAR(34), "camera",CHAR(34), ":", IF(VALUE(VLOOKUP(C196,DM_fish!C:X,18, FALSE))&lt;VALUE(VLOOKUP(V196,imaging_filters!A:K,11, FALSE)), CONCATENATE(CHAR(34),"CamA",CHAR(34)), CONCATENATE(CHAR(34),"CamB",CHAR(34))),"}"), ""),IF(VLOOKUP(C196,DM_fish!C:X,20, FALSE)&gt;0, CONCATENATE(",{",CHAR(34),"target",CHAR(34),":",CHAR(34),VLOOKUP(C196,DM_fish!C:X,19, FALSE),CHAR(34),",", CHAR(34), "excitation",CHAR(34), ":", VLOOKUP(C196,DM_fish!C:X,20, FALSE), ",",  CHAR(34), "camera",CHAR(34), ":", IF(VALUE(VLOOKUP(C196,DM_fish!C:X,20, FALSE))&lt;VALUE(VLOOKUP(V196,imaging_filters!A:K,11, FALSE)), CONCATENATE(CHAR(34),"CamA",CHAR(34)), CONCATENATE(CHAR(34),"CamB",CHAR(34))),"}"), ""),IF(VLOOKUP(C196,DM_fish!C:X,22, FALSE)&gt;0, CONCATENATE(",{",CHAR(34),"target",CHAR(34),":",CHAR(34),VLOOKUP(C196,DM_fish!C:X,21, FALSE),CHAR(34),",", CHAR(34), "excitation",CHAR(34), ":", VLOOKUP(C196,DM_fish!C:X,22, FALSE), ",",  CHAR(34), "camera",CHAR(34), ":", IF(VALUE(VLOOKUP(C196,DM_fish!C:X,22, FALSE))&lt;VALUE(VLOOKUP(V196,imaging_filters!A:K,11, FALSE)), CONCATENATE(CHAR(34),"CamA",CHAR(34)), CONCATENATE(CHAR(34),"CamB",CHAR(34))),"}"), "")), "]"), "")</f>
        <v/>
      </c>
      <c r="Y196" s="11" t="str">
        <f ca="1">IFERROR(
CONCATENATE( "[",
IF(VLOOKUP(E196,Injections!B:F,3, FALSE)&gt;0, CONCATENATE( "{",CHAR(34),"target",CHAR(34),":",CHAR(34),VLOOKUP(E196,Injections!B:F,2, FALSE),CHAR(34),",", CHAR(34), "excitation",CHAR(34), ":", VLOOKUP(E196,Injections!B:F,3, FALSE), ",",  CHAR(34), "camera",CHAR(34), ":",
IF(VALUE(VLOOKUP(E196,Injections!B:F,3, FALSE))&lt;VALUE(VLOOKUP(V196,imaging_filters!A:C,2, FALSE)), CONCATENATE(CHAR(34),"CamA",CHAR(34)), CONCATENATE(CHAR(34),"CamB",CHAR(34))),"}"), ""),
IF(VLOOKUP(E196,Injections!B:F,5, FALSE)&gt;0, CONCATENATE(",{",CHAR(34),"target",CHAR(34),":",CHAR(34),VLOOKUP(E196,Injections!B:F,4, FALSE),CHAR(34),",", CHAR(34), "excitation",CHAR(34), ":", VLOOKUP(E196,Injections!B:F,5, FALSE), ",",  CHAR(34), "camera",CHAR(34), ":",
IF(VALUE(VLOOKUP(E196,Injections!B:F,5, FALSE))&lt;VALUE(VLOOKUP(V196,imaging_filters!A:C,2, FALSE)), CONCATENATE(CHAR(34),"CamA",CHAR(34)), CONCATENATE(CHAR(34),"CamB",CHAR(34))),"}"), ""),
 "]"), "[]")</f>
        <v>[]</v>
      </c>
      <c r="Z196" s="11" t="str">
        <f ca="1">IFERROR(
CONCATENATE( "[",
IF(VLOOKUP(F196,Injections!H:L,3, FALSE)&gt;0, CONCATENATE( "{",CHAR(34),"target",CHAR(34),":",CHAR(34),VLOOKUP(F196,Injections!H:L,2, FALSE),CHAR(34),",", CHAR(34), "excitation",CHAR(34), ":", VLOOKUP(F196,Injections!H:L,3, FALSE), ",",  CHAR(34), "camera",CHAR(34), ":",
IF(VALUE(VLOOKUP(F196,Injections!H:L,3, FALSE))&lt;VALUE(VLOOKUP(V196,imaging_filters!A:K,11, FALSE)), CONCATENATE(CHAR(34),"CamA",CHAR(34)), CONCATENATE(CHAR(34),"CamB",CHAR(34))),"}"), ""),
IF(VLOOKUP(F196,Injections!H:L,5, FALSE)&gt;0, CONCATENATE(",{",CHAR(34),"target",CHAR(34),":",CHAR(34),VLOOKUP(F196,Injections!H:L,4, FALSE),CHAR(34),",", CHAR(34), "excitation",CHAR(34), ":", VLOOKUP(F196,Injections!H:L,5, FALSE), ",",  CHAR(34), "camera",CHAR(34), ":",
IF(VALUE(VLOOKUP(F196,Injections!H:L,5, FALSE))&lt;VALUE(VLOOKUP(V196,imaging_filters!A:K,11, FALSE)), CONCATENATE(CHAR(34),"CamA",CHAR(34)), CONCATENATE(CHAR(34),"CamB",CHAR(34))),"}"), ""),
 "]"), "[]")</f>
        <v>[{"target":"nuclei","excitation":560,"camera":"CamB"}]</v>
      </c>
      <c r="AA196" s="11"/>
    </row>
    <row r="197" spans="1:28" ht="15.75" customHeight="1" x14ac:dyDescent="0.15">
      <c r="A197" s="7">
        <f t="shared" si="4"/>
        <v>45799</v>
      </c>
      <c r="B197" s="1"/>
      <c r="C197" s="1"/>
      <c r="D197" s="1"/>
      <c r="E197" s="1"/>
      <c r="F197" s="1"/>
      <c r="G197" s="8"/>
      <c r="H197" s="8"/>
      <c r="I197" s="8">
        <v>45798</v>
      </c>
      <c r="K197" s="1"/>
      <c r="L197" s="8">
        <v>45799</v>
      </c>
      <c r="M197" s="8">
        <v>45799</v>
      </c>
      <c r="N197" s="1" t="s">
        <v>350</v>
      </c>
      <c r="Q197" s="1" t="s">
        <v>351</v>
      </c>
      <c r="R197" s="10" t="str">
        <f ca="1">IFERROR(__xludf.DUMMYFUNCTION("JOIN("","", SORT(UNIQUE(TOCOL({VLOOKUP(D197,DM_fish!A:B,2,FALSE),VLOOKUP(C197,DM_fish!A:B,2,FALSE), ARRAYFORMULA(VLOOKUP(SPLIT(E197, "", ""),Injections!B:G,6,FALSE)), ARRAYFORMULA(VLOOKUP(SPLIT(F197, "", ""),Injections!H:M,6,FALSE)), ARRAYFORMULA(VLOOKUP("&amp;"SPLIT(G197, "", ""),Injections!N:S,6,FALSE)), ARRAYFORMULA(VLOOKUP(SPLIT(H197, "", ""),Injections!T:Y,6,FALSE)) },3))))"),"")</f>
        <v/>
      </c>
      <c r="S197" s="10" t="str">
        <f ca="1">IFERROR(__xludf.DUMMYFUNCTION("IFERROR(JOIN("","", SPLIT(R197, "","", TRUE ,TRUE)), """")"),"")</f>
        <v/>
      </c>
      <c r="T197" s="1" t="s">
        <v>352</v>
      </c>
      <c r="U197" s="1">
        <v>216</v>
      </c>
      <c r="V197" s="1" t="s">
        <v>280</v>
      </c>
      <c r="W197" s="12" t="str">
        <f ca="1">IFERROR(CONCATENATE("[", CONCATENATE(IF(VLOOKUP(D197,DM_fish!C:X,14, FALSE)&gt;0, CONCATENATE("{",CHAR(34),"target",CHAR(34),":",CHAR(34),VLOOKUP(D197,DM_fish!C:X,13, FALSE),CHAR(34),",", CHAR(34), "excitation",CHAR(34), ":", VLOOKUP(D197,DM_fish!C:X,14, FALSE), ",",  CHAR(34), "camera",CHAR(34), ":", IF(VALUE(VLOOKUP(D197,DM_fish!C:X,14, FALSE))&lt;VALUE(VLOOKUP(V197,imaging_filters!A:K,11, FALSE)), CONCATENATE(CHAR(34),"CamA",CHAR(34)), CONCATENATE(CHAR(34),"CamB",CHAR(34))),"}"), ""),IF(VLOOKUP(D197,DM_fish!C:X,16, FALSE)&gt;0, CONCATENATE(",{",CHAR(34),"target",CHAR(34),":",CHAR(34),VLOOKUP(D197,DM_fish!C:X,15, FALSE),CHAR(34),",", CHAR(34), "excitation",CHAR(34), ":", VLOOKUP(D197,DM_fish!C:X,16, FALSE), ",",  CHAR(34), "camera",CHAR(34), ":", IF(VALUE(VLOOKUP(D197,DM_fish!C:X,16, FALSE))&lt;VALUE(VLOOKUP(V197,imaging_filters!A:K,11, FALSE)), CONCATENATE(CHAR(34),"CamA",CHAR(34)), CONCATENATE(CHAR(34),"CamB",CHAR(34))),"}"), ""),IF(VLOOKUP(D197,DM_fish!C:X,18, FALSE)&gt;0, CONCATENATE(",{",CHAR(34),"target",CHAR(34),":",CHAR(34),VLOOKUP(D197,DM_fish!C:X,17, FALSE),CHAR(34),",", CHAR(34), "excitation",CHAR(34), ":", VLOOKUP(D197,DM_fish!C:X,18, FALSE), ",",  CHAR(34), "camera",CHAR(34), ":", IF(VALUE(VLOOKUP(D197,DM_fish!C:X,18, FALSE))&lt;VALUE(VLOOKUP(V197,imaging_filters!A:K,11, FALSE)), CONCATENATE(CHAR(34),"CamA",CHAR(34)), CONCATENATE(CHAR(34),"CamB",CHAR(34))),"}"), ""),IF(VLOOKUP(D197,DM_fish!C:X,20, FALSE)&gt;0, CONCATENATE(",{",CHAR(34),"target",CHAR(34),":",CHAR(34),VLOOKUP(D197,DM_fish!C:X,19, FALSE),CHAR(34),",", CHAR(34), "excitation",CHAR(34), ":", VLOOKUP(D197,DM_fish!C:X,20, FALSE), ",",  CHAR(34), "camera",CHAR(34), ":", IF(VALUE(VLOOKUP(D197,DM_fish!C:X,20, FALSE))&lt;VALUE(VLOOKUP(V197,imaging_filters!A:K,11, FALSE)), CONCATENATE(CHAR(34),"CamA",CHAR(34)), CONCATENATE(CHAR(34),"CamB",CHAR(34))),"}"), ""),IF(VLOOKUP(D197,DM_fish!C:X,22, FALSE)&gt;0, CONCATENATE(",{",CHAR(34),"target",CHAR(34),":",CHAR(34),VLOOKUP(D197,DM_fish!C:X,21, FALSE),CHAR(34),",", CHAR(34), "excitation",CHAR(34), ":", VLOOKUP(D197,DM_fish!C:X,22, FALSE), ",",  CHAR(34), "camera",CHAR(34), ":", IF(VALUE(VLOOKUP(D197,DM_fish!C:X,22, FALSE))&lt;VALUE(VLOOKUP(V197,imaging_filters!A:K,11, FALSE)), CONCATENATE(CHAR(34),"CamA",CHAR(34)), CONCATENATE(CHAR(34),"CamB",CHAR(34))),"}"), "")), "]"), "")</f>
        <v/>
      </c>
      <c r="X197" s="12" t="str">
        <f ca="1">IFERROR(
CONCATENATE("[", CONCATENATE(IF(VLOOKUP(C197,DM_fish!C:X,14, FALSE)&gt;0, CONCATENATE("{",CHAR(34),"target",CHAR(34),":",CHAR(34),VLOOKUP(C197,DM_fish!C:X,13, FALSE),CHAR(34),",", CHAR(34), "excitation",CHAR(34), ":", VLOOKUP(C197,DM_fish!C:X,14, FALSE), ",",  CHAR(34), "camera",CHAR(34), ":", IF(VALUE(VLOOKUP(C197,DM_fish!C:X,14, FALSE))&lt;VALUE(VLOOKUP(V197,imaging_filters!A:K,11, FALSE)), CONCATENATE(CHAR(34),"CamA",CHAR(34)), CONCATENATE(CHAR(34),"CamB",CHAR(34))),"}"), ""),IF(VLOOKUP(C197,DM_fish!C:X,16, FALSE)&gt;0, CONCATENATE(",{",CHAR(34),"target",CHAR(34),":",CHAR(34),VLOOKUP(C197,DM_fish!C:X,15, FALSE),CHAR(34),",", CHAR(34), "excitation",CHAR(34), ":", VLOOKUP(C197,DM_fish!C:X,16, FALSE), ",",  CHAR(34), "camera",CHAR(34), ":", IF(VALUE(VLOOKUP(C197,DM_fish!C:X,16, FALSE))&lt;VALUE(VLOOKUP(V197,imaging_filters!A:K,11, FALSE)), CONCATENATE(CHAR(34),"CamA",CHAR(34)), CONCATENATE(CHAR(34),"CamB",CHAR(34))),"}"), ""),IF(VLOOKUP(C197,DM_fish!C:X,18, FALSE)&gt;0, CONCATENATE(",{",CHAR(34),"target",CHAR(34),":",CHAR(34),VLOOKUP(C197,DM_fish!C:X,17, FALSE),CHAR(34),",", CHAR(34), "excitation",CHAR(34), ":", VLOOKUP(C197,DM_fish!C:X,18, FALSE), ",",  CHAR(34), "camera",CHAR(34), ":", IF(VALUE(VLOOKUP(C197,DM_fish!C:X,18, FALSE))&lt;VALUE(VLOOKUP(V197,imaging_filters!A:K,11, FALSE)), CONCATENATE(CHAR(34),"CamA",CHAR(34)), CONCATENATE(CHAR(34),"CamB",CHAR(34))),"}"), ""),IF(VLOOKUP(C197,DM_fish!C:X,20, FALSE)&gt;0, CONCATENATE(",{",CHAR(34),"target",CHAR(34),":",CHAR(34),VLOOKUP(C197,DM_fish!C:X,19, FALSE),CHAR(34),",", CHAR(34), "excitation",CHAR(34), ":", VLOOKUP(C197,DM_fish!C:X,20, FALSE), ",",  CHAR(34), "camera",CHAR(34), ":", IF(VALUE(VLOOKUP(C197,DM_fish!C:X,20, FALSE))&lt;VALUE(VLOOKUP(V197,imaging_filters!A:K,11, FALSE)), CONCATENATE(CHAR(34),"CamA",CHAR(34)), CONCATENATE(CHAR(34),"CamB",CHAR(34))),"}"), ""),IF(VLOOKUP(C197,DM_fish!C:X,22, FALSE)&gt;0, CONCATENATE(",{",CHAR(34),"target",CHAR(34),":",CHAR(34),VLOOKUP(C197,DM_fish!C:X,21, FALSE),CHAR(34),",", CHAR(34), "excitation",CHAR(34), ":", VLOOKUP(C197,DM_fish!C:X,22, FALSE), ",",  CHAR(34), "camera",CHAR(34), ":", IF(VALUE(VLOOKUP(C197,DM_fish!C:X,22, FALSE))&lt;VALUE(VLOOKUP(V197,imaging_filters!A:K,11, FALSE)), CONCATENATE(CHAR(34),"CamA",CHAR(34)), CONCATENATE(CHAR(34),"CamB",CHAR(34))),"}"), "")), "]"), "")</f>
        <v/>
      </c>
      <c r="Y197" s="11" t="str">
        <f ca="1">IFERROR(
CONCATENATE( "[",
IF(VLOOKUP(E197,Injections!B:F,3, FALSE)&gt;0, CONCATENATE( "{",CHAR(34),"target",CHAR(34),":",CHAR(34),VLOOKUP(E197,Injections!B:F,2, FALSE),CHAR(34),",", CHAR(34), "excitation",CHAR(34), ":", VLOOKUP(E197,Injections!B:F,3, FALSE), ",",  CHAR(34), "camera",CHAR(34), ":",
IF(VALUE(VLOOKUP(E197,Injections!B:F,3, FALSE))&lt;VALUE(VLOOKUP(V197,imaging_filters!A:C,2, FALSE)), CONCATENATE(CHAR(34),"CamA",CHAR(34)), CONCATENATE(CHAR(34),"CamB",CHAR(34))),"}"), ""),
IF(VLOOKUP(E197,Injections!B:F,5, FALSE)&gt;0, CONCATENATE(",{",CHAR(34),"target",CHAR(34),":",CHAR(34),VLOOKUP(E197,Injections!B:F,4, FALSE),CHAR(34),",", CHAR(34), "excitation",CHAR(34), ":", VLOOKUP(E197,Injections!B:F,5, FALSE), ",",  CHAR(34), "camera",CHAR(34), ":",
IF(VALUE(VLOOKUP(E197,Injections!B:F,5, FALSE))&lt;VALUE(VLOOKUP(V197,imaging_filters!A:C,2, FALSE)), CONCATENATE(CHAR(34),"CamA",CHAR(34)), CONCATENATE(CHAR(34),"CamB",CHAR(34))),"}"), ""),
 "]"), "[]")</f>
        <v>[]</v>
      </c>
      <c r="Z197" s="11" t="str">
        <f ca="1">IFERROR(
CONCATENATE( "[",
IF(VLOOKUP(F197,Injections!H:L,3, FALSE)&gt;0, CONCATENATE( "{",CHAR(34),"target",CHAR(34),":",CHAR(34),VLOOKUP(F197,Injections!H:L,2, FALSE),CHAR(34),",", CHAR(34), "excitation",CHAR(34), ":", VLOOKUP(F197,Injections!H:L,3, FALSE), ",",  CHAR(34), "camera",CHAR(34), ":",
IF(VALUE(VLOOKUP(F197,Injections!H:L,3, FALSE))&lt;VALUE(VLOOKUP(V197,imaging_filters!A:K,11, FALSE)), CONCATENATE(CHAR(34),"CamA",CHAR(34)), CONCATENATE(CHAR(34),"CamB",CHAR(34))),"}"), ""),
IF(VLOOKUP(F197,Injections!H:L,5, FALSE)&gt;0, CONCATENATE(",{",CHAR(34),"target",CHAR(34),":",CHAR(34),VLOOKUP(F197,Injections!H:L,4, FALSE),CHAR(34),",", CHAR(34), "excitation",CHAR(34), ":", VLOOKUP(F197,Injections!H:L,5, FALSE), ",",  CHAR(34), "camera",CHAR(34), ":",
IF(VALUE(VLOOKUP(F197,Injections!H:L,5, FALSE))&lt;VALUE(VLOOKUP(V197,imaging_filters!A:K,11, FALSE)), CONCATENATE(CHAR(34),"CamA",CHAR(34)), CONCATENATE(CHAR(34),"CamB",CHAR(34))),"}"), ""),
 "]"), "[]")</f>
        <v>[]</v>
      </c>
      <c r="AA197" s="11"/>
    </row>
    <row r="198" spans="1:28" ht="15.75" customHeight="1" x14ac:dyDescent="0.15">
      <c r="A198" s="7">
        <f t="shared" si="4"/>
        <v>45798</v>
      </c>
      <c r="B198" s="1"/>
      <c r="C198" s="1" t="s">
        <v>253</v>
      </c>
      <c r="D198" s="1" t="s">
        <v>253</v>
      </c>
      <c r="E198" s="1"/>
      <c r="F198" s="1" t="s">
        <v>64</v>
      </c>
      <c r="G198" s="8"/>
      <c r="H198" s="8"/>
      <c r="I198" s="8"/>
      <c r="K198" s="1" t="s">
        <v>246</v>
      </c>
      <c r="M198" s="8">
        <v>45798</v>
      </c>
      <c r="Q198" s="1" t="s">
        <v>353</v>
      </c>
      <c r="R198" s="10" t="str">
        <f ca="1">IFERROR(__xludf.DUMMYFUNCTION("JOIN("","", SORT(UNIQUE(TOCOL({VLOOKUP(D198,DM_fish!A:B,2,FALSE),VLOOKUP(C198,DM_fish!A:B,2,FALSE), ARRAYFORMULA(VLOOKUP(SPLIT(E198, "", ""),Injections!B:G,6,FALSE)), ARRAYFORMULA(VLOOKUP(SPLIT(F198, "", ""),Injections!H:M,6,FALSE)), ARRAYFORMULA(VLOOKUP("&amp;"SPLIT(G198, "", ""),Injections!N:S,6,FALSE)), ARRAYFORMULA(VLOOKUP(SPLIT(H198, "", ""),Injections!T:Y,6,FALSE)) },3))))"),"nuclei")</f>
        <v>nuclei</v>
      </c>
      <c r="S198" s="10" t="str">
        <f ca="1">IFERROR(__xludf.DUMMYFUNCTION("IFERROR(JOIN("","", SPLIT(R198, "","", TRUE ,TRUE)), """")"),"nuclei")</f>
        <v>nuclei</v>
      </c>
      <c r="T198" s="1" t="s">
        <v>354</v>
      </c>
      <c r="U198" s="1">
        <v>320</v>
      </c>
      <c r="V198" s="1" t="s">
        <v>203</v>
      </c>
      <c r="W198" s="12" t="str">
        <f ca="1">IFERROR(CONCATENATE("[", CONCATENATE(IF(VLOOKUP(D198,DM_fish!C:X,14, FALSE)&gt;0, CONCATENATE("{",CHAR(34),"target",CHAR(34),":",CHAR(34),VLOOKUP(D198,DM_fish!C:X,13, FALSE),CHAR(34),",", CHAR(34), "excitation",CHAR(34), ":", VLOOKUP(D198,DM_fish!C:X,14, FALSE), ",",  CHAR(34), "camera",CHAR(34), ":", IF(VALUE(VLOOKUP(D198,DM_fish!C:X,14, FALSE))&lt;VALUE(VLOOKUP(V198,imaging_filters!A:K,11, FALSE)), CONCATENATE(CHAR(34),"CamA",CHAR(34)), CONCATENATE(CHAR(34),"CamB",CHAR(34))),"}"), ""),IF(VLOOKUP(D198,DM_fish!C:X,16, FALSE)&gt;0, CONCATENATE(",{",CHAR(34),"target",CHAR(34),":",CHAR(34),VLOOKUP(D198,DM_fish!C:X,15, FALSE),CHAR(34),",", CHAR(34), "excitation",CHAR(34), ":", VLOOKUP(D198,DM_fish!C:X,16, FALSE), ",",  CHAR(34), "camera",CHAR(34), ":", IF(VALUE(VLOOKUP(D198,DM_fish!C:X,16, FALSE))&lt;VALUE(VLOOKUP(V198,imaging_filters!A:K,11, FALSE)), CONCATENATE(CHAR(34),"CamA",CHAR(34)), CONCATENATE(CHAR(34),"CamB",CHAR(34))),"}"), ""),IF(VLOOKUP(D198,DM_fish!C:X,18, FALSE)&gt;0, CONCATENATE(",{",CHAR(34),"target",CHAR(34),":",CHAR(34),VLOOKUP(D198,DM_fish!C:X,17, FALSE),CHAR(34),",", CHAR(34), "excitation",CHAR(34), ":", VLOOKUP(D198,DM_fish!C:X,18, FALSE), ",",  CHAR(34), "camera",CHAR(34), ":", IF(VALUE(VLOOKUP(D198,DM_fish!C:X,18, FALSE))&lt;VALUE(VLOOKUP(V198,imaging_filters!A:K,11, FALSE)), CONCATENATE(CHAR(34),"CamA",CHAR(34)), CONCATENATE(CHAR(34),"CamB",CHAR(34))),"}"), ""),IF(VLOOKUP(D198,DM_fish!C:X,20, FALSE)&gt;0, CONCATENATE(",{",CHAR(34),"target",CHAR(34),":",CHAR(34),VLOOKUP(D198,DM_fish!C:X,19, FALSE),CHAR(34),",", CHAR(34), "excitation",CHAR(34), ":", VLOOKUP(D198,DM_fish!C:X,20, FALSE), ",",  CHAR(34), "camera",CHAR(34), ":", IF(VALUE(VLOOKUP(D198,DM_fish!C:X,20, FALSE))&lt;VALUE(VLOOKUP(V198,imaging_filters!A:K,11, FALSE)), CONCATENATE(CHAR(34),"CamA",CHAR(34)), CONCATENATE(CHAR(34),"CamB",CHAR(34))),"}"), ""),IF(VLOOKUP(D198,DM_fish!C:X,22, FALSE)&gt;0, CONCATENATE(",{",CHAR(34),"target",CHAR(34),":",CHAR(34),VLOOKUP(D198,DM_fish!C:X,21, FALSE),CHAR(34),",", CHAR(34), "excitation",CHAR(34), ":", VLOOKUP(D198,DM_fish!C:X,22, FALSE), ",",  CHAR(34), "camera",CHAR(34), ":", IF(VALUE(VLOOKUP(D198,DM_fish!C:X,22, FALSE))&lt;VALUE(VLOOKUP(V198,imaging_filters!A:K,11, FALSE)), CONCATENATE(CHAR(34),"CamA",CHAR(34)), CONCATENATE(CHAR(34),"CamB",CHAR(34))),"}"), "")), "]"), "")</f>
        <v/>
      </c>
      <c r="X198" s="12" t="str">
        <f ca="1">IFERROR(
CONCATENATE("[", CONCATENATE(IF(VLOOKUP(C198,DM_fish!C:X,14, FALSE)&gt;0, CONCATENATE("{",CHAR(34),"target",CHAR(34),":",CHAR(34),VLOOKUP(C198,DM_fish!C:X,13, FALSE),CHAR(34),",", CHAR(34), "excitation",CHAR(34), ":", VLOOKUP(C198,DM_fish!C:X,14, FALSE), ",",  CHAR(34), "camera",CHAR(34), ":", IF(VALUE(VLOOKUP(C198,DM_fish!C:X,14, FALSE))&lt;VALUE(VLOOKUP(V198,imaging_filters!A:K,11, FALSE)), CONCATENATE(CHAR(34),"CamA",CHAR(34)), CONCATENATE(CHAR(34),"CamB",CHAR(34))),"}"), ""),IF(VLOOKUP(C198,DM_fish!C:X,16, FALSE)&gt;0, CONCATENATE(",{",CHAR(34),"target",CHAR(34),":",CHAR(34),VLOOKUP(C198,DM_fish!C:X,15, FALSE),CHAR(34),",", CHAR(34), "excitation",CHAR(34), ":", VLOOKUP(C198,DM_fish!C:X,16, FALSE), ",",  CHAR(34), "camera",CHAR(34), ":", IF(VALUE(VLOOKUP(C198,DM_fish!C:X,16, FALSE))&lt;VALUE(VLOOKUP(V198,imaging_filters!A:K,11, FALSE)), CONCATENATE(CHAR(34),"CamA",CHAR(34)), CONCATENATE(CHAR(34),"CamB",CHAR(34))),"}"), ""),IF(VLOOKUP(C198,DM_fish!C:X,18, FALSE)&gt;0, CONCATENATE(",{",CHAR(34),"target",CHAR(34),":",CHAR(34),VLOOKUP(C198,DM_fish!C:X,17, FALSE),CHAR(34),",", CHAR(34), "excitation",CHAR(34), ":", VLOOKUP(C198,DM_fish!C:X,18, FALSE), ",",  CHAR(34), "camera",CHAR(34), ":", IF(VALUE(VLOOKUP(C198,DM_fish!C:X,18, FALSE))&lt;VALUE(VLOOKUP(V198,imaging_filters!A:K,11, FALSE)), CONCATENATE(CHAR(34),"CamA",CHAR(34)), CONCATENATE(CHAR(34),"CamB",CHAR(34))),"}"), ""),IF(VLOOKUP(C198,DM_fish!C:X,20, FALSE)&gt;0, CONCATENATE(",{",CHAR(34),"target",CHAR(34),":",CHAR(34),VLOOKUP(C198,DM_fish!C:X,19, FALSE),CHAR(34),",", CHAR(34), "excitation",CHAR(34), ":", VLOOKUP(C198,DM_fish!C:X,20, FALSE), ",",  CHAR(34), "camera",CHAR(34), ":", IF(VALUE(VLOOKUP(C198,DM_fish!C:X,20, FALSE))&lt;VALUE(VLOOKUP(V198,imaging_filters!A:K,11, FALSE)), CONCATENATE(CHAR(34),"CamA",CHAR(34)), CONCATENATE(CHAR(34),"CamB",CHAR(34))),"}"), ""),IF(VLOOKUP(C198,DM_fish!C:X,22, FALSE)&gt;0, CONCATENATE(",{",CHAR(34),"target",CHAR(34),":",CHAR(34),VLOOKUP(C198,DM_fish!C:X,21, FALSE),CHAR(34),",", CHAR(34), "excitation",CHAR(34), ":", VLOOKUP(C198,DM_fish!C:X,22, FALSE), ",",  CHAR(34), "camera",CHAR(34), ":", IF(VALUE(VLOOKUP(C198,DM_fish!C:X,22, FALSE))&lt;VALUE(VLOOKUP(V198,imaging_filters!A:K,11, FALSE)), CONCATENATE(CHAR(34),"CamA",CHAR(34)), CONCATENATE(CHAR(34),"CamB",CHAR(34))),"}"), "")), "]"), "")</f>
        <v/>
      </c>
      <c r="Y198" s="11" t="str">
        <f ca="1">IFERROR(
CONCATENATE( "[",
IF(VLOOKUP(E198,Injections!B:F,3, FALSE)&gt;0, CONCATENATE( "{",CHAR(34),"target",CHAR(34),":",CHAR(34),VLOOKUP(E198,Injections!B:F,2, FALSE),CHAR(34),",", CHAR(34), "excitation",CHAR(34), ":", VLOOKUP(E198,Injections!B:F,3, FALSE), ",",  CHAR(34), "camera",CHAR(34), ":",
IF(VALUE(VLOOKUP(E198,Injections!B:F,3, FALSE))&lt;VALUE(VLOOKUP(V198,imaging_filters!A:C,2, FALSE)), CONCATENATE(CHAR(34),"CamA",CHAR(34)), CONCATENATE(CHAR(34),"CamB",CHAR(34))),"}"), ""),
IF(VLOOKUP(E198,Injections!B:F,5, FALSE)&gt;0, CONCATENATE(",{",CHAR(34),"target",CHAR(34),":",CHAR(34),VLOOKUP(E198,Injections!B:F,4, FALSE),CHAR(34),",", CHAR(34), "excitation",CHAR(34), ":", VLOOKUP(E198,Injections!B:F,5, FALSE), ",",  CHAR(34), "camera",CHAR(34), ":",
IF(VALUE(VLOOKUP(E198,Injections!B:F,5, FALSE))&lt;VALUE(VLOOKUP(V198,imaging_filters!A:C,2, FALSE)), CONCATENATE(CHAR(34),"CamA",CHAR(34)), CONCATENATE(CHAR(34),"CamB",CHAR(34))),"}"), ""),
 "]"), "[]")</f>
        <v>[]</v>
      </c>
      <c r="Z198" s="11" t="str">
        <f ca="1">IFERROR(
CONCATENATE( "[",
IF(VLOOKUP(F198,Injections!H:L,3, FALSE)&gt;0, CONCATENATE( "{",CHAR(34),"target",CHAR(34),":",CHAR(34),VLOOKUP(F198,Injections!H:L,2, FALSE),CHAR(34),",", CHAR(34), "excitation",CHAR(34), ":", VLOOKUP(F198,Injections!H:L,3, FALSE), ",",  CHAR(34), "camera",CHAR(34), ":",
IF(VALUE(VLOOKUP(F198,Injections!H:L,3, FALSE))&lt;VALUE(VLOOKUP(V198,imaging_filters!A:K,11, FALSE)), CONCATENATE(CHAR(34),"CamA",CHAR(34)), CONCATENATE(CHAR(34),"CamB",CHAR(34))),"}"), ""),
IF(VLOOKUP(F198,Injections!H:L,5, FALSE)&gt;0, CONCATENATE(",{",CHAR(34),"target",CHAR(34),":",CHAR(34),VLOOKUP(F198,Injections!H:L,4, FALSE),CHAR(34),",", CHAR(34), "excitation",CHAR(34), ":", VLOOKUP(F198,Injections!H:L,5, FALSE), ",",  CHAR(34), "camera",CHAR(34), ":",
IF(VALUE(VLOOKUP(F198,Injections!H:L,5, FALSE))&lt;VALUE(VLOOKUP(V198,imaging_filters!A:K,11, FALSE)), CONCATENATE(CHAR(34),"CamA",CHAR(34)), CONCATENATE(CHAR(34),"CamB",CHAR(34))),"}"), ""),
 "]"), "[]")</f>
        <v>[{"target":"nuclei","excitation":560,"camera":"CamB"}]</v>
      </c>
      <c r="AA198" s="11"/>
    </row>
    <row r="199" spans="1:28" ht="15.75" customHeight="1" x14ac:dyDescent="0.15">
      <c r="A199" s="7">
        <f t="shared" si="4"/>
        <v>45798</v>
      </c>
      <c r="B199" s="1"/>
      <c r="C199" s="1" t="s">
        <v>298</v>
      </c>
      <c r="D199" s="1" t="s">
        <v>286</v>
      </c>
      <c r="E199" s="1"/>
      <c r="F199" s="1" t="s">
        <v>355</v>
      </c>
      <c r="G199" s="8"/>
      <c r="H199" s="8"/>
      <c r="I199" s="8">
        <v>45797</v>
      </c>
      <c r="K199" s="1"/>
      <c r="L199" s="8">
        <v>45798</v>
      </c>
      <c r="M199" s="8">
        <v>45798</v>
      </c>
      <c r="Q199" s="1" t="s">
        <v>338</v>
      </c>
      <c r="R199" s="10" t="str">
        <f ca="1">IFERROR(__xludf.DUMMYFUNCTION("JOIN("","", SORT(UNIQUE(TOCOL({VLOOKUP(D199,DM_fish!A:B,2,FALSE),VLOOKUP(C199,DM_fish!A:B,2,FALSE), ARRAYFORMULA(VLOOKUP(SPLIT(E199, "", ""),Injections!B:G,6,FALSE)), ARRAYFORMULA(VLOOKUP(SPLIT(F199, "", ""),Injections!H:M,6,FALSE)), ARRAYFORMULA(VLOOKUP("&amp;"SPLIT(G199, "", ""),Injections!N:S,6,FALSE)), ARRAYFORMULA(VLOOKUP(SPLIT(H199, "", ""),Injections!T:Y,6,FALSE)) },3))))"),"")</f>
        <v/>
      </c>
      <c r="S199" s="10" t="str">
        <f ca="1">IFERROR(__xludf.DUMMYFUNCTION("IFERROR(JOIN("","", SPLIT(R199, "","", TRUE ,TRUE)), """")"),"")</f>
        <v/>
      </c>
      <c r="T199" s="1" t="s">
        <v>356</v>
      </c>
      <c r="V199" s="1" t="s">
        <v>280</v>
      </c>
      <c r="W199" s="12" t="str">
        <f ca="1">IFERROR(CONCATENATE("[", CONCATENATE(IF(VLOOKUP(D199,DM_fish!C:X,14, FALSE)&gt;0, CONCATENATE("{",CHAR(34),"target",CHAR(34),":",CHAR(34),VLOOKUP(D199,DM_fish!C:X,13, FALSE),CHAR(34),",", CHAR(34), "excitation",CHAR(34), ":", VLOOKUP(D199,DM_fish!C:X,14, FALSE), ",",  CHAR(34), "camera",CHAR(34), ":", IF(VALUE(VLOOKUP(D199,DM_fish!C:X,14, FALSE))&lt;VALUE(VLOOKUP(V199,imaging_filters!A:K,11, FALSE)), CONCATENATE(CHAR(34),"CamA",CHAR(34)), CONCATENATE(CHAR(34),"CamB",CHAR(34))),"}"), ""),IF(VLOOKUP(D199,DM_fish!C:X,16, FALSE)&gt;0, CONCATENATE(",{",CHAR(34),"target",CHAR(34),":",CHAR(34),VLOOKUP(D199,DM_fish!C:X,15, FALSE),CHAR(34),",", CHAR(34), "excitation",CHAR(34), ":", VLOOKUP(D199,DM_fish!C:X,16, FALSE), ",",  CHAR(34), "camera",CHAR(34), ":", IF(VALUE(VLOOKUP(D199,DM_fish!C:X,16, FALSE))&lt;VALUE(VLOOKUP(V199,imaging_filters!A:K,11, FALSE)), CONCATENATE(CHAR(34),"CamA",CHAR(34)), CONCATENATE(CHAR(34),"CamB",CHAR(34))),"}"), ""),IF(VLOOKUP(D199,DM_fish!C:X,18, FALSE)&gt;0, CONCATENATE(",{",CHAR(34),"target",CHAR(34),":",CHAR(34),VLOOKUP(D199,DM_fish!C:X,17, FALSE),CHAR(34),",", CHAR(34), "excitation",CHAR(34), ":", VLOOKUP(D199,DM_fish!C:X,18, FALSE), ",",  CHAR(34), "camera",CHAR(34), ":", IF(VALUE(VLOOKUP(D199,DM_fish!C:X,18, FALSE))&lt;VALUE(VLOOKUP(V199,imaging_filters!A:K,11, FALSE)), CONCATENATE(CHAR(34),"CamA",CHAR(34)), CONCATENATE(CHAR(34),"CamB",CHAR(34))),"}"), ""),IF(VLOOKUP(D199,DM_fish!C:X,20, FALSE)&gt;0, CONCATENATE(",{",CHAR(34),"target",CHAR(34),":",CHAR(34),VLOOKUP(D199,DM_fish!C:X,19, FALSE),CHAR(34),",", CHAR(34), "excitation",CHAR(34), ":", VLOOKUP(D199,DM_fish!C:X,20, FALSE), ",",  CHAR(34), "camera",CHAR(34), ":", IF(VALUE(VLOOKUP(D199,DM_fish!C:X,20, FALSE))&lt;VALUE(VLOOKUP(V199,imaging_filters!A:K,11, FALSE)), CONCATENATE(CHAR(34),"CamA",CHAR(34)), CONCATENATE(CHAR(34),"CamB",CHAR(34))),"}"), ""),IF(VLOOKUP(D199,DM_fish!C:X,22, FALSE)&gt;0, CONCATENATE(",{",CHAR(34),"target",CHAR(34),":",CHAR(34),VLOOKUP(D199,DM_fish!C:X,21, FALSE),CHAR(34),",", CHAR(34), "excitation",CHAR(34), ":", VLOOKUP(D199,DM_fish!C:X,22, FALSE), ",",  CHAR(34), "camera",CHAR(34), ":", IF(VALUE(VLOOKUP(D199,DM_fish!C:X,22, FALSE))&lt;VALUE(VLOOKUP(V199,imaging_filters!A:K,11, FALSE)), CONCATENATE(CHAR(34),"CamA",CHAR(34)), CONCATENATE(CHAR(34),"CamB",CHAR(34))),"}"), "")), "]"), "")</f>
        <v/>
      </c>
      <c r="X199" s="12" t="str">
        <f ca="1">IFERROR(
CONCATENATE("[", CONCATENATE(IF(VLOOKUP(C199,DM_fish!C:X,14, FALSE)&gt;0, CONCATENATE("{",CHAR(34),"target",CHAR(34),":",CHAR(34),VLOOKUP(C199,DM_fish!C:X,13, FALSE),CHAR(34),",", CHAR(34), "excitation",CHAR(34), ":", VLOOKUP(C199,DM_fish!C:X,14, FALSE), ",",  CHAR(34), "camera",CHAR(34), ":", IF(VALUE(VLOOKUP(C199,DM_fish!C:X,14, FALSE))&lt;VALUE(VLOOKUP(V199,imaging_filters!A:K,11, FALSE)), CONCATENATE(CHAR(34),"CamA",CHAR(34)), CONCATENATE(CHAR(34),"CamB",CHAR(34))),"}"), ""),IF(VLOOKUP(C199,DM_fish!C:X,16, FALSE)&gt;0, CONCATENATE(",{",CHAR(34),"target",CHAR(34),":",CHAR(34),VLOOKUP(C199,DM_fish!C:X,15, FALSE),CHAR(34),",", CHAR(34), "excitation",CHAR(34), ":", VLOOKUP(C199,DM_fish!C:X,16, FALSE), ",",  CHAR(34), "camera",CHAR(34), ":", IF(VALUE(VLOOKUP(C199,DM_fish!C:X,16, FALSE))&lt;VALUE(VLOOKUP(V199,imaging_filters!A:K,11, FALSE)), CONCATENATE(CHAR(34),"CamA",CHAR(34)), CONCATENATE(CHAR(34),"CamB",CHAR(34))),"}"), ""),IF(VLOOKUP(C199,DM_fish!C:X,18, FALSE)&gt;0, CONCATENATE(",{",CHAR(34),"target",CHAR(34),":",CHAR(34),VLOOKUP(C199,DM_fish!C:X,17, FALSE),CHAR(34),",", CHAR(34), "excitation",CHAR(34), ":", VLOOKUP(C199,DM_fish!C:X,18, FALSE), ",",  CHAR(34), "camera",CHAR(34), ":", IF(VALUE(VLOOKUP(C199,DM_fish!C:X,18, FALSE))&lt;VALUE(VLOOKUP(V199,imaging_filters!A:K,11, FALSE)), CONCATENATE(CHAR(34),"CamA",CHAR(34)), CONCATENATE(CHAR(34),"CamB",CHAR(34))),"}"), ""),IF(VLOOKUP(C199,DM_fish!C:X,20, FALSE)&gt;0, CONCATENATE(",{",CHAR(34),"target",CHAR(34),":",CHAR(34),VLOOKUP(C199,DM_fish!C:X,19, FALSE),CHAR(34),",", CHAR(34), "excitation",CHAR(34), ":", VLOOKUP(C199,DM_fish!C:X,20, FALSE), ",",  CHAR(34), "camera",CHAR(34), ":", IF(VALUE(VLOOKUP(C199,DM_fish!C:X,20, FALSE))&lt;VALUE(VLOOKUP(V199,imaging_filters!A:K,11, FALSE)), CONCATENATE(CHAR(34),"CamA",CHAR(34)), CONCATENATE(CHAR(34),"CamB",CHAR(34))),"}"), ""),IF(VLOOKUP(C199,DM_fish!C:X,22, FALSE)&gt;0, CONCATENATE(",{",CHAR(34),"target",CHAR(34),":",CHAR(34),VLOOKUP(C199,DM_fish!C:X,21, FALSE),CHAR(34),",", CHAR(34), "excitation",CHAR(34), ":", VLOOKUP(C199,DM_fish!C:X,22, FALSE), ",",  CHAR(34), "camera",CHAR(34), ":", IF(VALUE(VLOOKUP(C199,DM_fish!C:X,22, FALSE))&lt;VALUE(VLOOKUP(V199,imaging_filters!A:K,11, FALSE)), CONCATENATE(CHAR(34),"CamA",CHAR(34)), CONCATENATE(CHAR(34),"CamB",CHAR(34))),"}"), "")), "]"), "")</f>
        <v/>
      </c>
      <c r="Y199" s="11" t="str">
        <f ca="1">IFERROR(
CONCATENATE( "[",
IF(VLOOKUP(E199,Injections!B:F,3, FALSE)&gt;0, CONCATENATE( "{",CHAR(34),"target",CHAR(34),":",CHAR(34),VLOOKUP(E199,Injections!B:F,2, FALSE),CHAR(34),",", CHAR(34), "excitation",CHAR(34), ":", VLOOKUP(E199,Injections!B:F,3, FALSE), ",",  CHAR(34), "camera",CHAR(34), ":",
IF(VALUE(VLOOKUP(E199,Injections!B:F,3, FALSE))&lt;VALUE(VLOOKUP(V199,imaging_filters!A:C,2, FALSE)), CONCATENATE(CHAR(34),"CamA",CHAR(34)), CONCATENATE(CHAR(34),"CamB",CHAR(34))),"}"), ""),
IF(VLOOKUP(E199,Injections!B:F,5, FALSE)&gt;0, CONCATENATE(",{",CHAR(34),"target",CHAR(34),":",CHAR(34),VLOOKUP(E199,Injections!B:F,4, FALSE),CHAR(34),",", CHAR(34), "excitation",CHAR(34), ":", VLOOKUP(E199,Injections!B:F,5, FALSE), ",",  CHAR(34), "camera",CHAR(34), ":",
IF(VALUE(VLOOKUP(E199,Injections!B:F,5, FALSE))&lt;VALUE(VLOOKUP(V199,imaging_filters!A:C,2, FALSE)), CONCATENATE(CHAR(34),"CamA",CHAR(34)), CONCATENATE(CHAR(34),"CamB",CHAR(34))),"}"), ""),
 "]"), "[]")</f>
        <v>[]</v>
      </c>
      <c r="Z199" s="11" t="str">
        <f ca="1">IFERROR(
CONCATENATE( "[",
IF(VLOOKUP(F199,Injections!H:L,3, FALSE)&gt;0, CONCATENATE( "{",CHAR(34),"target",CHAR(34),":",CHAR(34),VLOOKUP(F199,Injections!H:L,2, FALSE),CHAR(34),",", CHAR(34), "excitation",CHAR(34), ":", VLOOKUP(F199,Injections!H:L,3, FALSE), ",",  CHAR(34), "camera",CHAR(34), ":",
IF(VALUE(VLOOKUP(F199,Injections!H:L,3, FALSE))&lt;VALUE(VLOOKUP(V199,imaging_filters!A:K,11, FALSE)), CONCATENATE(CHAR(34),"CamA",CHAR(34)), CONCATENATE(CHAR(34),"CamB",CHAR(34))),"}"), ""),
IF(VLOOKUP(F199,Injections!H:L,5, FALSE)&gt;0, CONCATENATE(",{",CHAR(34),"target",CHAR(34),":",CHAR(34),VLOOKUP(F199,Injections!H:L,4, FALSE),CHAR(34),",", CHAR(34), "excitation",CHAR(34), ":", VLOOKUP(F199,Injections!H:L,5, FALSE), ",",  CHAR(34), "camera",CHAR(34), ":",
IF(VALUE(VLOOKUP(F199,Injections!H:L,5, FALSE))&lt;VALUE(VLOOKUP(V199,imaging_filters!A:K,11, FALSE)), CONCATENATE(CHAR(34),"CamA",CHAR(34)), CONCATENATE(CHAR(34),"CamB",CHAR(34))),"}"), ""),
 "]"), "[]")</f>
        <v>[]</v>
      </c>
      <c r="AA199" s="11"/>
    </row>
    <row r="200" spans="1:28" ht="15.75" customHeight="1" x14ac:dyDescent="0.15">
      <c r="A200" s="7">
        <f t="shared" si="4"/>
        <v>45797</v>
      </c>
      <c r="B200" s="1"/>
      <c r="C200" s="1" t="s">
        <v>253</v>
      </c>
      <c r="D200" s="1" t="s">
        <v>253</v>
      </c>
      <c r="E200" s="1"/>
      <c r="F200" s="1" t="s">
        <v>64</v>
      </c>
      <c r="G200" s="8"/>
      <c r="H200" s="8"/>
      <c r="I200" s="8"/>
      <c r="K200" s="1" t="s">
        <v>357</v>
      </c>
      <c r="M200" s="8">
        <v>45797</v>
      </c>
      <c r="Q200" s="1" t="s">
        <v>358</v>
      </c>
      <c r="R200" s="10" t="str">
        <f ca="1">IFERROR(__xludf.DUMMYFUNCTION("JOIN("","", SORT(UNIQUE(TOCOL({VLOOKUP(D200,DM_fish!A:B,2,FALSE),VLOOKUP(C200,DM_fish!A:B,2,FALSE), ARRAYFORMULA(VLOOKUP(SPLIT(E200, "", ""),Injections!B:G,6,FALSE)), ARRAYFORMULA(VLOOKUP(SPLIT(F200, "", ""),Injections!H:M,6,FALSE)), ARRAYFORMULA(VLOOKUP("&amp;"SPLIT(G200, "", ""),Injections!N:S,6,FALSE)), ARRAYFORMULA(VLOOKUP(SPLIT(H200, "", ""),Injections!T:Y,6,FALSE)) },3))))"),"nuclei")</f>
        <v>nuclei</v>
      </c>
      <c r="S200" s="10" t="str">
        <f ca="1">IFERROR(__xludf.DUMMYFUNCTION("IFERROR(JOIN("","", SPLIT(R200, "","", TRUE ,TRUE)), """")"),"nuclei")</f>
        <v>nuclei</v>
      </c>
      <c r="T200" s="1" t="s">
        <v>359</v>
      </c>
      <c r="U200" s="1">
        <v>155</v>
      </c>
      <c r="V200" s="1" t="s">
        <v>203</v>
      </c>
      <c r="W200" s="12" t="str">
        <f ca="1">IFERROR(CONCATENATE("[", CONCATENATE(IF(VLOOKUP(D200,DM_fish!C:X,14, FALSE)&gt;0, CONCATENATE("{",CHAR(34),"target",CHAR(34),":",CHAR(34),VLOOKUP(D200,DM_fish!C:X,13, FALSE),CHAR(34),",", CHAR(34), "excitation",CHAR(34), ":", VLOOKUP(D200,DM_fish!C:X,14, FALSE), ",",  CHAR(34), "camera",CHAR(34), ":", IF(VALUE(VLOOKUP(D200,DM_fish!C:X,14, FALSE))&lt;VALUE(VLOOKUP(V200,imaging_filters!A:K,11, FALSE)), CONCATENATE(CHAR(34),"CamA",CHAR(34)), CONCATENATE(CHAR(34),"CamB",CHAR(34))),"}"), ""),IF(VLOOKUP(D200,DM_fish!C:X,16, FALSE)&gt;0, CONCATENATE(",{",CHAR(34),"target",CHAR(34),":",CHAR(34),VLOOKUP(D200,DM_fish!C:X,15, FALSE),CHAR(34),",", CHAR(34), "excitation",CHAR(34), ":", VLOOKUP(D200,DM_fish!C:X,16, FALSE), ",",  CHAR(34), "camera",CHAR(34), ":", IF(VALUE(VLOOKUP(D200,DM_fish!C:X,16, FALSE))&lt;VALUE(VLOOKUP(V200,imaging_filters!A:K,11, FALSE)), CONCATENATE(CHAR(34),"CamA",CHAR(34)), CONCATENATE(CHAR(34),"CamB",CHAR(34))),"}"), ""),IF(VLOOKUP(D200,DM_fish!C:X,18, FALSE)&gt;0, CONCATENATE(",{",CHAR(34),"target",CHAR(34),":",CHAR(34),VLOOKUP(D200,DM_fish!C:X,17, FALSE),CHAR(34),",", CHAR(34), "excitation",CHAR(34), ":", VLOOKUP(D200,DM_fish!C:X,18, FALSE), ",",  CHAR(34), "camera",CHAR(34), ":", IF(VALUE(VLOOKUP(D200,DM_fish!C:X,18, FALSE))&lt;VALUE(VLOOKUP(V200,imaging_filters!A:K,11, FALSE)), CONCATENATE(CHAR(34),"CamA",CHAR(34)), CONCATENATE(CHAR(34),"CamB",CHAR(34))),"}"), ""),IF(VLOOKUP(D200,DM_fish!C:X,20, FALSE)&gt;0, CONCATENATE(",{",CHAR(34),"target",CHAR(34),":",CHAR(34),VLOOKUP(D200,DM_fish!C:X,19, FALSE),CHAR(34),",", CHAR(34), "excitation",CHAR(34), ":", VLOOKUP(D200,DM_fish!C:X,20, FALSE), ",",  CHAR(34), "camera",CHAR(34), ":", IF(VALUE(VLOOKUP(D200,DM_fish!C:X,20, FALSE))&lt;VALUE(VLOOKUP(V200,imaging_filters!A:K,11, FALSE)), CONCATENATE(CHAR(34),"CamA",CHAR(34)), CONCATENATE(CHAR(34),"CamB",CHAR(34))),"}"), ""),IF(VLOOKUP(D200,DM_fish!C:X,22, FALSE)&gt;0, CONCATENATE(",{",CHAR(34),"target",CHAR(34),":",CHAR(34),VLOOKUP(D200,DM_fish!C:X,21, FALSE),CHAR(34),",", CHAR(34), "excitation",CHAR(34), ":", VLOOKUP(D200,DM_fish!C:X,22, FALSE), ",",  CHAR(34), "camera",CHAR(34), ":", IF(VALUE(VLOOKUP(D200,DM_fish!C:X,22, FALSE))&lt;VALUE(VLOOKUP(V200,imaging_filters!A:K,11, FALSE)), CONCATENATE(CHAR(34),"CamA",CHAR(34)), CONCATENATE(CHAR(34),"CamB",CHAR(34))),"}"), "")), "]"), "")</f>
        <v/>
      </c>
      <c r="X200" s="12" t="str">
        <f ca="1">IFERROR(
CONCATENATE("[", CONCATENATE(IF(VLOOKUP(C200,DM_fish!C:X,14, FALSE)&gt;0, CONCATENATE("{",CHAR(34),"target",CHAR(34),":",CHAR(34),VLOOKUP(C200,DM_fish!C:X,13, FALSE),CHAR(34),",", CHAR(34), "excitation",CHAR(34), ":", VLOOKUP(C200,DM_fish!C:X,14, FALSE), ",",  CHAR(34), "camera",CHAR(34), ":", IF(VALUE(VLOOKUP(C200,DM_fish!C:X,14, FALSE))&lt;VALUE(VLOOKUP(V200,imaging_filters!A:K,11, FALSE)), CONCATENATE(CHAR(34),"CamA",CHAR(34)), CONCATENATE(CHAR(34),"CamB",CHAR(34))),"}"), ""),IF(VLOOKUP(C200,DM_fish!C:X,16, FALSE)&gt;0, CONCATENATE(",{",CHAR(34),"target",CHAR(34),":",CHAR(34),VLOOKUP(C200,DM_fish!C:X,15, FALSE),CHAR(34),",", CHAR(34), "excitation",CHAR(34), ":", VLOOKUP(C200,DM_fish!C:X,16, FALSE), ",",  CHAR(34), "camera",CHAR(34), ":", IF(VALUE(VLOOKUP(C200,DM_fish!C:X,16, FALSE))&lt;VALUE(VLOOKUP(V200,imaging_filters!A:K,11, FALSE)), CONCATENATE(CHAR(34),"CamA",CHAR(34)), CONCATENATE(CHAR(34),"CamB",CHAR(34))),"}"), ""),IF(VLOOKUP(C200,DM_fish!C:X,18, FALSE)&gt;0, CONCATENATE(",{",CHAR(34),"target",CHAR(34),":",CHAR(34),VLOOKUP(C200,DM_fish!C:X,17, FALSE),CHAR(34),",", CHAR(34), "excitation",CHAR(34), ":", VLOOKUP(C200,DM_fish!C:X,18, FALSE), ",",  CHAR(34), "camera",CHAR(34), ":", IF(VALUE(VLOOKUP(C200,DM_fish!C:X,18, FALSE))&lt;VALUE(VLOOKUP(V200,imaging_filters!A:K,11, FALSE)), CONCATENATE(CHAR(34),"CamA",CHAR(34)), CONCATENATE(CHAR(34),"CamB",CHAR(34))),"}"), ""),IF(VLOOKUP(C200,DM_fish!C:X,20, FALSE)&gt;0, CONCATENATE(",{",CHAR(34),"target",CHAR(34),":",CHAR(34),VLOOKUP(C200,DM_fish!C:X,19, FALSE),CHAR(34),",", CHAR(34), "excitation",CHAR(34), ":", VLOOKUP(C200,DM_fish!C:X,20, FALSE), ",",  CHAR(34), "camera",CHAR(34), ":", IF(VALUE(VLOOKUP(C200,DM_fish!C:X,20, FALSE))&lt;VALUE(VLOOKUP(V200,imaging_filters!A:K,11, FALSE)), CONCATENATE(CHAR(34),"CamA",CHAR(34)), CONCATENATE(CHAR(34),"CamB",CHAR(34))),"}"), ""),IF(VLOOKUP(C200,DM_fish!C:X,22, FALSE)&gt;0, CONCATENATE(",{",CHAR(34),"target",CHAR(34),":",CHAR(34),VLOOKUP(C200,DM_fish!C:X,21, FALSE),CHAR(34),",", CHAR(34), "excitation",CHAR(34), ":", VLOOKUP(C200,DM_fish!C:X,22, FALSE), ",",  CHAR(34), "camera",CHAR(34), ":", IF(VALUE(VLOOKUP(C200,DM_fish!C:X,22, FALSE))&lt;VALUE(VLOOKUP(V200,imaging_filters!A:K,11, FALSE)), CONCATENATE(CHAR(34),"CamA",CHAR(34)), CONCATENATE(CHAR(34),"CamB",CHAR(34))),"}"), "")), "]"), "")</f>
        <v/>
      </c>
      <c r="Y200" s="11" t="str">
        <f ca="1">IFERROR(
CONCATENATE( "[",
IF(VLOOKUP(E200,Injections!B:F,3, FALSE)&gt;0, CONCATENATE( "{",CHAR(34),"target",CHAR(34),":",CHAR(34),VLOOKUP(E200,Injections!B:F,2, FALSE),CHAR(34),",", CHAR(34), "excitation",CHAR(34), ":", VLOOKUP(E200,Injections!B:F,3, FALSE), ",",  CHAR(34), "camera",CHAR(34), ":",
IF(VALUE(VLOOKUP(E200,Injections!B:F,3, FALSE))&lt;VALUE(VLOOKUP(V200,imaging_filters!A:C,2, FALSE)), CONCATENATE(CHAR(34),"CamA",CHAR(34)), CONCATENATE(CHAR(34),"CamB",CHAR(34))),"}"), ""),
IF(VLOOKUP(E200,Injections!B:F,5, FALSE)&gt;0, CONCATENATE(",{",CHAR(34),"target",CHAR(34),":",CHAR(34),VLOOKUP(E200,Injections!B:F,4, FALSE),CHAR(34),",", CHAR(34), "excitation",CHAR(34), ":", VLOOKUP(E200,Injections!B:F,5, FALSE), ",",  CHAR(34), "camera",CHAR(34), ":",
IF(VALUE(VLOOKUP(E200,Injections!B:F,5, FALSE))&lt;VALUE(VLOOKUP(V200,imaging_filters!A:C,2, FALSE)), CONCATENATE(CHAR(34),"CamA",CHAR(34)), CONCATENATE(CHAR(34),"CamB",CHAR(34))),"}"), ""),
 "]"), "[]")</f>
        <v>[]</v>
      </c>
      <c r="Z200" s="11" t="str">
        <f ca="1">IFERROR(
CONCATENATE( "[",
IF(VLOOKUP(F200,Injections!H:L,3, FALSE)&gt;0, CONCATENATE( "{",CHAR(34),"target",CHAR(34),":",CHAR(34),VLOOKUP(F200,Injections!H:L,2, FALSE),CHAR(34),",", CHAR(34), "excitation",CHAR(34), ":", VLOOKUP(F200,Injections!H:L,3, FALSE), ",",  CHAR(34), "camera",CHAR(34), ":",
IF(VALUE(VLOOKUP(F200,Injections!H:L,3, FALSE))&lt;VALUE(VLOOKUP(V200,imaging_filters!A:K,11, FALSE)), CONCATENATE(CHAR(34),"CamA",CHAR(34)), CONCATENATE(CHAR(34),"CamB",CHAR(34))),"}"), ""),
IF(VLOOKUP(F200,Injections!H:L,5, FALSE)&gt;0, CONCATENATE(",{",CHAR(34),"target",CHAR(34),":",CHAR(34),VLOOKUP(F200,Injections!H:L,4, FALSE),CHAR(34),",", CHAR(34), "excitation",CHAR(34), ":", VLOOKUP(F200,Injections!H:L,5, FALSE), ",",  CHAR(34), "camera",CHAR(34), ":",
IF(VALUE(VLOOKUP(F200,Injections!H:L,5, FALSE))&lt;VALUE(VLOOKUP(V200,imaging_filters!A:K,11, FALSE)), CONCATENATE(CHAR(34),"CamA",CHAR(34)), CONCATENATE(CHAR(34),"CamB",CHAR(34))),"}"), ""),
 "]"), "[]")</f>
        <v>[{"target":"nuclei","excitation":560,"camera":"CamB"}]</v>
      </c>
      <c r="AA200" s="11"/>
    </row>
    <row r="201" spans="1:28" ht="15.75" customHeight="1" x14ac:dyDescent="0.15">
      <c r="A201" s="7">
        <f t="shared" si="4"/>
        <v>45797</v>
      </c>
      <c r="B201" s="1"/>
      <c r="C201" s="1" t="s">
        <v>253</v>
      </c>
      <c r="D201" s="1" t="s">
        <v>253</v>
      </c>
      <c r="E201" s="1"/>
      <c r="F201" s="1" t="s">
        <v>64</v>
      </c>
      <c r="G201" s="8"/>
      <c r="H201" s="8"/>
      <c r="I201" s="8"/>
      <c r="K201" s="1" t="s">
        <v>357</v>
      </c>
      <c r="M201" s="8">
        <v>45797</v>
      </c>
      <c r="Q201" s="1" t="s">
        <v>358</v>
      </c>
      <c r="R201" s="10" t="str">
        <f ca="1">IFERROR(__xludf.DUMMYFUNCTION("JOIN("","", SORT(UNIQUE(TOCOL({VLOOKUP(D201,DM_fish!A:B,2,FALSE),VLOOKUP(C201,DM_fish!A:B,2,FALSE), ARRAYFORMULA(VLOOKUP(SPLIT(E201, "", ""),Injections!B:G,6,FALSE)), ARRAYFORMULA(VLOOKUP(SPLIT(F201, "", ""),Injections!H:M,6,FALSE)), ARRAYFORMULA(VLOOKUP("&amp;"SPLIT(G201, "", ""),Injections!N:S,6,FALSE)), ARRAYFORMULA(VLOOKUP(SPLIT(H201, "", ""),Injections!T:Y,6,FALSE)) },3))))"),"nuclei")</f>
        <v>nuclei</v>
      </c>
      <c r="S201" s="10" t="str">
        <f ca="1">IFERROR(__xludf.DUMMYFUNCTION("IFERROR(JOIN("","", SPLIT(R201, "","", TRUE ,TRUE)), """")"),"nuclei")</f>
        <v>nuclei</v>
      </c>
      <c r="T201" s="1" t="s">
        <v>360</v>
      </c>
      <c r="U201" s="1">
        <v>366</v>
      </c>
      <c r="V201" s="1" t="s">
        <v>203</v>
      </c>
      <c r="W201" s="12" t="str">
        <f ca="1">IFERROR(CONCATENATE("[", CONCATENATE(IF(VLOOKUP(D201,DM_fish!C:X,14, FALSE)&gt;0, CONCATENATE("{",CHAR(34),"target",CHAR(34),":",CHAR(34),VLOOKUP(D201,DM_fish!C:X,13, FALSE),CHAR(34),",", CHAR(34), "excitation",CHAR(34), ":", VLOOKUP(D201,DM_fish!C:X,14, FALSE), ",",  CHAR(34), "camera",CHAR(34), ":", IF(VALUE(VLOOKUP(D201,DM_fish!C:X,14, FALSE))&lt;VALUE(VLOOKUP(V201,imaging_filters!A:K,11, FALSE)), CONCATENATE(CHAR(34),"CamA",CHAR(34)), CONCATENATE(CHAR(34),"CamB",CHAR(34))),"}"), ""),IF(VLOOKUP(D201,DM_fish!C:X,16, FALSE)&gt;0, CONCATENATE(",{",CHAR(34),"target",CHAR(34),":",CHAR(34),VLOOKUP(D201,DM_fish!C:X,15, FALSE),CHAR(34),",", CHAR(34), "excitation",CHAR(34), ":", VLOOKUP(D201,DM_fish!C:X,16, FALSE), ",",  CHAR(34), "camera",CHAR(34), ":", IF(VALUE(VLOOKUP(D201,DM_fish!C:X,16, FALSE))&lt;VALUE(VLOOKUP(V201,imaging_filters!A:K,11, FALSE)), CONCATENATE(CHAR(34),"CamA",CHAR(34)), CONCATENATE(CHAR(34),"CamB",CHAR(34))),"}"), ""),IF(VLOOKUP(D201,DM_fish!C:X,18, FALSE)&gt;0, CONCATENATE(",{",CHAR(34),"target",CHAR(34),":",CHAR(34),VLOOKUP(D201,DM_fish!C:X,17, FALSE),CHAR(34),",", CHAR(34), "excitation",CHAR(34), ":", VLOOKUP(D201,DM_fish!C:X,18, FALSE), ",",  CHAR(34), "camera",CHAR(34), ":", IF(VALUE(VLOOKUP(D201,DM_fish!C:X,18, FALSE))&lt;VALUE(VLOOKUP(V201,imaging_filters!A:K,11, FALSE)), CONCATENATE(CHAR(34),"CamA",CHAR(34)), CONCATENATE(CHAR(34),"CamB",CHAR(34))),"}"), ""),IF(VLOOKUP(D201,DM_fish!C:X,20, FALSE)&gt;0, CONCATENATE(",{",CHAR(34),"target",CHAR(34),":",CHAR(34),VLOOKUP(D201,DM_fish!C:X,19, FALSE),CHAR(34),",", CHAR(34), "excitation",CHAR(34), ":", VLOOKUP(D201,DM_fish!C:X,20, FALSE), ",",  CHAR(34), "camera",CHAR(34), ":", IF(VALUE(VLOOKUP(D201,DM_fish!C:X,20, FALSE))&lt;VALUE(VLOOKUP(V201,imaging_filters!A:K,11, FALSE)), CONCATENATE(CHAR(34),"CamA",CHAR(34)), CONCATENATE(CHAR(34),"CamB",CHAR(34))),"}"), ""),IF(VLOOKUP(D201,DM_fish!C:X,22, FALSE)&gt;0, CONCATENATE(",{",CHAR(34),"target",CHAR(34),":",CHAR(34),VLOOKUP(D201,DM_fish!C:X,21, FALSE),CHAR(34),",", CHAR(34), "excitation",CHAR(34), ":", VLOOKUP(D201,DM_fish!C:X,22, FALSE), ",",  CHAR(34), "camera",CHAR(34), ":", IF(VALUE(VLOOKUP(D201,DM_fish!C:X,22, FALSE))&lt;VALUE(VLOOKUP(V201,imaging_filters!A:K,11, FALSE)), CONCATENATE(CHAR(34),"CamA",CHAR(34)), CONCATENATE(CHAR(34),"CamB",CHAR(34))),"}"), "")), "]"), "")</f>
        <v/>
      </c>
      <c r="X201" s="12" t="str">
        <f ca="1">IFERROR(
CONCATENATE("[", CONCATENATE(IF(VLOOKUP(C201,DM_fish!C:X,14, FALSE)&gt;0, CONCATENATE("{",CHAR(34),"target",CHAR(34),":",CHAR(34),VLOOKUP(C201,DM_fish!C:X,13, FALSE),CHAR(34),",", CHAR(34), "excitation",CHAR(34), ":", VLOOKUP(C201,DM_fish!C:X,14, FALSE), ",",  CHAR(34), "camera",CHAR(34), ":", IF(VALUE(VLOOKUP(C201,DM_fish!C:X,14, FALSE))&lt;VALUE(VLOOKUP(V201,imaging_filters!A:K,11, FALSE)), CONCATENATE(CHAR(34),"CamA",CHAR(34)), CONCATENATE(CHAR(34),"CamB",CHAR(34))),"}"), ""),IF(VLOOKUP(C201,DM_fish!C:X,16, FALSE)&gt;0, CONCATENATE(",{",CHAR(34),"target",CHAR(34),":",CHAR(34),VLOOKUP(C201,DM_fish!C:X,15, FALSE),CHAR(34),",", CHAR(34), "excitation",CHAR(34), ":", VLOOKUP(C201,DM_fish!C:X,16, FALSE), ",",  CHAR(34), "camera",CHAR(34), ":", IF(VALUE(VLOOKUP(C201,DM_fish!C:X,16, FALSE))&lt;VALUE(VLOOKUP(V201,imaging_filters!A:K,11, FALSE)), CONCATENATE(CHAR(34),"CamA",CHAR(34)), CONCATENATE(CHAR(34),"CamB",CHAR(34))),"}"), ""),IF(VLOOKUP(C201,DM_fish!C:X,18, FALSE)&gt;0, CONCATENATE(",{",CHAR(34),"target",CHAR(34),":",CHAR(34),VLOOKUP(C201,DM_fish!C:X,17, FALSE),CHAR(34),",", CHAR(34), "excitation",CHAR(34), ":", VLOOKUP(C201,DM_fish!C:X,18, FALSE), ",",  CHAR(34), "camera",CHAR(34), ":", IF(VALUE(VLOOKUP(C201,DM_fish!C:X,18, FALSE))&lt;VALUE(VLOOKUP(V201,imaging_filters!A:K,11, FALSE)), CONCATENATE(CHAR(34),"CamA",CHAR(34)), CONCATENATE(CHAR(34),"CamB",CHAR(34))),"}"), ""),IF(VLOOKUP(C201,DM_fish!C:X,20, FALSE)&gt;0, CONCATENATE(",{",CHAR(34),"target",CHAR(34),":",CHAR(34),VLOOKUP(C201,DM_fish!C:X,19, FALSE),CHAR(34),",", CHAR(34), "excitation",CHAR(34), ":", VLOOKUP(C201,DM_fish!C:X,20, FALSE), ",",  CHAR(34), "camera",CHAR(34), ":", IF(VALUE(VLOOKUP(C201,DM_fish!C:X,20, FALSE))&lt;VALUE(VLOOKUP(V201,imaging_filters!A:K,11, FALSE)), CONCATENATE(CHAR(34),"CamA",CHAR(34)), CONCATENATE(CHAR(34),"CamB",CHAR(34))),"}"), ""),IF(VLOOKUP(C201,DM_fish!C:X,22, FALSE)&gt;0, CONCATENATE(",{",CHAR(34),"target",CHAR(34),":",CHAR(34),VLOOKUP(C201,DM_fish!C:X,21, FALSE),CHAR(34),",", CHAR(34), "excitation",CHAR(34), ":", VLOOKUP(C201,DM_fish!C:X,22, FALSE), ",",  CHAR(34), "camera",CHAR(34), ":", IF(VALUE(VLOOKUP(C201,DM_fish!C:X,22, FALSE))&lt;VALUE(VLOOKUP(V201,imaging_filters!A:K,11, FALSE)), CONCATENATE(CHAR(34),"CamA",CHAR(34)), CONCATENATE(CHAR(34),"CamB",CHAR(34))),"}"), "")), "]"), "")</f>
        <v/>
      </c>
      <c r="Y201" s="11" t="str">
        <f ca="1">IFERROR(
CONCATENATE( "[",
IF(VLOOKUP(E201,Injections!B:F,3, FALSE)&gt;0, CONCATENATE( "{",CHAR(34),"target",CHAR(34),":",CHAR(34),VLOOKUP(E201,Injections!B:F,2, FALSE),CHAR(34),",", CHAR(34), "excitation",CHAR(34), ":", VLOOKUP(E201,Injections!B:F,3, FALSE), ",",  CHAR(34), "camera",CHAR(34), ":",
IF(VALUE(VLOOKUP(E201,Injections!B:F,3, FALSE))&lt;VALUE(VLOOKUP(V201,imaging_filters!A:C,2, FALSE)), CONCATENATE(CHAR(34),"CamA",CHAR(34)), CONCATENATE(CHAR(34),"CamB",CHAR(34))),"}"), ""),
IF(VLOOKUP(E201,Injections!B:F,5, FALSE)&gt;0, CONCATENATE(",{",CHAR(34),"target",CHAR(34),":",CHAR(34),VLOOKUP(E201,Injections!B:F,4, FALSE),CHAR(34),",", CHAR(34), "excitation",CHAR(34), ":", VLOOKUP(E201,Injections!B:F,5, FALSE), ",",  CHAR(34), "camera",CHAR(34), ":",
IF(VALUE(VLOOKUP(E201,Injections!B:F,5, FALSE))&lt;VALUE(VLOOKUP(V201,imaging_filters!A:C,2, FALSE)), CONCATENATE(CHAR(34),"CamA",CHAR(34)), CONCATENATE(CHAR(34),"CamB",CHAR(34))),"}"), ""),
 "]"), "[]")</f>
        <v>[]</v>
      </c>
      <c r="Z201" s="11" t="str">
        <f ca="1">IFERROR(
CONCATENATE( "[",
IF(VLOOKUP(F201,Injections!H:L,3, FALSE)&gt;0, CONCATENATE( "{",CHAR(34),"target",CHAR(34),":",CHAR(34),VLOOKUP(F201,Injections!H:L,2, FALSE),CHAR(34),",", CHAR(34), "excitation",CHAR(34), ":", VLOOKUP(F201,Injections!H:L,3, FALSE), ",",  CHAR(34), "camera",CHAR(34), ":",
IF(VALUE(VLOOKUP(F201,Injections!H:L,3, FALSE))&lt;VALUE(VLOOKUP(V201,imaging_filters!A:K,11, FALSE)), CONCATENATE(CHAR(34),"CamA",CHAR(34)), CONCATENATE(CHAR(34),"CamB",CHAR(34))),"}"), ""),
IF(VLOOKUP(F201,Injections!H:L,5, FALSE)&gt;0, CONCATENATE(",{",CHAR(34),"target",CHAR(34),":",CHAR(34),VLOOKUP(F201,Injections!H:L,4, FALSE),CHAR(34),",", CHAR(34), "excitation",CHAR(34), ":", VLOOKUP(F201,Injections!H:L,5, FALSE), ",",  CHAR(34), "camera",CHAR(34), ":",
IF(VALUE(VLOOKUP(F201,Injections!H:L,5, FALSE))&lt;VALUE(VLOOKUP(V201,imaging_filters!A:K,11, FALSE)), CONCATENATE(CHAR(34),"CamA",CHAR(34)), CONCATENATE(CHAR(34),"CamB",CHAR(34))),"}"), ""),
 "]"), "[]")</f>
        <v>[{"target":"nuclei","excitation":560,"camera":"CamB"}]</v>
      </c>
      <c r="AA201" s="11"/>
    </row>
    <row r="202" spans="1:28" ht="15.75" customHeight="1" x14ac:dyDescent="0.15">
      <c r="A202" s="7">
        <f t="shared" si="4"/>
        <v>45797</v>
      </c>
      <c r="B202" s="1"/>
      <c r="C202" s="1" t="s">
        <v>253</v>
      </c>
      <c r="D202" s="1" t="s">
        <v>253</v>
      </c>
      <c r="E202" s="1"/>
      <c r="F202" s="1" t="s">
        <v>64</v>
      </c>
      <c r="G202" s="8"/>
      <c r="H202" s="8"/>
      <c r="I202" s="8"/>
      <c r="K202" s="1" t="s">
        <v>246</v>
      </c>
      <c r="M202" s="8">
        <v>45797</v>
      </c>
      <c r="Q202" s="1" t="s">
        <v>361</v>
      </c>
      <c r="R202" s="10" t="str">
        <f ca="1">IFERROR(__xludf.DUMMYFUNCTION("JOIN("","", SORT(UNIQUE(TOCOL({VLOOKUP(D202,DM_fish!A:B,2,FALSE),VLOOKUP(C202,DM_fish!A:B,2,FALSE), ARRAYFORMULA(VLOOKUP(SPLIT(E202, "", ""),Injections!B:G,6,FALSE)), ARRAYFORMULA(VLOOKUP(SPLIT(F202, "", ""),Injections!H:M,6,FALSE)), ARRAYFORMULA(VLOOKUP("&amp;"SPLIT(G202, "", ""),Injections!N:S,6,FALSE)), ARRAYFORMULA(VLOOKUP(SPLIT(H202, "", ""),Injections!T:Y,6,FALSE)) },3))))"),"nuclei")</f>
        <v>nuclei</v>
      </c>
      <c r="S202" s="10" t="str">
        <f ca="1">IFERROR(__xludf.DUMMYFUNCTION("IFERROR(JOIN("","", SPLIT(R202, "","", TRUE ,TRUE)), """")"),"nuclei")</f>
        <v>nuclei</v>
      </c>
      <c r="T202" s="1" t="s">
        <v>354</v>
      </c>
      <c r="U202" s="1">
        <v>320</v>
      </c>
      <c r="V202" s="1" t="s">
        <v>203</v>
      </c>
      <c r="W202" s="12" t="str">
        <f ca="1">IFERROR(CONCATENATE("[", CONCATENATE(IF(VLOOKUP(D202,DM_fish!C:X,14, FALSE)&gt;0, CONCATENATE("{",CHAR(34),"target",CHAR(34),":",CHAR(34),VLOOKUP(D202,DM_fish!C:X,13, FALSE),CHAR(34),",", CHAR(34), "excitation",CHAR(34), ":", VLOOKUP(D202,DM_fish!C:X,14, FALSE), ",",  CHAR(34), "camera",CHAR(34), ":", IF(VALUE(VLOOKUP(D202,DM_fish!C:X,14, FALSE))&lt;VALUE(VLOOKUP(V202,imaging_filters!A:K,11, FALSE)), CONCATENATE(CHAR(34),"CamA",CHAR(34)), CONCATENATE(CHAR(34),"CamB",CHAR(34))),"}"), ""),IF(VLOOKUP(D202,DM_fish!C:X,16, FALSE)&gt;0, CONCATENATE(",{",CHAR(34),"target",CHAR(34),":",CHAR(34),VLOOKUP(D202,DM_fish!C:X,15, FALSE),CHAR(34),",", CHAR(34), "excitation",CHAR(34), ":", VLOOKUP(D202,DM_fish!C:X,16, FALSE), ",",  CHAR(34), "camera",CHAR(34), ":", IF(VALUE(VLOOKUP(D202,DM_fish!C:X,16, FALSE))&lt;VALUE(VLOOKUP(V202,imaging_filters!A:K,11, FALSE)), CONCATENATE(CHAR(34),"CamA",CHAR(34)), CONCATENATE(CHAR(34),"CamB",CHAR(34))),"}"), ""),IF(VLOOKUP(D202,DM_fish!C:X,18, FALSE)&gt;0, CONCATENATE(",{",CHAR(34),"target",CHAR(34),":",CHAR(34),VLOOKUP(D202,DM_fish!C:X,17, FALSE),CHAR(34),",", CHAR(34), "excitation",CHAR(34), ":", VLOOKUP(D202,DM_fish!C:X,18, FALSE), ",",  CHAR(34), "camera",CHAR(34), ":", IF(VALUE(VLOOKUP(D202,DM_fish!C:X,18, FALSE))&lt;VALUE(VLOOKUP(V202,imaging_filters!A:K,11, FALSE)), CONCATENATE(CHAR(34),"CamA",CHAR(34)), CONCATENATE(CHAR(34),"CamB",CHAR(34))),"}"), ""),IF(VLOOKUP(D202,DM_fish!C:X,20, FALSE)&gt;0, CONCATENATE(",{",CHAR(34),"target",CHAR(34),":",CHAR(34),VLOOKUP(D202,DM_fish!C:X,19, FALSE),CHAR(34),",", CHAR(34), "excitation",CHAR(34), ":", VLOOKUP(D202,DM_fish!C:X,20, FALSE), ",",  CHAR(34), "camera",CHAR(34), ":", IF(VALUE(VLOOKUP(D202,DM_fish!C:X,20, FALSE))&lt;VALUE(VLOOKUP(V202,imaging_filters!A:K,11, FALSE)), CONCATENATE(CHAR(34),"CamA",CHAR(34)), CONCATENATE(CHAR(34),"CamB",CHAR(34))),"}"), ""),IF(VLOOKUP(D202,DM_fish!C:X,22, FALSE)&gt;0, CONCATENATE(",{",CHAR(34),"target",CHAR(34),":",CHAR(34),VLOOKUP(D202,DM_fish!C:X,21, FALSE),CHAR(34),",", CHAR(34), "excitation",CHAR(34), ":", VLOOKUP(D202,DM_fish!C:X,22, FALSE), ",",  CHAR(34), "camera",CHAR(34), ":", IF(VALUE(VLOOKUP(D202,DM_fish!C:X,22, FALSE))&lt;VALUE(VLOOKUP(V202,imaging_filters!A:K,11, FALSE)), CONCATENATE(CHAR(34),"CamA",CHAR(34)), CONCATENATE(CHAR(34),"CamB",CHAR(34))),"}"), "")), "]"), "")</f>
        <v/>
      </c>
      <c r="X202" s="12" t="str">
        <f ca="1">IFERROR(
CONCATENATE("[", CONCATENATE(IF(VLOOKUP(C202,DM_fish!C:X,14, FALSE)&gt;0, CONCATENATE("{",CHAR(34),"target",CHAR(34),":",CHAR(34),VLOOKUP(C202,DM_fish!C:X,13, FALSE),CHAR(34),",", CHAR(34), "excitation",CHAR(34), ":", VLOOKUP(C202,DM_fish!C:X,14, FALSE), ",",  CHAR(34), "camera",CHAR(34), ":", IF(VALUE(VLOOKUP(C202,DM_fish!C:X,14, FALSE))&lt;VALUE(VLOOKUP(V202,imaging_filters!A:K,11, FALSE)), CONCATENATE(CHAR(34),"CamA",CHAR(34)), CONCATENATE(CHAR(34),"CamB",CHAR(34))),"}"), ""),IF(VLOOKUP(C202,DM_fish!C:X,16, FALSE)&gt;0, CONCATENATE(",{",CHAR(34),"target",CHAR(34),":",CHAR(34),VLOOKUP(C202,DM_fish!C:X,15, FALSE),CHAR(34),",", CHAR(34), "excitation",CHAR(34), ":", VLOOKUP(C202,DM_fish!C:X,16, FALSE), ",",  CHAR(34), "camera",CHAR(34), ":", IF(VALUE(VLOOKUP(C202,DM_fish!C:X,16, FALSE))&lt;VALUE(VLOOKUP(V202,imaging_filters!A:K,11, FALSE)), CONCATENATE(CHAR(34),"CamA",CHAR(34)), CONCATENATE(CHAR(34),"CamB",CHAR(34))),"}"), ""),IF(VLOOKUP(C202,DM_fish!C:X,18, FALSE)&gt;0, CONCATENATE(",{",CHAR(34),"target",CHAR(34),":",CHAR(34),VLOOKUP(C202,DM_fish!C:X,17, FALSE),CHAR(34),",", CHAR(34), "excitation",CHAR(34), ":", VLOOKUP(C202,DM_fish!C:X,18, FALSE), ",",  CHAR(34), "camera",CHAR(34), ":", IF(VALUE(VLOOKUP(C202,DM_fish!C:X,18, FALSE))&lt;VALUE(VLOOKUP(V202,imaging_filters!A:K,11, FALSE)), CONCATENATE(CHAR(34),"CamA",CHAR(34)), CONCATENATE(CHAR(34),"CamB",CHAR(34))),"}"), ""),IF(VLOOKUP(C202,DM_fish!C:X,20, FALSE)&gt;0, CONCATENATE(",{",CHAR(34),"target",CHAR(34),":",CHAR(34),VLOOKUP(C202,DM_fish!C:X,19, FALSE),CHAR(34),",", CHAR(34), "excitation",CHAR(34), ":", VLOOKUP(C202,DM_fish!C:X,20, FALSE), ",",  CHAR(34), "camera",CHAR(34), ":", IF(VALUE(VLOOKUP(C202,DM_fish!C:X,20, FALSE))&lt;VALUE(VLOOKUP(V202,imaging_filters!A:K,11, FALSE)), CONCATENATE(CHAR(34),"CamA",CHAR(34)), CONCATENATE(CHAR(34),"CamB",CHAR(34))),"}"), ""),IF(VLOOKUP(C202,DM_fish!C:X,22, FALSE)&gt;0, CONCATENATE(",{",CHAR(34),"target",CHAR(34),":",CHAR(34),VLOOKUP(C202,DM_fish!C:X,21, FALSE),CHAR(34),",", CHAR(34), "excitation",CHAR(34), ":", VLOOKUP(C202,DM_fish!C:X,22, FALSE), ",",  CHAR(34), "camera",CHAR(34), ":", IF(VALUE(VLOOKUP(C202,DM_fish!C:X,22, FALSE))&lt;VALUE(VLOOKUP(V202,imaging_filters!A:K,11, FALSE)), CONCATENATE(CHAR(34),"CamA",CHAR(34)), CONCATENATE(CHAR(34),"CamB",CHAR(34))),"}"), "")), "]"), "")</f>
        <v/>
      </c>
      <c r="Y202" s="11" t="str">
        <f ca="1">IFERROR(
CONCATENATE( "[",
IF(VLOOKUP(E202,Injections!B:F,3, FALSE)&gt;0, CONCATENATE( "{",CHAR(34),"target",CHAR(34),":",CHAR(34),VLOOKUP(E202,Injections!B:F,2, FALSE),CHAR(34),",", CHAR(34), "excitation",CHAR(34), ":", VLOOKUP(E202,Injections!B:F,3, FALSE), ",",  CHAR(34), "camera",CHAR(34), ":",
IF(VALUE(VLOOKUP(E202,Injections!B:F,3, FALSE))&lt;VALUE(VLOOKUP(V202,imaging_filters!A:C,2, FALSE)), CONCATENATE(CHAR(34),"CamA",CHAR(34)), CONCATENATE(CHAR(34),"CamB",CHAR(34))),"}"), ""),
IF(VLOOKUP(E202,Injections!B:F,5, FALSE)&gt;0, CONCATENATE(",{",CHAR(34),"target",CHAR(34),":",CHAR(34),VLOOKUP(E202,Injections!B:F,4, FALSE),CHAR(34),",", CHAR(34), "excitation",CHAR(34), ":", VLOOKUP(E202,Injections!B:F,5, FALSE), ",",  CHAR(34), "camera",CHAR(34), ":",
IF(VALUE(VLOOKUP(E202,Injections!B:F,5, FALSE))&lt;VALUE(VLOOKUP(V202,imaging_filters!A:C,2, FALSE)), CONCATENATE(CHAR(34),"CamA",CHAR(34)), CONCATENATE(CHAR(34),"CamB",CHAR(34))),"}"), ""),
 "]"), "[]")</f>
        <v>[]</v>
      </c>
      <c r="Z202" s="11" t="str">
        <f ca="1">IFERROR(
CONCATENATE( "[",
IF(VLOOKUP(F202,Injections!H:L,3, FALSE)&gt;0, CONCATENATE( "{",CHAR(34),"target",CHAR(34),":",CHAR(34),VLOOKUP(F202,Injections!H:L,2, FALSE),CHAR(34),",", CHAR(34), "excitation",CHAR(34), ":", VLOOKUP(F202,Injections!H:L,3, FALSE), ",",  CHAR(34), "camera",CHAR(34), ":",
IF(VALUE(VLOOKUP(F202,Injections!H:L,3, FALSE))&lt;VALUE(VLOOKUP(V202,imaging_filters!A:K,11, FALSE)), CONCATENATE(CHAR(34),"CamA",CHAR(34)), CONCATENATE(CHAR(34),"CamB",CHAR(34))),"}"), ""),
IF(VLOOKUP(F202,Injections!H:L,5, FALSE)&gt;0, CONCATENATE(",{",CHAR(34),"target",CHAR(34),":",CHAR(34),VLOOKUP(F202,Injections!H:L,4, FALSE),CHAR(34),",", CHAR(34), "excitation",CHAR(34), ":", VLOOKUP(F202,Injections!H:L,5, FALSE), ",",  CHAR(34), "camera",CHAR(34), ":",
IF(VALUE(VLOOKUP(F202,Injections!H:L,5, FALSE))&lt;VALUE(VLOOKUP(V202,imaging_filters!A:K,11, FALSE)), CONCATENATE(CHAR(34),"CamA",CHAR(34)), CONCATENATE(CHAR(34),"CamB",CHAR(34))),"}"), ""),
 "]"), "[]")</f>
        <v>[{"target":"nuclei","excitation":560,"camera":"CamB"}]</v>
      </c>
      <c r="AA202" s="11" t="s">
        <v>362</v>
      </c>
    </row>
    <row r="203" spans="1:28" ht="15.75" customHeight="1" x14ac:dyDescent="0.15">
      <c r="A203" s="7">
        <f t="shared" si="4"/>
        <v>45792</v>
      </c>
      <c r="B203" s="1"/>
      <c r="C203" s="1"/>
      <c r="D203" s="1"/>
      <c r="E203" s="1"/>
      <c r="F203" s="1" t="s">
        <v>355</v>
      </c>
      <c r="G203" s="8"/>
      <c r="H203" s="8"/>
      <c r="I203" s="8">
        <v>45791</v>
      </c>
      <c r="K203" s="1"/>
      <c r="L203" s="8">
        <v>45792</v>
      </c>
      <c r="M203" s="8">
        <v>45792</v>
      </c>
      <c r="O203" s="9">
        <v>0.45833333333333331</v>
      </c>
      <c r="Q203" s="1" t="s">
        <v>363</v>
      </c>
      <c r="R203" s="10" t="str">
        <f ca="1">IFERROR(__xludf.DUMMYFUNCTION("JOIN("","", SORT(UNIQUE(TOCOL({VLOOKUP(D203,DM_fish!A:B,2,FALSE),VLOOKUP(C203,DM_fish!A:B,2,FALSE), ARRAYFORMULA(VLOOKUP(SPLIT(E203, "", ""),Injections!B:G,6,FALSE)), ARRAYFORMULA(VLOOKUP(SPLIT(F203, "", ""),Injections!H:M,6,FALSE)), ARRAYFORMULA(VLOOKUP("&amp;"SPLIT(G203, "", ""),Injections!N:S,6,FALSE)), ARRAYFORMULA(VLOOKUP(SPLIT(H203, "", ""),Injections!T:Y,6,FALSE)) },3))))"),"")</f>
        <v/>
      </c>
      <c r="S203" s="10" t="str">
        <f ca="1">IFERROR(__xludf.DUMMYFUNCTION("IFERROR(JOIN("","", SPLIT(R203, "","", TRUE ,TRUE)), """")"),"")</f>
        <v/>
      </c>
      <c r="T203" s="1" t="s">
        <v>364</v>
      </c>
      <c r="U203" s="1">
        <v>327</v>
      </c>
      <c r="V203" s="1" t="s">
        <v>280</v>
      </c>
      <c r="W203" s="12" t="str">
        <f ca="1">IFERROR(CONCATENATE("[", CONCATENATE(IF(VLOOKUP(D203,DM_fish!C:X,14, FALSE)&gt;0, CONCATENATE("{",CHAR(34),"target",CHAR(34),":",CHAR(34),VLOOKUP(D203,DM_fish!C:X,13, FALSE),CHAR(34),",", CHAR(34), "excitation",CHAR(34), ":", VLOOKUP(D203,DM_fish!C:X,14, FALSE), ",",  CHAR(34), "camera",CHAR(34), ":", IF(VALUE(VLOOKUP(D203,DM_fish!C:X,14, FALSE))&lt;VALUE(VLOOKUP(V203,imaging_filters!A:K,11, FALSE)), CONCATENATE(CHAR(34),"CamA",CHAR(34)), CONCATENATE(CHAR(34),"CamB",CHAR(34))),"}"), ""),IF(VLOOKUP(D203,DM_fish!C:X,16, FALSE)&gt;0, CONCATENATE(",{",CHAR(34),"target",CHAR(34),":",CHAR(34),VLOOKUP(D203,DM_fish!C:X,15, FALSE),CHAR(34),",", CHAR(34), "excitation",CHAR(34), ":", VLOOKUP(D203,DM_fish!C:X,16, FALSE), ",",  CHAR(34), "camera",CHAR(34), ":", IF(VALUE(VLOOKUP(D203,DM_fish!C:X,16, FALSE))&lt;VALUE(VLOOKUP(V203,imaging_filters!A:K,11, FALSE)), CONCATENATE(CHAR(34),"CamA",CHAR(34)), CONCATENATE(CHAR(34),"CamB",CHAR(34))),"}"), ""),IF(VLOOKUP(D203,DM_fish!C:X,18, FALSE)&gt;0, CONCATENATE(",{",CHAR(34),"target",CHAR(34),":",CHAR(34),VLOOKUP(D203,DM_fish!C:X,17, FALSE),CHAR(34),",", CHAR(34), "excitation",CHAR(34), ":", VLOOKUP(D203,DM_fish!C:X,18, FALSE), ",",  CHAR(34), "camera",CHAR(34), ":", IF(VALUE(VLOOKUP(D203,DM_fish!C:X,18, FALSE))&lt;VALUE(VLOOKUP(V203,imaging_filters!A:K,11, FALSE)), CONCATENATE(CHAR(34),"CamA",CHAR(34)), CONCATENATE(CHAR(34),"CamB",CHAR(34))),"}"), ""),IF(VLOOKUP(D203,DM_fish!C:X,20, FALSE)&gt;0, CONCATENATE(",{",CHAR(34),"target",CHAR(34),":",CHAR(34),VLOOKUP(D203,DM_fish!C:X,19, FALSE),CHAR(34),",", CHAR(34), "excitation",CHAR(34), ":", VLOOKUP(D203,DM_fish!C:X,20, FALSE), ",",  CHAR(34), "camera",CHAR(34), ":", IF(VALUE(VLOOKUP(D203,DM_fish!C:X,20, FALSE))&lt;VALUE(VLOOKUP(V203,imaging_filters!A:K,11, FALSE)), CONCATENATE(CHAR(34),"CamA",CHAR(34)), CONCATENATE(CHAR(34),"CamB",CHAR(34))),"}"), ""),IF(VLOOKUP(D203,DM_fish!C:X,22, FALSE)&gt;0, CONCATENATE(",{",CHAR(34),"target",CHAR(34),":",CHAR(34),VLOOKUP(D203,DM_fish!C:X,21, FALSE),CHAR(34),",", CHAR(34), "excitation",CHAR(34), ":", VLOOKUP(D203,DM_fish!C:X,22, FALSE), ",",  CHAR(34), "camera",CHAR(34), ":", IF(VALUE(VLOOKUP(D203,DM_fish!C:X,22, FALSE))&lt;VALUE(VLOOKUP(V203,imaging_filters!A:K,11, FALSE)), CONCATENATE(CHAR(34),"CamA",CHAR(34)), CONCATENATE(CHAR(34),"CamB",CHAR(34))),"}"), "")), "]"), "")</f>
        <v/>
      </c>
      <c r="X203" s="12" t="str">
        <f ca="1">IFERROR(
CONCATENATE("[", CONCATENATE(IF(VLOOKUP(C203,DM_fish!C:X,14, FALSE)&gt;0, CONCATENATE("{",CHAR(34),"target",CHAR(34),":",CHAR(34),VLOOKUP(C203,DM_fish!C:X,13, FALSE),CHAR(34),",", CHAR(34), "excitation",CHAR(34), ":", VLOOKUP(C203,DM_fish!C:X,14, FALSE), ",",  CHAR(34), "camera",CHAR(34), ":", IF(VALUE(VLOOKUP(C203,DM_fish!C:X,14, FALSE))&lt;VALUE(VLOOKUP(V203,imaging_filters!A:K,11, FALSE)), CONCATENATE(CHAR(34),"CamA",CHAR(34)), CONCATENATE(CHAR(34),"CamB",CHAR(34))),"}"), ""),IF(VLOOKUP(C203,DM_fish!C:X,16, FALSE)&gt;0, CONCATENATE(",{",CHAR(34),"target",CHAR(34),":",CHAR(34),VLOOKUP(C203,DM_fish!C:X,15, FALSE),CHAR(34),",", CHAR(34), "excitation",CHAR(34), ":", VLOOKUP(C203,DM_fish!C:X,16, FALSE), ",",  CHAR(34), "camera",CHAR(34), ":", IF(VALUE(VLOOKUP(C203,DM_fish!C:X,16, FALSE))&lt;VALUE(VLOOKUP(V203,imaging_filters!A:K,11, FALSE)), CONCATENATE(CHAR(34),"CamA",CHAR(34)), CONCATENATE(CHAR(34),"CamB",CHAR(34))),"}"), ""),IF(VLOOKUP(C203,DM_fish!C:X,18, FALSE)&gt;0, CONCATENATE(",{",CHAR(34),"target",CHAR(34),":",CHAR(34),VLOOKUP(C203,DM_fish!C:X,17, FALSE),CHAR(34),",", CHAR(34), "excitation",CHAR(34), ":", VLOOKUP(C203,DM_fish!C:X,18, FALSE), ",",  CHAR(34), "camera",CHAR(34), ":", IF(VALUE(VLOOKUP(C203,DM_fish!C:X,18, FALSE))&lt;VALUE(VLOOKUP(V203,imaging_filters!A:K,11, FALSE)), CONCATENATE(CHAR(34),"CamA",CHAR(34)), CONCATENATE(CHAR(34),"CamB",CHAR(34))),"}"), ""),IF(VLOOKUP(C203,DM_fish!C:X,20, FALSE)&gt;0, CONCATENATE(",{",CHAR(34),"target",CHAR(34),":",CHAR(34),VLOOKUP(C203,DM_fish!C:X,19, FALSE),CHAR(34),",", CHAR(34), "excitation",CHAR(34), ":", VLOOKUP(C203,DM_fish!C:X,20, FALSE), ",",  CHAR(34), "camera",CHAR(34), ":", IF(VALUE(VLOOKUP(C203,DM_fish!C:X,20, FALSE))&lt;VALUE(VLOOKUP(V203,imaging_filters!A:K,11, FALSE)), CONCATENATE(CHAR(34),"CamA",CHAR(34)), CONCATENATE(CHAR(34),"CamB",CHAR(34))),"}"), ""),IF(VLOOKUP(C203,DM_fish!C:X,22, FALSE)&gt;0, CONCATENATE(",{",CHAR(34),"target",CHAR(34),":",CHAR(34),VLOOKUP(C203,DM_fish!C:X,21, FALSE),CHAR(34),",", CHAR(34), "excitation",CHAR(34), ":", VLOOKUP(C203,DM_fish!C:X,22, FALSE), ",",  CHAR(34), "camera",CHAR(34), ":", IF(VALUE(VLOOKUP(C203,DM_fish!C:X,22, FALSE))&lt;VALUE(VLOOKUP(V203,imaging_filters!A:K,11, FALSE)), CONCATENATE(CHAR(34),"CamA",CHAR(34)), CONCATENATE(CHAR(34),"CamB",CHAR(34))),"}"), "")), "]"), "")</f>
        <v/>
      </c>
      <c r="Y203" s="11" t="str">
        <f ca="1">IFERROR(
CONCATENATE( "[",
IF(VLOOKUP(E203,Injections!B:F,3, FALSE)&gt;0, CONCATENATE( "{",CHAR(34),"target",CHAR(34),":",CHAR(34),VLOOKUP(E203,Injections!B:F,2, FALSE),CHAR(34),",", CHAR(34), "excitation",CHAR(34), ":", VLOOKUP(E203,Injections!B:F,3, FALSE), ",",  CHAR(34), "camera",CHAR(34), ":",
IF(VALUE(VLOOKUP(E203,Injections!B:F,3, FALSE))&lt;VALUE(VLOOKUP(V203,imaging_filters!A:C,2, FALSE)), CONCATENATE(CHAR(34),"CamA",CHAR(34)), CONCATENATE(CHAR(34),"CamB",CHAR(34))),"}"), ""),
IF(VLOOKUP(E203,Injections!B:F,5, FALSE)&gt;0, CONCATENATE(",{",CHAR(34),"target",CHAR(34),":",CHAR(34),VLOOKUP(E203,Injections!B:F,4, FALSE),CHAR(34),",", CHAR(34), "excitation",CHAR(34), ":", VLOOKUP(E203,Injections!B:F,5, FALSE), ",",  CHAR(34), "camera",CHAR(34), ":",
IF(VALUE(VLOOKUP(E203,Injections!B:F,5, FALSE))&lt;VALUE(VLOOKUP(V203,imaging_filters!A:C,2, FALSE)), CONCATENATE(CHAR(34),"CamA",CHAR(34)), CONCATENATE(CHAR(34),"CamB",CHAR(34))),"}"), ""),
 "]"), "[]")</f>
        <v>[]</v>
      </c>
      <c r="Z203" s="11" t="str">
        <f ca="1">IFERROR(
CONCATENATE( "[",
IF(VLOOKUP(F203,Injections!H:L,3, FALSE)&gt;0, CONCATENATE( "{",CHAR(34),"target",CHAR(34),":",CHAR(34),VLOOKUP(F203,Injections!H:L,2, FALSE),CHAR(34),",", CHAR(34), "excitation",CHAR(34), ":", VLOOKUP(F203,Injections!H:L,3, FALSE), ",",  CHAR(34), "camera",CHAR(34), ":",
IF(VALUE(VLOOKUP(F203,Injections!H:L,3, FALSE))&lt;VALUE(VLOOKUP(V203,imaging_filters!A:K,11, FALSE)), CONCATENATE(CHAR(34),"CamA",CHAR(34)), CONCATENATE(CHAR(34),"CamB",CHAR(34))),"}"), ""),
IF(VLOOKUP(F203,Injections!H:L,5, FALSE)&gt;0, CONCATENATE(",{",CHAR(34),"target",CHAR(34),":",CHAR(34),VLOOKUP(F203,Injections!H:L,4, FALSE),CHAR(34),",", CHAR(34), "excitation",CHAR(34), ":", VLOOKUP(F203,Injections!H:L,5, FALSE), ",",  CHAR(34), "camera",CHAR(34), ":",
IF(VALUE(VLOOKUP(F203,Injections!H:L,5, FALSE))&lt;VALUE(VLOOKUP(V203,imaging_filters!A:K,11, FALSE)), CONCATENATE(CHAR(34),"CamA",CHAR(34)), CONCATENATE(CHAR(34),"CamB",CHAR(34))),"}"), ""),
 "]"), "[]")</f>
        <v>[]</v>
      </c>
      <c r="AA203" s="11"/>
    </row>
    <row r="204" spans="1:28" ht="15.75" customHeight="1" x14ac:dyDescent="0.15">
      <c r="A204" s="7">
        <f t="shared" si="4"/>
        <v>45791</v>
      </c>
      <c r="B204" s="1"/>
      <c r="C204" s="1"/>
      <c r="D204" s="1"/>
      <c r="E204" s="1"/>
      <c r="F204" s="1" t="s">
        <v>355</v>
      </c>
      <c r="G204" s="8"/>
      <c r="H204" s="8"/>
      <c r="I204" s="8">
        <v>45790</v>
      </c>
      <c r="K204" s="1"/>
      <c r="L204" s="8">
        <v>45791</v>
      </c>
      <c r="M204" s="8">
        <v>45791</v>
      </c>
      <c r="O204" s="9">
        <v>0.45833333333333331</v>
      </c>
      <c r="P204" s="1" t="s">
        <v>365</v>
      </c>
      <c r="Q204" s="1" t="s">
        <v>366</v>
      </c>
      <c r="R204" s="10" t="str">
        <f ca="1">IFERROR(__xludf.DUMMYFUNCTION("JOIN("","", SORT(UNIQUE(TOCOL({VLOOKUP(D204,DM_fish!A:B,2,FALSE),VLOOKUP(C204,DM_fish!A:B,2,FALSE), ARRAYFORMULA(VLOOKUP(SPLIT(E204, "", ""),Injections!B:G,6,FALSE)), ARRAYFORMULA(VLOOKUP(SPLIT(F204, "", ""),Injections!H:M,6,FALSE)), ARRAYFORMULA(VLOOKUP("&amp;"SPLIT(G204, "", ""),Injections!N:S,6,FALSE)), ARRAYFORMULA(VLOOKUP(SPLIT(H204, "", ""),Injections!T:Y,6,FALSE)) },3))))"),"")</f>
        <v/>
      </c>
      <c r="S204" s="10" t="str">
        <f ca="1">IFERROR(__xludf.DUMMYFUNCTION("IFERROR(JOIN("","", SPLIT(R204, "","", TRUE ,TRUE)), """")"),"")</f>
        <v/>
      </c>
      <c r="T204" s="1" t="s">
        <v>367</v>
      </c>
      <c r="U204" s="1">
        <v>123</v>
      </c>
      <c r="V204" s="1" t="s">
        <v>280</v>
      </c>
      <c r="W204" s="12" t="str">
        <f ca="1">IFERROR(CONCATENATE("[", CONCATENATE(IF(VLOOKUP(D204,DM_fish!C:X,14, FALSE)&gt;0, CONCATENATE("{",CHAR(34),"target",CHAR(34),":",CHAR(34),VLOOKUP(D204,DM_fish!C:X,13, FALSE),CHAR(34),",", CHAR(34), "excitation",CHAR(34), ":", VLOOKUP(D204,DM_fish!C:X,14, FALSE), ",",  CHAR(34), "camera",CHAR(34), ":", IF(VALUE(VLOOKUP(D204,DM_fish!C:X,14, FALSE))&lt;VALUE(VLOOKUP(V204,imaging_filters!A:K,11, FALSE)), CONCATENATE(CHAR(34),"CamA",CHAR(34)), CONCATENATE(CHAR(34),"CamB",CHAR(34))),"}"), ""),IF(VLOOKUP(D204,DM_fish!C:X,16, FALSE)&gt;0, CONCATENATE(",{",CHAR(34),"target",CHAR(34),":",CHAR(34),VLOOKUP(D204,DM_fish!C:X,15, FALSE),CHAR(34),",", CHAR(34), "excitation",CHAR(34), ":", VLOOKUP(D204,DM_fish!C:X,16, FALSE), ",",  CHAR(34), "camera",CHAR(34), ":", IF(VALUE(VLOOKUP(D204,DM_fish!C:X,16, FALSE))&lt;VALUE(VLOOKUP(V204,imaging_filters!A:K,11, FALSE)), CONCATENATE(CHAR(34),"CamA",CHAR(34)), CONCATENATE(CHAR(34),"CamB",CHAR(34))),"}"), ""),IF(VLOOKUP(D204,DM_fish!C:X,18, FALSE)&gt;0, CONCATENATE(",{",CHAR(34),"target",CHAR(34),":",CHAR(34),VLOOKUP(D204,DM_fish!C:X,17, FALSE),CHAR(34),",", CHAR(34), "excitation",CHAR(34), ":", VLOOKUP(D204,DM_fish!C:X,18, FALSE), ",",  CHAR(34), "camera",CHAR(34), ":", IF(VALUE(VLOOKUP(D204,DM_fish!C:X,18, FALSE))&lt;VALUE(VLOOKUP(V204,imaging_filters!A:K,11, FALSE)), CONCATENATE(CHAR(34),"CamA",CHAR(34)), CONCATENATE(CHAR(34),"CamB",CHAR(34))),"}"), ""),IF(VLOOKUP(D204,DM_fish!C:X,20, FALSE)&gt;0, CONCATENATE(",{",CHAR(34),"target",CHAR(34),":",CHAR(34),VLOOKUP(D204,DM_fish!C:X,19, FALSE),CHAR(34),",", CHAR(34), "excitation",CHAR(34), ":", VLOOKUP(D204,DM_fish!C:X,20, FALSE), ",",  CHAR(34), "camera",CHAR(34), ":", IF(VALUE(VLOOKUP(D204,DM_fish!C:X,20, FALSE))&lt;VALUE(VLOOKUP(V204,imaging_filters!A:K,11, FALSE)), CONCATENATE(CHAR(34),"CamA",CHAR(34)), CONCATENATE(CHAR(34),"CamB",CHAR(34))),"}"), ""),IF(VLOOKUP(D204,DM_fish!C:X,22, FALSE)&gt;0, CONCATENATE(",{",CHAR(34),"target",CHAR(34),":",CHAR(34),VLOOKUP(D204,DM_fish!C:X,21, FALSE),CHAR(34),",", CHAR(34), "excitation",CHAR(34), ":", VLOOKUP(D204,DM_fish!C:X,22, FALSE), ",",  CHAR(34), "camera",CHAR(34), ":", IF(VALUE(VLOOKUP(D204,DM_fish!C:X,22, FALSE))&lt;VALUE(VLOOKUP(V204,imaging_filters!A:K,11, FALSE)), CONCATENATE(CHAR(34),"CamA",CHAR(34)), CONCATENATE(CHAR(34),"CamB",CHAR(34))),"}"), "")), "]"), "")</f>
        <v/>
      </c>
      <c r="X204" s="12" t="str">
        <f ca="1">IFERROR(
CONCATENATE("[", CONCATENATE(IF(VLOOKUP(C204,DM_fish!C:X,14, FALSE)&gt;0, CONCATENATE("{",CHAR(34),"target",CHAR(34),":",CHAR(34),VLOOKUP(C204,DM_fish!C:X,13, FALSE),CHAR(34),",", CHAR(34), "excitation",CHAR(34), ":", VLOOKUP(C204,DM_fish!C:X,14, FALSE), ",",  CHAR(34), "camera",CHAR(34), ":", IF(VALUE(VLOOKUP(C204,DM_fish!C:X,14, FALSE))&lt;VALUE(VLOOKUP(V204,imaging_filters!A:K,11, FALSE)), CONCATENATE(CHAR(34),"CamA",CHAR(34)), CONCATENATE(CHAR(34),"CamB",CHAR(34))),"}"), ""),IF(VLOOKUP(C204,DM_fish!C:X,16, FALSE)&gt;0, CONCATENATE(",{",CHAR(34),"target",CHAR(34),":",CHAR(34),VLOOKUP(C204,DM_fish!C:X,15, FALSE),CHAR(34),",", CHAR(34), "excitation",CHAR(34), ":", VLOOKUP(C204,DM_fish!C:X,16, FALSE), ",",  CHAR(34), "camera",CHAR(34), ":", IF(VALUE(VLOOKUP(C204,DM_fish!C:X,16, FALSE))&lt;VALUE(VLOOKUP(V204,imaging_filters!A:K,11, FALSE)), CONCATENATE(CHAR(34),"CamA",CHAR(34)), CONCATENATE(CHAR(34),"CamB",CHAR(34))),"}"), ""),IF(VLOOKUP(C204,DM_fish!C:X,18, FALSE)&gt;0, CONCATENATE(",{",CHAR(34),"target",CHAR(34),":",CHAR(34),VLOOKUP(C204,DM_fish!C:X,17, FALSE),CHAR(34),",", CHAR(34), "excitation",CHAR(34), ":", VLOOKUP(C204,DM_fish!C:X,18, FALSE), ",",  CHAR(34), "camera",CHAR(34), ":", IF(VALUE(VLOOKUP(C204,DM_fish!C:X,18, FALSE))&lt;VALUE(VLOOKUP(V204,imaging_filters!A:K,11, FALSE)), CONCATENATE(CHAR(34),"CamA",CHAR(34)), CONCATENATE(CHAR(34),"CamB",CHAR(34))),"}"), ""),IF(VLOOKUP(C204,DM_fish!C:X,20, FALSE)&gt;0, CONCATENATE(",{",CHAR(34),"target",CHAR(34),":",CHAR(34),VLOOKUP(C204,DM_fish!C:X,19, FALSE),CHAR(34),",", CHAR(34), "excitation",CHAR(34), ":", VLOOKUP(C204,DM_fish!C:X,20, FALSE), ",",  CHAR(34), "camera",CHAR(34), ":", IF(VALUE(VLOOKUP(C204,DM_fish!C:X,20, FALSE))&lt;VALUE(VLOOKUP(V204,imaging_filters!A:K,11, FALSE)), CONCATENATE(CHAR(34),"CamA",CHAR(34)), CONCATENATE(CHAR(34),"CamB",CHAR(34))),"}"), ""),IF(VLOOKUP(C204,DM_fish!C:X,22, FALSE)&gt;0, CONCATENATE(",{",CHAR(34),"target",CHAR(34),":",CHAR(34),VLOOKUP(C204,DM_fish!C:X,21, FALSE),CHAR(34),",", CHAR(34), "excitation",CHAR(34), ":", VLOOKUP(C204,DM_fish!C:X,22, FALSE), ",",  CHAR(34), "camera",CHAR(34), ":", IF(VALUE(VLOOKUP(C204,DM_fish!C:X,22, FALSE))&lt;VALUE(VLOOKUP(V204,imaging_filters!A:K,11, FALSE)), CONCATENATE(CHAR(34),"CamA",CHAR(34)), CONCATENATE(CHAR(34),"CamB",CHAR(34))),"}"), "")), "]"), "")</f>
        <v/>
      </c>
      <c r="Y204" s="11" t="str">
        <f ca="1">IFERROR(
CONCATENATE( "[",
IF(VLOOKUP(E204,Injections!B:F,3, FALSE)&gt;0, CONCATENATE( "{",CHAR(34),"target",CHAR(34),":",CHAR(34),VLOOKUP(E204,Injections!B:F,2, FALSE),CHAR(34),",", CHAR(34), "excitation",CHAR(34), ":", VLOOKUP(E204,Injections!B:F,3, FALSE), ",",  CHAR(34), "camera",CHAR(34), ":",
IF(VALUE(VLOOKUP(E204,Injections!B:F,3, FALSE))&lt;VALUE(VLOOKUP(V204,imaging_filters!A:C,2, FALSE)), CONCATENATE(CHAR(34),"CamA",CHAR(34)), CONCATENATE(CHAR(34),"CamB",CHAR(34))),"}"), ""),
IF(VLOOKUP(E204,Injections!B:F,5, FALSE)&gt;0, CONCATENATE(",{",CHAR(34),"target",CHAR(34),":",CHAR(34),VLOOKUP(E204,Injections!B:F,4, FALSE),CHAR(34),",", CHAR(34), "excitation",CHAR(34), ":", VLOOKUP(E204,Injections!B:F,5, FALSE), ",",  CHAR(34), "camera",CHAR(34), ":",
IF(VALUE(VLOOKUP(E204,Injections!B:F,5, FALSE))&lt;VALUE(VLOOKUP(V204,imaging_filters!A:C,2, FALSE)), CONCATENATE(CHAR(34),"CamA",CHAR(34)), CONCATENATE(CHAR(34),"CamB",CHAR(34))),"}"), ""),
 "]"), "[]")</f>
        <v>[]</v>
      </c>
      <c r="Z204" s="11" t="str">
        <f ca="1">IFERROR(
CONCATENATE( "[",
IF(VLOOKUP(F204,Injections!H:L,3, FALSE)&gt;0, CONCATENATE( "{",CHAR(34),"target",CHAR(34),":",CHAR(34),VLOOKUP(F204,Injections!H:L,2, FALSE),CHAR(34),",", CHAR(34), "excitation",CHAR(34), ":", VLOOKUP(F204,Injections!H:L,3, FALSE), ",",  CHAR(34), "camera",CHAR(34), ":",
IF(VALUE(VLOOKUP(F204,Injections!H:L,3, FALSE))&lt;VALUE(VLOOKUP(V204,imaging_filters!A:K,11, FALSE)), CONCATENATE(CHAR(34),"CamA",CHAR(34)), CONCATENATE(CHAR(34),"CamB",CHAR(34))),"}"), ""),
IF(VLOOKUP(F204,Injections!H:L,5, FALSE)&gt;0, CONCATENATE(",{",CHAR(34),"target",CHAR(34),":",CHAR(34),VLOOKUP(F204,Injections!H:L,4, FALSE),CHAR(34),",", CHAR(34), "excitation",CHAR(34), ":", VLOOKUP(F204,Injections!H:L,5, FALSE), ",",  CHAR(34), "camera",CHAR(34), ":",
IF(VALUE(VLOOKUP(F204,Injections!H:L,5, FALSE))&lt;VALUE(VLOOKUP(V204,imaging_filters!A:K,11, FALSE)), CONCATENATE(CHAR(34),"CamA",CHAR(34)), CONCATENATE(CHAR(34),"CamB",CHAR(34))),"}"), ""),
 "]"), "[]")</f>
        <v>[]</v>
      </c>
      <c r="AA204" s="11"/>
    </row>
    <row r="205" spans="1:28" ht="15.75" customHeight="1" x14ac:dyDescent="0.15">
      <c r="A205" s="7">
        <f t="shared" si="4"/>
        <v>45790</v>
      </c>
      <c r="B205" s="1"/>
      <c r="C205" s="1"/>
      <c r="D205" s="1"/>
      <c r="E205" s="1"/>
      <c r="F205" s="1" t="s">
        <v>355</v>
      </c>
      <c r="G205" s="8"/>
      <c r="H205" s="8"/>
      <c r="I205" s="8">
        <v>45789</v>
      </c>
      <c r="K205" s="1"/>
      <c r="L205" s="8">
        <v>45790</v>
      </c>
      <c r="M205" s="8">
        <v>45790</v>
      </c>
      <c r="N205" s="9"/>
      <c r="O205" s="9">
        <v>0.45833333333333331</v>
      </c>
      <c r="P205" s="9">
        <v>0.83333333333333337</v>
      </c>
      <c r="Q205" s="1" t="s">
        <v>366</v>
      </c>
      <c r="R205" s="10" t="str">
        <f ca="1">IFERROR(__xludf.DUMMYFUNCTION("JOIN("","", SORT(UNIQUE(TOCOL({VLOOKUP(D205,DM_fish!A:B,2,FALSE),VLOOKUP(C205,DM_fish!A:B,2,FALSE), ARRAYFORMULA(VLOOKUP(SPLIT(E205, "", ""),Injections!B:G,6,FALSE)), ARRAYFORMULA(VLOOKUP(SPLIT(F205, "", ""),Injections!H:M,6,FALSE)), ARRAYFORMULA(VLOOKUP("&amp;"SPLIT(G205, "", ""),Injections!N:S,6,FALSE)), ARRAYFORMULA(VLOOKUP(SPLIT(H205, "", ""),Injections!T:Y,6,FALSE)) },3))))"),"")</f>
        <v/>
      </c>
      <c r="S205" s="10" t="str">
        <f ca="1">IFERROR(__xludf.DUMMYFUNCTION("IFERROR(JOIN("","", SPLIT(R205, "","", TRUE ,TRUE)), """")"),"")</f>
        <v/>
      </c>
      <c r="T205" s="1" t="s">
        <v>368</v>
      </c>
      <c r="U205" s="1">
        <v>213</v>
      </c>
      <c r="V205" s="1" t="s">
        <v>280</v>
      </c>
      <c r="W205" s="12" t="str">
        <f ca="1">IFERROR(CONCATENATE("[", CONCATENATE(IF(VLOOKUP(D205,DM_fish!C:X,14, FALSE)&gt;0, CONCATENATE("{",CHAR(34),"target",CHAR(34),":",CHAR(34),VLOOKUP(D205,DM_fish!C:X,13, FALSE),CHAR(34),",", CHAR(34), "excitation",CHAR(34), ":", VLOOKUP(D205,DM_fish!C:X,14, FALSE), ",",  CHAR(34), "camera",CHAR(34), ":", IF(VALUE(VLOOKUP(D205,DM_fish!C:X,14, FALSE))&lt;VALUE(VLOOKUP(V205,imaging_filters!A:K,11, FALSE)), CONCATENATE(CHAR(34),"CamA",CHAR(34)), CONCATENATE(CHAR(34),"CamB",CHAR(34))),"}"), ""),IF(VLOOKUP(D205,DM_fish!C:X,16, FALSE)&gt;0, CONCATENATE(",{",CHAR(34),"target",CHAR(34),":",CHAR(34),VLOOKUP(D205,DM_fish!C:X,15, FALSE),CHAR(34),",", CHAR(34), "excitation",CHAR(34), ":", VLOOKUP(D205,DM_fish!C:X,16, FALSE), ",",  CHAR(34), "camera",CHAR(34), ":", IF(VALUE(VLOOKUP(D205,DM_fish!C:X,16, FALSE))&lt;VALUE(VLOOKUP(V205,imaging_filters!A:K,11, FALSE)), CONCATENATE(CHAR(34),"CamA",CHAR(34)), CONCATENATE(CHAR(34),"CamB",CHAR(34))),"}"), ""),IF(VLOOKUP(D205,DM_fish!C:X,18, FALSE)&gt;0, CONCATENATE(",{",CHAR(34),"target",CHAR(34),":",CHAR(34),VLOOKUP(D205,DM_fish!C:X,17, FALSE),CHAR(34),",", CHAR(34), "excitation",CHAR(34), ":", VLOOKUP(D205,DM_fish!C:X,18, FALSE), ",",  CHAR(34), "camera",CHAR(34), ":", IF(VALUE(VLOOKUP(D205,DM_fish!C:X,18, FALSE))&lt;VALUE(VLOOKUP(V205,imaging_filters!A:K,11, FALSE)), CONCATENATE(CHAR(34),"CamA",CHAR(34)), CONCATENATE(CHAR(34),"CamB",CHAR(34))),"}"), ""),IF(VLOOKUP(D205,DM_fish!C:X,20, FALSE)&gt;0, CONCATENATE(",{",CHAR(34),"target",CHAR(34),":",CHAR(34),VLOOKUP(D205,DM_fish!C:X,19, FALSE),CHAR(34),",", CHAR(34), "excitation",CHAR(34), ":", VLOOKUP(D205,DM_fish!C:X,20, FALSE), ",",  CHAR(34), "camera",CHAR(34), ":", IF(VALUE(VLOOKUP(D205,DM_fish!C:X,20, FALSE))&lt;VALUE(VLOOKUP(V205,imaging_filters!A:K,11, FALSE)), CONCATENATE(CHAR(34),"CamA",CHAR(34)), CONCATENATE(CHAR(34),"CamB",CHAR(34))),"}"), ""),IF(VLOOKUP(D205,DM_fish!C:X,22, FALSE)&gt;0, CONCATENATE(",{",CHAR(34),"target",CHAR(34),":",CHAR(34),VLOOKUP(D205,DM_fish!C:X,21, FALSE),CHAR(34),",", CHAR(34), "excitation",CHAR(34), ":", VLOOKUP(D205,DM_fish!C:X,22, FALSE), ",",  CHAR(34), "camera",CHAR(34), ":", IF(VALUE(VLOOKUP(D205,DM_fish!C:X,22, FALSE))&lt;VALUE(VLOOKUP(V205,imaging_filters!A:K,11, FALSE)), CONCATENATE(CHAR(34),"CamA",CHAR(34)), CONCATENATE(CHAR(34),"CamB",CHAR(34))),"}"), "")), "]"), "")</f>
        <v/>
      </c>
      <c r="X205" s="12" t="str">
        <f ca="1">IFERROR(
CONCATENATE("[", CONCATENATE(IF(VLOOKUP(C205,DM_fish!C:X,14, FALSE)&gt;0, CONCATENATE("{",CHAR(34),"target",CHAR(34),":",CHAR(34),VLOOKUP(C205,DM_fish!C:X,13, FALSE),CHAR(34),",", CHAR(34), "excitation",CHAR(34), ":", VLOOKUP(C205,DM_fish!C:X,14, FALSE), ",",  CHAR(34), "camera",CHAR(34), ":", IF(VALUE(VLOOKUP(C205,DM_fish!C:X,14, FALSE))&lt;VALUE(VLOOKUP(V205,imaging_filters!A:K,11, FALSE)), CONCATENATE(CHAR(34),"CamA",CHAR(34)), CONCATENATE(CHAR(34),"CamB",CHAR(34))),"}"), ""),IF(VLOOKUP(C205,DM_fish!C:X,16, FALSE)&gt;0, CONCATENATE(",{",CHAR(34),"target",CHAR(34),":",CHAR(34),VLOOKUP(C205,DM_fish!C:X,15, FALSE),CHAR(34),",", CHAR(34), "excitation",CHAR(34), ":", VLOOKUP(C205,DM_fish!C:X,16, FALSE), ",",  CHAR(34), "camera",CHAR(34), ":", IF(VALUE(VLOOKUP(C205,DM_fish!C:X,16, FALSE))&lt;VALUE(VLOOKUP(V205,imaging_filters!A:K,11, FALSE)), CONCATENATE(CHAR(34),"CamA",CHAR(34)), CONCATENATE(CHAR(34),"CamB",CHAR(34))),"}"), ""),IF(VLOOKUP(C205,DM_fish!C:X,18, FALSE)&gt;0, CONCATENATE(",{",CHAR(34),"target",CHAR(34),":",CHAR(34),VLOOKUP(C205,DM_fish!C:X,17, FALSE),CHAR(34),",", CHAR(34), "excitation",CHAR(34), ":", VLOOKUP(C205,DM_fish!C:X,18, FALSE), ",",  CHAR(34), "camera",CHAR(34), ":", IF(VALUE(VLOOKUP(C205,DM_fish!C:X,18, FALSE))&lt;VALUE(VLOOKUP(V205,imaging_filters!A:K,11, FALSE)), CONCATENATE(CHAR(34),"CamA",CHAR(34)), CONCATENATE(CHAR(34),"CamB",CHAR(34))),"}"), ""),IF(VLOOKUP(C205,DM_fish!C:X,20, FALSE)&gt;0, CONCATENATE(",{",CHAR(34),"target",CHAR(34),":",CHAR(34),VLOOKUP(C205,DM_fish!C:X,19, FALSE),CHAR(34),",", CHAR(34), "excitation",CHAR(34), ":", VLOOKUP(C205,DM_fish!C:X,20, FALSE), ",",  CHAR(34), "camera",CHAR(34), ":", IF(VALUE(VLOOKUP(C205,DM_fish!C:X,20, FALSE))&lt;VALUE(VLOOKUP(V205,imaging_filters!A:K,11, FALSE)), CONCATENATE(CHAR(34),"CamA",CHAR(34)), CONCATENATE(CHAR(34),"CamB",CHAR(34))),"}"), ""),IF(VLOOKUP(C205,DM_fish!C:X,22, FALSE)&gt;0, CONCATENATE(",{",CHAR(34),"target",CHAR(34),":",CHAR(34),VLOOKUP(C205,DM_fish!C:X,21, FALSE),CHAR(34),",", CHAR(34), "excitation",CHAR(34), ":", VLOOKUP(C205,DM_fish!C:X,22, FALSE), ",",  CHAR(34), "camera",CHAR(34), ":", IF(VALUE(VLOOKUP(C205,DM_fish!C:X,22, FALSE))&lt;VALUE(VLOOKUP(V205,imaging_filters!A:K,11, FALSE)), CONCATENATE(CHAR(34),"CamA",CHAR(34)), CONCATENATE(CHAR(34),"CamB",CHAR(34))),"}"), "")), "]"), "")</f>
        <v/>
      </c>
      <c r="Y205" s="11" t="str">
        <f ca="1">IFERROR(
CONCATENATE( "[",
IF(VLOOKUP(E205,Injections!B:F,3, FALSE)&gt;0, CONCATENATE( "{",CHAR(34),"target",CHAR(34),":",CHAR(34),VLOOKUP(E205,Injections!B:F,2, FALSE),CHAR(34),",", CHAR(34), "excitation",CHAR(34), ":", VLOOKUP(E205,Injections!B:F,3, FALSE), ",",  CHAR(34), "camera",CHAR(34), ":",
IF(VALUE(VLOOKUP(E205,Injections!B:F,3, FALSE))&lt;VALUE(VLOOKUP(V205,imaging_filters!A:C,2, FALSE)), CONCATENATE(CHAR(34),"CamA",CHAR(34)), CONCATENATE(CHAR(34),"CamB",CHAR(34))),"}"), ""),
IF(VLOOKUP(E205,Injections!B:F,5, FALSE)&gt;0, CONCATENATE(",{",CHAR(34),"target",CHAR(34),":",CHAR(34),VLOOKUP(E205,Injections!B:F,4, FALSE),CHAR(34),",", CHAR(34), "excitation",CHAR(34), ":", VLOOKUP(E205,Injections!B:F,5, FALSE), ",",  CHAR(34), "camera",CHAR(34), ":",
IF(VALUE(VLOOKUP(E205,Injections!B:F,5, FALSE))&lt;VALUE(VLOOKUP(V205,imaging_filters!A:C,2, FALSE)), CONCATENATE(CHAR(34),"CamA",CHAR(34)), CONCATENATE(CHAR(34),"CamB",CHAR(34))),"}"), ""),
 "]"), "[]")</f>
        <v>[]</v>
      </c>
      <c r="Z205" s="11" t="str">
        <f ca="1">IFERROR(
CONCATENATE( "[",
IF(VLOOKUP(F205,Injections!H:L,3, FALSE)&gt;0, CONCATENATE( "{",CHAR(34),"target",CHAR(34),":",CHAR(34),VLOOKUP(F205,Injections!H:L,2, FALSE),CHAR(34),",", CHAR(34), "excitation",CHAR(34), ":", VLOOKUP(F205,Injections!H:L,3, FALSE), ",",  CHAR(34), "camera",CHAR(34), ":",
IF(VALUE(VLOOKUP(F205,Injections!H:L,3, FALSE))&lt;VALUE(VLOOKUP(V205,imaging_filters!A:K,11, FALSE)), CONCATENATE(CHAR(34),"CamA",CHAR(34)), CONCATENATE(CHAR(34),"CamB",CHAR(34))),"}"), ""),
IF(VLOOKUP(F205,Injections!H:L,5, FALSE)&gt;0, CONCATENATE(",{",CHAR(34),"target",CHAR(34),":",CHAR(34),VLOOKUP(F205,Injections!H:L,4, FALSE),CHAR(34),",", CHAR(34), "excitation",CHAR(34), ":", VLOOKUP(F205,Injections!H:L,5, FALSE), ",",  CHAR(34), "camera",CHAR(34), ":",
IF(VALUE(VLOOKUP(F205,Injections!H:L,5, FALSE))&lt;VALUE(VLOOKUP(V205,imaging_filters!A:K,11, FALSE)), CONCATENATE(CHAR(34),"CamA",CHAR(34)), CONCATENATE(CHAR(34),"CamB",CHAR(34))),"}"), ""),
 "]"), "[]")</f>
        <v>[]</v>
      </c>
      <c r="AA205" s="11"/>
    </row>
    <row r="206" spans="1:28" ht="15.75" customHeight="1" x14ac:dyDescent="0.15">
      <c r="A206" s="7">
        <f t="shared" si="4"/>
        <v>45786</v>
      </c>
      <c r="B206" s="1"/>
      <c r="C206" s="1" t="s">
        <v>107</v>
      </c>
      <c r="D206" s="1" t="s">
        <v>107</v>
      </c>
      <c r="E206" s="1"/>
      <c r="F206" s="1" t="s">
        <v>369</v>
      </c>
      <c r="G206" s="8"/>
      <c r="H206" s="8"/>
      <c r="I206" s="8">
        <v>45785</v>
      </c>
      <c r="K206" s="1"/>
      <c r="L206" s="8">
        <v>45786</v>
      </c>
      <c r="M206" s="8">
        <v>45786</v>
      </c>
      <c r="Q206" s="1" t="s">
        <v>366</v>
      </c>
      <c r="R206" s="10" t="str">
        <f ca="1">IFERROR(__xludf.DUMMYFUNCTION("JOIN("","", SORT(UNIQUE(TOCOL({VLOOKUP(D206,DM_fish!A:B,2,FALSE),VLOOKUP(C206,DM_fish!A:B,2,FALSE), ARRAYFORMULA(VLOOKUP(SPLIT(E206, "", ""),Injections!B:G,6,FALSE)), ARRAYFORMULA(VLOOKUP(SPLIT(F206, "", ""),Injections!H:M,6,FALSE)), ARRAYFORMULA(VLOOKUP("&amp;"SPLIT(G206, "", ""),Injections!N:S,6,FALSE)), ARRAYFORMULA(VLOOKUP(SPLIT(H206, "", ""),Injections!T:Y,6,FALSE)) },3))))"),"Actin,membrane")</f>
        <v>Actin,membrane</v>
      </c>
      <c r="S206" s="10" t="str">
        <f ca="1">IFERROR(__xludf.DUMMYFUNCTION("IFERROR(JOIN("","", SPLIT(R206, "","", TRUE ,TRUE)), """")"),"Actin,membrane")</f>
        <v>Actin,membrane</v>
      </c>
      <c r="T206" s="1" t="s">
        <v>370</v>
      </c>
      <c r="V206" s="1" t="s">
        <v>203</v>
      </c>
      <c r="W206" s="12" t="str">
        <f ca="1">IFERROR(CONCATENATE("[", CONCATENATE(IF(VLOOKUP(D206,DM_fish!C:X,14, FALSE)&gt;0, CONCATENATE("{",CHAR(34),"target",CHAR(34),":",CHAR(34),VLOOKUP(D206,DM_fish!C:X,13, FALSE),CHAR(34),",", CHAR(34), "excitation",CHAR(34), ":", VLOOKUP(D206,DM_fish!C:X,14, FALSE), ",",  CHAR(34), "camera",CHAR(34), ":", IF(VALUE(VLOOKUP(D206,DM_fish!C:X,14, FALSE))&lt;VALUE(VLOOKUP(V206,imaging_filters!A:K,11, FALSE)), CONCATENATE(CHAR(34),"CamA",CHAR(34)), CONCATENATE(CHAR(34),"CamB",CHAR(34))),"}"), ""),IF(VLOOKUP(D206,DM_fish!C:X,16, FALSE)&gt;0, CONCATENATE(",{",CHAR(34),"target",CHAR(34),":",CHAR(34),VLOOKUP(D206,DM_fish!C:X,15, FALSE),CHAR(34),",", CHAR(34), "excitation",CHAR(34), ":", VLOOKUP(D206,DM_fish!C:X,16, FALSE), ",",  CHAR(34), "camera",CHAR(34), ":", IF(VALUE(VLOOKUP(D206,DM_fish!C:X,16, FALSE))&lt;VALUE(VLOOKUP(V206,imaging_filters!A:K,11, FALSE)), CONCATENATE(CHAR(34),"CamA",CHAR(34)), CONCATENATE(CHAR(34),"CamB",CHAR(34))),"}"), ""),IF(VLOOKUP(D206,DM_fish!C:X,18, FALSE)&gt;0, CONCATENATE(",{",CHAR(34),"target",CHAR(34),":",CHAR(34),VLOOKUP(D206,DM_fish!C:X,17, FALSE),CHAR(34),",", CHAR(34), "excitation",CHAR(34), ":", VLOOKUP(D206,DM_fish!C:X,18, FALSE), ",",  CHAR(34), "camera",CHAR(34), ":", IF(VALUE(VLOOKUP(D206,DM_fish!C:X,18, FALSE))&lt;VALUE(VLOOKUP(V206,imaging_filters!A:K,11, FALSE)), CONCATENATE(CHAR(34),"CamA",CHAR(34)), CONCATENATE(CHAR(34),"CamB",CHAR(34))),"}"), ""),IF(VLOOKUP(D206,DM_fish!C:X,20, FALSE)&gt;0, CONCATENATE(",{",CHAR(34),"target",CHAR(34),":",CHAR(34),VLOOKUP(D206,DM_fish!C:X,19, FALSE),CHAR(34),",", CHAR(34), "excitation",CHAR(34), ":", VLOOKUP(D206,DM_fish!C:X,20, FALSE), ",",  CHAR(34), "camera",CHAR(34), ":", IF(VALUE(VLOOKUP(D206,DM_fish!C:X,20, FALSE))&lt;VALUE(VLOOKUP(V206,imaging_filters!A:K,11, FALSE)), CONCATENATE(CHAR(34),"CamA",CHAR(34)), CONCATENATE(CHAR(34),"CamB",CHAR(34))),"}"), ""),IF(VLOOKUP(D206,DM_fish!C:X,22, FALSE)&gt;0, CONCATENATE(",{",CHAR(34),"target",CHAR(34),":",CHAR(34),VLOOKUP(D206,DM_fish!C:X,21, FALSE),CHAR(34),",", CHAR(34), "excitation",CHAR(34), ":", VLOOKUP(D206,DM_fish!C:X,22, FALSE), ",",  CHAR(34), "camera",CHAR(34), ":", IF(VALUE(VLOOKUP(D206,DM_fish!C:X,22, FALSE))&lt;VALUE(VLOOKUP(V206,imaging_filters!A:K,11, FALSE)), CONCATENATE(CHAR(34),"CamA",CHAR(34)), CONCATENATE(CHAR(34),"CamB",CHAR(34))),"}"), "")), "]"), "")</f>
        <v/>
      </c>
      <c r="X206" s="12" t="str">
        <f ca="1">IFERROR(
CONCATENATE("[", CONCATENATE(IF(VLOOKUP(C206,DM_fish!C:X,14, FALSE)&gt;0, CONCATENATE("{",CHAR(34),"target",CHAR(34),":",CHAR(34),VLOOKUP(C206,DM_fish!C:X,13, FALSE),CHAR(34),",", CHAR(34), "excitation",CHAR(34), ":", VLOOKUP(C206,DM_fish!C:X,14, FALSE), ",",  CHAR(34), "camera",CHAR(34), ":", IF(VALUE(VLOOKUP(C206,DM_fish!C:X,14, FALSE))&lt;VALUE(VLOOKUP(V206,imaging_filters!A:K,11, FALSE)), CONCATENATE(CHAR(34),"CamA",CHAR(34)), CONCATENATE(CHAR(34),"CamB",CHAR(34))),"}"), ""),IF(VLOOKUP(C206,DM_fish!C:X,16, FALSE)&gt;0, CONCATENATE(",{",CHAR(34),"target",CHAR(34),":",CHAR(34),VLOOKUP(C206,DM_fish!C:X,15, FALSE),CHAR(34),",", CHAR(34), "excitation",CHAR(34), ":", VLOOKUP(C206,DM_fish!C:X,16, FALSE), ",",  CHAR(34), "camera",CHAR(34), ":", IF(VALUE(VLOOKUP(C206,DM_fish!C:X,16, FALSE))&lt;VALUE(VLOOKUP(V206,imaging_filters!A:K,11, FALSE)), CONCATENATE(CHAR(34),"CamA",CHAR(34)), CONCATENATE(CHAR(34),"CamB",CHAR(34))),"}"), ""),IF(VLOOKUP(C206,DM_fish!C:X,18, FALSE)&gt;0, CONCATENATE(",{",CHAR(34),"target",CHAR(34),":",CHAR(34),VLOOKUP(C206,DM_fish!C:X,17, FALSE),CHAR(34),",", CHAR(34), "excitation",CHAR(34), ":", VLOOKUP(C206,DM_fish!C:X,18, FALSE), ",",  CHAR(34), "camera",CHAR(34), ":", IF(VALUE(VLOOKUP(C206,DM_fish!C:X,18, FALSE))&lt;VALUE(VLOOKUP(V206,imaging_filters!A:K,11, FALSE)), CONCATENATE(CHAR(34),"CamA",CHAR(34)), CONCATENATE(CHAR(34),"CamB",CHAR(34))),"}"), ""),IF(VLOOKUP(C206,DM_fish!C:X,20, FALSE)&gt;0, CONCATENATE(",{",CHAR(34),"target",CHAR(34),":",CHAR(34),VLOOKUP(C206,DM_fish!C:X,19, FALSE),CHAR(34),",", CHAR(34), "excitation",CHAR(34), ":", VLOOKUP(C206,DM_fish!C:X,20, FALSE), ",",  CHAR(34), "camera",CHAR(34), ":", IF(VALUE(VLOOKUP(C206,DM_fish!C:X,20, FALSE))&lt;VALUE(VLOOKUP(V206,imaging_filters!A:K,11, FALSE)), CONCATENATE(CHAR(34),"CamA",CHAR(34)), CONCATENATE(CHAR(34),"CamB",CHAR(34))),"}"), ""),IF(VLOOKUP(C206,DM_fish!C:X,22, FALSE)&gt;0, CONCATENATE(",{",CHAR(34),"target",CHAR(34),":",CHAR(34),VLOOKUP(C206,DM_fish!C:X,21, FALSE),CHAR(34),",", CHAR(34), "excitation",CHAR(34), ":", VLOOKUP(C206,DM_fish!C:X,22, FALSE), ",",  CHAR(34), "camera",CHAR(34), ":", IF(VALUE(VLOOKUP(C206,DM_fish!C:X,22, FALSE))&lt;VALUE(VLOOKUP(V206,imaging_filters!A:K,11, FALSE)), CONCATENATE(CHAR(34),"CamA",CHAR(34)), CONCATENATE(CHAR(34),"CamB",CHAR(34))),"}"), "")), "]"), "")</f>
        <v/>
      </c>
      <c r="Y206" s="11" t="str">
        <f ca="1">IFERROR(
CONCATENATE( "[",
IF(VLOOKUP(E206,Injections!B:F,3, FALSE)&gt;0, CONCATENATE( "{",CHAR(34),"target",CHAR(34),":",CHAR(34),VLOOKUP(E206,Injections!B:F,2, FALSE),CHAR(34),",", CHAR(34), "excitation",CHAR(34), ":", VLOOKUP(E206,Injections!B:F,3, FALSE), ",",  CHAR(34), "camera",CHAR(34), ":",
IF(VALUE(VLOOKUP(E206,Injections!B:F,3, FALSE))&lt;VALUE(VLOOKUP(V206,imaging_filters!A:C,2, FALSE)), CONCATENATE(CHAR(34),"CamA",CHAR(34)), CONCATENATE(CHAR(34),"CamB",CHAR(34))),"}"), ""),
IF(VLOOKUP(E206,Injections!B:F,5, FALSE)&gt;0, CONCATENATE(",{",CHAR(34),"target",CHAR(34),":",CHAR(34),VLOOKUP(E206,Injections!B:F,4, FALSE),CHAR(34),",", CHAR(34), "excitation",CHAR(34), ":", VLOOKUP(E206,Injections!B:F,5, FALSE), ",",  CHAR(34), "camera",CHAR(34), ":",
IF(VALUE(VLOOKUP(E206,Injections!B:F,5, FALSE))&lt;VALUE(VLOOKUP(V206,imaging_filters!A:C,2, FALSE)), CONCATENATE(CHAR(34),"CamA",CHAR(34)), CONCATENATE(CHAR(34),"CamB",CHAR(34))),"}"), ""),
 "]"), "[]")</f>
        <v>[]</v>
      </c>
      <c r="Z206" s="11" t="str">
        <f ca="1">IFERROR(
CONCATENATE( "[",
IF(VLOOKUP(F206,Injections!H:L,3, FALSE)&gt;0, CONCATENATE( "{",CHAR(34),"target",CHAR(34),":",CHAR(34),VLOOKUP(F206,Injections!H:L,2, FALSE),CHAR(34),",", CHAR(34), "excitation",CHAR(34), ":", VLOOKUP(F206,Injections!H:L,3, FALSE), ",",  CHAR(34), "camera",CHAR(34), ":",
IF(VALUE(VLOOKUP(F206,Injections!H:L,3, FALSE))&lt;VALUE(VLOOKUP(V206,imaging_filters!A:K,11, FALSE)), CONCATENATE(CHAR(34),"CamA",CHAR(34)), CONCATENATE(CHAR(34),"CamB",CHAR(34))),"}"), ""),
IF(VLOOKUP(F206,Injections!H:L,5, FALSE)&gt;0, CONCATENATE(",{",CHAR(34),"target",CHAR(34),":",CHAR(34),VLOOKUP(F206,Injections!H:L,4, FALSE),CHAR(34),",", CHAR(34), "excitation",CHAR(34), ":", VLOOKUP(F206,Injections!H:L,5, FALSE), ",",  CHAR(34), "camera",CHAR(34), ":",
IF(VALUE(VLOOKUP(F206,Injections!H:L,5, FALSE))&lt;VALUE(VLOOKUP(V206,imaging_filters!A:K,11, FALSE)), CONCATENATE(CHAR(34),"CamA",CHAR(34)), CONCATENATE(CHAR(34),"CamB",CHAR(34))),"}"), ""),
 "]"), "[]")</f>
        <v>[]</v>
      </c>
      <c r="AA206" s="11" t="s">
        <v>371</v>
      </c>
    </row>
    <row r="207" spans="1:28" ht="15.75" customHeight="1" x14ac:dyDescent="0.15">
      <c r="A207" s="7">
        <f t="shared" si="4"/>
        <v>45786</v>
      </c>
      <c r="B207" s="1"/>
      <c r="C207" s="1" t="s">
        <v>107</v>
      </c>
      <c r="D207" s="1" t="s">
        <v>107</v>
      </c>
      <c r="E207" s="1"/>
      <c r="F207" s="1" t="s">
        <v>369</v>
      </c>
      <c r="G207" s="8"/>
      <c r="H207" s="8"/>
      <c r="I207" s="8">
        <v>45785</v>
      </c>
      <c r="K207" s="1"/>
      <c r="L207" s="8">
        <v>45786</v>
      </c>
      <c r="M207" s="8">
        <v>45786</v>
      </c>
      <c r="Q207" s="1" t="s">
        <v>366</v>
      </c>
      <c r="R207" s="10" t="str">
        <f ca="1">IFERROR(__xludf.DUMMYFUNCTION("JOIN("","", SORT(UNIQUE(TOCOL({VLOOKUP(D207,DM_fish!A:B,2,FALSE),VLOOKUP(C207,DM_fish!A:B,2,FALSE), ARRAYFORMULA(VLOOKUP(SPLIT(E207, "", ""),Injections!B:G,6,FALSE)), ARRAYFORMULA(VLOOKUP(SPLIT(F207, "", ""),Injections!H:M,6,FALSE)), ARRAYFORMULA(VLOOKUP("&amp;"SPLIT(G207, "", ""),Injections!N:S,6,FALSE)), ARRAYFORMULA(VLOOKUP(SPLIT(H207, "", ""),Injections!T:Y,6,FALSE)) },3))))"),"Actin,membrane")</f>
        <v>Actin,membrane</v>
      </c>
      <c r="S207" s="10" t="str">
        <f ca="1">IFERROR(__xludf.DUMMYFUNCTION("IFERROR(JOIN("","", SPLIT(R207, "","", TRUE ,TRUE)), """")"),"Actin,membrane")</f>
        <v>Actin,membrane</v>
      </c>
      <c r="V207" s="1" t="s">
        <v>203</v>
      </c>
      <c r="W207" s="12" t="str">
        <f ca="1">IFERROR(CONCATENATE("[", CONCATENATE(IF(VLOOKUP(D207,DM_fish!C:X,14, FALSE)&gt;0, CONCATENATE("{",CHAR(34),"target",CHAR(34),":",CHAR(34),VLOOKUP(D207,DM_fish!C:X,13, FALSE),CHAR(34),",", CHAR(34), "excitation",CHAR(34), ":", VLOOKUP(D207,DM_fish!C:X,14, FALSE), ",",  CHAR(34), "camera",CHAR(34), ":", IF(VALUE(VLOOKUP(D207,DM_fish!C:X,14, FALSE))&lt;VALUE(VLOOKUP(V207,imaging_filters!A:K,11, FALSE)), CONCATENATE(CHAR(34),"CamA",CHAR(34)), CONCATENATE(CHAR(34),"CamB",CHAR(34))),"}"), ""),IF(VLOOKUP(D207,DM_fish!C:X,16, FALSE)&gt;0, CONCATENATE(",{",CHAR(34),"target",CHAR(34),":",CHAR(34),VLOOKUP(D207,DM_fish!C:X,15, FALSE),CHAR(34),",", CHAR(34), "excitation",CHAR(34), ":", VLOOKUP(D207,DM_fish!C:X,16, FALSE), ",",  CHAR(34), "camera",CHAR(34), ":", IF(VALUE(VLOOKUP(D207,DM_fish!C:X,16, FALSE))&lt;VALUE(VLOOKUP(V207,imaging_filters!A:K,11, FALSE)), CONCATENATE(CHAR(34),"CamA",CHAR(34)), CONCATENATE(CHAR(34),"CamB",CHAR(34))),"}"), ""),IF(VLOOKUP(D207,DM_fish!C:X,18, FALSE)&gt;0, CONCATENATE(",{",CHAR(34),"target",CHAR(34),":",CHAR(34),VLOOKUP(D207,DM_fish!C:X,17, FALSE),CHAR(34),",", CHAR(34), "excitation",CHAR(34), ":", VLOOKUP(D207,DM_fish!C:X,18, FALSE), ",",  CHAR(34), "camera",CHAR(34), ":", IF(VALUE(VLOOKUP(D207,DM_fish!C:X,18, FALSE))&lt;VALUE(VLOOKUP(V207,imaging_filters!A:K,11, FALSE)), CONCATENATE(CHAR(34),"CamA",CHAR(34)), CONCATENATE(CHAR(34),"CamB",CHAR(34))),"}"), ""),IF(VLOOKUP(D207,DM_fish!C:X,20, FALSE)&gt;0, CONCATENATE(",{",CHAR(34),"target",CHAR(34),":",CHAR(34),VLOOKUP(D207,DM_fish!C:X,19, FALSE),CHAR(34),",", CHAR(34), "excitation",CHAR(34), ":", VLOOKUP(D207,DM_fish!C:X,20, FALSE), ",",  CHAR(34), "camera",CHAR(34), ":", IF(VALUE(VLOOKUP(D207,DM_fish!C:X,20, FALSE))&lt;VALUE(VLOOKUP(V207,imaging_filters!A:K,11, FALSE)), CONCATENATE(CHAR(34),"CamA",CHAR(34)), CONCATENATE(CHAR(34),"CamB",CHAR(34))),"}"), ""),IF(VLOOKUP(D207,DM_fish!C:X,22, FALSE)&gt;0, CONCATENATE(",{",CHAR(34),"target",CHAR(34),":",CHAR(34),VLOOKUP(D207,DM_fish!C:X,21, FALSE),CHAR(34),",", CHAR(34), "excitation",CHAR(34), ":", VLOOKUP(D207,DM_fish!C:X,22, FALSE), ",",  CHAR(34), "camera",CHAR(34), ":", IF(VALUE(VLOOKUP(D207,DM_fish!C:X,22, FALSE))&lt;VALUE(VLOOKUP(V207,imaging_filters!A:K,11, FALSE)), CONCATENATE(CHAR(34),"CamA",CHAR(34)), CONCATENATE(CHAR(34),"CamB",CHAR(34))),"}"), "")), "]"), "")</f>
        <v/>
      </c>
      <c r="X207" s="12" t="str">
        <f ca="1">IFERROR(
CONCATENATE("[", CONCATENATE(IF(VLOOKUP(C207,DM_fish!C:X,14, FALSE)&gt;0, CONCATENATE("{",CHAR(34),"target",CHAR(34),":",CHAR(34),VLOOKUP(C207,DM_fish!C:X,13, FALSE),CHAR(34),",", CHAR(34), "excitation",CHAR(34), ":", VLOOKUP(C207,DM_fish!C:X,14, FALSE), ",",  CHAR(34), "camera",CHAR(34), ":", IF(VALUE(VLOOKUP(C207,DM_fish!C:X,14, FALSE))&lt;VALUE(VLOOKUP(V207,imaging_filters!A:K,11, FALSE)), CONCATENATE(CHAR(34),"CamA",CHAR(34)), CONCATENATE(CHAR(34),"CamB",CHAR(34))),"}"), ""),IF(VLOOKUP(C207,DM_fish!C:X,16, FALSE)&gt;0, CONCATENATE(",{",CHAR(34),"target",CHAR(34),":",CHAR(34),VLOOKUP(C207,DM_fish!C:X,15, FALSE),CHAR(34),",", CHAR(34), "excitation",CHAR(34), ":", VLOOKUP(C207,DM_fish!C:X,16, FALSE), ",",  CHAR(34), "camera",CHAR(34), ":", IF(VALUE(VLOOKUP(C207,DM_fish!C:X,16, FALSE))&lt;VALUE(VLOOKUP(V207,imaging_filters!A:K,11, FALSE)), CONCATENATE(CHAR(34),"CamA",CHAR(34)), CONCATENATE(CHAR(34),"CamB",CHAR(34))),"}"), ""),IF(VLOOKUP(C207,DM_fish!C:X,18, FALSE)&gt;0, CONCATENATE(",{",CHAR(34),"target",CHAR(34),":",CHAR(34),VLOOKUP(C207,DM_fish!C:X,17, FALSE),CHAR(34),",", CHAR(34), "excitation",CHAR(34), ":", VLOOKUP(C207,DM_fish!C:X,18, FALSE), ",",  CHAR(34), "camera",CHAR(34), ":", IF(VALUE(VLOOKUP(C207,DM_fish!C:X,18, FALSE))&lt;VALUE(VLOOKUP(V207,imaging_filters!A:K,11, FALSE)), CONCATENATE(CHAR(34),"CamA",CHAR(34)), CONCATENATE(CHAR(34),"CamB",CHAR(34))),"}"), ""),IF(VLOOKUP(C207,DM_fish!C:X,20, FALSE)&gt;0, CONCATENATE(",{",CHAR(34),"target",CHAR(34),":",CHAR(34),VLOOKUP(C207,DM_fish!C:X,19, FALSE),CHAR(34),",", CHAR(34), "excitation",CHAR(34), ":", VLOOKUP(C207,DM_fish!C:X,20, FALSE), ",",  CHAR(34), "camera",CHAR(34), ":", IF(VALUE(VLOOKUP(C207,DM_fish!C:X,20, FALSE))&lt;VALUE(VLOOKUP(V207,imaging_filters!A:K,11, FALSE)), CONCATENATE(CHAR(34),"CamA",CHAR(34)), CONCATENATE(CHAR(34),"CamB",CHAR(34))),"}"), ""),IF(VLOOKUP(C207,DM_fish!C:X,22, FALSE)&gt;0, CONCATENATE(",{",CHAR(34),"target",CHAR(34),":",CHAR(34),VLOOKUP(C207,DM_fish!C:X,21, FALSE),CHAR(34),",", CHAR(34), "excitation",CHAR(34), ":", VLOOKUP(C207,DM_fish!C:X,22, FALSE), ",",  CHAR(34), "camera",CHAR(34), ":", IF(VALUE(VLOOKUP(C207,DM_fish!C:X,22, FALSE))&lt;VALUE(VLOOKUP(V207,imaging_filters!A:K,11, FALSE)), CONCATENATE(CHAR(34),"CamA",CHAR(34)), CONCATENATE(CHAR(34),"CamB",CHAR(34))),"}"), "")), "]"), "")</f>
        <v/>
      </c>
      <c r="Y207" s="11" t="str">
        <f ca="1">IFERROR(
CONCATENATE( "[",
IF(VLOOKUP(E207,Injections!B:F,3, FALSE)&gt;0, CONCATENATE( "{",CHAR(34),"target",CHAR(34),":",CHAR(34),VLOOKUP(E207,Injections!B:F,2, FALSE),CHAR(34),",", CHAR(34), "excitation",CHAR(34), ":", VLOOKUP(E207,Injections!B:F,3, FALSE), ",",  CHAR(34), "camera",CHAR(34), ":",
IF(VALUE(VLOOKUP(E207,Injections!B:F,3, FALSE))&lt;VALUE(VLOOKUP(V207,imaging_filters!A:C,2, FALSE)), CONCATENATE(CHAR(34),"CamA",CHAR(34)), CONCATENATE(CHAR(34),"CamB",CHAR(34))),"}"), ""),
IF(VLOOKUP(E207,Injections!B:F,5, FALSE)&gt;0, CONCATENATE(",{",CHAR(34),"target",CHAR(34),":",CHAR(34),VLOOKUP(E207,Injections!B:F,4, FALSE),CHAR(34),",", CHAR(34), "excitation",CHAR(34), ":", VLOOKUP(E207,Injections!B:F,5, FALSE), ",",  CHAR(34), "camera",CHAR(34), ":",
IF(VALUE(VLOOKUP(E207,Injections!B:F,5, FALSE))&lt;VALUE(VLOOKUP(V207,imaging_filters!A:C,2, FALSE)), CONCATENATE(CHAR(34),"CamA",CHAR(34)), CONCATENATE(CHAR(34),"CamB",CHAR(34))),"}"), ""),
 "]"), "[]")</f>
        <v>[]</v>
      </c>
      <c r="Z207" s="11" t="str">
        <f ca="1">IFERROR(
CONCATENATE( "[",
IF(VLOOKUP(F207,Injections!H:L,3, FALSE)&gt;0, CONCATENATE( "{",CHAR(34),"target",CHAR(34),":",CHAR(34),VLOOKUP(F207,Injections!H:L,2, FALSE),CHAR(34),",", CHAR(34), "excitation",CHAR(34), ":", VLOOKUP(F207,Injections!H:L,3, FALSE), ",",  CHAR(34), "camera",CHAR(34), ":",
IF(VALUE(VLOOKUP(F207,Injections!H:L,3, FALSE))&lt;VALUE(VLOOKUP(V207,imaging_filters!A:K,11, FALSE)), CONCATENATE(CHAR(34),"CamA",CHAR(34)), CONCATENATE(CHAR(34),"CamB",CHAR(34))),"}"), ""),
IF(VLOOKUP(F207,Injections!H:L,5, FALSE)&gt;0, CONCATENATE(",{",CHAR(34),"target",CHAR(34),":",CHAR(34),VLOOKUP(F207,Injections!H:L,4, FALSE),CHAR(34),",", CHAR(34), "excitation",CHAR(34), ":", VLOOKUP(F207,Injections!H:L,5, FALSE), ",",  CHAR(34), "camera",CHAR(34), ":",
IF(VALUE(VLOOKUP(F207,Injections!H:L,5, FALSE))&lt;VALUE(VLOOKUP(V207,imaging_filters!A:K,11, FALSE)), CONCATENATE(CHAR(34),"CamA",CHAR(34)), CONCATENATE(CHAR(34),"CamB",CHAR(34))),"}"), ""),
 "]"), "[]")</f>
        <v>[]</v>
      </c>
      <c r="AA207" s="11" t="s">
        <v>371</v>
      </c>
      <c r="AB207" s="1" t="s">
        <v>372</v>
      </c>
    </row>
    <row r="208" spans="1:28" ht="15.75" customHeight="1" x14ac:dyDescent="0.15">
      <c r="A208" s="7">
        <f t="shared" si="4"/>
        <v>45785</v>
      </c>
      <c r="B208" s="1"/>
      <c r="C208" s="1" t="s">
        <v>107</v>
      </c>
      <c r="D208" s="1" t="s">
        <v>107</v>
      </c>
      <c r="E208" s="1"/>
      <c r="F208" s="1" t="s">
        <v>373</v>
      </c>
      <c r="G208" s="8"/>
      <c r="H208" s="8"/>
      <c r="I208" s="8">
        <v>45784</v>
      </c>
      <c r="K208" s="1"/>
      <c r="L208" s="8">
        <v>45785</v>
      </c>
      <c r="M208" s="8">
        <v>45785</v>
      </c>
      <c r="Q208" s="1" t="s">
        <v>366</v>
      </c>
      <c r="R208" s="10" t="str">
        <f ca="1">IFERROR(__xludf.DUMMYFUNCTION("JOIN("","", SORT(UNIQUE(TOCOL({VLOOKUP(D208,DM_fish!A:B,2,FALSE),VLOOKUP(C208,DM_fish!A:B,2,FALSE), ARRAYFORMULA(VLOOKUP(SPLIT(E208, "", ""),Injections!B:G,6,FALSE)), ARRAYFORMULA(VLOOKUP(SPLIT(F208, "", ""),Injections!H:M,6,FALSE)), ARRAYFORMULA(VLOOKUP("&amp;"SPLIT(G208, "", ""),Injections!N:S,6,FALSE)), ARRAYFORMULA(VLOOKUP(SPLIT(H208, "", ""),Injections!T:Y,6,FALSE)) },3))))"),"membrane")</f>
        <v>membrane</v>
      </c>
      <c r="S208" s="10" t="str">
        <f ca="1">IFERROR(__xludf.DUMMYFUNCTION("IFERROR(JOIN("","", SPLIT(R208, "","", TRUE ,TRUE)), """")"),"membrane")</f>
        <v>membrane</v>
      </c>
      <c r="T208" s="1" t="s">
        <v>374</v>
      </c>
      <c r="V208" s="1" t="s">
        <v>203</v>
      </c>
      <c r="W208" s="12" t="str">
        <f ca="1">IFERROR(CONCATENATE("[", CONCATENATE(IF(VLOOKUP(D208,DM_fish!C:X,14, FALSE)&gt;0, CONCATENATE("{",CHAR(34),"target",CHAR(34),":",CHAR(34),VLOOKUP(D208,DM_fish!C:X,13, FALSE),CHAR(34),",", CHAR(34), "excitation",CHAR(34), ":", VLOOKUP(D208,DM_fish!C:X,14, FALSE), ",",  CHAR(34), "camera",CHAR(34), ":", IF(VALUE(VLOOKUP(D208,DM_fish!C:X,14, FALSE))&lt;VALUE(VLOOKUP(V208,imaging_filters!A:K,11, FALSE)), CONCATENATE(CHAR(34),"CamA",CHAR(34)), CONCATENATE(CHAR(34),"CamB",CHAR(34))),"}"), ""),IF(VLOOKUP(D208,DM_fish!C:X,16, FALSE)&gt;0, CONCATENATE(",{",CHAR(34),"target",CHAR(34),":",CHAR(34),VLOOKUP(D208,DM_fish!C:X,15, FALSE),CHAR(34),",", CHAR(34), "excitation",CHAR(34), ":", VLOOKUP(D208,DM_fish!C:X,16, FALSE), ",",  CHAR(34), "camera",CHAR(34), ":", IF(VALUE(VLOOKUP(D208,DM_fish!C:X,16, FALSE))&lt;VALUE(VLOOKUP(V208,imaging_filters!A:K,11, FALSE)), CONCATENATE(CHAR(34),"CamA",CHAR(34)), CONCATENATE(CHAR(34),"CamB",CHAR(34))),"}"), ""),IF(VLOOKUP(D208,DM_fish!C:X,18, FALSE)&gt;0, CONCATENATE(",{",CHAR(34),"target",CHAR(34),":",CHAR(34),VLOOKUP(D208,DM_fish!C:X,17, FALSE),CHAR(34),",", CHAR(34), "excitation",CHAR(34), ":", VLOOKUP(D208,DM_fish!C:X,18, FALSE), ",",  CHAR(34), "camera",CHAR(34), ":", IF(VALUE(VLOOKUP(D208,DM_fish!C:X,18, FALSE))&lt;VALUE(VLOOKUP(V208,imaging_filters!A:K,11, FALSE)), CONCATENATE(CHAR(34),"CamA",CHAR(34)), CONCATENATE(CHAR(34),"CamB",CHAR(34))),"}"), ""),IF(VLOOKUP(D208,DM_fish!C:X,20, FALSE)&gt;0, CONCATENATE(",{",CHAR(34),"target",CHAR(34),":",CHAR(34),VLOOKUP(D208,DM_fish!C:X,19, FALSE),CHAR(34),",", CHAR(34), "excitation",CHAR(34), ":", VLOOKUP(D208,DM_fish!C:X,20, FALSE), ",",  CHAR(34), "camera",CHAR(34), ":", IF(VALUE(VLOOKUP(D208,DM_fish!C:X,20, FALSE))&lt;VALUE(VLOOKUP(V208,imaging_filters!A:K,11, FALSE)), CONCATENATE(CHAR(34),"CamA",CHAR(34)), CONCATENATE(CHAR(34),"CamB",CHAR(34))),"}"), ""),IF(VLOOKUP(D208,DM_fish!C:X,22, FALSE)&gt;0, CONCATENATE(",{",CHAR(34),"target",CHAR(34),":",CHAR(34),VLOOKUP(D208,DM_fish!C:X,21, FALSE),CHAR(34),",", CHAR(34), "excitation",CHAR(34), ":", VLOOKUP(D208,DM_fish!C:X,22, FALSE), ",",  CHAR(34), "camera",CHAR(34), ":", IF(VALUE(VLOOKUP(D208,DM_fish!C:X,22, FALSE))&lt;VALUE(VLOOKUP(V208,imaging_filters!A:K,11, FALSE)), CONCATENATE(CHAR(34),"CamA",CHAR(34)), CONCATENATE(CHAR(34),"CamB",CHAR(34))),"}"), "")), "]"), "")</f>
        <v/>
      </c>
      <c r="X208" s="12" t="str">
        <f ca="1">IFERROR(
CONCATENATE("[", CONCATENATE(IF(VLOOKUP(C208,DM_fish!C:X,14, FALSE)&gt;0, CONCATENATE("{",CHAR(34),"target",CHAR(34),":",CHAR(34),VLOOKUP(C208,DM_fish!C:X,13, FALSE),CHAR(34),",", CHAR(34), "excitation",CHAR(34), ":", VLOOKUP(C208,DM_fish!C:X,14, FALSE), ",",  CHAR(34), "camera",CHAR(34), ":", IF(VALUE(VLOOKUP(C208,DM_fish!C:X,14, FALSE))&lt;VALUE(VLOOKUP(V208,imaging_filters!A:K,11, FALSE)), CONCATENATE(CHAR(34),"CamA",CHAR(34)), CONCATENATE(CHAR(34),"CamB",CHAR(34))),"}"), ""),IF(VLOOKUP(C208,DM_fish!C:X,16, FALSE)&gt;0, CONCATENATE(",{",CHAR(34),"target",CHAR(34),":",CHAR(34),VLOOKUP(C208,DM_fish!C:X,15, FALSE),CHAR(34),",", CHAR(34), "excitation",CHAR(34), ":", VLOOKUP(C208,DM_fish!C:X,16, FALSE), ",",  CHAR(34), "camera",CHAR(34), ":", IF(VALUE(VLOOKUP(C208,DM_fish!C:X,16, FALSE))&lt;VALUE(VLOOKUP(V208,imaging_filters!A:K,11, FALSE)), CONCATENATE(CHAR(34),"CamA",CHAR(34)), CONCATENATE(CHAR(34),"CamB",CHAR(34))),"}"), ""),IF(VLOOKUP(C208,DM_fish!C:X,18, FALSE)&gt;0, CONCATENATE(",{",CHAR(34),"target",CHAR(34),":",CHAR(34),VLOOKUP(C208,DM_fish!C:X,17, FALSE),CHAR(34),",", CHAR(34), "excitation",CHAR(34), ":", VLOOKUP(C208,DM_fish!C:X,18, FALSE), ",",  CHAR(34), "camera",CHAR(34), ":", IF(VALUE(VLOOKUP(C208,DM_fish!C:X,18, FALSE))&lt;VALUE(VLOOKUP(V208,imaging_filters!A:K,11, FALSE)), CONCATENATE(CHAR(34),"CamA",CHAR(34)), CONCATENATE(CHAR(34),"CamB",CHAR(34))),"}"), ""),IF(VLOOKUP(C208,DM_fish!C:X,20, FALSE)&gt;0, CONCATENATE(",{",CHAR(34),"target",CHAR(34),":",CHAR(34),VLOOKUP(C208,DM_fish!C:X,19, FALSE),CHAR(34),",", CHAR(34), "excitation",CHAR(34), ":", VLOOKUP(C208,DM_fish!C:X,20, FALSE), ",",  CHAR(34), "camera",CHAR(34), ":", IF(VALUE(VLOOKUP(C208,DM_fish!C:X,20, FALSE))&lt;VALUE(VLOOKUP(V208,imaging_filters!A:K,11, FALSE)), CONCATENATE(CHAR(34),"CamA",CHAR(34)), CONCATENATE(CHAR(34),"CamB",CHAR(34))),"}"), ""),IF(VLOOKUP(C208,DM_fish!C:X,22, FALSE)&gt;0, CONCATENATE(",{",CHAR(34),"target",CHAR(34),":",CHAR(34),VLOOKUP(C208,DM_fish!C:X,21, FALSE),CHAR(34),",", CHAR(34), "excitation",CHAR(34), ":", VLOOKUP(C208,DM_fish!C:X,22, FALSE), ",",  CHAR(34), "camera",CHAR(34), ":", IF(VALUE(VLOOKUP(C208,DM_fish!C:X,22, FALSE))&lt;VALUE(VLOOKUP(V208,imaging_filters!A:K,11, FALSE)), CONCATENATE(CHAR(34),"CamA",CHAR(34)), CONCATENATE(CHAR(34),"CamB",CHAR(34))),"}"), "")), "]"), "")</f>
        <v/>
      </c>
      <c r="Y208" s="11" t="str">
        <f ca="1">IFERROR(
CONCATENATE( "[",
IF(VLOOKUP(E208,Injections!B:F,3, FALSE)&gt;0, CONCATENATE( "{",CHAR(34),"target",CHAR(34),":",CHAR(34),VLOOKUP(E208,Injections!B:F,2, FALSE),CHAR(34),",", CHAR(34), "excitation",CHAR(34), ":", VLOOKUP(E208,Injections!B:F,3, FALSE), ",",  CHAR(34), "camera",CHAR(34), ":",
IF(VALUE(VLOOKUP(E208,Injections!B:F,3, FALSE))&lt;VALUE(VLOOKUP(V208,imaging_filters!A:C,2, FALSE)), CONCATENATE(CHAR(34),"CamA",CHAR(34)), CONCATENATE(CHAR(34),"CamB",CHAR(34))),"}"), ""),
IF(VLOOKUP(E208,Injections!B:F,5, FALSE)&gt;0, CONCATENATE(",{",CHAR(34),"target",CHAR(34),":",CHAR(34),VLOOKUP(E208,Injections!B:F,4, FALSE),CHAR(34),",", CHAR(34), "excitation",CHAR(34), ":", VLOOKUP(E208,Injections!B:F,5, FALSE), ",",  CHAR(34), "camera",CHAR(34), ":",
IF(VALUE(VLOOKUP(E208,Injections!B:F,5, FALSE))&lt;VALUE(VLOOKUP(V208,imaging_filters!A:C,2, FALSE)), CONCATENATE(CHAR(34),"CamA",CHAR(34)), CONCATENATE(CHAR(34),"CamB",CHAR(34))),"}"), ""),
 "]"), "[]")</f>
        <v>[]</v>
      </c>
      <c r="Z208" s="11" t="str">
        <f ca="1">IFERROR(
CONCATENATE( "[",
IF(VLOOKUP(F208,Injections!H:L,3, FALSE)&gt;0, CONCATENATE( "{",CHAR(34),"target",CHAR(34),":",CHAR(34),VLOOKUP(F208,Injections!H:L,2, FALSE),CHAR(34),",", CHAR(34), "excitation",CHAR(34), ":", VLOOKUP(F208,Injections!H:L,3, FALSE), ",",  CHAR(34), "camera",CHAR(34), ":",
IF(VALUE(VLOOKUP(F208,Injections!H:L,3, FALSE))&lt;VALUE(VLOOKUP(V208,imaging_filters!A:K,11, FALSE)), CONCATENATE(CHAR(34),"CamA",CHAR(34)), CONCATENATE(CHAR(34),"CamB",CHAR(34))),"}"), ""),
IF(VLOOKUP(F208,Injections!H:L,5, FALSE)&gt;0, CONCATENATE(",{",CHAR(34),"target",CHAR(34),":",CHAR(34),VLOOKUP(F208,Injections!H:L,4, FALSE),CHAR(34),",", CHAR(34), "excitation",CHAR(34), ":", VLOOKUP(F208,Injections!H:L,5, FALSE), ",",  CHAR(34), "camera",CHAR(34), ":",
IF(VALUE(VLOOKUP(F208,Injections!H:L,5, FALSE))&lt;VALUE(VLOOKUP(V208,imaging_filters!A:K,11, FALSE)), CONCATENATE(CHAR(34),"CamA",CHAR(34)), CONCATENATE(CHAR(34),"CamB",CHAR(34))),"}"), ""),
 "]"), "[]")</f>
        <v>[]</v>
      </c>
      <c r="AA208" s="11"/>
    </row>
    <row r="209" spans="1:27" ht="15.75" customHeight="1" x14ac:dyDescent="0.15">
      <c r="A209" s="7">
        <f t="shared" si="4"/>
        <v>45785</v>
      </c>
      <c r="B209" s="1"/>
      <c r="C209" s="1" t="s">
        <v>107</v>
      </c>
      <c r="D209" s="1" t="s">
        <v>107</v>
      </c>
      <c r="E209" s="1"/>
      <c r="F209" s="1" t="s">
        <v>373</v>
      </c>
      <c r="G209" s="8"/>
      <c r="H209" s="8"/>
      <c r="I209" s="8">
        <v>45784</v>
      </c>
      <c r="K209" s="1"/>
      <c r="L209" s="8">
        <v>45785</v>
      </c>
      <c r="M209" s="8">
        <v>45785</v>
      </c>
      <c r="Q209" s="1" t="s">
        <v>366</v>
      </c>
      <c r="R209" s="10" t="str">
        <f ca="1">IFERROR(__xludf.DUMMYFUNCTION("JOIN("","", SORT(UNIQUE(TOCOL({VLOOKUP(D209,DM_fish!A:B,2,FALSE),VLOOKUP(C209,DM_fish!A:B,2,FALSE), ARRAYFORMULA(VLOOKUP(SPLIT(E209, "", ""),Injections!B:G,6,FALSE)), ARRAYFORMULA(VLOOKUP(SPLIT(F209, "", ""),Injections!H:M,6,FALSE)), ARRAYFORMULA(VLOOKUP("&amp;"SPLIT(G209, "", ""),Injections!N:S,6,FALSE)), ARRAYFORMULA(VLOOKUP(SPLIT(H209, "", ""),Injections!T:Y,6,FALSE)) },3))))"),"membrane")</f>
        <v>membrane</v>
      </c>
      <c r="S209" s="10" t="str">
        <f ca="1">IFERROR(__xludf.DUMMYFUNCTION("IFERROR(JOIN("","", SPLIT(R209, "","", TRUE ,TRUE)), """")"),"membrane")</f>
        <v>membrane</v>
      </c>
      <c r="T209" s="1" t="s">
        <v>375</v>
      </c>
      <c r="V209" s="1" t="s">
        <v>203</v>
      </c>
      <c r="W209" s="12" t="str">
        <f ca="1">IFERROR(CONCATENATE("[", CONCATENATE(IF(VLOOKUP(D209,DM_fish!C:X,14, FALSE)&gt;0, CONCATENATE("{",CHAR(34),"target",CHAR(34),":",CHAR(34),VLOOKUP(D209,DM_fish!C:X,13, FALSE),CHAR(34),",", CHAR(34), "excitation",CHAR(34), ":", VLOOKUP(D209,DM_fish!C:X,14, FALSE), ",",  CHAR(34), "camera",CHAR(34), ":", IF(VALUE(VLOOKUP(D209,DM_fish!C:X,14, FALSE))&lt;VALUE(VLOOKUP(V209,imaging_filters!A:K,11, FALSE)), CONCATENATE(CHAR(34),"CamA",CHAR(34)), CONCATENATE(CHAR(34),"CamB",CHAR(34))),"}"), ""),IF(VLOOKUP(D209,DM_fish!C:X,16, FALSE)&gt;0, CONCATENATE(",{",CHAR(34),"target",CHAR(34),":",CHAR(34),VLOOKUP(D209,DM_fish!C:X,15, FALSE),CHAR(34),",", CHAR(34), "excitation",CHAR(34), ":", VLOOKUP(D209,DM_fish!C:X,16, FALSE), ",",  CHAR(34), "camera",CHAR(34), ":", IF(VALUE(VLOOKUP(D209,DM_fish!C:X,16, FALSE))&lt;VALUE(VLOOKUP(V209,imaging_filters!A:K,11, FALSE)), CONCATENATE(CHAR(34),"CamA",CHAR(34)), CONCATENATE(CHAR(34),"CamB",CHAR(34))),"}"), ""),IF(VLOOKUP(D209,DM_fish!C:X,18, FALSE)&gt;0, CONCATENATE(",{",CHAR(34),"target",CHAR(34),":",CHAR(34),VLOOKUP(D209,DM_fish!C:X,17, FALSE),CHAR(34),",", CHAR(34), "excitation",CHAR(34), ":", VLOOKUP(D209,DM_fish!C:X,18, FALSE), ",",  CHAR(34), "camera",CHAR(34), ":", IF(VALUE(VLOOKUP(D209,DM_fish!C:X,18, FALSE))&lt;VALUE(VLOOKUP(V209,imaging_filters!A:K,11, FALSE)), CONCATENATE(CHAR(34),"CamA",CHAR(34)), CONCATENATE(CHAR(34),"CamB",CHAR(34))),"}"), ""),IF(VLOOKUP(D209,DM_fish!C:X,20, FALSE)&gt;0, CONCATENATE(",{",CHAR(34),"target",CHAR(34),":",CHAR(34),VLOOKUP(D209,DM_fish!C:X,19, FALSE),CHAR(34),",", CHAR(34), "excitation",CHAR(34), ":", VLOOKUP(D209,DM_fish!C:X,20, FALSE), ",",  CHAR(34), "camera",CHAR(34), ":", IF(VALUE(VLOOKUP(D209,DM_fish!C:X,20, FALSE))&lt;VALUE(VLOOKUP(V209,imaging_filters!A:K,11, FALSE)), CONCATENATE(CHAR(34),"CamA",CHAR(34)), CONCATENATE(CHAR(34),"CamB",CHAR(34))),"}"), ""),IF(VLOOKUP(D209,DM_fish!C:X,22, FALSE)&gt;0, CONCATENATE(",{",CHAR(34),"target",CHAR(34),":",CHAR(34),VLOOKUP(D209,DM_fish!C:X,21, FALSE),CHAR(34),",", CHAR(34), "excitation",CHAR(34), ":", VLOOKUP(D209,DM_fish!C:X,22, FALSE), ",",  CHAR(34), "camera",CHAR(34), ":", IF(VALUE(VLOOKUP(D209,DM_fish!C:X,22, FALSE))&lt;VALUE(VLOOKUP(V209,imaging_filters!A:K,11, FALSE)), CONCATENATE(CHAR(34),"CamA",CHAR(34)), CONCATENATE(CHAR(34),"CamB",CHAR(34))),"}"), "")), "]"), "")</f>
        <v/>
      </c>
      <c r="X209" s="12" t="str">
        <f ca="1">IFERROR(
CONCATENATE("[", CONCATENATE(IF(VLOOKUP(C209,DM_fish!C:X,14, FALSE)&gt;0, CONCATENATE("{",CHAR(34),"target",CHAR(34),":",CHAR(34),VLOOKUP(C209,DM_fish!C:X,13, FALSE),CHAR(34),",", CHAR(34), "excitation",CHAR(34), ":", VLOOKUP(C209,DM_fish!C:X,14, FALSE), ",",  CHAR(34), "camera",CHAR(34), ":", IF(VALUE(VLOOKUP(C209,DM_fish!C:X,14, FALSE))&lt;VALUE(VLOOKUP(V209,imaging_filters!A:K,11, FALSE)), CONCATENATE(CHAR(34),"CamA",CHAR(34)), CONCATENATE(CHAR(34),"CamB",CHAR(34))),"}"), ""),IF(VLOOKUP(C209,DM_fish!C:X,16, FALSE)&gt;0, CONCATENATE(",{",CHAR(34),"target",CHAR(34),":",CHAR(34),VLOOKUP(C209,DM_fish!C:X,15, FALSE),CHAR(34),",", CHAR(34), "excitation",CHAR(34), ":", VLOOKUP(C209,DM_fish!C:X,16, FALSE), ",",  CHAR(34), "camera",CHAR(34), ":", IF(VALUE(VLOOKUP(C209,DM_fish!C:X,16, FALSE))&lt;VALUE(VLOOKUP(V209,imaging_filters!A:K,11, FALSE)), CONCATENATE(CHAR(34),"CamA",CHAR(34)), CONCATENATE(CHAR(34),"CamB",CHAR(34))),"}"), ""),IF(VLOOKUP(C209,DM_fish!C:X,18, FALSE)&gt;0, CONCATENATE(",{",CHAR(34),"target",CHAR(34),":",CHAR(34),VLOOKUP(C209,DM_fish!C:X,17, FALSE),CHAR(34),",", CHAR(34), "excitation",CHAR(34), ":", VLOOKUP(C209,DM_fish!C:X,18, FALSE), ",",  CHAR(34), "camera",CHAR(34), ":", IF(VALUE(VLOOKUP(C209,DM_fish!C:X,18, FALSE))&lt;VALUE(VLOOKUP(V209,imaging_filters!A:K,11, FALSE)), CONCATENATE(CHAR(34),"CamA",CHAR(34)), CONCATENATE(CHAR(34),"CamB",CHAR(34))),"}"), ""),IF(VLOOKUP(C209,DM_fish!C:X,20, FALSE)&gt;0, CONCATENATE(",{",CHAR(34),"target",CHAR(34),":",CHAR(34),VLOOKUP(C209,DM_fish!C:X,19, FALSE),CHAR(34),",", CHAR(34), "excitation",CHAR(34), ":", VLOOKUP(C209,DM_fish!C:X,20, FALSE), ",",  CHAR(34), "camera",CHAR(34), ":", IF(VALUE(VLOOKUP(C209,DM_fish!C:X,20, FALSE))&lt;VALUE(VLOOKUP(V209,imaging_filters!A:K,11, FALSE)), CONCATENATE(CHAR(34),"CamA",CHAR(34)), CONCATENATE(CHAR(34),"CamB",CHAR(34))),"}"), ""),IF(VLOOKUP(C209,DM_fish!C:X,22, FALSE)&gt;0, CONCATENATE(",{",CHAR(34),"target",CHAR(34),":",CHAR(34),VLOOKUP(C209,DM_fish!C:X,21, FALSE),CHAR(34),",", CHAR(34), "excitation",CHAR(34), ":", VLOOKUP(C209,DM_fish!C:X,22, FALSE), ",",  CHAR(34), "camera",CHAR(34), ":", IF(VALUE(VLOOKUP(C209,DM_fish!C:X,22, FALSE))&lt;VALUE(VLOOKUP(V209,imaging_filters!A:K,11, FALSE)), CONCATENATE(CHAR(34),"CamA",CHAR(34)), CONCATENATE(CHAR(34),"CamB",CHAR(34))),"}"), "")), "]"), "")</f>
        <v/>
      </c>
      <c r="Y209" s="11" t="str">
        <f ca="1">IFERROR(
CONCATENATE( "[",
IF(VLOOKUP(E209,Injections!B:F,3, FALSE)&gt;0, CONCATENATE( "{",CHAR(34),"target",CHAR(34),":",CHAR(34),VLOOKUP(E209,Injections!B:F,2, FALSE),CHAR(34),",", CHAR(34), "excitation",CHAR(34), ":", VLOOKUP(E209,Injections!B:F,3, FALSE), ",",  CHAR(34), "camera",CHAR(34), ":",
IF(VALUE(VLOOKUP(E209,Injections!B:F,3, FALSE))&lt;VALUE(VLOOKUP(V209,imaging_filters!A:C,2, FALSE)), CONCATENATE(CHAR(34),"CamA",CHAR(34)), CONCATENATE(CHAR(34),"CamB",CHAR(34))),"}"), ""),
IF(VLOOKUP(E209,Injections!B:F,5, FALSE)&gt;0, CONCATENATE(",{",CHAR(34),"target",CHAR(34),":",CHAR(34),VLOOKUP(E209,Injections!B:F,4, FALSE),CHAR(34),",", CHAR(34), "excitation",CHAR(34), ":", VLOOKUP(E209,Injections!B:F,5, FALSE), ",",  CHAR(34), "camera",CHAR(34), ":",
IF(VALUE(VLOOKUP(E209,Injections!B:F,5, FALSE))&lt;VALUE(VLOOKUP(V209,imaging_filters!A:C,2, FALSE)), CONCATENATE(CHAR(34),"CamA",CHAR(34)), CONCATENATE(CHAR(34),"CamB",CHAR(34))),"}"), ""),
 "]"), "[]")</f>
        <v>[]</v>
      </c>
      <c r="Z209" s="11" t="str">
        <f ca="1">IFERROR(
CONCATENATE( "[",
IF(VLOOKUP(F209,Injections!H:L,3, FALSE)&gt;0, CONCATENATE( "{",CHAR(34),"target",CHAR(34),":",CHAR(34),VLOOKUP(F209,Injections!H:L,2, FALSE),CHAR(34),",", CHAR(34), "excitation",CHAR(34), ":", VLOOKUP(F209,Injections!H:L,3, FALSE), ",",  CHAR(34), "camera",CHAR(34), ":",
IF(VALUE(VLOOKUP(F209,Injections!H:L,3, FALSE))&lt;VALUE(VLOOKUP(V209,imaging_filters!A:K,11, FALSE)), CONCATENATE(CHAR(34),"CamA",CHAR(34)), CONCATENATE(CHAR(34),"CamB",CHAR(34))),"}"), ""),
IF(VLOOKUP(F209,Injections!H:L,5, FALSE)&gt;0, CONCATENATE(",{",CHAR(34),"target",CHAR(34),":",CHAR(34),VLOOKUP(F209,Injections!H:L,4, FALSE),CHAR(34),",", CHAR(34), "excitation",CHAR(34), ":", VLOOKUP(F209,Injections!H:L,5, FALSE), ",",  CHAR(34), "camera",CHAR(34), ":",
IF(VALUE(VLOOKUP(F209,Injections!H:L,5, FALSE))&lt;VALUE(VLOOKUP(V209,imaging_filters!A:K,11, FALSE)), CONCATENATE(CHAR(34),"CamA",CHAR(34)), CONCATENATE(CHAR(34),"CamB",CHAR(34))),"}"), ""),
 "]"), "[]")</f>
        <v>[]</v>
      </c>
      <c r="AA209" s="11"/>
    </row>
    <row r="210" spans="1:27" ht="15.75" customHeight="1" x14ac:dyDescent="0.15">
      <c r="A210" s="7">
        <v>45784</v>
      </c>
      <c r="B210" s="1"/>
      <c r="C210" s="1" t="s">
        <v>107</v>
      </c>
      <c r="D210" s="1" t="s">
        <v>107</v>
      </c>
      <c r="E210" s="1"/>
      <c r="F210" s="1" t="s">
        <v>376</v>
      </c>
      <c r="G210" s="8"/>
      <c r="H210" s="8"/>
      <c r="I210" s="8">
        <v>45783</v>
      </c>
      <c r="K210" s="1"/>
      <c r="L210" s="8">
        <v>45784</v>
      </c>
      <c r="M210" s="8">
        <v>45784</v>
      </c>
      <c r="Q210" s="1" t="s">
        <v>366</v>
      </c>
      <c r="R210" s="10" t="str">
        <f ca="1">IFERROR(__xludf.DUMMYFUNCTION("JOIN("","", SORT(UNIQUE(TOCOL({VLOOKUP(D210,DM_fish!A:B,2,FALSE),VLOOKUP(C210,DM_fish!A:B,2,FALSE), ARRAYFORMULA(VLOOKUP(SPLIT(E210, "", ""),Injections!B:G,6,FALSE)), ARRAYFORMULA(VLOOKUP(SPLIT(F210, "", ""),Injections!H:M,6,FALSE)), ARRAYFORMULA(VLOOKUP("&amp;"SPLIT(G210, "", ""),Injections!N:S,6,FALSE)), ARRAYFORMULA(VLOOKUP(SPLIT(H210, "", ""),Injections!T:Y,6,FALSE)) },3))))"),"Actin,membrane")</f>
        <v>Actin,membrane</v>
      </c>
      <c r="S210" s="10" t="str">
        <f ca="1">IFERROR(__xludf.DUMMYFUNCTION("IFERROR(JOIN("","", SPLIT(R210, "","", TRUE ,TRUE)), """")"),"Actin,membrane")</f>
        <v>Actin,membrane</v>
      </c>
      <c r="T210" s="1" t="s">
        <v>377</v>
      </c>
      <c r="V210" s="1" t="s">
        <v>203</v>
      </c>
      <c r="W210" s="12" t="str">
        <f ca="1">IFERROR(CONCATENATE("[", CONCATENATE(IF(VLOOKUP(D210,DM_fish!C:X,14, FALSE)&gt;0, CONCATENATE("{",CHAR(34),"target",CHAR(34),":",CHAR(34),VLOOKUP(D210,DM_fish!C:X,13, FALSE),CHAR(34),",", CHAR(34), "excitation",CHAR(34), ":", VLOOKUP(D210,DM_fish!C:X,14, FALSE), ",",  CHAR(34), "camera",CHAR(34), ":", IF(VALUE(VLOOKUP(D210,DM_fish!C:X,14, FALSE))&lt;VALUE(VLOOKUP(V210,imaging_filters!A:K,11, FALSE)), CONCATENATE(CHAR(34),"CamA",CHAR(34)), CONCATENATE(CHAR(34),"CamB",CHAR(34))),"}"), ""),IF(VLOOKUP(D210,DM_fish!C:X,16, FALSE)&gt;0, CONCATENATE(",{",CHAR(34),"target",CHAR(34),":",CHAR(34),VLOOKUP(D210,DM_fish!C:X,15, FALSE),CHAR(34),",", CHAR(34), "excitation",CHAR(34), ":", VLOOKUP(D210,DM_fish!C:X,16, FALSE), ",",  CHAR(34), "camera",CHAR(34), ":", IF(VALUE(VLOOKUP(D210,DM_fish!C:X,16, FALSE))&lt;VALUE(VLOOKUP(V210,imaging_filters!A:K,11, FALSE)), CONCATENATE(CHAR(34),"CamA",CHAR(34)), CONCATENATE(CHAR(34),"CamB",CHAR(34))),"}"), ""),IF(VLOOKUP(D210,DM_fish!C:X,18, FALSE)&gt;0, CONCATENATE(",{",CHAR(34),"target",CHAR(34),":",CHAR(34),VLOOKUP(D210,DM_fish!C:X,17, FALSE),CHAR(34),",", CHAR(34), "excitation",CHAR(34), ":", VLOOKUP(D210,DM_fish!C:X,18, FALSE), ",",  CHAR(34), "camera",CHAR(34), ":", IF(VALUE(VLOOKUP(D210,DM_fish!C:X,18, FALSE))&lt;VALUE(VLOOKUP(V210,imaging_filters!A:K,11, FALSE)), CONCATENATE(CHAR(34),"CamA",CHAR(34)), CONCATENATE(CHAR(34),"CamB",CHAR(34))),"}"), ""),IF(VLOOKUP(D210,DM_fish!C:X,20, FALSE)&gt;0, CONCATENATE(",{",CHAR(34),"target",CHAR(34),":",CHAR(34),VLOOKUP(D210,DM_fish!C:X,19, FALSE),CHAR(34),",", CHAR(34), "excitation",CHAR(34), ":", VLOOKUP(D210,DM_fish!C:X,20, FALSE), ",",  CHAR(34), "camera",CHAR(34), ":", IF(VALUE(VLOOKUP(D210,DM_fish!C:X,20, FALSE))&lt;VALUE(VLOOKUP(V210,imaging_filters!A:K,11, FALSE)), CONCATENATE(CHAR(34),"CamA",CHAR(34)), CONCATENATE(CHAR(34),"CamB",CHAR(34))),"}"), ""),IF(VLOOKUP(D210,DM_fish!C:X,22, FALSE)&gt;0, CONCATENATE(",{",CHAR(34),"target",CHAR(34),":",CHAR(34),VLOOKUP(D210,DM_fish!C:X,21, FALSE),CHAR(34),",", CHAR(34), "excitation",CHAR(34), ":", VLOOKUP(D210,DM_fish!C:X,22, FALSE), ",",  CHAR(34), "camera",CHAR(34), ":", IF(VALUE(VLOOKUP(D210,DM_fish!C:X,22, FALSE))&lt;VALUE(VLOOKUP(V210,imaging_filters!A:K,11, FALSE)), CONCATENATE(CHAR(34),"CamA",CHAR(34)), CONCATENATE(CHAR(34),"CamB",CHAR(34))),"}"), "")), "]"), "")</f>
        <v/>
      </c>
      <c r="X210" s="12" t="str">
        <f ca="1">IFERROR(
CONCATENATE("[", CONCATENATE(IF(VLOOKUP(C210,DM_fish!C:X,14, FALSE)&gt;0, CONCATENATE("{",CHAR(34),"target",CHAR(34),":",CHAR(34),VLOOKUP(C210,DM_fish!C:X,13, FALSE),CHAR(34),",", CHAR(34), "excitation",CHAR(34), ":", VLOOKUP(C210,DM_fish!C:X,14, FALSE), ",",  CHAR(34), "camera",CHAR(34), ":", IF(VALUE(VLOOKUP(C210,DM_fish!C:X,14, FALSE))&lt;VALUE(VLOOKUP(V210,imaging_filters!A:K,11, FALSE)), CONCATENATE(CHAR(34),"CamA",CHAR(34)), CONCATENATE(CHAR(34),"CamB",CHAR(34))),"}"), ""),IF(VLOOKUP(C210,DM_fish!C:X,16, FALSE)&gt;0, CONCATENATE(",{",CHAR(34),"target",CHAR(34),":",CHAR(34),VLOOKUP(C210,DM_fish!C:X,15, FALSE),CHAR(34),",", CHAR(34), "excitation",CHAR(34), ":", VLOOKUP(C210,DM_fish!C:X,16, FALSE), ",",  CHAR(34), "camera",CHAR(34), ":", IF(VALUE(VLOOKUP(C210,DM_fish!C:X,16, FALSE))&lt;VALUE(VLOOKUP(V210,imaging_filters!A:K,11, FALSE)), CONCATENATE(CHAR(34),"CamA",CHAR(34)), CONCATENATE(CHAR(34),"CamB",CHAR(34))),"}"), ""),IF(VLOOKUP(C210,DM_fish!C:X,18, FALSE)&gt;0, CONCATENATE(",{",CHAR(34),"target",CHAR(34),":",CHAR(34),VLOOKUP(C210,DM_fish!C:X,17, FALSE),CHAR(34),",", CHAR(34), "excitation",CHAR(34), ":", VLOOKUP(C210,DM_fish!C:X,18, FALSE), ",",  CHAR(34), "camera",CHAR(34), ":", IF(VALUE(VLOOKUP(C210,DM_fish!C:X,18, FALSE))&lt;VALUE(VLOOKUP(V210,imaging_filters!A:K,11, FALSE)), CONCATENATE(CHAR(34),"CamA",CHAR(34)), CONCATENATE(CHAR(34),"CamB",CHAR(34))),"}"), ""),IF(VLOOKUP(C210,DM_fish!C:X,20, FALSE)&gt;0, CONCATENATE(",{",CHAR(34),"target",CHAR(34),":",CHAR(34),VLOOKUP(C210,DM_fish!C:X,19, FALSE),CHAR(34),",", CHAR(34), "excitation",CHAR(34), ":", VLOOKUP(C210,DM_fish!C:X,20, FALSE), ",",  CHAR(34), "camera",CHAR(34), ":", IF(VALUE(VLOOKUP(C210,DM_fish!C:X,20, FALSE))&lt;VALUE(VLOOKUP(V210,imaging_filters!A:K,11, FALSE)), CONCATENATE(CHAR(34),"CamA",CHAR(34)), CONCATENATE(CHAR(34),"CamB",CHAR(34))),"}"), ""),IF(VLOOKUP(C210,DM_fish!C:X,22, FALSE)&gt;0, CONCATENATE(",{",CHAR(34),"target",CHAR(34),":",CHAR(34),VLOOKUP(C210,DM_fish!C:X,21, FALSE),CHAR(34),",", CHAR(34), "excitation",CHAR(34), ":", VLOOKUP(C210,DM_fish!C:X,22, FALSE), ",",  CHAR(34), "camera",CHAR(34), ":", IF(VALUE(VLOOKUP(C210,DM_fish!C:X,22, FALSE))&lt;VALUE(VLOOKUP(V210,imaging_filters!A:K,11, FALSE)), CONCATENATE(CHAR(34),"CamA",CHAR(34)), CONCATENATE(CHAR(34),"CamB",CHAR(34))),"}"), "")), "]"), "")</f>
        <v/>
      </c>
      <c r="Y210" s="11" t="str">
        <f ca="1">IFERROR(
CONCATENATE( "[",
IF(VLOOKUP(E210,Injections!B:F,3, FALSE)&gt;0, CONCATENATE( "{",CHAR(34),"target",CHAR(34),":",CHAR(34),VLOOKUP(E210,Injections!B:F,2, FALSE),CHAR(34),",", CHAR(34), "excitation",CHAR(34), ":", VLOOKUP(E210,Injections!B:F,3, FALSE), ",",  CHAR(34), "camera",CHAR(34), ":",
IF(VALUE(VLOOKUP(E210,Injections!B:F,3, FALSE))&lt;VALUE(VLOOKUP(V210,imaging_filters!A:C,2, FALSE)), CONCATENATE(CHAR(34),"CamA",CHAR(34)), CONCATENATE(CHAR(34),"CamB",CHAR(34))),"}"), ""),
IF(VLOOKUP(E210,Injections!B:F,5, FALSE)&gt;0, CONCATENATE(",{",CHAR(34),"target",CHAR(34),":",CHAR(34),VLOOKUP(E210,Injections!B:F,4, FALSE),CHAR(34),",", CHAR(34), "excitation",CHAR(34), ":", VLOOKUP(E210,Injections!B:F,5, FALSE), ",",  CHAR(34), "camera",CHAR(34), ":",
IF(VALUE(VLOOKUP(E210,Injections!B:F,5, FALSE))&lt;VALUE(VLOOKUP(V210,imaging_filters!A:C,2, FALSE)), CONCATENATE(CHAR(34),"CamA",CHAR(34)), CONCATENATE(CHAR(34),"CamB",CHAR(34))),"}"), ""),
 "]"), "[]")</f>
        <v>[]</v>
      </c>
      <c r="Z210" s="11" t="str">
        <f ca="1">IFERROR(
CONCATENATE( "[",
IF(VLOOKUP(F210,Injections!H:L,3, FALSE)&gt;0, CONCATENATE( "{",CHAR(34),"target",CHAR(34),":",CHAR(34),VLOOKUP(F210,Injections!H:L,2, FALSE),CHAR(34),",", CHAR(34), "excitation",CHAR(34), ":", VLOOKUP(F210,Injections!H:L,3, FALSE), ",",  CHAR(34), "camera",CHAR(34), ":",
IF(VALUE(VLOOKUP(F210,Injections!H:L,3, FALSE))&lt;VALUE(VLOOKUP(V210,imaging_filters!A:K,11, FALSE)), CONCATENATE(CHAR(34),"CamA",CHAR(34)), CONCATENATE(CHAR(34),"CamB",CHAR(34))),"}"), ""),
IF(VLOOKUP(F210,Injections!H:L,5, FALSE)&gt;0, CONCATENATE(",{",CHAR(34),"target",CHAR(34),":",CHAR(34),VLOOKUP(F210,Injections!H:L,4, FALSE),CHAR(34),",", CHAR(34), "excitation",CHAR(34), ":", VLOOKUP(F210,Injections!H:L,5, FALSE), ",",  CHAR(34), "camera",CHAR(34), ":",
IF(VALUE(VLOOKUP(F210,Injections!H:L,5, FALSE))&lt;VALUE(VLOOKUP(V210,imaging_filters!A:K,11, FALSE)), CONCATENATE(CHAR(34),"CamA",CHAR(34)), CONCATENATE(CHAR(34),"CamB",CHAR(34))),"}"), ""),
 "]"), "[]")</f>
        <v>[]</v>
      </c>
      <c r="AA210" s="11"/>
    </row>
    <row r="211" spans="1:27" ht="15.75" customHeight="1" x14ac:dyDescent="0.15">
      <c r="A211" s="7">
        <f t="shared" ref="A211:A235" si="5">M211</f>
        <v>45783</v>
      </c>
      <c r="B211" s="1"/>
      <c r="C211" s="1" t="s">
        <v>253</v>
      </c>
      <c r="D211" s="1" t="s">
        <v>253</v>
      </c>
      <c r="E211" s="1"/>
      <c r="F211" s="1" t="s">
        <v>378</v>
      </c>
      <c r="G211" s="8"/>
      <c r="H211" s="8"/>
      <c r="I211" s="8">
        <v>45782</v>
      </c>
      <c r="K211" s="1"/>
      <c r="L211" s="15">
        <v>45783</v>
      </c>
      <c r="M211" s="8">
        <v>45783</v>
      </c>
      <c r="N211" s="9">
        <v>0.98958333333333337</v>
      </c>
      <c r="O211" s="9">
        <v>0.5</v>
      </c>
      <c r="P211" s="9">
        <v>0.70833333333333337</v>
      </c>
      <c r="Q211" s="1" t="s">
        <v>366</v>
      </c>
      <c r="R211" s="10" t="str">
        <f ca="1">IFERROR(__xludf.DUMMYFUNCTION("JOIN("","", SORT(UNIQUE(TOCOL({VLOOKUP(D211,DM_fish!A:B,2,FALSE),VLOOKUP(C211,DM_fish!A:B,2,FALSE), ARRAYFORMULA(VLOOKUP(SPLIT(E211, "", ""),Injections!B:G,6,FALSE)), ARRAYFORMULA(VLOOKUP(SPLIT(F211, "", ""),Injections!H:M,6,FALSE)), ARRAYFORMULA(VLOOKUP("&amp;"SPLIT(G211, "", ""),Injections!N:S,6,FALSE)), ARRAYFORMULA(VLOOKUP(SPLIT(H211, "", ""),Injections!T:Y,6,FALSE)) },3))))"),"Lysosomes,membrane")</f>
        <v>Lysosomes,membrane</v>
      </c>
      <c r="S211" s="10" t="str">
        <f ca="1">IFERROR(__xludf.DUMMYFUNCTION("IFERROR(JOIN("","", SPLIT(R211, "","", TRUE ,TRUE)), """")"),"Lysosomes,membrane")</f>
        <v>Lysosomes,membrane</v>
      </c>
      <c r="T211" s="1" t="s">
        <v>379</v>
      </c>
      <c r="V211" s="1" t="s">
        <v>203</v>
      </c>
      <c r="W211" s="12" t="str">
        <f ca="1">IFERROR(CONCATENATE("[", CONCATENATE(IF(VLOOKUP(D211,DM_fish!C:X,14, FALSE)&gt;0, CONCATENATE("{",CHAR(34),"target",CHAR(34),":",CHAR(34),VLOOKUP(D211,DM_fish!C:X,13, FALSE),CHAR(34),",", CHAR(34), "excitation",CHAR(34), ":", VLOOKUP(D211,DM_fish!C:X,14, FALSE), ",",  CHAR(34), "camera",CHAR(34), ":", IF(VALUE(VLOOKUP(D211,DM_fish!C:X,14, FALSE))&lt;VALUE(VLOOKUP(V211,imaging_filters!A:K,11, FALSE)), CONCATENATE(CHAR(34),"CamA",CHAR(34)), CONCATENATE(CHAR(34),"CamB",CHAR(34))),"}"), ""),IF(VLOOKUP(D211,DM_fish!C:X,16, FALSE)&gt;0, CONCATENATE(",{",CHAR(34),"target",CHAR(34),":",CHAR(34),VLOOKUP(D211,DM_fish!C:X,15, FALSE),CHAR(34),",", CHAR(34), "excitation",CHAR(34), ":", VLOOKUP(D211,DM_fish!C:X,16, FALSE), ",",  CHAR(34), "camera",CHAR(34), ":", IF(VALUE(VLOOKUP(D211,DM_fish!C:X,16, FALSE))&lt;VALUE(VLOOKUP(V211,imaging_filters!A:K,11, FALSE)), CONCATENATE(CHAR(34),"CamA",CHAR(34)), CONCATENATE(CHAR(34),"CamB",CHAR(34))),"}"), ""),IF(VLOOKUP(D211,DM_fish!C:X,18, FALSE)&gt;0, CONCATENATE(",{",CHAR(34),"target",CHAR(34),":",CHAR(34),VLOOKUP(D211,DM_fish!C:X,17, FALSE),CHAR(34),",", CHAR(34), "excitation",CHAR(34), ":", VLOOKUP(D211,DM_fish!C:X,18, FALSE), ",",  CHAR(34), "camera",CHAR(34), ":", IF(VALUE(VLOOKUP(D211,DM_fish!C:X,18, FALSE))&lt;VALUE(VLOOKUP(V211,imaging_filters!A:K,11, FALSE)), CONCATENATE(CHAR(34),"CamA",CHAR(34)), CONCATENATE(CHAR(34),"CamB",CHAR(34))),"}"), ""),IF(VLOOKUP(D211,DM_fish!C:X,20, FALSE)&gt;0, CONCATENATE(",{",CHAR(34),"target",CHAR(34),":",CHAR(34),VLOOKUP(D211,DM_fish!C:X,19, FALSE),CHAR(34),",", CHAR(34), "excitation",CHAR(34), ":", VLOOKUP(D211,DM_fish!C:X,20, FALSE), ",",  CHAR(34), "camera",CHAR(34), ":", IF(VALUE(VLOOKUP(D211,DM_fish!C:X,20, FALSE))&lt;VALUE(VLOOKUP(V211,imaging_filters!A:K,11, FALSE)), CONCATENATE(CHAR(34),"CamA",CHAR(34)), CONCATENATE(CHAR(34),"CamB",CHAR(34))),"}"), ""),IF(VLOOKUP(D211,DM_fish!C:X,22, FALSE)&gt;0, CONCATENATE(",{",CHAR(34),"target",CHAR(34),":",CHAR(34),VLOOKUP(D211,DM_fish!C:X,21, FALSE),CHAR(34),",", CHAR(34), "excitation",CHAR(34), ":", VLOOKUP(D211,DM_fish!C:X,22, FALSE), ",",  CHAR(34), "camera",CHAR(34), ":", IF(VALUE(VLOOKUP(D211,DM_fish!C:X,22, FALSE))&lt;VALUE(VLOOKUP(V211,imaging_filters!A:K,11, FALSE)), CONCATENATE(CHAR(34),"CamA",CHAR(34)), CONCATENATE(CHAR(34),"CamB",CHAR(34))),"}"), "")), "]"), "")</f>
        <v/>
      </c>
      <c r="X211" s="12" t="str">
        <f ca="1">IFERROR(
CONCATENATE("[", CONCATENATE(IF(VLOOKUP(C211,DM_fish!C:X,14, FALSE)&gt;0, CONCATENATE("{",CHAR(34),"target",CHAR(34),":",CHAR(34),VLOOKUP(C211,DM_fish!C:X,13, FALSE),CHAR(34),",", CHAR(34), "excitation",CHAR(34), ":", VLOOKUP(C211,DM_fish!C:X,14, FALSE), ",",  CHAR(34), "camera",CHAR(34), ":", IF(VALUE(VLOOKUP(C211,DM_fish!C:X,14, FALSE))&lt;VALUE(VLOOKUP(V211,imaging_filters!A:K,11, FALSE)), CONCATENATE(CHAR(34),"CamA",CHAR(34)), CONCATENATE(CHAR(34),"CamB",CHAR(34))),"}"), ""),IF(VLOOKUP(C211,DM_fish!C:X,16, FALSE)&gt;0, CONCATENATE(",{",CHAR(34),"target",CHAR(34),":",CHAR(34),VLOOKUP(C211,DM_fish!C:X,15, FALSE),CHAR(34),",", CHAR(34), "excitation",CHAR(34), ":", VLOOKUP(C211,DM_fish!C:X,16, FALSE), ",",  CHAR(34), "camera",CHAR(34), ":", IF(VALUE(VLOOKUP(C211,DM_fish!C:X,16, FALSE))&lt;VALUE(VLOOKUP(V211,imaging_filters!A:K,11, FALSE)), CONCATENATE(CHAR(34),"CamA",CHAR(34)), CONCATENATE(CHAR(34),"CamB",CHAR(34))),"}"), ""),IF(VLOOKUP(C211,DM_fish!C:X,18, FALSE)&gt;0, CONCATENATE(",{",CHAR(34),"target",CHAR(34),":",CHAR(34),VLOOKUP(C211,DM_fish!C:X,17, FALSE),CHAR(34),",", CHAR(34), "excitation",CHAR(34), ":", VLOOKUP(C211,DM_fish!C:X,18, FALSE), ",",  CHAR(34), "camera",CHAR(34), ":", IF(VALUE(VLOOKUP(C211,DM_fish!C:X,18, FALSE))&lt;VALUE(VLOOKUP(V211,imaging_filters!A:K,11, FALSE)), CONCATENATE(CHAR(34),"CamA",CHAR(34)), CONCATENATE(CHAR(34),"CamB",CHAR(34))),"}"), ""),IF(VLOOKUP(C211,DM_fish!C:X,20, FALSE)&gt;0, CONCATENATE(",{",CHAR(34),"target",CHAR(34),":",CHAR(34),VLOOKUP(C211,DM_fish!C:X,19, FALSE),CHAR(34),",", CHAR(34), "excitation",CHAR(34), ":", VLOOKUP(C211,DM_fish!C:X,20, FALSE), ",",  CHAR(34), "camera",CHAR(34), ":", IF(VALUE(VLOOKUP(C211,DM_fish!C:X,20, FALSE))&lt;VALUE(VLOOKUP(V211,imaging_filters!A:K,11, FALSE)), CONCATENATE(CHAR(34),"CamA",CHAR(34)), CONCATENATE(CHAR(34),"CamB",CHAR(34))),"}"), ""),IF(VLOOKUP(C211,DM_fish!C:X,22, FALSE)&gt;0, CONCATENATE(",{",CHAR(34),"target",CHAR(34),":",CHAR(34),VLOOKUP(C211,DM_fish!C:X,21, FALSE),CHAR(34),",", CHAR(34), "excitation",CHAR(34), ":", VLOOKUP(C211,DM_fish!C:X,22, FALSE), ",",  CHAR(34), "camera",CHAR(34), ":", IF(VALUE(VLOOKUP(C211,DM_fish!C:X,22, FALSE))&lt;VALUE(VLOOKUP(V211,imaging_filters!A:K,11, FALSE)), CONCATENATE(CHAR(34),"CamA",CHAR(34)), CONCATENATE(CHAR(34),"CamB",CHAR(34))),"}"), "")), "]"), "")</f>
        <v/>
      </c>
      <c r="Y211" s="11" t="str">
        <f ca="1">IFERROR(
CONCATENATE( "[",
IF(VLOOKUP(E211,Injections!B:F,3, FALSE)&gt;0, CONCATENATE( "{",CHAR(34),"target",CHAR(34),":",CHAR(34),VLOOKUP(E211,Injections!B:F,2, FALSE),CHAR(34),",", CHAR(34), "excitation",CHAR(34), ":", VLOOKUP(E211,Injections!B:F,3, FALSE), ",",  CHAR(34), "camera",CHAR(34), ":",
IF(VALUE(VLOOKUP(E211,Injections!B:F,3, FALSE))&lt;VALUE(VLOOKUP(V211,imaging_filters!A:C,2, FALSE)), CONCATENATE(CHAR(34),"CamA",CHAR(34)), CONCATENATE(CHAR(34),"CamB",CHAR(34))),"}"), ""),
IF(VLOOKUP(E211,Injections!B:F,5, FALSE)&gt;0, CONCATENATE(",{",CHAR(34),"target",CHAR(34),":",CHAR(34),VLOOKUP(E211,Injections!B:F,4, FALSE),CHAR(34),",", CHAR(34), "excitation",CHAR(34), ":", VLOOKUP(E211,Injections!B:F,5, FALSE), ",",  CHAR(34), "camera",CHAR(34), ":",
IF(VALUE(VLOOKUP(E211,Injections!B:F,5, FALSE))&lt;VALUE(VLOOKUP(V211,imaging_filters!A:C,2, FALSE)), CONCATENATE(CHAR(34),"CamA",CHAR(34)), CONCATENATE(CHAR(34),"CamB",CHAR(34))),"}"), ""),
 "]"), "[]")</f>
        <v>[]</v>
      </c>
      <c r="Z211" s="11" t="str">
        <f ca="1">IFERROR(
CONCATENATE( "[",
IF(VLOOKUP(F211,Injections!H:L,3, FALSE)&gt;0, CONCATENATE( "{",CHAR(34),"target",CHAR(34),":",CHAR(34),VLOOKUP(F211,Injections!H:L,2, FALSE),CHAR(34),",", CHAR(34), "excitation",CHAR(34), ":", VLOOKUP(F211,Injections!H:L,3, FALSE), ",",  CHAR(34), "camera",CHAR(34), ":",
IF(VALUE(VLOOKUP(F211,Injections!H:L,3, FALSE))&lt;VALUE(VLOOKUP(V211,imaging_filters!A:K,11, FALSE)), CONCATENATE(CHAR(34),"CamA",CHAR(34)), CONCATENATE(CHAR(34),"CamB",CHAR(34))),"}"), ""),
IF(VLOOKUP(F211,Injections!H:L,5, FALSE)&gt;0, CONCATENATE(",{",CHAR(34),"target",CHAR(34),":",CHAR(34),VLOOKUP(F211,Injections!H:L,4, FALSE),CHAR(34),",", CHAR(34), "excitation",CHAR(34), ":", VLOOKUP(F211,Injections!H:L,5, FALSE), ",",  CHAR(34), "camera",CHAR(34), ":",
IF(VALUE(VLOOKUP(F211,Injections!H:L,5, FALSE))&lt;VALUE(VLOOKUP(V211,imaging_filters!A:K,11, FALSE)), CONCATENATE(CHAR(34),"CamA",CHAR(34)), CONCATENATE(CHAR(34),"CamB",CHAR(34))),"}"), ""),
 "]"), "[]")</f>
        <v>[]</v>
      </c>
      <c r="AA211" s="11"/>
    </row>
    <row r="212" spans="1:27" ht="15.75" customHeight="1" x14ac:dyDescent="0.15">
      <c r="A212" s="7">
        <f t="shared" si="5"/>
        <v>45783</v>
      </c>
      <c r="B212" s="1"/>
      <c r="C212" s="1" t="s">
        <v>253</v>
      </c>
      <c r="D212" s="1" t="s">
        <v>253</v>
      </c>
      <c r="E212" s="1"/>
      <c r="F212" s="1" t="s">
        <v>380</v>
      </c>
      <c r="G212" s="8"/>
      <c r="H212" s="8"/>
      <c r="I212" s="8">
        <v>45782</v>
      </c>
      <c r="K212" s="1"/>
      <c r="L212" s="8">
        <v>45783</v>
      </c>
      <c r="M212" s="8">
        <v>45783</v>
      </c>
      <c r="N212" s="9">
        <v>0.70833333333333337</v>
      </c>
      <c r="O212" s="9">
        <v>0.71875</v>
      </c>
      <c r="P212" s="1" t="s">
        <v>381</v>
      </c>
      <c r="Q212" s="1" t="s">
        <v>366</v>
      </c>
      <c r="R212" s="10" t="str">
        <f ca="1">IFERROR(__xludf.DUMMYFUNCTION("JOIN("","", SORT(UNIQUE(TOCOL({VLOOKUP(D212,DM_fish!A:B,2,FALSE),VLOOKUP(C212,DM_fish!A:B,2,FALSE), ARRAYFORMULA(VLOOKUP(SPLIT(E212, "", ""),Injections!B:G,6,FALSE)), ARRAYFORMULA(VLOOKUP(SPLIT(F212, "", ""),Injections!H:M,6,FALSE)), ARRAYFORMULA(VLOOKUP("&amp;"SPLIT(G212, "", ""),Injections!N:S,6,FALSE)), ARRAYFORMULA(VLOOKUP(SPLIT(H212, "", ""),Injections!T:Y,6,FALSE)) },3))))"),"Intermediate Filaments,membrane")</f>
        <v>Intermediate Filaments,membrane</v>
      </c>
      <c r="S212" s="10" t="str">
        <f ca="1">IFERROR(__xludf.DUMMYFUNCTION("IFERROR(JOIN("","", SPLIT(R212, "","", TRUE ,TRUE)), """")"),"Intermediate Filaments,membrane")</f>
        <v>Intermediate Filaments,membrane</v>
      </c>
      <c r="T212" s="1" t="s">
        <v>382</v>
      </c>
      <c r="V212" s="1" t="s">
        <v>203</v>
      </c>
      <c r="W212" s="12" t="str">
        <f ca="1">IFERROR(CONCATENATE("[", CONCATENATE(IF(VLOOKUP(D212,DM_fish!C:X,14, FALSE)&gt;0, CONCATENATE("{",CHAR(34),"target",CHAR(34),":",CHAR(34),VLOOKUP(D212,DM_fish!C:X,13, FALSE),CHAR(34),",", CHAR(34), "excitation",CHAR(34), ":", VLOOKUP(D212,DM_fish!C:X,14, FALSE), ",",  CHAR(34), "camera",CHAR(34), ":", IF(VALUE(VLOOKUP(D212,DM_fish!C:X,14, FALSE))&lt;VALUE(VLOOKUP(V212,imaging_filters!A:K,11, FALSE)), CONCATENATE(CHAR(34),"CamA",CHAR(34)), CONCATENATE(CHAR(34),"CamB",CHAR(34))),"}"), ""),IF(VLOOKUP(D212,DM_fish!C:X,16, FALSE)&gt;0, CONCATENATE(",{",CHAR(34),"target",CHAR(34),":",CHAR(34),VLOOKUP(D212,DM_fish!C:X,15, FALSE),CHAR(34),",", CHAR(34), "excitation",CHAR(34), ":", VLOOKUP(D212,DM_fish!C:X,16, FALSE), ",",  CHAR(34), "camera",CHAR(34), ":", IF(VALUE(VLOOKUP(D212,DM_fish!C:X,16, FALSE))&lt;VALUE(VLOOKUP(V212,imaging_filters!A:K,11, FALSE)), CONCATENATE(CHAR(34),"CamA",CHAR(34)), CONCATENATE(CHAR(34),"CamB",CHAR(34))),"}"), ""),IF(VLOOKUP(D212,DM_fish!C:X,18, FALSE)&gt;0, CONCATENATE(",{",CHAR(34),"target",CHAR(34),":",CHAR(34),VLOOKUP(D212,DM_fish!C:X,17, FALSE),CHAR(34),",", CHAR(34), "excitation",CHAR(34), ":", VLOOKUP(D212,DM_fish!C:X,18, FALSE), ",",  CHAR(34), "camera",CHAR(34), ":", IF(VALUE(VLOOKUP(D212,DM_fish!C:X,18, FALSE))&lt;VALUE(VLOOKUP(V212,imaging_filters!A:K,11, FALSE)), CONCATENATE(CHAR(34),"CamA",CHAR(34)), CONCATENATE(CHAR(34),"CamB",CHAR(34))),"}"), ""),IF(VLOOKUP(D212,DM_fish!C:X,20, FALSE)&gt;0, CONCATENATE(",{",CHAR(34),"target",CHAR(34),":",CHAR(34),VLOOKUP(D212,DM_fish!C:X,19, FALSE),CHAR(34),",", CHAR(34), "excitation",CHAR(34), ":", VLOOKUP(D212,DM_fish!C:X,20, FALSE), ",",  CHAR(34), "camera",CHAR(34), ":", IF(VALUE(VLOOKUP(D212,DM_fish!C:X,20, FALSE))&lt;VALUE(VLOOKUP(V212,imaging_filters!A:K,11, FALSE)), CONCATENATE(CHAR(34),"CamA",CHAR(34)), CONCATENATE(CHAR(34),"CamB",CHAR(34))),"}"), ""),IF(VLOOKUP(D212,DM_fish!C:X,22, FALSE)&gt;0, CONCATENATE(",{",CHAR(34),"target",CHAR(34),":",CHAR(34),VLOOKUP(D212,DM_fish!C:X,21, FALSE),CHAR(34),",", CHAR(34), "excitation",CHAR(34), ":", VLOOKUP(D212,DM_fish!C:X,22, FALSE), ",",  CHAR(34), "camera",CHAR(34), ":", IF(VALUE(VLOOKUP(D212,DM_fish!C:X,22, FALSE))&lt;VALUE(VLOOKUP(V212,imaging_filters!A:K,11, FALSE)), CONCATENATE(CHAR(34),"CamA",CHAR(34)), CONCATENATE(CHAR(34),"CamB",CHAR(34))),"}"), "")), "]"), "")</f>
        <v/>
      </c>
      <c r="X212" s="12" t="str">
        <f ca="1">IFERROR(
CONCATENATE("[", CONCATENATE(IF(VLOOKUP(C212,DM_fish!C:X,14, FALSE)&gt;0, CONCATENATE("{",CHAR(34),"target",CHAR(34),":",CHAR(34),VLOOKUP(C212,DM_fish!C:X,13, FALSE),CHAR(34),",", CHAR(34), "excitation",CHAR(34), ":", VLOOKUP(C212,DM_fish!C:X,14, FALSE), ",",  CHAR(34), "camera",CHAR(34), ":", IF(VALUE(VLOOKUP(C212,DM_fish!C:X,14, FALSE))&lt;VALUE(VLOOKUP(V212,imaging_filters!A:K,11, FALSE)), CONCATENATE(CHAR(34),"CamA",CHAR(34)), CONCATENATE(CHAR(34),"CamB",CHAR(34))),"}"), ""),IF(VLOOKUP(C212,DM_fish!C:X,16, FALSE)&gt;0, CONCATENATE(",{",CHAR(34),"target",CHAR(34),":",CHAR(34),VLOOKUP(C212,DM_fish!C:X,15, FALSE),CHAR(34),",", CHAR(34), "excitation",CHAR(34), ":", VLOOKUP(C212,DM_fish!C:X,16, FALSE), ",",  CHAR(34), "camera",CHAR(34), ":", IF(VALUE(VLOOKUP(C212,DM_fish!C:X,16, FALSE))&lt;VALUE(VLOOKUP(V212,imaging_filters!A:K,11, FALSE)), CONCATENATE(CHAR(34),"CamA",CHAR(34)), CONCATENATE(CHAR(34),"CamB",CHAR(34))),"}"), ""),IF(VLOOKUP(C212,DM_fish!C:X,18, FALSE)&gt;0, CONCATENATE(",{",CHAR(34),"target",CHAR(34),":",CHAR(34),VLOOKUP(C212,DM_fish!C:X,17, FALSE),CHAR(34),",", CHAR(34), "excitation",CHAR(34), ":", VLOOKUP(C212,DM_fish!C:X,18, FALSE), ",",  CHAR(34), "camera",CHAR(34), ":", IF(VALUE(VLOOKUP(C212,DM_fish!C:X,18, FALSE))&lt;VALUE(VLOOKUP(V212,imaging_filters!A:K,11, FALSE)), CONCATENATE(CHAR(34),"CamA",CHAR(34)), CONCATENATE(CHAR(34),"CamB",CHAR(34))),"}"), ""),IF(VLOOKUP(C212,DM_fish!C:X,20, FALSE)&gt;0, CONCATENATE(",{",CHAR(34),"target",CHAR(34),":",CHAR(34),VLOOKUP(C212,DM_fish!C:X,19, FALSE),CHAR(34),",", CHAR(34), "excitation",CHAR(34), ":", VLOOKUP(C212,DM_fish!C:X,20, FALSE), ",",  CHAR(34), "camera",CHAR(34), ":", IF(VALUE(VLOOKUP(C212,DM_fish!C:X,20, FALSE))&lt;VALUE(VLOOKUP(V212,imaging_filters!A:K,11, FALSE)), CONCATENATE(CHAR(34),"CamA",CHAR(34)), CONCATENATE(CHAR(34),"CamB",CHAR(34))),"}"), ""),IF(VLOOKUP(C212,DM_fish!C:X,22, FALSE)&gt;0, CONCATENATE(",{",CHAR(34),"target",CHAR(34),":",CHAR(34),VLOOKUP(C212,DM_fish!C:X,21, FALSE),CHAR(34),",", CHAR(34), "excitation",CHAR(34), ":", VLOOKUP(C212,DM_fish!C:X,22, FALSE), ",",  CHAR(34), "camera",CHAR(34), ":", IF(VALUE(VLOOKUP(C212,DM_fish!C:X,22, FALSE))&lt;VALUE(VLOOKUP(V212,imaging_filters!A:K,11, FALSE)), CONCATENATE(CHAR(34),"CamA",CHAR(34)), CONCATENATE(CHAR(34),"CamB",CHAR(34))),"}"), "")), "]"), "")</f>
        <v/>
      </c>
      <c r="Y212" s="11" t="str">
        <f ca="1">IFERROR(
CONCATENATE( "[",
IF(VLOOKUP(E212,Injections!B:F,3, FALSE)&gt;0, CONCATENATE( "{",CHAR(34),"target",CHAR(34),":",CHAR(34),VLOOKUP(E212,Injections!B:F,2, FALSE),CHAR(34),",", CHAR(34), "excitation",CHAR(34), ":", VLOOKUP(E212,Injections!B:F,3, FALSE), ",",  CHAR(34), "camera",CHAR(34), ":",
IF(VALUE(VLOOKUP(E212,Injections!B:F,3, FALSE))&lt;VALUE(VLOOKUP(V212,imaging_filters!A:C,2, FALSE)), CONCATENATE(CHAR(34),"CamA",CHAR(34)), CONCATENATE(CHAR(34),"CamB",CHAR(34))),"}"), ""),
IF(VLOOKUP(E212,Injections!B:F,5, FALSE)&gt;0, CONCATENATE(",{",CHAR(34),"target",CHAR(34),":",CHAR(34),VLOOKUP(E212,Injections!B:F,4, FALSE),CHAR(34),",", CHAR(34), "excitation",CHAR(34), ":", VLOOKUP(E212,Injections!B:F,5, FALSE), ",",  CHAR(34), "camera",CHAR(34), ":",
IF(VALUE(VLOOKUP(E212,Injections!B:F,5, FALSE))&lt;VALUE(VLOOKUP(V212,imaging_filters!A:C,2, FALSE)), CONCATENATE(CHAR(34),"CamA",CHAR(34)), CONCATENATE(CHAR(34),"CamB",CHAR(34))),"}"), ""),
 "]"), "[]")</f>
        <v>[]</v>
      </c>
      <c r="Z212" s="11" t="str">
        <f ca="1">IFERROR(
CONCATENATE( "[",
IF(VLOOKUP(F212,Injections!H:L,3, FALSE)&gt;0, CONCATENATE( "{",CHAR(34),"target",CHAR(34),":",CHAR(34),VLOOKUP(F212,Injections!H:L,2, FALSE),CHAR(34),",", CHAR(34), "excitation",CHAR(34), ":", VLOOKUP(F212,Injections!H:L,3, FALSE), ",",  CHAR(34), "camera",CHAR(34), ":",
IF(VALUE(VLOOKUP(F212,Injections!H:L,3, FALSE))&lt;VALUE(VLOOKUP(V212,imaging_filters!A:K,11, FALSE)), CONCATENATE(CHAR(34),"CamA",CHAR(34)), CONCATENATE(CHAR(34),"CamB",CHAR(34))),"}"), ""),
IF(VLOOKUP(F212,Injections!H:L,5, FALSE)&gt;0, CONCATENATE(",{",CHAR(34),"target",CHAR(34),":",CHAR(34),VLOOKUP(F212,Injections!H:L,4, FALSE),CHAR(34),",", CHAR(34), "excitation",CHAR(34), ":", VLOOKUP(F212,Injections!H:L,5, FALSE), ",",  CHAR(34), "camera",CHAR(34), ":",
IF(VALUE(VLOOKUP(F212,Injections!H:L,5, FALSE))&lt;VALUE(VLOOKUP(V212,imaging_filters!A:K,11, FALSE)), CONCATENATE(CHAR(34),"CamA",CHAR(34)), CONCATENATE(CHAR(34),"CamB",CHAR(34))),"}"), ""),
 "]"), "[]")</f>
        <v>[]</v>
      </c>
      <c r="AA212" s="11"/>
    </row>
    <row r="213" spans="1:27" ht="15.75" customHeight="1" x14ac:dyDescent="0.15">
      <c r="A213" s="7">
        <f t="shared" si="5"/>
        <v>45782</v>
      </c>
      <c r="B213" s="1"/>
      <c r="C213" s="1" t="s">
        <v>253</v>
      </c>
      <c r="D213" s="1" t="s">
        <v>253</v>
      </c>
      <c r="E213" s="1"/>
      <c r="F213" s="1" t="s">
        <v>64</v>
      </c>
      <c r="G213" s="8"/>
      <c r="H213" s="8"/>
      <c r="I213" s="8">
        <v>45781</v>
      </c>
      <c r="K213" s="1"/>
      <c r="L213" s="15">
        <v>45782</v>
      </c>
      <c r="M213" s="8">
        <v>45782</v>
      </c>
      <c r="N213" s="9">
        <v>0.625</v>
      </c>
      <c r="O213" s="9">
        <v>0.64583333333333337</v>
      </c>
      <c r="P213" s="1" t="s">
        <v>383</v>
      </c>
      <c r="Q213" s="1" t="s">
        <v>366</v>
      </c>
      <c r="R213" s="10" t="str">
        <f ca="1">IFERROR(__xludf.DUMMYFUNCTION("JOIN("","", SORT(UNIQUE(TOCOL({VLOOKUP(D213,DM_fish!A:B,2,FALSE),VLOOKUP(C213,DM_fish!A:B,2,FALSE), ARRAYFORMULA(VLOOKUP(SPLIT(E213, "", ""),Injections!B:G,6,FALSE)), ARRAYFORMULA(VLOOKUP(SPLIT(F213, "", ""),Injections!H:M,6,FALSE)), ARRAYFORMULA(VLOOKUP("&amp;"SPLIT(G213, "", ""),Injections!N:S,6,FALSE)), ARRAYFORMULA(VLOOKUP(SPLIT(H213, "", ""),Injections!T:Y,6,FALSE)) },3))))"),"nuclei")</f>
        <v>nuclei</v>
      </c>
      <c r="S213" s="10" t="str">
        <f ca="1">IFERROR(__xludf.DUMMYFUNCTION("IFERROR(JOIN("","", SPLIT(R213, "","", TRUE ,TRUE)), """")"),"nuclei")</f>
        <v>nuclei</v>
      </c>
      <c r="T213" s="1" t="s">
        <v>384</v>
      </c>
      <c r="U213" s="1">
        <v>509</v>
      </c>
      <c r="V213" s="1" t="s">
        <v>203</v>
      </c>
      <c r="W213" s="12" t="str">
        <f ca="1">IFERROR(CONCATENATE("[", CONCATENATE(IF(VLOOKUP(D213,DM_fish!C:X,14, FALSE)&gt;0, CONCATENATE("{",CHAR(34),"target",CHAR(34),":",CHAR(34),VLOOKUP(D213,DM_fish!C:X,13, FALSE),CHAR(34),",", CHAR(34), "excitation",CHAR(34), ":", VLOOKUP(D213,DM_fish!C:X,14, FALSE), ",",  CHAR(34), "camera",CHAR(34), ":", IF(VALUE(VLOOKUP(D213,DM_fish!C:X,14, FALSE))&lt;VALUE(VLOOKUP(V213,imaging_filters!A:K,11, FALSE)), CONCATENATE(CHAR(34),"CamA",CHAR(34)), CONCATENATE(CHAR(34),"CamB",CHAR(34))),"}"), ""),IF(VLOOKUP(D213,DM_fish!C:X,16, FALSE)&gt;0, CONCATENATE(",{",CHAR(34),"target",CHAR(34),":",CHAR(34),VLOOKUP(D213,DM_fish!C:X,15, FALSE),CHAR(34),",", CHAR(34), "excitation",CHAR(34), ":", VLOOKUP(D213,DM_fish!C:X,16, FALSE), ",",  CHAR(34), "camera",CHAR(34), ":", IF(VALUE(VLOOKUP(D213,DM_fish!C:X,16, FALSE))&lt;VALUE(VLOOKUP(V213,imaging_filters!A:K,11, FALSE)), CONCATENATE(CHAR(34),"CamA",CHAR(34)), CONCATENATE(CHAR(34),"CamB",CHAR(34))),"}"), ""),IF(VLOOKUP(D213,DM_fish!C:X,18, FALSE)&gt;0, CONCATENATE(",{",CHAR(34),"target",CHAR(34),":",CHAR(34),VLOOKUP(D213,DM_fish!C:X,17, FALSE),CHAR(34),",", CHAR(34), "excitation",CHAR(34), ":", VLOOKUP(D213,DM_fish!C:X,18, FALSE), ",",  CHAR(34), "camera",CHAR(34), ":", IF(VALUE(VLOOKUP(D213,DM_fish!C:X,18, FALSE))&lt;VALUE(VLOOKUP(V213,imaging_filters!A:K,11, FALSE)), CONCATENATE(CHAR(34),"CamA",CHAR(34)), CONCATENATE(CHAR(34),"CamB",CHAR(34))),"}"), ""),IF(VLOOKUP(D213,DM_fish!C:X,20, FALSE)&gt;0, CONCATENATE(",{",CHAR(34),"target",CHAR(34),":",CHAR(34),VLOOKUP(D213,DM_fish!C:X,19, FALSE),CHAR(34),",", CHAR(34), "excitation",CHAR(34), ":", VLOOKUP(D213,DM_fish!C:X,20, FALSE), ",",  CHAR(34), "camera",CHAR(34), ":", IF(VALUE(VLOOKUP(D213,DM_fish!C:X,20, FALSE))&lt;VALUE(VLOOKUP(V213,imaging_filters!A:K,11, FALSE)), CONCATENATE(CHAR(34),"CamA",CHAR(34)), CONCATENATE(CHAR(34),"CamB",CHAR(34))),"}"), ""),IF(VLOOKUP(D213,DM_fish!C:X,22, FALSE)&gt;0, CONCATENATE(",{",CHAR(34),"target",CHAR(34),":",CHAR(34),VLOOKUP(D213,DM_fish!C:X,21, FALSE),CHAR(34),",", CHAR(34), "excitation",CHAR(34), ":", VLOOKUP(D213,DM_fish!C:X,22, FALSE), ",",  CHAR(34), "camera",CHAR(34), ":", IF(VALUE(VLOOKUP(D213,DM_fish!C:X,22, FALSE))&lt;VALUE(VLOOKUP(V213,imaging_filters!A:K,11, FALSE)), CONCATENATE(CHAR(34),"CamA",CHAR(34)), CONCATENATE(CHAR(34),"CamB",CHAR(34))),"}"), "")), "]"), "")</f>
        <v/>
      </c>
      <c r="X213" s="12" t="str">
        <f ca="1">IFERROR(
CONCATENATE("[", CONCATENATE(IF(VLOOKUP(C213,DM_fish!C:X,14, FALSE)&gt;0, CONCATENATE("{",CHAR(34),"target",CHAR(34),":",CHAR(34),VLOOKUP(C213,DM_fish!C:X,13, FALSE),CHAR(34),",", CHAR(34), "excitation",CHAR(34), ":", VLOOKUP(C213,DM_fish!C:X,14, FALSE), ",",  CHAR(34), "camera",CHAR(34), ":", IF(VALUE(VLOOKUP(C213,DM_fish!C:X,14, FALSE))&lt;VALUE(VLOOKUP(V213,imaging_filters!A:K,11, FALSE)), CONCATENATE(CHAR(34),"CamA",CHAR(34)), CONCATENATE(CHAR(34),"CamB",CHAR(34))),"}"), ""),IF(VLOOKUP(C213,DM_fish!C:X,16, FALSE)&gt;0, CONCATENATE(",{",CHAR(34),"target",CHAR(34),":",CHAR(34),VLOOKUP(C213,DM_fish!C:X,15, FALSE),CHAR(34),",", CHAR(34), "excitation",CHAR(34), ":", VLOOKUP(C213,DM_fish!C:X,16, FALSE), ",",  CHAR(34), "camera",CHAR(34), ":", IF(VALUE(VLOOKUP(C213,DM_fish!C:X,16, FALSE))&lt;VALUE(VLOOKUP(V213,imaging_filters!A:K,11, FALSE)), CONCATENATE(CHAR(34),"CamA",CHAR(34)), CONCATENATE(CHAR(34),"CamB",CHAR(34))),"}"), ""),IF(VLOOKUP(C213,DM_fish!C:X,18, FALSE)&gt;0, CONCATENATE(",{",CHAR(34),"target",CHAR(34),":",CHAR(34),VLOOKUP(C213,DM_fish!C:X,17, FALSE),CHAR(34),",", CHAR(34), "excitation",CHAR(34), ":", VLOOKUP(C213,DM_fish!C:X,18, FALSE), ",",  CHAR(34), "camera",CHAR(34), ":", IF(VALUE(VLOOKUP(C213,DM_fish!C:X,18, FALSE))&lt;VALUE(VLOOKUP(V213,imaging_filters!A:K,11, FALSE)), CONCATENATE(CHAR(34),"CamA",CHAR(34)), CONCATENATE(CHAR(34),"CamB",CHAR(34))),"}"), ""),IF(VLOOKUP(C213,DM_fish!C:X,20, FALSE)&gt;0, CONCATENATE(",{",CHAR(34),"target",CHAR(34),":",CHAR(34),VLOOKUP(C213,DM_fish!C:X,19, FALSE),CHAR(34),",", CHAR(34), "excitation",CHAR(34), ":", VLOOKUP(C213,DM_fish!C:X,20, FALSE), ",",  CHAR(34), "camera",CHAR(34), ":", IF(VALUE(VLOOKUP(C213,DM_fish!C:X,20, FALSE))&lt;VALUE(VLOOKUP(V213,imaging_filters!A:K,11, FALSE)), CONCATENATE(CHAR(34),"CamA",CHAR(34)), CONCATENATE(CHAR(34),"CamB",CHAR(34))),"}"), ""),IF(VLOOKUP(C213,DM_fish!C:X,22, FALSE)&gt;0, CONCATENATE(",{",CHAR(34),"target",CHAR(34),":",CHAR(34),VLOOKUP(C213,DM_fish!C:X,21, FALSE),CHAR(34),",", CHAR(34), "excitation",CHAR(34), ":", VLOOKUP(C213,DM_fish!C:X,22, FALSE), ",",  CHAR(34), "camera",CHAR(34), ":", IF(VALUE(VLOOKUP(C213,DM_fish!C:X,22, FALSE))&lt;VALUE(VLOOKUP(V213,imaging_filters!A:K,11, FALSE)), CONCATENATE(CHAR(34),"CamA",CHAR(34)), CONCATENATE(CHAR(34),"CamB",CHAR(34))),"}"), "")), "]"), "")</f>
        <v/>
      </c>
      <c r="Y213" s="11" t="str">
        <f ca="1">IFERROR(
CONCATENATE( "[",
IF(VLOOKUP(E213,Injections!B:F,3, FALSE)&gt;0, CONCATENATE( "{",CHAR(34),"target",CHAR(34),":",CHAR(34),VLOOKUP(E213,Injections!B:F,2, FALSE),CHAR(34),",", CHAR(34), "excitation",CHAR(34), ":", VLOOKUP(E213,Injections!B:F,3, FALSE), ",",  CHAR(34), "camera",CHAR(34), ":",
IF(VALUE(VLOOKUP(E213,Injections!B:F,3, FALSE))&lt;VALUE(VLOOKUP(V213,imaging_filters!A:C,2, FALSE)), CONCATENATE(CHAR(34),"CamA",CHAR(34)), CONCATENATE(CHAR(34),"CamB",CHAR(34))),"}"), ""),
IF(VLOOKUP(E213,Injections!B:F,5, FALSE)&gt;0, CONCATENATE(",{",CHAR(34),"target",CHAR(34),":",CHAR(34),VLOOKUP(E213,Injections!B:F,4, FALSE),CHAR(34),",", CHAR(34), "excitation",CHAR(34), ":", VLOOKUP(E213,Injections!B:F,5, FALSE), ",",  CHAR(34), "camera",CHAR(34), ":",
IF(VALUE(VLOOKUP(E213,Injections!B:F,5, FALSE))&lt;VALUE(VLOOKUP(V213,imaging_filters!A:C,2, FALSE)), CONCATENATE(CHAR(34),"CamA",CHAR(34)), CONCATENATE(CHAR(34),"CamB",CHAR(34))),"}"), ""),
 "]"), "[]")</f>
        <v>[]</v>
      </c>
      <c r="Z213" s="11" t="str">
        <f ca="1">IFERROR(
CONCATENATE( "[",
IF(VLOOKUP(F213,Injections!H:L,3, FALSE)&gt;0, CONCATENATE( "{",CHAR(34),"target",CHAR(34),":",CHAR(34),VLOOKUP(F213,Injections!H:L,2, FALSE),CHAR(34),",", CHAR(34), "excitation",CHAR(34), ":", VLOOKUP(F213,Injections!H:L,3, FALSE), ",",  CHAR(34), "camera",CHAR(34), ":",
IF(VALUE(VLOOKUP(F213,Injections!H:L,3, FALSE))&lt;VALUE(VLOOKUP(V213,imaging_filters!A:K,11, FALSE)), CONCATENATE(CHAR(34),"CamA",CHAR(34)), CONCATENATE(CHAR(34),"CamB",CHAR(34))),"}"), ""),
IF(VLOOKUP(F213,Injections!H:L,5, FALSE)&gt;0, CONCATENATE(",{",CHAR(34),"target",CHAR(34),":",CHAR(34),VLOOKUP(F213,Injections!H:L,4, FALSE),CHAR(34),",", CHAR(34), "excitation",CHAR(34), ":", VLOOKUP(F213,Injections!H:L,5, FALSE), ",",  CHAR(34), "camera",CHAR(34), ":",
IF(VALUE(VLOOKUP(F213,Injections!H:L,5, FALSE))&lt;VALUE(VLOOKUP(V213,imaging_filters!A:K,11, FALSE)), CONCATENATE(CHAR(34),"CamA",CHAR(34)), CONCATENATE(CHAR(34),"CamB",CHAR(34))),"}"), ""),
 "]"), "[]")</f>
        <v>[{"target":"nuclei","excitation":560,"camera":"CamB"}]</v>
      </c>
      <c r="AA213" s="11"/>
    </row>
    <row r="214" spans="1:27" ht="15.75" customHeight="1" x14ac:dyDescent="0.15">
      <c r="A214" s="7">
        <f t="shared" si="5"/>
        <v>45778</v>
      </c>
      <c r="B214" s="1"/>
      <c r="C214" s="1" t="s">
        <v>250</v>
      </c>
      <c r="D214" s="1" t="s">
        <v>250</v>
      </c>
      <c r="E214" s="1" t="s">
        <v>385</v>
      </c>
      <c r="F214" s="1"/>
      <c r="G214" s="8"/>
      <c r="H214" s="8"/>
      <c r="I214" s="8">
        <v>45776</v>
      </c>
      <c r="K214" s="1" t="s">
        <v>246</v>
      </c>
      <c r="L214" s="15">
        <v>45777</v>
      </c>
      <c r="M214" s="8">
        <v>45778</v>
      </c>
      <c r="Q214" s="1" t="s">
        <v>386</v>
      </c>
      <c r="R214" s="10" t="str">
        <f ca="1">IFERROR(__xludf.DUMMYFUNCTION("JOIN("","", SORT(UNIQUE(TOCOL({VLOOKUP(D214,DM_fish!A:B,2,FALSE),VLOOKUP(C214,DM_fish!A:B,2,FALSE), ARRAYFORMULA(VLOOKUP(SPLIT(E214, "", ""),Injections!B:G,6,FALSE)), ARRAYFORMULA(VLOOKUP(SPLIT(F214, "", ""),Injections!H:M,6,FALSE)), ARRAYFORMULA(VLOOKUP("&amp;"SPLIT(G214, "", ""),Injections!N:S,6,FALSE)), ARRAYFORMULA(VLOOKUP(SPLIT(H214, "", ""),Injections!T:Y,6,FALSE)) },3))))"),"cytosol")</f>
        <v>cytosol</v>
      </c>
      <c r="S214" s="10" t="str">
        <f ca="1">IFERROR(__xludf.DUMMYFUNCTION("IFERROR(JOIN("","", SPLIT(R214, "","", TRUE ,TRUE)), """")"),"cytosol")</f>
        <v>cytosol</v>
      </c>
      <c r="T214" s="1" t="s">
        <v>387</v>
      </c>
      <c r="U214" s="1">
        <v>1638</v>
      </c>
      <c r="V214" s="1" t="s">
        <v>203</v>
      </c>
      <c r="W214" s="12" t="str">
        <f ca="1">IFERROR(CONCATENATE("[", CONCATENATE(IF(VLOOKUP(D214,DM_fish!C:X,14, FALSE)&gt;0, CONCATENATE("{",CHAR(34),"target",CHAR(34),":",CHAR(34),VLOOKUP(D214,DM_fish!C:X,13, FALSE),CHAR(34),",", CHAR(34), "excitation",CHAR(34), ":", VLOOKUP(D214,DM_fish!C:X,14, FALSE), ",",  CHAR(34), "camera",CHAR(34), ":", IF(VALUE(VLOOKUP(D214,DM_fish!C:X,14, FALSE))&lt;VALUE(VLOOKUP(V214,imaging_filters!A:K,11, FALSE)), CONCATENATE(CHAR(34),"CamA",CHAR(34)), CONCATENATE(CHAR(34),"CamB",CHAR(34))),"}"), ""),IF(VLOOKUP(D214,DM_fish!C:X,16, FALSE)&gt;0, CONCATENATE(",{",CHAR(34),"target",CHAR(34),":",CHAR(34),VLOOKUP(D214,DM_fish!C:X,15, FALSE),CHAR(34),",", CHAR(34), "excitation",CHAR(34), ":", VLOOKUP(D214,DM_fish!C:X,16, FALSE), ",",  CHAR(34), "camera",CHAR(34), ":", IF(VALUE(VLOOKUP(D214,DM_fish!C:X,16, FALSE))&lt;VALUE(VLOOKUP(V214,imaging_filters!A:K,11, FALSE)), CONCATENATE(CHAR(34),"CamA",CHAR(34)), CONCATENATE(CHAR(34),"CamB",CHAR(34))),"}"), ""),IF(VLOOKUP(D214,DM_fish!C:X,18, FALSE)&gt;0, CONCATENATE(",{",CHAR(34),"target",CHAR(34),":",CHAR(34),VLOOKUP(D214,DM_fish!C:X,17, FALSE),CHAR(34),",", CHAR(34), "excitation",CHAR(34), ":", VLOOKUP(D214,DM_fish!C:X,18, FALSE), ",",  CHAR(34), "camera",CHAR(34), ":", IF(VALUE(VLOOKUP(D214,DM_fish!C:X,18, FALSE))&lt;VALUE(VLOOKUP(V214,imaging_filters!A:K,11, FALSE)), CONCATENATE(CHAR(34),"CamA",CHAR(34)), CONCATENATE(CHAR(34),"CamB",CHAR(34))),"}"), ""),IF(VLOOKUP(D214,DM_fish!C:X,20, FALSE)&gt;0, CONCATENATE(",{",CHAR(34),"target",CHAR(34),":",CHAR(34),VLOOKUP(D214,DM_fish!C:X,19, FALSE),CHAR(34),",", CHAR(34), "excitation",CHAR(34), ":", VLOOKUP(D214,DM_fish!C:X,20, FALSE), ",",  CHAR(34), "camera",CHAR(34), ":", IF(VALUE(VLOOKUP(D214,DM_fish!C:X,20, FALSE))&lt;VALUE(VLOOKUP(V214,imaging_filters!A:K,11, FALSE)), CONCATENATE(CHAR(34),"CamA",CHAR(34)), CONCATENATE(CHAR(34),"CamB",CHAR(34))),"}"), ""),IF(VLOOKUP(D214,DM_fish!C:X,22, FALSE)&gt;0, CONCATENATE(",{",CHAR(34),"target",CHAR(34),":",CHAR(34),VLOOKUP(D214,DM_fish!C:X,21, FALSE),CHAR(34),",", CHAR(34), "excitation",CHAR(34), ":", VLOOKUP(D214,DM_fish!C:X,22, FALSE), ",",  CHAR(34), "camera",CHAR(34), ":", IF(VALUE(VLOOKUP(D214,DM_fish!C:X,22, FALSE))&lt;VALUE(VLOOKUP(V214,imaging_filters!A:K,11, FALSE)), CONCATENATE(CHAR(34),"CamA",CHAR(34)), CONCATENATE(CHAR(34),"CamB",CHAR(34))),"}"), "")), "]"), "")</f>
        <v/>
      </c>
      <c r="X214" s="12" t="str">
        <f ca="1">IFERROR(
CONCATENATE("[", CONCATENATE(IF(VLOOKUP(C214,DM_fish!C:X,14, FALSE)&gt;0, CONCATENATE("{",CHAR(34),"target",CHAR(34),":",CHAR(34),VLOOKUP(C214,DM_fish!C:X,13, FALSE),CHAR(34),",", CHAR(34), "excitation",CHAR(34), ":", VLOOKUP(C214,DM_fish!C:X,14, FALSE), ",",  CHAR(34), "camera",CHAR(34), ":", IF(VALUE(VLOOKUP(C214,DM_fish!C:X,14, FALSE))&lt;VALUE(VLOOKUP(V214,imaging_filters!A:K,11, FALSE)), CONCATENATE(CHAR(34),"CamA",CHAR(34)), CONCATENATE(CHAR(34),"CamB",CHAR(34))),"}"), ""),IF(VLOOKUP(C214,DM_fish!C:X,16, FALSE)&gt;0, CONCATENATE(",{",CHAR(34),"target",CHAR(34),":",CHAR(34),VLOOKUP(C214,DM_fish!C:X,15, FALSE),CHAR(34),",", CHAR(34), "excitation",CHAR(34), ":", VLOOKUP(C214,DM_fish!C:X,16, FALSE), ",",  CHAR(34), "camera",CHAR(34), ":", IF(VALUE(VLOOKUP(C214,DM_fish!C:X,16, FALSE))&lt;VALUE(VLOOKUP(V214,imaging_filters!A:K,11, FALSE)), CONCATENATE(CHAR(34),"CamA",CHAR(34)), CONCATENATE(CHAR(34),"CamB",CHAR(34))),"}"), ""),IF(VLOOKUP(C214,DM_fish!C:X,18, FALSE)&gt;0, CONCATENATE(",{",CHAR(34),"target",CHAR(34),":",CHAR(34),VLOOKUP(C214,DM_fish!C:X,17, FALSE),CHAR(34),",", CHAR(34), "excitation",CHAR(34), ":", VLOOKUP(C214,DM_fish!C:X,18, FALSE), ",",  CHAR(34), "camera",CHAR(34), ":", IF(VALUE(VLOOKUP(C214,DM_fish!C:X,18, FALSE))&lt;VALUE(VLOOKUP(V214,imaging_filters!A:K,11, FALSE)), CONCATENATE(CHAR(34),"CamA",CHAR(34)), CONCATENATE(CHAR(34),"CamB",CHAR(34))),"}"), ""),IF(VLOOKUP(C214,DM_fish!C:X,20, FALSE)&gt;0, CONCATENATE(",{",CHAR(34),"target",CHAR(34),":",CHAR(34),VLOOKUP(C214,DM_fish!C:X,19, FALSE),CHAR(34),",", CHAR(34), "excitation",CHAR(34), ":", VLOOKUP(C214,DM_fish!C:X,20, FALSE), ",",  CHAR(34), "camera",CHAR(34), ":", IF(VALUE(VLOOKUP(C214,DM_fish!C:X,20, FALSE))&lt;VALUE(VLOOKUP(V214,imaging_filters!A:K,11, FALSE)), CONCATENATE(CHAR(34),"CamA",CHAR(34)), CONCATENATE(CHAR(34),"CamB",CHAR(34))),"}"), ""),IF(VLOOKUP(C214,DM_fish!C:X,22, FALSE)&gt;0, CONCATENATE(",{",CHAR(34),"target",CHAR(34),":",CHAR(34),VLOOKUP(C214,DM_fish!C:X,21, FALSE),CHAR(34),",", CHAR(34), "excitation",CHAR(34), ":", VLOOKUP(C214,DM_fish!C:X,22, FALSE), ",",  CHAR(34), "camera",CHAR(34), ":", IF(VALUE(VLOOKUP(C214,DM_fish!C:X,22, FALSE))&lt;VALUE(VLOOKUP(V214,imaging_filters!A:K,11, FALSE)), CONCATENATE(CHAR(34),"CamA",CHAR(34)), CONCATENATE(CHAR(34),"CamB",CHAR(34))),"}"), "")), "]"), "")</f>
        <v/>
      </c>
      <c r="Y214" s="11" t="str">
        <f ca="1">IFERROR(
CONCATENATE( "[",
IF(VLOOKUP(E214,Injections!B:F,3, FALSE)&gt;0, CONCATENATE( "{",CHAR(34),"target",CHAR(34),":",CHAR(34),VLOOKUP(E214,Injections!B:F,2, FALSE),CHAR(34),",", CHAR(34), "excitation",CHAR(34), ":", VLOOKUP(E214,Injections!B:F,3, FALSE), ",",  CHAR(34), "camera",CHAR(34), ":",
IF(VALUE(VLOOKUP(E214,Injections!B:F,3, FALSE))&lt;VALUE(VLOOKUP(V214,imaging_filters!A:C,2, FALSE)), CONCATENATE(CHAR(34),"CamA",CHAR(34)), CONCATENATE(CHAR(34),"CamB",CHAR(34))),"}"), ""),
IF(VLOOKUP(E214,Injections!B:F,5, FALSE)&gt;0, CONCATENATE(",{",CHAR(34),"target",CHAR(34),":",CHAR(34),VLOOKUP(E214,Injections!B:F,4, FALSE),CHAR(34),",", CHAR(34), "excitation",CHAR(34), ":", VLOOKUP(E214,Injections!B:F,5, FALSE), ",",  CHAR(34), "camera",CHAR(34), ":",
IF(VALUE(VLOOKUP(E214,Injections!B:F,5, FALSE))&lt;VALUE(VLOOKUP(V214,imaging_filters!A:C,2, FALSE)), CONCATENATE(CHAR(34),"CamA",CHAR(34)), CONCATENATE(CHAR(34),"CamB",CHAR(34))),"}"), ""),
 "]"), "[]")</f>
        <v>[{"target":"cytosol","excitation":514,"camera":"CamA"}]</v>
      </c>
      <c r="Z214" s="11" t="str">
        <f ca="1">IFERROR(
CONCATENATE( "[",
IF(VLOOKUP(F214,Injections!H:L,3, FALSE)&gt;0, CONCATENATE( "{",CHAR(34),"target",CHAR(34),":",CHAR(34),VLOOKUP(F214,Injections!H:L,2, FALSE),CHAR(34),",", CHAR(34), "excitation",CHAR(34), ":", VLOOKUP(F214,Injections!H:L,3, FALSE), ",",  CHAR(34), "camera",CHAR(34), ":",
IF(VALUE(VLOOKUP(F214,Injections!H:L,3, FALSE))&lt;VALUE(VLOOKUP(V214,imaging_filters!A:K,11, FALSE)), CONCATENATE(CHAR(34),"CamA",CHAR(34)), CONCATENATE(CHAR(34),"CamB",CHAR(34))),"}"), ""),
IF(VLOOKUP(F214,Injections!H:L,5, FALSE)&gt;0, CONCATENATE(",{",CHAR(34),"target",CHAR(34),":",CHAR(34),VLOOKUP(F214,Injections!H:L,4, FALSE),CHAR(34),",", CHAR(34), "excitation",CHAR(34), ":", VLOOKUP(F214,Injections!H:L,5, FALSE), ",",  CHAR(34), "camera",CHAR(34), ":",
IF(VALUE(VLOOKUP(F214,Injections!H:L,5, FALSE))&lt;VALUE(VLOOKUP(V214,imaging_filters!A:K,11, FALSE)), CONCATENATE(CHAR(34),"CamA",CHAR(34)), CONCATENATE(CHAR(34),"CamB",CHAR(34))),"}"), ""),
 "]"), "[]")</f>
        <v>[]</v>
      </c>
      <c r="AA214" s="11" t="s">
        <v>388</v>
      </c>
    </row>
    <row r="215" spans="1:27" ht="15.75" customHeight="1" x14ac:dyDescent="0.15">
      <c r="A215" s="7">
        <f t="shared" si="5"/>
        <v>45777</v>
      </c>
      <c r="B215" s="1"/>
      <c r="C215" s="1" t="s">
        <v>253</v>
      </c>
      <c r="D215" s="1" t="s">
        <v>253</v>
      </c>
      <c r="E215" s="1" t="s">
        <v>385</v>
      </c>
      <c r="F215" s="1"/>
      <c r="G215" s="8"/>
      <c r="H215" s="8"/>
      <c r="I215" s="8">
        <v>45775</v>
      </c>
      <c r="K215" s="1" t="s">
        <v>34</v>
      </c>
      <c r="L215" s="15">
        <v>45776</v>
      </c>
      <c r="M215" s="8">
        <v>45777</v>
      </c>
      <c r="N215" s="9">
        <v>0.97916666666666663</v>
      </c>
      <c r="O215" s="9">
        <v>0.5</v>
      </c>
      <c r="P215" s="9">
        <v>0.70833333333333337</v>
      </c>
      <c r="Q215" s="1" t="s">
        <v>389</v>
      </c>
      <c r="R215" s="10" t="str">
        <f ca="1">IFERROR(__xludf.DUMMYFUNCTION("JOIN("","", SORT(UNIQUE(TOCOL({VLOOKUP(D215,DM_fish!A:B,2,FALSE),VLOOKUP(C215,DM_fish!A:B,2,FALSE), ARRAYFORMULA(VLOOKUP(SPLIT(E215, "", ""),Injections!B:G,6,FALSE)), ARRAYFORMULA(VLOOKUP(SPLIT(F215, "", ""),Injections!H:M,6,FALSE)), ARRAYFORMULA(VLOOKUP("&amp;"SPLIT(G215, "", ""),Injections!N:S,6,FALSE)), ARRAYFORMULA(VLOOKUP(SPLIT(H215, "", ""),Injections!T:Y,6,FALSE)) },3))))"),"cytosol")</f>
        <v>cytosol</v>
      </c>
      <c r="S215" s="10" t="str">
        <f ca="1">IFERROR(__xludf.DUMMYFUNCTION("IFERROR(JOIN("","", SPLIT(R215, "","", TRUE ,TRUE)), """")"),"cytosol")</f>
        <v>cytosol</v>
      </c>
      <c r="T215" s="1" t="s">
        <v>390</v>
      </c>
      <c r="U215" s="1">
        <v>372</v>
      </c>
      <c r="V215" s="1" t="s">
        <v>203</v>
      </c>
      <c r="W215" s="12" t="str">
        <f ca="1">IFERROR(CONCATENATE("[", CONCATENATE(IF(VLOOKUP(D215,DM_fish!C:X,14, FALSE)&gt;0, CONCATENATE("{",CHAR(34),"target",CHAR(34),":",CHAR(34),VLOOKUP(D215,DM_fish!C:X,13, FALSE),CHAR(34),",", CHAR(34), "excitation",CHAR(34), ":", VLOOKUP(D215,DM_fish!C:X,14, FALSE), ",",  CHAR(34), "camera",CHAR(34), ":", IF(VALUE(VLOOKUP(D215,DM_fish!C:X,14, FALSE))&lt;VALUE(VLOOKUP(V215,imaging_filters!A:K,11, FALSE)), CONCATENATE(CHAR(34),"CamA",CHAR(34)), CONCATENATE(CHAR(34),"CamB",CHAR(34))),"}"), ""),IF(VLOOKUP(D215,DM_fish!C:X,16, FALSE)&gt;0, CONCATENATE(",{",CHAR(34),"target",CHAR(34),":",CHAR(34),VLOOKUP(D215,DM_fish!C:X,15, FALSE),CHAR(34),",", CHAR(34), "excitation",CHAR(34), ":", VLOOKUP(D215,DM_fish!C:X,16, FALSE), ",",  CHAR(34), "camera",CHAR(34), ":", IF(VALUE(VLOOKUP(D215,DM_fish!C:X,16, FALSE))&lt;VALUE(VLOOKUP(V215,imaging_filters!A:K,11, FALSE)), CONCATENATE(CHAR(34),"CamA",CHAR(34)), CONCATENATE(CHAR(34),"CamB",CHAR(34))),"}"), ""),IF(VLOOKUP(D215,DM_fish!C:X,18, FALSE)&gt;0, CONCATENATE(",{",CHAR(34),"target",CHAR(34),":",CHAR(34),VLOOKUP(D215,DM_fish!C:X,17, FALSE),CHAR(34),",", CHAR(34), "excitation",CHAR(34), ":", VLOOKUP(D215,DM_fish!C:X,18, FALSE), ",",  CHAR(34), "camera",CHAR(34), ":", IF(VALUE(VLOOKUP(D215,DM_fish!C:X,18, FALSE))&lt;VALUE(VLOOKUP(V215,imaging_filters!A:K,11, FALSE)), CONCATENATE(CHAR(34),"CamA",CHAR(34)), CONCATENATE(CHAR(34),"CamB",CHAR(34))),"}"), ""),IF(VLOOKUP(D215,DM_fish!C:X,20, FALSE)&gt;0, CONCATENATE(",{",CHAR(34),"target",CHAR(34),":",CHAR(34),VLOOKUP(D215,DM_fish!C:X,19, FALSE),CHAR(34),",", CHAR(34), "excitation",CHAR(34), ":", VLOOKUP(D215,DM_fish!C:X,20, FALSE), ",",  CHAR(34), "camera",CHAR(34), ":", IF(VALUE(VLOOKUP(D215,DM_fish!C:X,20, FALSE))&lt;VALUE(VLOOKUP(V215,imaging_filters!A:K,11, FALSE)), CONCATENATE(CHAR(34),"CamA",CHAR(34)), CONCATENATE(CHAR(34),"CamB",CHAR(34))),"}"), ""),IF(VLOOKUP(D215,DM_fish!C:X,22, FALSE)&gt;0, CONCATENATE(",{",CHAR(34),"target",CHAR(34),":",CHAR(34),VLOOKUP(D215,DM_fish!C:X,21, FALSE),CHAR(34),",", CHAR(34), "excitation",CHAR(34), ":", VLOOKUP(D215,DM_fish!C:X,22, FALSE), ",",  CHAR(34), "camera",CHAR(34), ":", IF(VALUE(VLOOKUP(D215,DM_fish!C:X,22, FALSE))&lt;VALUE(VLOOKUP(V215,imaging_filters!A:K,11, FALSE)), CONCATENATE(CHAR(34),"CamA",CHAR(34)), CONCATENATE(CHAR(34),"CamB",CHAR(34))),"}"), "")), "]"), "")</f>
        <v/>
      </c>
      <c r="X215" s="12" t="str">
        <f ca="1">IFERROR(
CONCATENATE("[", CONCATENATE(IF(VLOOKUP(C215,DM_fish!C:X,14, FALSE)&gt;0, CONCATENATE("{",CHAR(34),"target",CHAR(34),":",CHAR(34),VLOOKUP(C215,DM_fish!C:X,13, FALSE),CHAR(34),",", CHAR(34), "excitation",CHAR(34), ":", VLOOKUP(C215,DM_fish!C:X,14, FALSE), ",",  CHAR(34), "camera",CHAR(34), ":", IF(VALUE(VLOOKUP(C215,DM_fish!C:X,14, FALSE))&lt;VALUE(VLOOKUP(V215,imaging_filters!A:K,11, FALSE)), CONCATENATE(CHAR(34),"CamA",CHAR(34)), CONCATENATE(CHAR(34),"CamB",CHAR(34))),"}"), ""),IF(VLOOKUP(C215,DM_fish!C:X,16, FALSE)&gt;0, CONCATENATE(",{",CHAR(34),"target",CHAR(34),":",CHAR(34),VLOOKUP(C215,DM_fish!C:X,15, FALSE),CHAR(34),",", CHAR(34), "excitation",CHAR(34), ":", VLOOKUP(C215,DM_fish!C:X,16, FALSE), ",",  CHAR(34), "camera",CHAR(34), ":", IF(VALUE(VLOOKUP(C215,DM_fish!C:X,16, FALSE))&lt;VALUE(VLOOKUP(V215,imaging_filters!A:K,11, FALSE)), CONCATENATE(CHAR(34),"CamA",CHAR(34)), CONCATENATE(CHAR(34),"CamB",CHAR(34))),"}"), ""),IF(VLOOKUP(C215,DM_fish!C:X,18, FALSE)&gt;0, CONCATENATE(",{",CHAR(34),"target",CHAR(34),":",CHAR(34),VLOOKUP(C215,DM_fish!C:X,17, FALSE),CHAR(34),",", CHAR(34), "excitation",CHAR(34), ":", VLOOKUP(C215,DM_fish!C:X,18, FALSE), ",",  CHAR(34), "camera",CHAR(34), ":", IF(VALUE(VLOOKUP(C215,DM_fish!C:X,18, FALSE))&lt;VALUE(VLOOKUP(V215,imaging_filters!A:K,11, FALSE)), CONCATENATE(CHAR(34),"CamA",CHAR(34)), CONCATENATE(CHAR(34),"CamB",CHAR(34))),"}"), ""),IF(VLOOKUP(C215,DM_fish!C:X,20, FALSE)&gt;0, CONCATENATE(",{",CHAR(34),"target",CHAR(34),":",CHAR(34),VLOOKUP(C215,DM_fish!C:X,19, FALSE),CHAR(34),",", CHAR(34), "excitation",CHAR(34), ":", VLOOKUP(C215,DM_fish!C:X,20, FALSE), ",",  CHAR(34), "camera",CHAR(34), ":", IF(VALUE(VLOOKUP(C215,DM_fish!C:X,20, FALSE))&lt;VALUE(VLOOKUP(V215,imaging_filters!A:K,11, FALSE)), CONCATENATE(CHAR(34),"CamA",CHAR(34)), CONCATENATE(CHAR(34),"CamB",CHAR(34))),"}"), ""),IF(VLOOKUP(C215,DM_fish!C:X,22, FALSE)&gt;0, CONCATENATE(",{",CHAR(34),"target",CHAR(34),":",CHAR(34),VLOOKUP(C215,DM_fish!C:X,21, FALSE),CHAR(34),",", CHAR(34), "excitation",CHAR(34), ":", VLOOKUP(C215,DM_fish!C:X,22, FALSE), ",",  CHAR(34), "camera",CHAR(34), ":", IF(VALUE(VLOOKUP(C215,DM_fish!C:X,22, FALSE))&lt;VALUE(VLOOKUP(V215,imaging_filters!A:K,11, FALSE)), CONCATENATE(CHAR(34),"CamA",CHAR(34)), CONCATENATE(CHAR(34),"CamB",CHAR(34))),"}"), "")), "]"), "")</f>
        <v/>
      </c>
      <c r="Y215" s="11" t="str">
        <f ca="1">IFERROR(
CONCATENATE( "[",
IF(VLOOKUP(E215,Injections!B:F,3, FALSE)&gt;0, CONCATENATE( "{",CHAR(34),"target",CHAR(34),":",CHAR(34),VLOOKUP(E215,Injections!B:F,2, FALSE),CHAR(34),",", CHAR(34), "excitation",CHAR(34), ":", VLOOKUP(E215,Injections!B:F,3, FALSE), ",",  CHAR(34), "camera",CHAR(34), ":",
IF(VALUE(VLOOKUP(E215,Injections!B:F,3, FALSE))&lt;VALUE(VLOOKUP(V215,imaging_filters!A:C,2, FALSE)), CONCATENATE(CHAR(34),"CamA",CHAR(34)), CONCATENATE(CHAR(34),"CamB",CHAR(34))),"}"), ""),
IF(VLOOKUP(E215,Injections!B:F,5, FALSE)&gt;0, CONCATENATE(",{",CHAR(34),"target",CHAR(34),":",CHAR(34),VLOOKUP(E215,Injections!B:F,4, FALSE),CHAR(34),",", CHAR(34), "excitation",CHAR(34), ":", VLOOKUP(E215,Injections!B:F,5, FALSE), ",",  CHAR(34), "camera",CHAR(34), ":",
IF(VALUE(VLOOKUP(E215,Injections!B:F,5, FALSE))&lt;VALUE(VLOOKUP(V215,imaging_filters!A:C,2, FALSE)), CONCATENATE(CHAR(34),"CamA",CHAR(34)), CONCATENATE(CHAR(34),"CamB",CHAR(34))),"}"), ""),
 "]"), "[]")</f>
        <v>[{"target":"cytosol","excitation":514,"camera":"CamA"}]</v>
      </c>
      <c r="Z215" s="11" t="str">
        <f ca="1">IFERROR(
CONCATENATE( "[",
IF(VLOOKUP(F215,Injections!H:L,3, FALSE)&gt;0, CONCATENATE( "{",CHAR(34),"target",CHAR(34),":",CHAR(34),VLOOKUP(F215,Injections!H:L,2, FALSE),CHAR(34),",", CHAR(34), "excitation",CHAR(34), ":", VLOOKUP(F215,Injections!H:L,3, FALSE), ",",  CHAR(34), "camera",CHAR(34), ":",
IF(VALUE(VLOOKUP(F215,Injections!H:L,3, FALSE))&lt;VALUE(VLOOKUP(V215,imaging_filters!A:K,11, FALSE)), CONCATENATE(CHAR(34),"CamA",CHAR(34)), CONCATENATE(CHAR(34),"CamB",CHAR(34))),"}"), ""),
IF(VLOOKUP(F215,Injections!H:L,5, FALSE)&gt;0, CONCATENATE(",{",CHAR(34),"target",CHAR(34),":",CHAR(34),VLOOKUP(F215,Injections!H:L,4, FALSE),CHAR(34),",", CHAR(34), "excitation",CHAR(34), ":", VLOOKUP(F215,Injections!H:L,5, FALSE), ",",  CHAR(34), "camera",CHAR(34), ":",
IF(VALUE(VLOOKUP(F215,Injections!H:L,5, FALSE))&lt;VALUE(VLOOKUP(V215,imaging_filters!A:K,11, FALSE)), CONCATENATE(CHAR(34),"CamA",CHAR(34)), CONCATENATE(CHAR(34),"CamB",CHAR(34))),"}"), ""),
 "]"), "[]")</f>
        <v>[]</v>
      </c>
      <c r="AA215" s="11"/>
    </row>
    <row r="216" spans="1:27" ht="15.75" customHeight="1" x14ac:dyDescent="0.15">
      <c r="A216" s="7">
        <f t="shared" si="5"/>
        <v>45777</v>
      </c>
      <c r="B216" s="1"/>
      <c r="C216" s="1" t="s">
        <v>250</v>
      </c>
      <c r="D216" s="1" t="s">
        <v>250</v>
      </c>
      <c r="E216" s="1" t="s">
        <v>385</v>
      </c>
      <c r="F216" s="1"/>
      <c r="G216" s="8"/>
      <c r="H216" s="8"/>
      <c r="I216" s="8">
        <v>45776</v>
      </c>
      <c r="K216" s="1" t="s">
        <v>34</v>
      </c>
      <c r="L216" s="15">
        <v>45777</v>
      </c>
      <c r="M216" s="8">
        <v>45777</v>
      </c>
      <c r="N216" s="9">
        <v>0.72916666666666663</v>
      </c>
      <c r="O216" s="9">
        <v>0.77083333333333337</v>
      </c>
      <c r="Q216" s="1" t="s">
        <v>391</v>
      </c>
      <c r="R216" s="10" t="str">
        <f ca="1">IFERROR(__xludf.DUMMYFUNCTION("JOIN("","", SORT(UNIQUE(TOCOL({VLOOKUP(D216,DM_fish!A:B,2,FALSE),VLOOKUP(C216,DM_fish!A:B,2,FALSE), ARRAYFORMULA(VLOOKUP(SPLIT(E216, "", ""),Injections!B:G,6,FALSE)), ARRAYFORMULA(VLOOKUP(SPLIT(F216, "", ""),Injections!H:M,6,FALSE)), ARRAYFORMULA(VLOOKUP("&amp;"SPLIT(G216, "", ""),Injections!N:S,6,FALSE)), ARRAYFORMULA(VLOOKUP(SPLIT(H216, "", ""),Injections!T:Y,6,FALSE)) },3))))"),"cytosol")</f>
        <v>cytosol</v>
      </c>
      <c r="S216" s="10" t="str">
        <f ca="1">IFERROR(__xludf.DUMMYFUNCTION("IFERROR(JOIN("","", SPLIT(R216, "","", TRUE ,TRUE)), """")"),"cytosol")</f>
        <v>cytosol</v>
      </c>
      <c r="T216" s="1" t="s">
        <v>392</v>
      </c>
      <c r="U216" s="1">
        <v>588</v>
      </c>
      <c r="V216" s="1" t="s">
        <v>203</v>
      </c>
      <c r="W216" s="12" t="str">
        <f ca="1">IFERROR(CONCATENATE("[", CONCATENATE(IF(VLOOKUP(D216,DM_fish!C:X,14, FALSE)&gt;0, CONCATENATE("{",CHAR(34),"target",CHAR(34),":",CHAR(34),VLOOKUP(D216,DM_fish!C:X,13, FALSE),CHAR(34),",", CHAR(34), "excitation",CHAR(34), ":", VLOOKUP(D216,DM_fish!C:X,14, FALSE), ",",  CHAR(34), "camera",CHAR(34), ":", IF(VALUE(VLOOKUP(D216,DM_fish!C:X,14, FALSE))&lt;VALUE(VLOOKUP(V216,imaging_filters!A:K,11, FALSE)), CONCATENATE(CHAR(34),"CamA",CHAR(34)), CONCATENATE(CHAR(34),"CamB",CHAR(34))),"}"), ""),IF(VLOOKUP(D216,DM_fish!C:X,16, FALSE)&gt;0, CONCATENATE(",{",CHAR(34),"target",CHAR(34),":",CHAR(34),VLOOKUP(D216,DM_fish!C:X,15, FALSE),CHAR(34),",", CHAR(34), "excitation",CHAR(34), ":", VLOOKUP(D216,DM_fish!C:X,16, FALSE), ",",  CHAR(34), "camera",CHAR(34), ":", IF(VALUE(VLOOKUP(D216,DM_fish!C:X,16, FALSE))&lt;VALUE(VLOOKUP(V216,imaging_filters!A:K,11, FALSE)), CONCATENATE(CHAR(34),"CamA",CHAR(34)), CONCATENATE(CHAR(34),"CamB",CHAR(34))),"}"), ""),IF(VLOOKUP(D216,DM_fish!C:X,18, FALSE)&gt;0, CONCATENATE(",{",CHAR(34),"target",CHAR(34),":",CHAR(34),VLOOKUP(D216,DM_fish!C:X,17, FALSE),CHAR(34),",", CHAR(34), "excitation",CHAR(34), ":", VLOOKUP(D216,DM_fish!C:X,18, FALSE), ",",  CHAR(34), "camera",CHAR(34), ":", IF(VALUE(VLOOKUP(D216,DM_fish!C:X,18, FALSE))&lt;VALUE(VLOOKUP(V216,imaging_filters!A:K,11, FALSE)), CONCATENATE(CHAR(34),"CamA",CHAR(34)), CONCATENATE(CHAR(34),"CamB",CHAR(34))),"}"), ""),IF(VLOOKUP(D216,DM_fish!C:X,20, FALSE)&gt;0, CONCATENATE(",{",CHAR(34),"target",CHAR(34),":",CHAR(34),VLOOKUP(D216,DM_fish!C:X,19, FALSE),CHAR(34),",", CHAR(34), "excitation",CHAR(34), ":", VLOOKUP(D216,DM_fish!C:X,20, FALSE), ",",  CHAR(34), "camera",CHAR(34), ":", IF(VALUE(VLOOKUP(D216,DM_fish!C:X,20, FALSE))&lt;VALUE(VLOOKUP(V216,imaging_filters!A:K,11, FALSE)), CONCATENATE(CHAR(34),"CamA",CHAR(34)), CONCATENATE(CHAR(34),"CamB",CHAR(34))),"}"), ""),IF(VLOOKUP(D216,DM_fish!C:X,22, FALSE)&gt;0, CONCATENATE(",{",CHAR(34),"target",CHAR(34),":",CHAR(34),VLOOKUP(D216,DM_fish!C:X,21, FALSE),CHAR(34),",", CHAR(34), "excitation",CHAR(34), ":", VLOOKUP(D216,DM_fish!C:X,22, FALSE), ",",  CHAR(34), "camera",CHAR(34), ":", IF(VALUE(VLOOKUP(D216,DM_fish!C:X,22, FALSE))&lt;VALUE(VLOOKUP(V216,imaging_filters!A:K,11, FALSE)), CONCATENATE(CHAR(34),"CamA",CHAR(34)), CONCATENATE(CHAR(34),"CamB",CHAR(34))),"}"), "")), "]"), "")</f>
        <v/>
      </c>
      <c r="X216" s="12" t="str">
        <f ca="1">IFERROR(
CONCATENATE("[", CONCATENATE(IF(VLOOKUP(C216,DM_fish!C:X,14, FALSE)&gt;0, CONCATENATE("{",CHAR(34),"target",CHAR(34),":",CHAR(34),VLOOKUP(C216,DM_fish!C:X,13, FALSE),CHAR(34),",", CHAR(34), "excitation",CHAR(34), ":", VLOOKUP(C216,DM_fish!C:X,14, FALSE), ",",  CHAR(34), "camera",CHAR(34), ":", IF(VALUE(VLOOKUP(C216,DM_fish!C:X,14, FALSE))&lt;VALUE(VLOOKUP(V216,imaging_filters!A:K,11, FALSE)), CONCATENATE(CHAR(34),"CamA",CHAR(34)), CONCATENATE(CHAR(34),"CamB",CHAR(34))),"}"), ""),IF(VLOOKUP(C216,DM_fish!C:X,16, FALSE)&gt;0, CONCATENATE(",{",CHAR(34),"target",CHAR(34),":",CHAR(34),VLOOKUP(C216,DM_fish!C:X,15, FALSE),CHAR(34),",", CHAR(34), "excitation",CHAR(34), ":", VLOOKUP(C216,DM_fish!C:X,16, FALSE), ",",  CHAR(34), "camera",CHAR(34), ":", IF(VALUE(VLOOKUP(C216,DM_fish!C:X,16, FALSE))&lt;VALUE(VLOOKUP(V216,imaging_filters!A:K,11, FALSE)), CONCATENATE(CHAR(34),"CamA",CHAR(34)), CONCATENATE(CHAR(34),"CamB",CHAR(34))),"}"), ""),IF(VLOOKUP(C216,DM_fish!C:X,18, FALSE)&gt;0, CONCATENATE(",{",CHAR(34),"target",CHAR(34),":",CHAR(34),VLOOKUP(C216,DM_fish!C:X,17, FALSE),CHAR(34),",", CHAR(34), "excitation",CHAR(34), ":", VLOOKUP(C216,DM_fish!C:X,18, FALSE), ",",  CHAR(34), "camera",CHAR(34), ":", IF(VALUE(VLOOKUP(C216,DM_fish!C:X,18, FALSE))&lt;VALUE(VLOOKUP(V216,imaging_filters!A:K,11, FALSE)), CONCATENATE(CHAR(34),"CamA",CHAR(34)), CONCATENATE(CHAR(34),"CamB",CHAR(34))),"}"), ""),IF(VLOOKUP(C216,DM_fish!C:X,20, FALSE)&gt;0, CONCATENATE(",{",CHAR(34),"target",CHAR(34),":",CHAR(34),VLOOKUP(C216,DM_fish!C:X,19, FALSE),CHAR(34),",", CHAR(34), "excitation",CHAR(34), ":", VLOOKUP(C216,DM_fish!C:X,20, FALSE), ",",  CHAR(34), "camera",CHAR(34), ":", IF(VALUE(VLOOKUP(C216,DM_fish!C:X,20, FALSE))&lt;VALUE(VLOOKUP(V216,imaging_filters!A:K,11, FALSE)), CONCATENATE(CHAR(34),"CamA",CHAR(34)), CONCATENATE(CHAR(34),"CamB",CHAR(34))),"}"), ""),IF(VLOOKUP(C216,DM_fish!C:X,22, FALSE)&gt;0, CONCATENATE(",{",CHAR(34),"target",CHAR(34),":",CHAR(34),VLOOKUP(C216,DM_fish!C:X,21, FALSE),CHAR(34),",", CHAR(34), "excitation",CHAR(34), ":", VLOOKUP(C216,DM_fish!C:X,22, FALSE), ",",  CHAR(34), "camera",CHAR(34), ":", IF(VALUE(VLOOKUP(C216,DM_fish!C:X,22, FALSE))&lt;VALUE(VLOOKUP(V216,imaging_filters!A:K,11, FALSE)), CONCATENATE(CHAR(34),"CamA",CHAR(34)), CONCATENATE(CHAR(34),"CamB",CHAR(34))),"}"), "")), "]"), "")</f>
        <v/>
      </c>
      <c r="Y216" s="11" t="str">
        <f ca="1">IFERROR(
CONCATENATE( "[",
IF(VLOOKUP(E216,Injections!B:F,3, FALSE)&gt;0, CONCATENATE( "{",CHAR(34),"target",CHAR(34),":",CHAR(34),VLOOKUP(E216,Injections!B:F,2, FALSE),CHAR(34),",", CHAR(34), "excitation",CHAR(34), ":", VLOOKUP(E216,Injections!B:F,3, FALSE), ",",  CHAR(34), "camera",CHAR(34), ":",
IF(VALUE(VLOOKUP(E216,Injections!B:F,3, FALSE))&lt;VALUE(VLOOKUP(V216,imaging_filters!A:C,2, FALSE)), CONCATENATE(CHAR(34),"CamA",CHAR(34)), CONCATENATE(CHAR(34),"CamB",CHAR(34))),"}"), ""),
IF(VLOOKUP(E216,Injections!B:F,5, FALSE)&gt;0, CONCATENATE(",{",CHAR(34),"target",CHAR(34),":",CHAR(34),VLOOKUP(E216,Injections!B:F,4, FALSE),CHAR(34),",", CHAR(34), "excitation",CHAR(34), ":", VLOOKUP(E216,Injections!B:F,5, FALSE), ",",  CHAR(34), "camera",CHAR(34), ":",
IF(VALUE(VLOOKUP(E216,Injections!B:F,5, FALSE))&lt;VALUE(VLOOKUP(V216,imaging_filters!A:C,2, FALSE)), CONCATENATE(CHAR(34),"CamA",CHAR(34)), CONCATENATE(CHAR(34),"CamB",CHAR(34))),"}"), ""),
 "]"), "[]")</f>
        <v>[{"target":"cytosol","excitation":514,"camera":"CamA"}]</v>
      </c>
      <c r="Z216" s="11" t="str">
        <f ca="1">IFERROR(
CONCATENATE( "[",
IF(VLOOKUP(F216,Injections!H:L,3, FALSE)&gt;0, CONCATENATE( "{",CHAR(34),"target",CHAR(34),":",CHAR(34),VLOOKUP(F216,Injections!H:L,2, FALSE),CHAR(34),",", CHAR(34), "excitation",CHAR(34), ":", VLOOKUP(F216,Injections!H:L,3, FALSE), ",",  CHAR(34), "camera",CHAR(34), ":",
IF(VALUE(VLOOKUP(F216,Injections!H:L,3, FALSE))&lt;VALUE(VLOOKUP(V216,imaging_filters!A:K,11, FALSE)), CONCATENATE(CHAR(34),"CamA",CHAR(34)), CONCATENATE(CHAR(34),"CamB",CHAR(34))),"}"), ""),
IF(VLOOKUP(F216,Injections!H:L,5, FALSE)&gt;0, CONCATENATE(",{",CHAR(34),"target",CHAR(34),":",CHAR(34),VLOOKUP(F216,Injections!H:L,4, FALSE),CHAR(34),",", CHAR(34), "excitation",CHAR(34), ":", VLOOKUP(F216,Injections!H:L,5, FALSE), ",",  CHAR(34), "camera",CHAR(34), ":",
IF(VALUE(VLOOKUP(F216,Injections!H:L,5, FALSE))&lt;VALUE(VLOOKUP(V216,imaging_filters!A:K,11, FALSE)), CONCATENATE(CHAR(34),"CamA",CHAR(34)), CONCATENATE(CHAR(34),"CamB",CHAR(34))),"}"), ""),
 "]"), "[]")</f>
        <v>[]</v>
      </c>
      <c r="AA216" s="11"/>
    </row>
    <row r="217" spans="1:27" ht="15.75" customHeight="1" x14ac:dyDescent="0.15">
      <c r="A217" s="7">
        <f t="shared" si="5"/>
        <v>45776</v>
      </c>
      <c r="B217" s="1"/>
      <c r="C217" s="1" t="s">
        <v>253</v>
      </c>
      <c r="D217" s="1" t="s">
        <v>253</v>
      </c>
      <c r="E217" s="1" t="s">
        <v>385</v>
      </c>
      <c r="F217" s="1"/>
      <c r="G217" s="8"/>
      <c r="H217" s="8"/>
      <c r="I217" s="8">
        <v>45775</v>
      </c>
      <c r="K217" s="1" t="s">
        <v>393</v>
      </c>
      <c r="L217" s="15">
        <v>45776</v>
      </c>
      <c r="M217" s="8">
        <v>45776</v>
      </c>
      <c r="N217" s="9">
        <v>0.53125</v>
      </c>
      <c r="O217" s="9">
        <v>0.54166666666666663</v>
      </c>
      <c r="P217" s="1" t="s">
        <v>394</v>
      </c>
      <c r="Q217" s="1" t="s">
        <v>395</v>
      </c>
      <c r="R217" s="10" t="str">
        <f ca="1">IFERROR(__xludf.DUMMYFUNCTION("JOIN("","", SORT(UNIQUE(TOCOL({VLOOKUP(D217,DM_fish!A:B,2,FALSE),VLOOKUP(C217,DM_fish!A:B,2,FALSE), ARRAYFORMULA(VLOOKUP(SPLIT(E217, "", ""),Injections!B:G,6,FALSE)), ARRAYFORMULA(VLOOKUP(SPLIT(F217, "", ""),Injections!H:M,6,FALSE)), ARRAYFORMULA(VLOOKUP("&amp;"SPLIT(G217, "", ""),Injections!N:S,6,FALSE)), ARRAYFORMULA(VLOOKUP(SPLIT(H217, "", ""),Injections!T:Y,6,FALSE)) },3))))"),"cytosol")</f>
        <v>cytosol</v>
      </c>
      <c r="S217" s="10" t="str">
        <f ca="1">IFERROR(__xludf.DUMMYFUNCTION("IFERROR(JOIN("","", SPLIT(R217, "","", TRUE ,TRUE)), """")"),"cytosol")</f>
        <v>cytosol</v>
      </c>
      <c r="T217" s="1" t="s">
        <v>396</v>
      </c>
      <c r="U217" s="1">
        <v>1403</v>
      </c>
      <c r="V217" s="1" t="s">
        <v>203</v>
      </c>
      <c r="W217" s="12" t="str">
        <f ca="1">IFERROR(CONCATENATE("[", CONCATENATE(IF(VLOOKUP(D217,DM_fish!C:X,14, FALSE)&gt;0, CONCATENATE("{",CHAR(34),"target",CHAR(34),":",CHAR(34),VLOOKUP(D217,DM_fish!C:X,13, FALSE),CHAR(34),",", CHAR(34), "excitation",CHAR(34), ":", VLOOKUP(D217,DM_fish!C:X,14, FALSE), ",",  CHAR(34), "camera",CHAR(34), ":", IF(VALUE(VLOOKUP(D217,DM_fish!C:X,14, FALSE))&lt;VALUE(VLOOKUP(V217,imaging_filters!A:K,11, FALSE)), CONCATENATE(CHAR(34),"CamA",CHAR(34)), CONCATENATE(CHAR(34),"CamB",CHAR(34))),"}"), ""),IF(VLOOKUP(D217,DM_fish!C:X,16, FALSE)&gt;0, CONCATENATE(",{",CHAR(34),"target",CHAR(34),":",CHAR(34),VLOOKUP(D217,DM_fish!C:X,15, FALSE),CHAR(34),",", CHAR(34), "excitation",CHAR(34), ":", VLOOKUP(D217,DM_fish!C:X,16, FALSE), ",",  CHAR(34), "camera",CHAR(34), ":", IF(VALUE(VLOOKUP(D217,DM_fish!C:X,16, FALSE))&lt;VALUE(VLOOKUP(V217,imaging_filters!A:K,11, FALSE)), CONCATENATE(CHAR(34),"CamA",CHAR(34)), CONCATENATE(CHAR(34),"CamB",CHAR(34))),"}"), ""),IF(VLOOKUP(D217,DM_fish!C:X,18, FALSE)&gt;0, CONCATENATE(",{",CHAR(34),"target",CHAR(34),":",CHAR(34),VLOOKUP(D217,DM_fish!C:X,17, FALSE),CHAR(34),",", CHAR(34), "excitation",CHAR(34), ":", VLOOKUP(D217,DM_fish!C:X,18, FALSE), ",",  CHAR(34), "camera",CHAR(34), ":", IF(VALUE(VLOOKUP(D217,DM_fish!C:X,18, FALSE))&lt;VALUE(VLOOKUP(V217,imaging_filters!A:K,11, FALSE)), CONCATENATE(CHAR(34),"CamA",CHAR(34)), CONCATENATE(CHAR(34),"CamB",CHAR(34))),"}"), ""),IF(VLOOKUP(D217,DM_fish!C:X,20, FALSE)&gt;0, CONCATENATE(",{",CHAR(34),"target",CHAR(34),":",CHAR(34),VLOOKUP(D217,DM_fish!C:X,19, FALSE),CHAR(34),",", CHAR(34), "excitation",CHAR(34), ":", VLOOKUP(D217,DM_fish!C:X,20, FALSE), ",",  CHAR(34), "camera",CHAR(34), ":", IF(VALUE(VLOOKUP(D217,DM_fish!C:X,20, FALSE))&lt;VALUE(VLOOKUP(V217,imaging_filters!A:K,11, FALSE)), CONCATENATE(CHAR(34),"CamA",CHAR(34)), CONCATENATE(CHAR(34),"CamB",CHAR(34))),"}"), ""),IF(VLOOKUP(D217,DM_fish!C:X,22, FALSE)&gt;0, CONCATENATE(",{",CHAR(34),"target",CHAR(34),":",CHAR(34),VLOOKUP(D217,DM_fish!C:X,21, FALSE),CHAR(34),",", CHAR(34), "excitation",CHAR(34), ":", VLOOKUP(D217,DM_fish!C:X,22, FALSE), ",",  CHAR(34), "camera",CHAR(34), ":", IF(VALUE(VLOOKUP(D217,DM_fish!C:X,22, FALSE))&lt;VALUE(VLOOKUP(V217,imaging_filters!A:K,11, FALSE)), CONCATENATE(CHAR(34),"CamA",CHAR(34)), CONCATENATE(CHAR(34),"CamB",CHAR(34))),"}"), "")), "]"), "")</f>
        <v/>
      </c>
      <c r="X217" s="12" t="str">
        <f ca="1">IFERROR(
CONCATENATE("[", CONCATENATE(IF(VLOOKUP(C217,DM_fish!C:X,14, FALSE)&gt;0, CONCATENATE("{",CHAR(34),"target",CHAR(34),":",CHAR(34),VLOOKUP(C217,DM_fish!C:X,13, FALSE),CHAR(34),",", CHAR(34), "excitation",CHAR(34), ":", VLOOKUP(C217,DM_fish!C:X,14, FALSE), ",",  CHAR(34), "camera",CHAR(34), ":", IF(VALUE(VLOOKUP(C217,DM_fish!C:X,14, FALSE))&lt;VALUE(VLOOKUP(V217,imaging_filters!A:K,11, FALSE)), CONCATENATE(CHAR(34),"CamA",CHAR(34)), CONCATENATE(CHAR(34),"CamB",CHAR(34))),"}"), ""),IF(VLOOKUP(C217,DM_fish!C:X,16, FALSE)&gt;0, CONCATENATE(",{",CHAR(34),"target",CHAR(34),":",CHAR(34),VLOOKUP(C217,DM_fish!C:X,15, FALSE),CHAR(34),",", CHAR(34), "excitation",CHAR(34), ":", VLOOKUP(C217,DM_fish!C:X,16, FALSE), ",",  CHAR(34), "camera",CHAR(34), ":", IF(VALUE(VLOOKUP(C217,DM_fish!C:X,16, FALSE))&lt;VALUE(VLOOKUP(V217,imaging_filters!A:K,11, FALSE)), CONCATENATE(CHAR(34),"CamA",CHAR(34)), CONCATENATE(CHAR(34),"CamB",CHAR(34))),"}"), ""),IF(VLOOKUP(C217,DM_fish!C:X,18, FALSE)&gt;0, CONCATENATE(",{",CHAR(34),"target",CHAR(34),":",CHAR(34),VLOOKUP(C217,DM_fish!C:X,17, FALSE),CHAR(34),",", CHAR(34), "excitation",CHAR(34), ":", VLOOKUP(C217,DM_fish!C:X,18, FALSE), ",",  CHAR(34), "camera",CHAR(34), ":", IF(VALUE(VLOOKUP(C217,DM_fish!C:X,18, FALSE))&lt;VALUE(VLOOKUP(V217,imaging_filters!A:K,11, FALSE)), CONCATENATE(CHAR(34),"CamA",CHAR(34)), CONCATENATE(CHAR(34),"CamB",CHAR(34))),"}"), ""),IF(VLOOKUP(C217,DM_fish!C:X,20, FALSE)&gt;0, CONCATENATE(",{",CHAR(34),"target",CHAR(34),":",CHAR(34),VLOOKUP(C217,DM_fish!C:X,19, FALSE),CHAR(34),",", CHAR(34), "excitation",CHAR(34), ":", VLOOKUP(C217,DM_fish!C:X,20, FALSE), ",",  CHAR(34), "camera",CHAR(34), ":", IF(VALUE(VLOOKUP(C217,DM_fish!C:X,20, FALSE))&lt;VALUE(VLOOKUP(V217,imaging_filters!A:K,11, FALSE)), CONCATENATE(CHAR(34),"CamA",CHAR(34)), CONCATENATE(CHAR(34),"CamB",CHAR(34))),"}"), ""),IF(VLOOKUP(C217,DM_fish!C:X,22, FALSE)&gt;0, CONCATENATE(",{",CHAR(34),"target",CHAR(34),":",CHAR(34),VLOOKUP(C217,DM_fish!C:X,21, FALSE),CHAR(34),",", CHAR(34), "excitation",CHAR(34), ":", VLOOKUP(C217,DM_fish!C:X,22, FALSE), ",",  CHAR(34), "camera",CHAR(34), ":", IF(VALUE(VLOOKUP(C217,DM_fish!C:X,22, FALSE))&lt;VALUE(VLOOKUP(V217,imaging_filters!A:K,11, FALSE)), CONCATENATE(CHAR(34),"CamA",CHAR(34)), CONCATENATE(CHAR(34),"CamB",CHAR(34))),"}"), "")), "]"), "")</f>
        <v/>
      </c>
      <c r="Y217" s="11" t="str">
        <f ca="1">IFERROR(
CONCATENATE( "[",
IF(VLOOKUP(E217,Injections!B:F,3, FALSE)&gt;0, CONCATENATE( "{",CHAR(34),"target",CHAR(34),":",CHAR(34),VLOOKUP(E217,Injections!B:F,2, FALSE),CHAR(34),",", CHAR(34), "excitation",CHAR(34), ":", VLOOKUP(E217,Injections!B:F,3, FALSE), ",",  CHAR(34), "camera",CHAR(34), ":",
IF(VALUE(VLOOKUP(E217,Injections!B:F,3, FALSE))&lt;VALUE(VLOOKUP(V217,imaging_filters!A:C,2, FALSE)), CONCATENATE(CHAR(34),"CamA",CHAR(34)), CONCATENATE(CHAR(34),"CamB",CHAR(34))),"}"), ""),
IF(VLOOKUP(E217,Injections!B:F,5, FALSE)&gt;0, CONCATENATE(",{",CHAR(34),"target",CHAR(34),":",CHAR(34),VLOOKUP(E217,Injections!B:F,4, FALSE),CHAR(34),",", CHAR(34), "excitation",CHAR(34), ":", VLOOKUP(E217,Injections!B:F,5, FALSE), ",",  CHAR(34), "camera",CHAR(34), ":",
IF(VALUE(VLOOKUP(E217,Injections!B:F,5, FALSE))&lt;VALUE(VLOOKUP(V217,imaging_filters!A:C,2, FALSE)), CONCATENATE(CHAR(34),"CamA",CHAR(34)), CONCATENATE(CHAR(34),"CamB",CHAR(34))),"}"), ""),
 "]"), "[]")</f>
        <v>[{"target":"cytosol","excitation":514,"camera":"CamA"}]</v>
      </c>
      <c r="Z217" s="11" t="str">
        <f ca="1">IFERROR(
CONCATENATE( "[",
IF(VLOOKUP(F217,Injections!H:L,3, FALSE)&gt;0, CONCATENATE( "{",CHAR(34),"target",CHAR(34),":",CHAR(34),VLOOKUP(F217,Injections!H:L,2, FALSE),CHAR(34),",", CHAR(34), "excitation",CHAR(34), ":", VLOOKUP(F217,Injections!H:L,3, FALSE), ",",  CHAR(34), "camera",CHAR(34), ":",
IF(VALUE(VLOOKUP(F217,Injections!H:L,3, FALSE))&lt;VALUE(VLOOKUP(V217,imaging_filters!A:K,11, FALSE)), CONCATENATE(CHAR(34),"CamA",CHAR(34)), CONCATENATE(CHAR(34),"CamB",CHAR(34))),"}"), ""),
IF(VLOOKUP(F217,Injections!H:L,5, FALSE)&gt;0, CONCATENATE(",{",CHAR(34),"target",CHAR(34),":",CHAR(34),VLOOKUP(F217,Injections!H:L,4, FALSE),CHAR(34),",", CHAR(34), "excitation",CHAR(34), ":", VLOOKUP(F217,Injections!H:L,5, FALSE), ",",  CHAR(34), "camera",CHAR(34), ":",
IF(VALUE(VLOOKUP(F217,Injections!H:L,5, FALSE))&lt;VALUE(VLOOKUP(V217,imaging_filters!A:K,11, FALSE)), CONCATENATE(CHAR(34),"CamA",CHAR(34)), CONCATENATE(CHAR(34),"CamB",CHAR(34))),"}"), ""),
 "]"), "[]")</f>
        <v>[]</v>
      </c>
      <c r="AA217" s="11"/>
    </row>
    <row r="218" spans="1:27" ht="15.75" customHeight="1" x14ac:dyDescent="0.15">
      <c r="A218" s="7">
        <f t="shared" si="5"/>
        <v>45775</v>
      </c>
      <c r="B218" s="1"/>
      <c r="C218" s="1" t="s">
        <v>253</v>
      </c>
      <c r="D218" s="1" t="s">
        <v>253</v>
      </c>
      <c r="E218" s="1"/>
      <c r="F218" s="1" t="s">
        <v>64</v>
      </c>
      <c r="G218" s="8"/>
      <c r="H218" s="8"/>
      <c r="I218" s="8">
        <v>45773</v>
      </c>
      <c r="K218" s="1" t="s">
        <v>246</v>
      </c>
      <c r="L218" s="15">
        <v>45774</v>
      </c>
      <c r="M218" s="8">
        <v>45775</v>
      </c>
      <c r="N218" s="9">
        <v>0.52083333333333337</v>
      </c>
      <c r="O218" s="9">
        <v>0.60416666666666663</v>
      </c>
      <c r="Q218" s="1" t="s">
        <v>397</v>
      </c>
      <c r="R218" s="10" t="str">
        <f ca="1">IFERROR(__xludf.DUMMYFUNCTION("JOIN("","", SORT(UNIQUE(TOCOL({VLOOKUP(D218,DM_fish!A:B,2,FALSE),VLOOKUP(C218,DM_fish!A:B,2,FALSE), ARRAYFORMULA(VLOOKUP(SPLIT(E218, "", ""),Injections!B:G,6,FALSE)), ARRAYFORMULA(VLOOKUP(SPLIT(F218, "", ""),Injections!H:M,6,FALSE)), ARRAYFORMULA(VLOOKUP("&amp;"SPLIT(G218, "", ""),Injections!N:S,6,FALSE)), ARRAYFORMULA(VLOOKUP(SPLIT(H218, "", ""),Injections!T:Y,6,FALSE)) },3))))"),"nuclei")</f>
        <v>nuclei</v>
      </c>
      <c r="S218" s="10" t="str">
        <f ca="1">IFERROR(__xludf.DUMMYFUNCTION("IFERROR(JOIN("","", SPLIT(R218, "","", TRUE ,TRUE)), """")"),"nuclei")</f>
        <v>nuclei</v>
      </c>
      <c r="T218" s="1" t="s">
        <v>398</v>
      </c>
      <c r="U218" s="1">
        <v>3624</v>
      </c>
      <c r="V218" s="1" t="s">
        <v>203</v>
      </c>
      <c r="W218" s="12" t="str">
        <f ca="1">IFERROR(CONCATENATE("[", CONCATENATE(IF(VLOOKUP(D218,DM_fish!C:X,14, FALSE)&gt;0, CONCATENATE("{",CHAR(34),"target",CHAR(34),":",CHAR(34),VLOOKUP(D218,DM_fish!C:X,13, FALSE),CHAR(34),",", CHAR(34), "excitation",CHAR(34), ":", VLOOKUP(D218,DM_fish!C:X,14, FALSE), ",",  CHAR(34), "camera",CHAR(34), ":", IF(VALUE(VLOOKUP(D218,DM_fish!C:X,14, FALSE))&lt;VALUE(VLOOKUP(V218,imaging_filters!A:K,11, FALSE)), CONCATENATE(CHAR(34),"CamA",CHAR(34)), CONCATENATE(CHAR(34),"CamB",CHAR(34))),"}"), ""),IF(VLOOKUP(D218,DM_fish!C:X,16, FALSE)&gt;0, CONCATENATE(",{",CHAR(34),"target",CHAR(34),":",CHAR(34),VLOOKUP(D218,DM_fish!C:X,15, FALSE),CHAR(34),",", CHAR(34), "excitation",CHAR(34), ":", VLOOKUP(D218,DM_fish!C:X,16, FALSE), ",",  CHAR(34), "camera",CHAR(34), ":", IF(VALUE(VLOOKUP(D218,DM_fish!C:X,16, FALSE))&lt;VALUE(VLOOKUP(V218,imaging_filters!A:K,11, FALSE)), CONCATENATE(CHAR(34),"CamA",CHAR(34)), CONCATENATE(CHAR(34),"CamB",CHAR(34))),"}"), ""),IF(VLOOKUP(D218,DM_fish!C:X,18, FALSE)&gt;0, CONCATENATE(",{",CHAR(34),"target",CHAR(34),":",CHAR(34),VLOOKUP(D218,DM_fish!C:X,17, FALSE),CHAR(34),",", CHAR(34), "excitation",CHAR(34), ":", VLOOKUP(D218,DM_fish!C:X,18, FALSE), ",",  CHAR(34), "camera",CHAR(34), ":", IF(VALUE(VLOOKUP(D218,DM_fish!C:X,18, FALSE))&lt;VALUE(VLOOKUP(V218,imaging_filters!A:K,11, FALSE)), CONCATENATE(CHAR(34),"CamA",CHAR(34)), CONCATENATE(CHAR(34),"CamB",CHAR(34))),"}"), ""),IF(VLOOKUP(D218,DM_fish!C:X,20, FALSE)&gt;0, CONCATENATE(",{",CHAR(34),"target",CHAR(34),":",CHAR(34),VLOOKUP(D218,DM_fish!C:X,19, FALSE),CHAR(34),",", CHAR(34), "excitation",CHAR(34), ":", VLOOKUP(D218,DM_fish!C:X,20, FALSE), ",",  CHAR(34), "camera",CHAR(34), ":", IF(VALUE(VLOOKUP(D218,DM_fish!C:X,20, FALSE))&lt;VALUE(VLOOKUP(V218,imaging_filters!A:K,11, FALSE)), CONCATENATE(CHAR(34),"CamA",CHAR(34)), CONCATENATE(CHAR(34),"CamB",CHAR(34))),"}"), ""),IF(VLOOKUP(D218,DM_fish!C:X,22, FALSE)&gt;0, CONCATENATE(",{",CHAR(34),"target",CHAR(34),":",CHAR(34),VLOOKUP(D218,DM_fish!C:X,21, FALSE),CHAR(34),",", CHAR(34), "excitation",CHAR(34), ":", VLOOKUP(D218,DM_fish!C:X,22, FALSE), ",",  CHAR(34), "camera",CHAR(34), ":", IF(VALUE(VLOOKUP(D218,DM_fish!C:X,22, FALSE))&lt;VALUE(VLOOKUP(V218,imaging_filters!A:K,11, FALSE)), CONCATENATE(CHAR(34),"CamA",CHAR(34)), CONCATENATE(CHAR(34),"CamB",CHAR(34))),"}"), "")), "]"), "")</f>
        <v/>
      </c>
      <c r="X218" s="12" t="str">
        <f ca="1">IFERROR(
CONCATENATE("[", CONCATENATE(IF(VLOOKUP(C218,DM_fish!C:X,14, FALSE)&gt;0, CONCATENATE("{",CHAR(34),"target",CHAR(34),":",CHAR(34),VLOOKUP(C218,DM_fish!C:X,13, FALSE),CHAR(34),",", CHAR(34), "excitation",CHAR(34), ":", VLOOKUP(C218,DM_fish!C:X,14, FALSE), ",",  CHAR(34), "camera",CHAR(34), ":", IF(VALUE(VLOOKUP(C218,DM_fish!C:X,14, FALSE))&lt;VALUE(VLOOKUP(V218,imaging_filters!A:K,11, FALSE)), CONCATENATE(CHAR(34),"CamA",CHAR(34)), CONCATENATE(CHAR(34),"CamB",CHAR(34))),"}"), ""),IF(VLOOKUP(C218,DM_fish!C:X,16, FALSE)&gt;0, CONCATENATE(",{",CHAR(34),"target",CHAR(34),":",CHAR(34),VLOOKUP(C218,DM_fish!C:X,15, FALSE),CHAR(34),",", CHAR(34), "excitation",CHAR(34), ":", VLOOKUP(C218,DM_fish!C:X,16, FALSE), ",",  CHAR(34), "camera",CHAR(34), ":", IF(VALUE(VLOOKUP(C218,DM_fish!C:X,16, FALSE))&lt;VALUE(VLOOKUP(V218,imaging_filters!A:K,11, FALSE)), CONCATENATE(CHAR(34),"CamA",CHAR(34)), CONCATENATE(CHAR(34),"CamB",CHAR(34))),"}"), ""),IF(VLOOKUP(C218,DM_fish!C:X,18, FALSE)&gt;0, CONCATENATE(",{",CHAR(34),"target",CHAR(34),":",CHAR(34),VLOOKUP(C218,DM_fish!C:X,17, FALSE),CHAR(34),",", CHAR(34), "excitation",CHAR(34), ":", VLOOKUP(C218,DM_fish!C:X,18, FALSE), ",",  CHAR(34), "camera",CHAR(34), ":", IF(VALUE(VLOOKUP(C218,DM_fish!C:X,18, FALSE))&lt;VALUE(VLOOKUP(V218,imaging_filters!A:K,11, FALSE)), CONCATENATE(CHAR(34),"CamA",CHAR(34)), CONCATENATE(CHAR(34),"CamB",CHAR(34))),"}"), ""),IF(VLOOKUP(C218,DM_fish!C:X,20, FALSE)&gt;0, CONCATENATE(",{",CHAR(34),"target",CHAR(34),":",CHAR(34),VLOOKUP(C218,DM_fish!C:X,19, FALSE),CHAR(34),",", CHAR(34), "excitation",CHAR(34), ":", VLOOKUP(C218,DM_fish!C:X,20, FALSE), ",",  CHAR(34), "camera",CHAR(34), ":", IF(VALUE(VLOOKUP(C218,DM_fish!C:X,20, FALSE))&lt;VALUE(VLOOKUP(V218,imaging_filters!A:K,11, FALSE)), CONCATENATE(CHAR(34),"CamA",CHAR(34)), CONCATENATE(CHAR(34),"CamB",CHAR(34))),"}"), ""),IF(VLOOKUP(C218,DM_fish!C:X,22, FALSE)&gt;0, CONCATENATE(",{",CHAR(34),"target",CHAR(34),":",CHAR(34),VLOOKUP(C218,DM_fish!C:X,21, FALSE),CHAR(34),",", CHAR(34), "excitation",CHAR(34), ":", VLOOKUP(C218,DM_fish!C:X,22, FALSE), ",",  CHAR(34), "camera",CHAR(34), ":", IF(VALUE(VLOOKUP(C218,DM_fish!C:X,22, FALSE))&lt;VALUE(VLOOKUP(V218,imaging_filters!A:K,11, FALSE)), CONCATENATE(CHAR(34),"CamA",CHAR(34)), CONCATENATE(CHAR(34),"CamB",CHAR(34))),"}"), "")), "]"), "")</f>
        <v/>
      </c>
      <c r="Y218" s="11" t="str">
        <f ca="1">IFERROR(
CONCATENATE( "[",
IF(VLOOKUP(E218,Injections!B:F,3, FALSE)&gt;0, CONCATENATE( "{",CHAR(34),"target",CHAR(34),":",CHAR(34),VLOOKUP(E218,Injections!B:F,2, FALSE),CHAR(34),",", CHAR(34), "excitation",CHAR(34), ":", VLOOKUP(E218,Injections!B:F,3, FALSE), ",",  CHAR(34), "camera",CHAR(34), ":",
IF(VALUE(VLOOKUP(E218,Injections!B:F,3, FALSE))&lt;VALUE(VLOOKUP(V218,imaging_filters!A:C,2, FALSE)), CONCATENATE(CHAR(34),"CamA",CHAR(34)), CONCATENATE(CHAR(34),"CamB",CHAR(34))),"}"), ""),
IF(VLOOKUP(E218,Injections!B:F,5, FALSE)&gt;0, CONCATENATE(",{",CHAR(34),"target",CHAR(34),":",CHAR(34),VLOOKUP(E218,Injections!B:F,4, FALSE),CHAR(34),",", CHAR(34), "excitation",CHAR(34), ":", VLOOKUP(E218,Injections!B:F,5, FALSE), ",",  CHAR(34), "camera",CHAR(34), ":",
IF(VALUE(VLOOKUP(E218,Injections!B:F,5, FALSE))&lt;VALUE(VLOOKUP(V218,imaging_filters!A:C,2, FALSE)), CONCATENATE(CHAR(34),"CamA",CHAR(34)), CONCATENATE(CHAR(34),"CamB",CHAR(34))),"}"), ""),
 "]"), "[]")</f>
        <v>[]</v>
      </c>
      <c r="Z218" s="11" t="str">
        <f ca="1">IFERROR(
CONCATENATE( "[",
IF(VLOOKUP(F218,Injections!H:L,3, FALSE)&gt;0, CONCATENATE( "{",CHAR(34),"target",CHAR(34),":",CHAR(34),VLOOKUP(F218,Injections!H:L,2, FALSE),CHAR(34),",", CHAR(34), "excitation",CHAR(34), ":", VLOOKUP(F218,Injections!H:L,3, FALSE), ",",  CHAR(34), "camera",CHAR(34), ":",
IF(VALUE(VLOOKUP(F218,Injections!H:L,3, FALSE))&lt;VALUE(VLOOKUP(V218,imaging_filters!A:K,11, FALSE)), CONCATENATE(CHAR(34),"CamA",CHAR(34)), CONCATENATE(CHAR(34),"CamB",CHAR(34))),"}"), ""),
IF(VLOOKUP(F218,Injections!H:L,5, FALSE)&gt;0, CONCATENATE(",{",CHAR(34),"target",CHAR(34),":",CHAR(34),VLOOKUP(F218,Injections!H:L,4, FALSE),CHAR(34),",", CHAR(34), "excitation",CHAR(34), ":", VLOOKUP(F218,Injections!H:L,5, FALSE), ",",  CHAR(34), "camera",CHAR(34), ":",
IF(VALUE(VLOOKUP(F218,Injections!H:L,5, FALSE))&lt;VALUE(VLOOKUP(V218,imaging_filters!A:K,11, FALSE)), CONCATENATE(CHAR(34),"CamA",CHAR(34)), CONCATENATE(CHAR(34),"CamB",CHAR(34))),"}"), ""),
 "]"), "[]")</f>
        <v>[{"target":"nuclei","excitation":560,"camera":"CamB"}]</v>
      </c>
      <c r="AA218" s="11" t="s">
        <v>399</v>
      </c>
    </row>
    <row r="219" spans="1:27" ht="15.75" customHeight="1" x14ac:dyDescent="0.15">
      <c r="A219" s="7">
        <f t="shared" si="5"/>
        <v>45771</v>
      </c>
      <c r="B219" s="1"/>
      <c r="C219" s="1" t="s">
        <v>107</v>
      </c>
      <c r="D219" s="1" t="s">
        <v>107</v>
      </c>
      <c r="E219" s="1" t="s">
        <v>385</v>
      </c>
      <c r="F219" s="1"/>
      <c r="G219" s="8"/>
      <c r="H219" s="8"/>
      <c r="I219" s="8">
        <v>45769</v>
      </c>
      <c r="K219" s="1" t="s">
        <v>246</v>
      </c>
      <c r="L219" s="8">
        <v>45768</v>
      </c>
      <c r="M219" s="8">
        <v>45771</v>
      </c>
      <c r="O219" s="1" t="s">
        <v>400</v>
      </c>
      <c r="R219" s="10" t="str">
        <f ca="1">IFERROR(__xludf.DUMMYFUNCTION("JOIN("","", SORT(UNIQUE(TOCOL({VLOOKUP(D219,DM_fish!A:B,2,FALSE),VLOOKUP(C219,DM_fish!A:B,2,FALSE), ARRAYFORMULA(VLOOKUP(SPLIT(E219, "", ""),Injections!B:G,6,FALSE)), ARRAYFORMULA(VLOOKUP(SPLIT(F219, "", ""),Injections!H:M,6,FALSE)), ARRAYFORMULA(VLOOKUP("&amp;"SPLIT(G219, "", ""),Injections!N:S,6,FALSE)), ARRAYFORMULA(VLOOKUP(SPLIT(H219, "", ""),Injections!T:Y,6,FALSE)) },3))))"),"cytosol")</f>
        <v>cytosol</v>
      </c>
      <c r="S219" s="10" t="str">
        <f ca="1">IFERROR(__xludf.DUMMYFUNCTION("IFERROR(JOIN("","", SPLIT(R219, "","", TRUE ,TRUE)), """")"),"cytosol")</f>
        <v>cytosol</v>
      </c>
      <c r="T219" s="1" t="s">
        <v>401</v>
      </c>
      <c r="V219" s="1" t="s">
        <v>203</v>
      </c>
      <c r="W219" s="12" t="str">
        <f ca="1">IFERROR(CONCATENATE("[", CONCATENATE(IF(VLOOKUP(D219,DM_fish!C:X,14, FALSE)&gt;0, CONCATENATE("{",CHAR(34),"target",CHAR(34),":",CHAR(34),VLOOKUP(D219,DM_fish!C:X,13, FALSE),CHAR(34),",", CHAR(34), "excitation",CHAR(34), ":", VLOOKUP(D219,DM_fish!C:X,14, FALSE), ",",  CHAR(34), "camera",CHAR(34), ":", IF(VALUE(VLOOKUP(D219,DM_fish!C:X,14, FALSE))&lt;VALUE(VLOOKUP(V219,imaging_filters!A:K,11, FALSE)), CONCATENATE(CHAR(34),"CamA",CHAR(34)), CONCATENATE(CHAR(34),"CamB",CHAR(34))),"}"), ""),IF(VLOOKUP(D219,DM_fish!C:X,16, FALSE)&gt;0, CONCATENATE(",{",CHAR(34),"target",CHAR(34),":",CHAR(34),VLOOKUP(D219,DM_fish!C:X,15, FALSE),CHAR(34),",", CHAR(34), "excitation",CHAR(34), ":", VLOOKUP(D219,DM_fish!C:X,16, FALSE), ",",  CHAR(34), "camera",CHAR(34), ":", IF(VALUE(VLOOKUP(D219,DM_fish!C:X,16, FALSE))&lt;VALUE(VLOOKUP(V219,imaging_filters!A:K,11, FALSE)), CONCATENATE(CHAR(34),"CamA",CHAR(34)), CONCATENATE(CHAR(34),"CamB",CHAR(34))),"}"), ""),IF(VLOOKUP(D219,DM_fish!C:X,18, FALSE)&gt;0, CONCATENATE(",{",CHAR(34),"target",CHAR(34),":",CHAR(34),VLOOKUP(D219,DM_fish!C:X,17, FALSE),CHAR(34),",", CHAR(34), "excitation",CHAR(34), ":", VLOOKUP(D219,DM_fish!C:X,18, FALSE), ",",  CHAR(34), "camera",CHAR(34), ":", IF(VALUE(VLOOKUP(D219,DM_fish!C:X,18, FALSE))&lt;VALUE(VLOOKUP(V219,imaging_filters!A:K,11, FALSE)), CONCATENATE(CHAR(34),"CamA",CHAR(34)), CONCATENATE(CHAR(34),"CamB",CHAR(34))),"}"), ""),IF(VLOOKUP(D219,DM_fish!C:X,20, FALSE)&gt;0, CONCATENATE(",{",CHAR(34),"target",CHAR(34),":",CHAR(34),VLOOKUP(D219,DM_fish!C:X,19, FALSE),CHAR(34),",", CHAR(34), "excitation",CHAR(34), ":", VLOOKUP(D219,DM_fish!C:X,20, FALSE), ",",  CHAR(34), "camera",CHAR(34), ":", IF(VALUE(VLOOKUP(D219,DM_fish!C:X,20, FALSE))&lt;VALUE(VLOOKUP(V219,imaging_filters!A:K,11, FALSE)), CONCATENATE(CHAR(34),"CamA",CHAR(34)), CONCATENATE(CHAR(34),"CamB",CHAR(34))),"}"), ""),IF(VLOOKUP(D219,DM_fish!C:X,22, FALSE)&gt;0, CONCATENATE(",{",CHAR(34),"target",CHAR(34),":",CHAR(34),VLOOKUP(D219,DM_fish!C:X,21, FALSE),CHAR(34),",", CHAR(34), "excitation",CHAR(34), ":", VLOOKUP(D219,DM_fish!C:X,22, FALSE), ",",  CHAR(34), "camera",CHAR(34), ":", IF(VALUE(VLOOKUP(D219,DM_fish!C:X,22, FALSE))&lt;VALUE(VLOOKUP(V219,imaging_filters!A:K,11, FALSE)), CONCATENATE(CHAR(34),"CamA",CHAR(34)), CONCATENATE(CHAR(34),"CamB",CHAR(34))),"}"), "")), "]"), "")</f>
        <v/>
      </c>
      <c r="X219" s="12" t="str">
        <f ca="1">IFERROR(
CONCATENATE("[", CONCATENATE(IF(VLOOKUP(C219,DM_fish!C:X,14, FALSE)&gt;0, CONCATENATE("{",CHAR(34),"target",CHAR(34),":",CHAR(34),VLOOKUP(C219,DM_fish!C:X,13, FALSE),CHAR(34),",", CHAR(34), "excitation",CHAR(34), ":", VLOOKUP(C219,DM_fish!C:X,14, FALSE), ",",  CHAR(34), "camera",CHAR(34), ":", IF(VALUE(VLOOKUP(C219,DM_fish!C:X,14, FALSE))&lt;VALUE(VLOOKUP(V219,imaging_filters!A:K,11, FALSE)), CONCATENATE(CHAR(34),"CamA",CHAR(34)), CONCATENATE(CHAR(34),"CamB",CHAR(34))),"}"), ""),IF(VLOOKUP(C219,DM_fish!C:X,16, FALSE)&gt;0, CONCATENATE(",{",CHAR(34),"target",CHAR(34),":",CHAR(34),VLOOKUP(C219,DM_fish!C:X,15, FALSE),CHAR(34),",", CHAR(34), "excitation",CHAR(34), ":", VLOOKUP(C219,DM_fish!C:X,16, FALSE), ",",  CHAR(34), "camera",CHAR(34), ":", IF(VALUE(VLOOKUP(C219,DM_fish!C:X,16, FALSE))&lt;VALUE(VLOOKUP(V219,imaging_filters!A:K,11, FALSE)), CONCATENATE(CHAR(34),"CamA",CHAR(34)), CONCATENATE(CHAR(34),"CamB",CHAR(34))),"}"), ""),IF(VLOOKUP(C219,DM_fish!C:X,18, FALSE)&gt;0, CONCATENATE(",{",CHAR(34),"target",CHAR(34),":",CHAR(34),VLOOKUP(C219,DM_fish!C:X,17, FALSE),CHAR(34),",", CHAR(34), "excitation",CHAR(34), ":", VLOOKUP(C219,DM_fish!C:X,18, FALSE), ",",  CHAR(34), "camera",CHAR(34), ":", IF(VALUE(VLOOKUP(C219,DM_fish!C:X,18, FALSE))&lt;VALUE(VLOOKUP(V219,imaging_filters!A:K,11, FALSE)), CONCATENATE(CHAR(34),"CamA",CHAR(34)), CONCATENATE(CHAR(34),"CamB",CHAR(34))),"}"), ""),IF(VLOOKUP(C219,DM_fish!C:X,20, FALSE)&gt;0, CONCATENATE(",{",CHAR(34),"target",CHAR(34),":",CHAR(34),VLOOKUP(C219,DM_fish!C:X,19, FALSE),CHAR(34),",", CHAR(34), "excitation",CHAR(34), ":", VLOOKUP(C219,DM_fish!C:X,20, FALSE), ",",  CHAR(34), "camera",CHAR(34), ":", IF(VALUE(VLOOKUP(C219,DM_fish!C:X,20, FALSE))&lt;VALUE(VLOOKUP(V219,imaging_filters!A:K,11, FALSE)), CONCATENATE(CHAR(34),"CamA",CHAR(34)), CONCATENATE(CHAR(34),"CamB",CHAR(34))),"}"), ""),IF(VLOOKUP(C219,DM_fish!C:X,22, FALSE)&gt;0, CONCATENATE(",{",CHAR(34),"target",CHAR(34),":",CHAR(34),VLOOKUP(C219,DM_fish!C:X,21, FALSE),CHAR(34),",", CHAR(34), "excitation",CHAR(34), ":", VLOOKUP(C219,DM_fish!C:X,22, FALSE), ",",  CHAR(34), "camera",CHAR(34), ":", IF(VALUE(VLOOKUP(C219,DM_fish!C:X,22, FALSE))&lt;VALUE(VLOOKUP(V219,imaging_filters!A:K,11, FALSE)), CONCATENATE(CHAR(34),"CamA",CHAR(34)), CONCATENATE(CHAR(34),"CamB",CHAR(34))),"}"), "")), "]"), "")</f>
        <v/>
      </c>
      <c r="Y219" s="11" t="str">
        <f ca="1">IFERROR(
CONCATENATE( "[",
IF(VLOOKUP(E219,Injections!B:F,3, FALSE)&gt;0, CONCATENATE( "{",CHAR(34),"target",CHAR(34),":",CHAR(34),VLOOKUP(E219,Injections!B:F,2, FALSE),CHAR(34),",", CHAR(34), "excitation",CHAR(34), ":", VLOOKUP(E219,Injections!B:F,3, FALSE), ",",  CHAR(34), "camera",CHAR(34), ":",
IF(VALUE(VLOOKUP(E219,Injections!B:F,3, FALSE))&lt;VALUE(VLOOKUP(V219,imaging_filters!A:C,2, FALSE)), CONCATENATE(CHAR(34),"CamA",CHAR(34)), CONCATENATE(CHAR(34),"CamB",CHAR(34))),"}"), ""),
IF(VLOOKUP(E219,Injections!B:F,5, FALSE)&gt;0, CONCATENATE(",{",CHAR(34),"target",CHAR(34),":",CHAR(34),VLOOKUP(E219,Injections!B:F,4, FALSE),CHAR(34),",", CHAR(34), "excitation",CHAR(34), ":", VLOOKUP(E219,Injections!B:F,5, FALSE), ",",  CHAR(34), "camera",CHAR(34), ":",
IF(VALUE(VLOOKUP(E219,Injections!B:F,5, FALSE))&lt;VALUE(VLOOKUP(V219,imaging_filters!A:C,2, FALSE)), CONCATENATE(CHAR(34),"CamA",CHAR(34)), CONCATENATE(CHAR(34),"CamB",CHAR(34))),"}"), ""),
 "]"), "[]")</f>
        <v>[{"target":"cytosol","excitation":514,"camera":"CamA"}]</v>
      </c>
      <c r="Z219" s="11" t="str">
        <f ca="1">IFERROR(
CONCATENATE( "[",
IF(VLOOKUP(F219,Injections!H:L,3, FALSE)&gt;0, CONCATENATE( "{",CHAR(34),"target",CHAR(34),":",CHAR(34),VLOOKUP(F219,Injections!H:L,2, FALSE),CHAR(34),",", CHAR(34), "excitation",CHAR(34), ":", VLOOKUP(F219,Injections!H:L,3, FALSE), ",",  CHAR(34), "camera",CHAR(34), ":",
IF(VALUE(VLOOKUP(F219,Injections!H:L,3, FALSE))&lt;VALUE(VLOOKUP(V219,imaging_filters!A:K,11, FALSE)), CONCATENATE(CHAR(34),"CamA",CHAR(34)), CONCATENATE(CHAR(34),"CamB",CHAR(34))),"}"), ""),
IF(VLOOKUP(F219,Injections!H:L,5, FALSE)&gt;0, CONCATENATE(",{",CHAR(34),"target",CHAR(34),":",CHAR(34),VLOOKUP(F219,Injections!H:L,4, FALSE),CHAR(34),",", CHAR(34), "excitation",CHAR(34), ":", VLOOKUP(F219,Injections!H:L,5, FALSE), ",",  CHAR(34), "camera",CHAR(34), ":",
IF(VALUE(VLOOKUP(F219,Injections!H:L,5, FALSE))&lt;VALUE(VLOOKUP(V219,imaging_filters!A:K,11, FALSE)), CONCATENATE(CHAR(34),"CamA",CHAR(34)), CONCATENATE(CHAR(34),"CamB",CHAR(34))),"}"), ""),
 "]"), "[]")</f>
        <v>[]</v>
      </c>
      <c r="AA219" s="11"/>
    </row>
    <row r="220" spans="1:27" ht="15.75" customHeight="1" x14ac:dyDescent="0.15">
      <c r="A220" s="7">
        <f t="shared" si="5"/>
        <v>45771</v>
      </c>
      <c r="B220" s="1"/>
      <c r="C220" s="1" t="s">
        <v>107</v>
      </c>
      <c r="D220" s="1" t="s">
        <v>107</v>
      </c>
      <c r="E220" s="1" t="s">
        <v>402</v>
      </c>
      <c r="F220" s="1"/>
      <c r="G220" s="8"/>
      <c r="H220" s="8"/>
      <c r="I220" s="8">
        <v>45769</v>
      </c>
      <c r="K220" s="1" t="s">
        <v>246</v>
      </c>
      <c r="L220" s="8">
        <v>45768</v>
      </c>
      <c r="M220" s="8">
        <v>45771</v>
      </c>
      <c r="N220" s="9">
        <v>0</v>
      </c>
      <c r="O220" s="1" t="s">
        <v>403</v>
      </c>
      <c r="R220" s="10" t="str">
        <f ca="1">IFERROR(__xludf.DUMMYFUNCTION("JOIN("","", SORT(UNIQUE(TOCOL({VLOOKUP(D220,DM_fish!A:B,2,FALSE),VLOOKUP(C220,DM_fish!A:B,2,FALSE), ARRAYFORMULA(VLOOKUP(SPLIT(E220, "", ""),Injections!B:G,6,FALSE)), ARRAYFORMULA(VLOOKUP(SPLIT(F220, "", ""),Injections!H:M,6,FALSE)), ARRAYFORMULA(VLOOKUP("&amp;"SPLIT(G220, "", ""),Injections!N:S,6,FALSE)), ARRAYFORMULA(VLOOKUP(SPLIT(H220, "", ""),Injections!T:Y,6,FALSE)) },3))))"),"cytosol")</f>
        <v>cytosol</v>
      </c>
      <c r="S220" s="10" t="str">
        <f ca="1">IFERROR(__xludf.DUMMYFUNCTION("IFERROR(JOIN("","", SPLIT(R220, "","", TRUE ,TRUE)), """")"),"cytosol")</f>
        <v>cytosol</v>
      </c>
      <c r="T220" s="1" t="s">
        <v>401</v>
      </c>
      <c r="V220" s="1" t="s">
        <v>203</v>
      </c>
      <c r="W220" s="12" t="str">
        <f ca="1">IFERROR(CONCATENATE("[", CONCATENATE(IF(VLOOKUP(D220,DM_fish!C:X,14, FALSE)&gt;0, CONCATENATE("{",CHAR(34),"target",CHAR(34),":",CHAR(34),VLOOKUP(D220,DM_fish!C:X,13, FALSE),CHAR(34),",", CHAR(34), "excitation",CHAR(34), ":", VLOOKUP(D220,DM_fish!C:X,14, FALSE), ",",  CHAR(34), "camera",CHAR(34), ":", IF(VALUE(VLOOKUP(D220,DM_fish!C:X,14, FALSE))&lt;VALUE(VLOOKUP(V220,imaging_filters!A:K,11, FALSE)), CONCATENATE(CHAR(34),"CamA",CHAR(34)), CONCATENATE(CHAR(34),"CamB",CHAR(34))),"}"), ""),IF(VLOOKUP(D220,DM_fish!C:X,16, FALSE)&gt;0, CONCATENATE(",{",CHAR(34),"target",CHAR(34),":",CHAR(34),VLOOKUP(D220,DM_fish!C:X,15, FALSE),CHAR(34),",", CHAR(34), "excitation",CHAR(34), ":", VLOOKUP(D220,DM_fish!C:X,16, FALSE), ",",  CHAR(34), "camera",CHAR(34), ":", IF(VALUE(VLOOKUP(D220,DM_fish!C:X,16, FALSE))&lt;VALUE(VLOOKUP(V220,imaging_filters!A:K,11, FALSE)), CONCATENATE(CHAR(34),"CamA",CHAR(34)), CONCATENATE(CHAR(34),"CamB",CHAR(34))),"}"), ""),IF(VLOOKUP(D220,DM_fish!C:X,18, FALSE)&gt;0, CONCATENATE(",{",CHAR(34),"target",CHAR(34),":",CHAR(34),VLOOKUP(D220,DM_fish!C:X,17, FALSE),CHAR(34),",", CHAR(34), "excitation",CHAR(34), ":", VLOOKUP(D220,DM_fish!C:X,18, FALSE), ",",  CHAR(34), "camera",CHAR(34), ":", IF(VALUE(VLOOKUP(D220,DM_fish!C:X,18, FALSE))&lt;VALUE(VLOOKUP(V220,imaging_filters!A:K,11, FALSE)), CONCATENATE(CHAR(34),"CamA",CHAR(34)), CONCATENATE(CHAR(34),"CamB",CHAR(34))),"}"), ""),IF(VLOOKUP(D220,DM_fish!C:X,20, FALSE)&gt;0, CONCATENATE(",{",CHAR(34),"target",CHAR(34),":",CHAR(34),VLOOKUP(D220,DM_fish!C:X,19, FALSE),CHAR(34),",", CHAR(34), "excitation",CHAR(34), ":", VLOOKUP(D220,DM_fish!C:X,20, FALSE), ",",  CHAR(34), "camera",CHAR(34), ":", IF(VALUE(VLOOKUP(D220,DM_fish!C:X,20, FALSE))&lt;VALUE(VLOOKUP(V220,imaging_filters!A:K,11, FALSE)), CONCATENATE(CHAR(34),"CamA",CHAR(34)), CONCATENATE(CHAR(34),"CamB",CHAR(34))),"}"), ""),IF(VLOOKUP(D220,DM_fish!C:X,22, FALSE)&gt;0, CONCATENATE(",{",CHAR(34),"target",CHAR(34),":",CHAR(34),VLOOKUP(D220,DM_fish!C:X,21, FALSE),CHAR(34),",", CHAR(34), "excitation",CHAR(34), ":", VLOOKUP(D220,DM_fish!C:X,22, FALSE), ",",  CHAR(34), "camera",CHAR(34), ":", IF(VALUE(VLOOKUP(D220,DM_fish!C:X,22, FALSE))&lt;VALUE(VLOOKUP(V220,imaging_filters!A:K,11, FALSE)), CONCATENATE(CHAR(34),"CamA",CHAR(34)), CONCATENATE(CHAR(34),"CamB",CHAR(34))),"}"), "")), "]"), "")</f>
        <v/>
      </c>
      <c r="X220" s="12" t="str">
        <f ca="1">IFERROR(
CONCATENATE("[", CONCATENATE(IF(VLOOKUP(C220,DM_fish!C:X,14, FALSE)&gt;0, CONCATENATE("{",CHAR(34),"target",CHAR(34),":",CHAR(34),VLOOKUP(C220,DM_fish!C:X,13, FALSE),CHAR(34),",", CHAR(34), "excitation",CHAR(34), ":", VLOOKUP(C220,DM_fish!C:X,14, FALSE), ",",  CHAR(34), "camera",CHAR(34), ":", IF(VALUE(VLOOKUP(C220,DM_fish!C:X,14, FALSE))&lt;VALUE(VLOOKUP(V220,imaging_filters!A:K,11, FALSE)), CONCATENATE(CHAR(34),"CamA",CHAR(34)), CONCATENATE(CHAR(34),"CamB",CHAR(34))),"}"), ""),IF(VLOOKUP(C220,DM_fish!C:X,16, FALSE)&gt;0, CONCATENATE(",{",CHAR(34),"target",CHAR(34),":",CHAR(34),VLOOKUP(C220,DM_fish!C:X,15, FALSE),CHAR(34),",", CHAR(34), "excitation",CHAR(34), ":", VLOOKUP(C220,DM_fish!C:X,16, FALSE), ",",  CHAR(34), "camera",CHAR(34), ":", IF(VALUE(VLOOKUP(C220,DM_fish!C:X,16, FALSE))&lt;VALUE(VLOOKUP(V220,imaging_filters!A:K,11, FALSE)), CONCATENATE(CHAR(34),"CamA",CHAR(34)), CONCATENATE(CHAR(34),"CamB",CHAR(34))),"}"), ""),IF(VLOOKUP(C220,DM_fish!C:X,18, FALSE)&gt;0, CONCATENATE(",{",CHAR(34),"target",CHAR(34),":",CHAR(34),VLOOKUP(C220,DM_fish!C:X,17, FALSE),CHAR(34),",", CHAR(34), "excitation",CHAR(34), ":", VLOOKUP(C220,DM_fish!C:X,18, FALSE), ",",  CHAR(34), "camera",CHAR(34), ":", IF(VALUE(VLOOKUP(C220,DM_fish!C:X,18, FALSE))&lt;VALUE(VLOOKUP(V220,imaging_filters!A:K,11, FALSE)), CONCATENATE(CHAR(34),"CamA",CHAR(34)), CONCATENATE(CHAR(34),"CamB",CHAR(34))),"}"), ""),IF(VLOOKUP(C220,DM_fish!C:X,20, FALSE)&gt;0, CONCATENATE(",{",CHAR(34),"target",CHAR(34),":",CHAR(34),VLOOKUP(C220,DM_fish!C:X,19, FALSE),CHAR(34),",", CHAR(34), "excitation",CHAR(34), ":", VLOOKUP(C220,DM_fish!C:X,20, FALSE), ",",  CHAR(34), "camera",CHAR(34), ":", IF(VALUE(VLOOKUP(C220,DM_fish!C:X,20, FALSE))&lt;VALUE(VLOOKUP(V220,imaging_filters!A:K,11, FALSE)), CONCATENATE(CHAR(34),"CamA",CHAR(34)), CONCATENATE(CHAR(34),"CamB",CHAR(34))),"}"), ""),IF(VLOOKUP(C220,DM_fish!C:X,22, FALSE)&gt;0, CONCATENATE(",{",CHAR(34),"target",CHAR(34),":",CHAR(34),VLOOKUP(C220,DM_fish!C:X,21, FALSE),CHAR(34),",", CHAR(34), "excitation",CHAR(34), ":", VLOOKUP(C220,DM_fish!C:X,22, FALSE), ",",  CHAR(34), "camera",CHAR(34), ":", IF(VALUE(VLOOKUP(C220,DM_fish!C:X,22, FALSE))&lt;VALUE(VLOOKUP(V220,imaging_filters!A:K,11, FALSE)), CONCATENATE(CHAR(34),"CamA",CHAR(34)), CONCATENATE(CHAR(34),"CamB",CHAR(34))),"}"), "")), "]"), "")</f>
        <v/>
      </c>
      <c r="Y220" s="11" t="str">
        <f ca="1">IFERROR(
CONCATENATE( "[",
IF(VLOOKUP(E220,Injections!B:F,3, FALSE)&gt;0, CONCATENATE( "{",CHAR(34),"target",CHAR(34),":",CHAR(34),VLOOKUP(E220,Injections!B:F,2, FALSE),CHAR(34),",", CHAR(34), "excitation",CHAR(34), ":", VLOOKUP(E220,Injections!B:F,3, FALSE), ",",  CHAR(34), "camera",CHAR(34), ":",
IF(VALUE(VLOOKUP(E220,Injections!B:F,3, FALSE))&lt;VALUE(VLOOKUP(V220,imaging_filters!A:C,2, FALSE)), CONCATENATE(CHAR(34),"CamA",CHAR(34)), CONCATENATE(CHAR(34),"CamB",CHAR(34))),"}"), ""),
IF(VLOOKUP(E220,Injections!B:F,5, FALSE)&gt;0, CONCATENATE(",{",CHAR(34),"target",CHAR(34),":",CHAR(34),VLOOKUP(E220,Injections!B:F,4, FALSE),CHAR(34),",", CHAR(34), "excitation",CHAR(34), ":", VLOOKUP(E220,Injections!B:F,5, FALSE), ",",  CHAR(34), "camera",CHAR(34), ":",
IF(VALUE(VLOOKUP(E220,Injections!B:F,5, FALSE))&lt;VALUE(VLOOKUP(V220,imaging_filters!A:C,2, FALSE)), CONCATENATE(CHAR(34),"CamA",CHAR(34)), CONCATENATE(CHAR(34),"CamB",CHAR(34))),"}"), ""),
 "]"), "[]")</f>
        <v>[{"target":"cytosol","excitation":514,"camera":"CamA"}]</v>
      </c>
      <c r="Z220" s="11" t="str">
        <f ca="1">IFERROR(
CONCATENATE( "[",
IF(VLOOKUP(F220,Injections!H:L,3, FALSE)&gt;0, CONCATENATE( "{",CHAR(34),"target",CHAR(34),":",CHAR(34),VLOOKUP(F220,Injections!H:L,2, FALSE),CHAR(34),",", CHAR(34), "excitation",CHAR(34), ":", VLOOKUP(F220,Injections!H:L,3, FALSE), ",",  CHAR(34), "camera",CHAR(34), ":",
IF(VALUE(VLOOKUP(F220,Injections!H:L,3, FALSE))&lt;VALUE(VLOOKUP(V220,imaging_filters!A:K,11, FALSE)), CONCATENATE(CHAR(34),"CamA",CHAR(34)), CONCATENATE(CHAR(34),"CamB",CHAR(34))),"}"), ""),
IF(VLOOKUP(F220,Injections!H:L,5, FALSE)&gt;0, CONCATENATE(",{",CHAR(34),"target",CHAR(34),":",CHAR(34),VLOOKUP(F220,Injections!H:L,4, FALSE),CHAR(34),",", CHAR(34), "excitation",CHAR(34), ":", VLOOKUP(F220,Injections!H:L,5, FALSE), ",",  CHAR(34), "camera",CHAR(34), ":",
IF(VALUE(VLOOKUP(F220,Injections!H:L,5, FALSE))&lt;VALUE(VLOOKUP(V220,imaging_filters!A:K,11, FALSE)), CONCATENATE(CHAR(34),"CamA",CHAR(34)), CONCATENATE(CHAR(34),"CamB",CHAR(34))),"}"), ""),
 "]"), "[]")</f>
        <v>[]</v>
      </c>
      <c r="AA220" s="11"/>
    </row>
    <row r="221" spans="1:27" ht="15.75" customHeight="1" x14ac:dyDescent="0.15">
      <c r="A221" s="7">
        <f t="shared" si="5"/>
        <v>45771</v>
      </c>
      <c r="B221" s="1"/>
      <c r="C221" s="1" t="s">
        <v>107</v>
      </c>
      <c r="D221" s="1" t="s">
        <v>107</v>
      </c>
      <c r="E221" s="1" t="s">
        <v>402</v>
      </c>
      <c r="F221" s="1"/>
      <c r="G221" s="8"/>
      <c r="H221" s="8"/>
      <c r="I221" s="8">
        <v>45769</v>
      </c>
      <c r="K221" s="1" t="s">
        <v>246</v>
      </c>
      <c r="L221" s="8">
        <v>45768</v>
      </c>
      <c r="M221" s="8">
        <v>45771</v>
      </c>
      <c r="N221" s="9">
        <v>0.70833333333333337</v>
      </c>
      <c r="O221" s="9">
        <v>0.72222222222222221</v>
      </c>
      <c r="Q221" s="1" t="s">
        <v>404</v>
      </c>
      <c r="R221" s="10" t="str">
        <f ca="1">IFERROR(__xludf.DUMMYFUNCTION("JOIN("","", SORT(UNIQUE(TOCOL({VLOOKUP(D221,DM_fish!A:B,2,FALSE),VLOOKUP(C221,DM_fish!A:B,2,FALSE), ARRAYFORMULA(VLOOKUP(SPLIT(E221, "", ""),Injections!B:G,6,FALSE)), ARRAYFORMULA(VLOOKUP(SPLIT(F221, "", ""),Injections!H:M,6,FALSE)), ARRAYFORMULA(VLOOKUP("&amp;"SPLIT(G221, "", ""),Injections!N:S,6,FALSE)), ARRAYFORMULA(VLOOKUP(SPLIT(H221, "", ""),Injections!T:Y,6,FALSE)) },3))))"),"cytosol")</f>
        <v>cytosol</v>
      </c>
      <c r="S221" s="10" t="str">
        <f ca="1">IFERROR(__xludf.DUMMYFUNCTION("IFERROR(JOIN("","", SPLIT(R221, "","", TRUE ,TRUE)), """")"),"cytosol")</f>
        <v>cytosol</v>
      </c>
      <c r="T221" s="1" t="s">
        <v>405</v>
      </c>
      <c r="U221" s="11">
        <v>46700</v>
      </c>
      <c r="V221" s="1" t="s">
        <v>203</v>
      </c>
      <c r="W221" s="12" t="str">
        <f ca="1">IFERROR(CONCATENATE("[", CONCATENATE(IF(VLOOKUP(D221,DM_fish!C:X,14, FALSE)&gt;0, CONCATENATE("{",CHAR(34),"target",CHAR(34),":",CHAR(34),VLOOKUP(D221,DM_fish!C:X,13, FALSE),CHAR(34),",", CHAR(34), "excitation",CHAR(34), ":", VLOOKUP(D221,DM_fish!C:X,14, FALSE), ",",  CHAR(34), "camera",CHAR(34), ":", IF(VALUE(VLOOKUP(D221,DM_fish!C:X,14, FALSE))&lt;VALUE(VLOOKUP(V221,imaging_filters!A:K,11, FALSE)), CONCATENATE(CHAR(34),"CamA",CHAR(34)), CONCATENATE(CHAR(34),"CamB",CHAR(34))),"}"), ""),IF(VLOOKUP(D221,DM_fish!C:X,16, FALSE)&gt;0, CONCATENATE(",{",CHAR(34),"target",CHAR(34),":",CHAR(34),VLOOKUP(D221,DM_fish!C:X,15, FALSE),CHAR(34),",", CHAR(34), "excitation",CHAR(34), ":", VLOOKUP(D221,DM_fish!C:X,16, FALSE), ",",  CHAR(34), "camera",CHAR(34), ":", IF(VALUE(VLOOKUP(D221,DM_fish!C:X,16, FALSE))&lt;VALUE(VLOOKUP(V221,imaging_filters!A:K,11, FALSE)), CONCATENATE(CHAR(34),"CamA",CHAR(34)), CONCATENATE(CHAR(34),"CamB",CHAR(34))),"}"), ""),IF(VLOOKUP(D221,DM_fish!C:X,18, FALSE)&gt;0, CONCATENATE(",{",CHAR(34),"target",CHAR(34),":",CHAR(34),VLOOKUP(D221,DM_fish!C:X,17, FALSE),CHAR(34),",", CHAR(34), "excitation",CHAR(34), ":", VLOOKUP(D221,DM_fish!C:X,18, FALSE), ",",  CHAR(34), "camera",CHAR(34), ":", IF(VALUE(VLOOKUP(D221,DM_fish!C:X,18, FALSE))&lt;VALUE(VLOOKUP(V221,imaging_filters!A:K,11, FALSE)), CONCATENATE(CHAR(34),"CamA",CHAR(34)), CONCATENATE(CHAR(34),"CamB",CHAR(34))),"}"), ""),IF(VLOOKUP(D221,DM_fish!C:X,20, FALSE)&gt;0, CONCATENATE(",{",CHAR(34),"target",CHAR(34),":",CHAR(34),VLOOKUP(D221,DM_fish!C:X,19, FALSE),CHAR(34),",", CHAR(34), "excitation",CHAR(34), ":", VLOOKUP(D221,DM_fish!C:X,20, FALSE), ",",  CHAR(34), "camera",CHAR(34), ":", IF(VALUE(VLOOKUP(D221,DM_fish!C:X,20, FALSE))&lt;VALUE(VLOOKUP(V221,imaging_filters!A:K,11, FALSE)), CONCATENATE(CHAR(34),"CamA",CHAR(34)), CONCATENATE(CHAR(34),"CamB",CHAR(34))),"}"), ""),IF(VLOOKUP(D221,DM_fish!C:X,22, FALSE)&gt;0, CONCATENATE(",{",CHAR(34),"target",CHAR(34),":",CHAR(34),VLOOKUP(D221,DM_fish!C:X,21, FALSE),CHAR(34),",", CHAR(34), "excitation",CHAR(34), ":", VLOOKUP(D221,DM_fish!C:X,22, FALSE), ",",  CHAR(34), "camera",CHAR(34), ":", IF(VALUE(VLOOKUP(D221,DM_fish!C:X,22, FALSE))&lt;VALUE(VLOOKUP(V221,imaging_filters!A:K,11, FALSE)), CONCATENATE(CHAR(34),"CamA",CHAR(34)), CONCATENATE(CHAR(34),"CamB",CHAR(34))),"}"), "")), "]"), "")</f>
        <v/>
      </c>
      <c r="X221" s="12" t="str">
        <f ca="1">IFERROR(
CONCATENATE("[", CONCATENATE(IF(VLOOKUP(C221,DM_fish!C:X,14, FALSE)&gt;0, CONCATENATE("{",CHAR(34),"target",CHAR(34),":",CHAR(34),VLOOKUP(C221,DM_fish!C:X,13, FALSE),CHAR(34),",", CHAR(34), "excitation",CHAR(34), ":", VLOOKUP(C221,DM_fish!C:X,14, FALSE), ",",  CHAR(34), "camera",CHAR(34), ":", IF(VALUE(VLOOKUP(C221,DM_fish!C:X,14, FALSE))&lt;VALUE(VLOOKUP(V221,imaging_filters!A:K,11, FALSE)), CONCATENATE(CHAR(34),"CamA",CHAR(34)), CONCATENATE(CHAR(34),"CamB",CHAR(34))),"}"), ""),IF(VLOOKUP(C221,DM_fish!C:X,16, FALSE)&gt;0, CONCATENATE(",{",CHAR(34),"target",CHAR(34),":",CHAR(34),VLOOKUP(C221,DM_fish!C:X,15, FALSE),CHAR(34),",", CHAR(34), "excitation",CHAR(34), ":", VLOOKUP(C221,DM_fish!C:X,16, FALSE), ",",  CHAR(34), "camera",CHAR(34), ":", IF(VALUE(VLOOKUP(C221,DM_fish!C:X,16, FALSE))&lt;VALUE(VLOOKUP(V221,imaging_filters!A:K,11, FALSE)), CONCATENATE(CHAR(34),"CamA",CHAR(34)), CONCATENATE(CHAR(34),"CamB",CHAR(34))),"}"), ""),IF(VLOOKUP(C221,DM_fish!C:X,18, FALSE)&gt;0, CONCATENATE(",{",CHAR(34),"target",CHAR(34),":",CHAR(34),VLOOKUP(C221,DM_fish!C:X,17, FALSE),CHAR(34),",", CHAR(34), "excitation",CHAR(34), ":", VLOOKUP(C221,DM_fish!C:X,18, FALSE), ",",  CHAR(34), "camera",CHAR(34), ":", IF(VALUE(VLOOKUP(C221,DM_fish!C:X,18, FALSE))&lt;VALUE(VLOOKUP(V221,imaging_filters!A:K,11, FALSE)), CONCATENATE(CHAR(34),"CamA",CHAR(34)), CONCATENATE(CHAR(34),"CamB",CHAR(34))),"}"), ""),IF(VLOOKUP(C221,DM_fish!C:X,20, FALSE)&gt;0, CONCATENATE(",{",CHAR(34),"target",CHAR(34),":",CHAR(34),VLOOKUP(C221,DM_fish!C:X,19, FALSE),CHAR(34),",", CHAR(34), "excitation",CHAR(34), ":", VLOOKUP(C221,DM_fish!C:X,20, FALSE), ",",  CHAR(34), "camera",CHAR(34), ":", IF(VALUE(VLOOKUP(C221,DM_fish!C:X,20, FALSE))&lt;VALUE(VLOOKUP(V221,imaging_filters!A:K,11, FALSE)), CONCATENATE(CHAR(34),"CamA",CHAR(34)), CONCATENATE(CHAR(34),"CamB",CHAR(34))),"}"), ""),IF(VLOOKUP(C221,DM_fish!C:X,22, FALSE)&gt;0, CONCATENATE(",{",CHAR(34),"target",CHAR(34),":",CHAR(34),VLOOKUP(C221,DM_fish!C:X,21, FALSE),CHAR(34),",", CHAR(34), "excitation",CHAR(34), ":", VLOOKUP(C221,DM_fish!C:X,22, FALSE), ",",  CHAR(34), "camera",CHAR(34), ":", IF(VALUE(VLOOKUP(C221,DM_fish!C:X,22, FALSE))&lt;VALUE(VLOOKUP(V221,imaging_filters!A:K,11, FALSE)), CONCATENATE(CHAR(34),"CamA",CHAR(34)), CONCATENATE(CHAR(34),"CamB",CHAR(34))),"}"), "")), "]"), "")</f>
        <v/>
      </c>
      <c r="Y221" s="11" t="str">
        <f ca="1">IFERROR(
CONCATENATE( "[",
IF(VLOOKUP(E221,Injections!B:F,3, FALSE)&gt;0, CONCATENATE( "{",CHAR(34),"target",CHAR(34),":",CHAR(34),VLOOKUP(E221,Injections!B:F,2, FALSE),CHAR(34),",", CHAR(34), "excitation",CHAR(34), ":", VLOOKUP(E221,Injections!B:F,3, FALSE), ",",  CHAR(34), "camera",CHAR(34), ":",
IF(VALUE(VLOOKUP(E221,Injections!B:F,3, FALSE))&lt;VALUE(VLOOKUP(V221,imaging_filters!A:C,2, FALSE)), CONCATENATE(CHAR(34),"CamA",CHAR(34)), CONCATENATE(CHAR(34),"CamB",CHAR(34))),"}"), ""),
IF(VLOOKUP(E221,Injections!B:F,5, FALSE)&gt;0, CONCATENATE(",{",CHAR(34),"target",CHAR(34),":",CHAR(34),VLOOKUP(E221,Injections!B:F,4, FALSE),CHAR(34),",", CHAR(34), "excitation",CHAR(34), ":", VLOOKUP(E221,Injections!B:F,5, FALSE), ",",  CHAR(34), "camera",CHAR(34), ":",
IF(VALUE(VLOOKUP(E221,Injections!B:F,5, FALSE))&lt;VALUE(VLOOKUP(V221,imaging_filters!A:C,2, FALSE)), CONCATENATE(CHAR(34),"CamA",CHAR(34)), CONCATENATE(CHAR(34),"CamB",CHAR(34))),"}"), ""),
 "]"), "[]")</f>
        <v>[{"target":"cytosol","excitation":514,"camera":"CamA"}]</v>
      </c>
      <c r="Z221" s="11" t="str">
        <f ca="1">IFERROR(
CONCATENATE( "[",
IF(VLOOKUP(F221,Injections!H:L,3, FALSE)&gt;0, CONCATENATE( "{",CHAR(34),"target",CHAR(34),":",CHAR(34),VLOOKUP(F221,Injections!H:L,2, FALSE),CHAR(34),",", CHAR(34), "excitation",CHAR(34), ":", VLOOKUP(F221,Injections!H:L,3, FALSE), ",",  CHAR(34), "camera",CHAR(34), ":",
IF(VALUE(VLOOKUP(F221,Injections!H:L,3, FALSE))&lt;VALUE(VLOOKUP(V221,imaging_filters!A:K,11, FALSE)), CONCATENATE(CHAR(34),"CamA",CHAR(34)), CONCATENATE(CHAR(34),"CamB",CHAR(34))),"}"), ""),
IF(VLOOKUP(F221,Injections!H:L,5, FALSE)&gt;0, CONCATENATE(",{",CHAR(34),"target",CHAR(34),":",CHAR(34),VLOOKUP(F221,Injections!H:L,4, FALSE),CHAR(34),",", CHAR(34), "excitation",CHAR(34), ":", VLOOKUP(F221,Injections!H:L,5, FALSE), ",",  CHAR(34), "camera",CHAR(34), ":",
IF(VALUE(VLOOKUP(F221,Injections!H:L,5, FALSE))&lt;VALUE(VLOOKUP(V221,imaging_filters!A:K,11, FALSE)), CONCATENATE(CHAR(34),"CamA",CHAR(34)), CONCATENATE(CHAR(34),"CamB",CHAR(34))),"}"), ""),
 "]"), "[]")</f>
        <v>[]</v>
      </c>
      <c r="AA221" s="11" t="s">
        <v>406</v>
      </c>
    </row>
    <row r="222" spans="1:27" ht="15.75" customHeight="1" x14ac:dyDescent="0.15">
      <c r="A222" s="7">
        <f t="shared" si="5"/>
        <v>45770</v>
      </c>
      <c r="B222" s="1"/>
      <c r="C222" s="1" t="s">
        <v>253</v>
      </c>
      <c r="D222" s="1" t="s">
        <v>253</v>
      </c>
      <c r="E222" s="1"/>
      <c r="F222" s="1" t="s">
        <v>64</v>
      </c>
      <c r="G222" s="8"/>
      <c r="H222" s="8"/>
      <c r="I222" s="8">
        <v>45768</v>
      </c>
      <c r="K222" s="1" t="s">
        <v>246</v>
      </c>
      <c r="M222" s="8">
        <v>45770</v>
      </c>
      <c r="N222" s="9">
        <v>0</v>
      </c>
      <c r="O222" s="9">
        <v>1.0416666666666666E-2</v>
      </c>
      <c r="Q222" s="1" t="s">
        <v>407</v>
      </c>
      <c r="R222" s="10" t="str">
        <f ca="1">IFERROR(__xludf.DUMMYFUNCTION("JOIN("","", SORT(UNIQUE(TOCOL({VLOOKUP(D222,DM_fish!A:B,2,FALSE),VLOOKUP(C222,DM_fish!A:B,2,FALSE), ARRAYFORMULA(VLOOKUP(SPLIT(E222, "", ""),Injections!B:G,6,FALSE)), ARRAYFORMULA(VLOOKUP(SPLIT(F222, "", ""),Injections!H:M,6,FALSE)), ARRAYFORMULA(VLOOKUP("&amp;"SPLIT(G222, "", ""),Injections!N:S,6,FALSE)), ARRAYFORMULA(VLOOKUP(SPLIT(H222, "", ""),Injections!T:Y,6,FALSE)) },3))))"),"nuclei")</f>
        <v>nuclei</v>
      </c>
      <c r="S222" s="10" t="str">
        <f ca="1">IFERROR(__xludf.DUMMYFUNCTION("IFERROR(JOIN("","", SPLIT(R222, "","", TRUE ,TRUE)), """")"),"nuclei")</f>
        <v>nuclei</v>
      </c>
      <c r="T222" s="1" t="s">
        <v>408</v>
      </c>
      <c r="U222" s="1">
        <v>2417</v>
      </c>
      <c r="V222" s="1" t="s">
        <v>203</v>
      </c>
      <c r="W222" s="12" t="str">
        <f ca="1">IFERROR(CONCATENATE("[", CONCATENATE(IF(VLOOKUP(D222,DM_fish!C:X,14, FALSE)&gt;0, CONCATENATE("{",CHAR(34),"target",CHAR(34),":",CHAR(34),VLOOKUP(D222,DM_fish!C:X,13, FALSE),CHAR(34),",", CHAR(34), "excitation",CHAR(34), ":", VLOOKUP(D222,DM_fish!C:X,14, FALSE), ",",  CHAR(34), "camera",CHAR(34), ":", IF(VALUE(VLOOKUP(D222,DM_fish!C:X,14, FALSE))&lt;VALUE(VLOOKUP(V222,imaging_filters!A:K,11, FALSE)), CONCATENATE(CHAR(34),"CamA",CHAR(34)), CONCATENATE(CHAR(34),"CamB",CHAR(34))),"}"), ""),IF(VLOOKUP(D222,DM_fish!C:X,16, FALSE)&gt;0, CONCATENATE(",{",CHAR(34),"target",CHAR(34),":",CHAR(34),VLOOKUP(D222,DM_fish!C:X,15, FALSE),CHAR(34),",", CHAR(34), "excitation",CHAR(34), ":", VLOOKUP(D222,DM_fish!C:X,16, FALSE), ",",  CHAR(34), "camera",CHAR(34), ":", IF(VALUE(VLOOKUP(D222,DM_fish!C:X,16, FALSE))&lt;VALUE(VLOOKUP(V222,imaging_filters!A:K,11, FALSE)), CONCATENATE(CHAR(34),"CamA",CHAR(34)), CONCATENATE(CHAR(34),"CamB",CHAR(34))),"}"), ""),IF(VLOOKUP(D222,DM_fish!C:X,18, FALSE)&gt;0, CONCATENATE(",{",CHAR(34),"target",CHAR(34),":",CHAR(34),VLOOKUP(D222,DM_fish!C:X,17, FALSE),CHAR(34),",", CHAR(34), "excitation",CHAR(34), ":", VLOOKUP(D222,DM_fish!C:X,18, FALSE), ",",  CHAR(34), "camera",CHAR(34), ":", IF(VALUE(VLOOKUP(D222,DM_fish!C:X,18, FALSE))&lt;VALUE(VLOOKUP(V222,imaging_filters!A:K,11, FALSE)), CONCATENATE(CHAR(34),"CamA",CHAR(34)), CONCATENATE(CHAR(34),"CamB",CHAR(34))),"}"), ""),IF(VLOOKUP(D222,DM_fish!C:X,20, FALSE)&gt;0, CONCATENATE(",{",CHAR(34),"target",CHAR(34),":",CHAR(34),VLOOKUP(D222,DM_fish!C:X,19, FALSE),CHAR(34),",", CHAR(34), "excitation",CHAR(34), ":", VLOOKUP(D222,DM_fish!C:X,20, FALSE), ",",  CHAR(34), "camera",CHAR(34), ":", IF(VALUE(VLOOKUP(D222,DM_fish!C:X,20, FALSE))&lt;VALUE(VLOOKUP(V222,imaging_filters!A:K,11, FALSE)), CONCATENATE(CHAR(34),"CamA",CHAR(34)), CONCATENATE(CHAR(34),"CamB",CHAR(34))),"}"), ""),IF(VLOOKUP(D222,DM_fish!C:X,22, FALSE)&gt;0, CONCATENATE(",{",CHAR(34),"target",CHAR(34),":",CHAR(34),VLOOKUP(D222,DM_fish!C:X,21, FALSE),CHAR(34),",", CHAR(34), "excitation",CHAR(34), ":", VLOOKUP(D222,DM_fish!C:X,22, FALSE), ",",  CHAR(34), "camera",CHAR(34), ":", IF(VALUE(VLOOKUP(D222,DM_fish!C:X,22, FALSE))&lt;VALUE(VLOOKUP(V222,imaging_filters!A:K,11, FALSE)), CONCATENATE(CHAR(34),"CamA",CHAR(34)), CONCATENATE(CHAR(34),"CamB",CHAR(34))),"}"), "")), "]"), "")</f>
        <v/>
      </c>
      <c r="X222" s="12" t="str">
        <f ca="1">IFERROR(
CONCATENATE("[", CONCATENATE(IF(VLOOKUP(C222,DM_fish!C:X,14, FALSE)&gt;0, CONCATENATE("{",CHAR(34),"target",CHAR(34),":",CHAR(34),VLOOKUP(C222,DM_fish!C:X,13, FALSE),CHAR(34),",", CHAR(34), "excitation",CHAR(34), ":", VLOOKUP(C222,DM_fish!C:X,14, FALSE), ",",  CHAR(34), "camera",CHAR(34), ":", IF(VALUE(VLOOKUP(C222,DM_fish!C:X,14, FALSE))&lt;VALUE(VLOOKUP(V222,imaging_filters!A:K,11, FALSE)), CONCATENATE(CHAR(34),"CamA",CHAR(34)), CONCATENATE(CHAR(34),"CamB",CHAR(34))),"}"), ""),IF(VLOOKUP(C222,DM_fish!C:X,16, FALSE)&gt;0, CONCATENATE(",{",CHAR(34),"target",CHAR(34),":",CHAR(34),VLOOKUP(C222,DM_fish!C:X,15, FALSE),CHAR(34),",", CHAR(34), "excitation",CHAR(34), ":", VLOOKUP(C222,DM_fish!C:X,16, FALSE), ",",  CHAR(34), "camera",CHAR(34), ":", IF(VALUE(VLOOKUP(C222,DM_fish!C:X,16, FALSE))&lt;VALUE(VLOOKUP(V222,imaging_filters!A:K,11, FALSE)), CONCATENATE(CHAR(34),"CamA",CHAR(34)), CONCATENATE(CHAR(34),"CamB",CHAR(34))),"}"), ""),IF(VLOOKUP(C222,DM_fish!C:X,18, FALSE)&gt;0, CONCATENATE(",{",CHAR(34),"target",CHAR(34),":",CHAR(34),VLOOKUP(C222,DM_fish!C:X,17, FALSE),CHAR(34),",", CHAR(34), "excitation",CHAR(34), ":", VLOOKUP(C222,DM_fish!C:X,18, FALSE), ",",  CHAR(34), "camera",CHAR(34), ":", IF(VALUE(VLOOKUP(C222,DM_fish!C:X,18, FALSE))&lt;VALUE(VLOOKUP(V222,imaging_filters!A:K,11, FALSE)), CONCATENATE(CHAR(34),"CamA",CHAR(34)), CONCATENATE(CHAR(34),"CamB",CHAR(34))),"}"), ""),IF(VLOOKUP(C222,DM_fish!C:X,20, FALSE)&gt;0, CONCATENATE(",{",CHAR(34),"target",CHAR(34),":",CHAR(34),VLOOKUP(C222,DM_fish!C:X,19, FALSE),CHAR(34),",", CHAR(34), "excitation",CHAR(34), ":", VLOOKUP(C222,DM_fish!C:X,20, FALSE), ",",  CHAR(34), "camera",CHAR(34), ":", IF(VALUE(VLOOKUP(C222,DM_fish!C:X,20, FALSE))&lt;VALUE(VLOOKUP(V222,imaging_filters!A:K,11, FALSE)), CONCATENATE(CHAR(34),"CamA",CHAR(34)), CONCATENATE(CHAR(34),"CamB",CHAR(34))),"}"), ""),IF(VLOOKUP(C222,DM_fish!C:X,22, FALSE)&gt;0, CONCATENATE(",{",CHAR(34),"target",CHAR(34),":",CHAR(34),VLOOKUP(C222,DM_fish!C:X,21, FALSE),CHAR(34),",", CHAR(34), "excitation",CHAR(34), ":", VLOOKUP(C222,DM_fish!C:X,22, FALSE), ",",  CHAR(34), "camera",CHAR(34), ":", IF(VALUE(VLOOKUP(C222,DM_fish!C:X,22, FALSE))&lt;VALUE(VLOOKUP(V222,imaging_filters!A:K,11, FALSE)), CONCATENATE(CHAR(34),"CamA",CHAR(34)), CONCATENATE(CHAR(34),"CamB",CHAR(34))),"}"), "")), "]"), "")</f>
        <v/>
      </c>
      <c r="Y222" s="11" t="str">
        <f ca="1">IFERROR(
CONCATENATE( "[",
IF(VLOOKUP(E222,Injections!B:F,3, FALSE)&gt;0, CONCATENATE( "{",CHAR(34),"target",CHAR(34),":",CHAR(34),VLOOKUP(E222,Injections!B:F,2, FALSE),CHAR(34),",", CHAR(34), "excitation",CHAR(34), ":", VLOOKUP(E222,Injections!B:F,3, FALSE), ",",  CHAR(34), "camera",CHAR(34), ":",
IF(VALUE(VLOOKUP(E222,Injections!B:F,3, FALSE))&lt;VALUE(VLOOKUP(V222,imaging_filters!A:C,2, FALSE)), CONCATENATE(CHAR(34),"CamA",CHAR(34)), CONCATENATE(CHAR(34),"CamB",CHAR(34))),"}"), ""),
IF(VLOOKUP(E222,Injections!B:F,5, FALSE)&gt;0, CONCATENATE(",{",CHAR(34),"target",CHAR(34),":",CHAR(34),VLOOKUP(E222,Injections!B:F,4, FALSE),CHAR(34),",", CHAR(34), "excitation",CHAR(34), ":", VLOOKUP(E222,Injections!B:F,5, FALSE), ",",  CHAR(34), "camera",CHAR(34), ":",
IF(VALUE(VLOOKUP(E222,Injections!B:F,5, FALSE))&lt;VALUE(VLOOKUP(V222,imaging_filters!A:C,2, FALSE)), CONCATENATE(CHAR(34),"CamA",CHAR(34)), CONCATENATE(CHAR(34),"CamB",CHAR(34))),"}"), ""),
 "]"), "[]")</f>
        <v>[]</v>
      </c>
      <c r="Z222" s="11" t="str">
        <f ca="1">IFERROR(
CONCATENATE( "[",
IF(VLOOKUP(F222,Injections!H:L,3, FALSE)&gt;0, CONCATENATE( "{",CHAR(34),"target",CHAR(34),":",CHAR(34),VLOOKUP(F222,Injections!H:L,2, FALSE),CHAR(34),",", CHAR(34), "excitation",CHAR(34), ":", VLOOKUP(F222,Injections!H:L,3, FALSE), ",",  CHAR(34), "camera",CHAR(34), ":",
IF(VALUE(VLOOKUP(F222,Injections!H:L,3, FALSE))&lt;VALUE(VLOOKUP(V222,imaging_filters!A:K,11, FALSE)), CONCATENATE(CHAR(34),"CamA",CHAR(34)), CONCATENATE(CHAR(34),"CamB",CHAR(34))),"}"), ""),
IF(VLOOKUP(F222,Injections!H:L,5, FALSE)&gt;0, CONCATENATE(",{",CHAR(34),"target",CHAR(34),":",CHAR(34),VLOOKUP(F222,Injections!H:L,4, FALSE),CHAR(34),",", CHAR(34), "excitation",CHAR(34), ":", VLOOKUP(F222,Injections!H:L,5, FALSE), ",",  CHAR(34), "camera",CHAR(34), ":",
IF(VALUE(VLOOKUP(F222,Injections!H:L,5, FALSE))&lt;VALUE(VLOOKUP(V222,imaging_filters!A:K,11, FALSE)), CONCATENATE(CHAR(34),"CamA",CHAR(34)), CONCATENATE(CHAR(34),"CamB",CHAR(34))),"}"), ""),
 "]"), "[]")</f>
        <v>[{"target":"nuclei","excitation":560,"camera":"CamB"}]</v>
      </c>
      <c r="AA222" s="11"/>
    </row>
    <row r="223" spans="1:27" ht="15.75" customHeight="1" x14ac:dyDescent="0.15">
      <c r="A223" s="7">
        <f t="shared" si="5"/>
        <v>45769</v>
      </c>
      <c r="B223" s="1"/>
      <c r="C223" s="1" t="s">
        <v>253</v>
      </c>
      <c r="D223" s="1" t="s">
        <v>253</v>
      </c>
      <c r="E223" s="1"/>
      <c r="F223" s="1" t="s">
        <v>64</v>
      </c>
      <c r="G223" s="8"/>
      <c r="H223" s="8"/>
      <c r="I223" s="8">
        <v>45768</v>
      </c>
      <c r="K223" s="1" t="s">
        <v>246</v>
      </c>
      <c r="M223" s="8">
        <v>45769</v>
      </c>
      <c r="N223" s="9">
        <v>0.54166666666666663</v>
      </c>
      <c r="O223" s="9">
        <v>0.55208333333333337</v>
      </c>
      <c r="P223" s="9">
        <v>0.90625</v>
      </c>
      <c r="Q223" s="1" t="s">
        <v>409</v>
      </c>
      <c r="R223" s="10" t="str">
        <f ca="1">IFERROR(__xludf.DUMMYFUNCTION("JOIN("","", SORT(UNIQUE(TOCOL({VLOOKUP(D223,DM_fish!A:B,2,FALSE),VLOOKUP(C223,DM_fish!A:B,2,FALSE), ARRAYFORMULA(VLOOKUP(SPLIT(E223, "", ""),Injections!B:G,6,FALSE)), ARRAYFORMULA(VLOOKUP(SPLIT(F223, "", ""),Injections!H:M,6,FALSE)), ARRAYFORMULA(VLOOKUP("&amp;"SPLIT(G223, "", ""),Injections!N:S,6,FALSE)), ARRAYFORMULA(VLOOKUP(SPLIT(H223, "", ""),Injections!T:Y,6,FALSE)) },3))))"),"nuclei")</f>
        <v>nuclei</v>
      </c>
      <c r="S223" s="10" t="str">
        <f ca="1">IFERROR(__xludf.DUMMYFUNCTION("IFERROR(JOIN("","", SPLIT(R223, "","", TRUE ,TRUE)), """")"),"nuclei")</f>
        <v>nuclei</v>
      </c>
      <c r="T223" s="1" t="s">
        <v>410</v>
      </c>
      <c r="U223" s="1">
        <v>820</v>
      </c>
      <c r="V223" s="1" t="s">
        <v>203</v>
      </c>
      <c r="W223" s="12" t="str">
        <f ca="1">IFERROR(CONCATENATE("[", CONCATENATE(IF(VLOOKUP(D223,DM_fish!C:X,14, FALSE)&gt;0, CONCATENATE("{",CHAR(34),"target",CHAR(34),":",CHAR(34),VLOOKUP(D223,DM_fish!C:X,13, FALSE),CHAR(34),",", CHAR(34), "excitation",CHAR(34), ":", VLOOKUP(D223,DM_fish!C:X,14, FALSE), ",",  CHAR(34), "camera",CHAR(34), ":", IF(VALUE(VLOOKUP(D223,DM_fish!C:X,14, FALSE))&lt;VALUE(VLOOKUP(V223,imaging_filters!A:K,11, FALSE)), CONCATENATE(CHAR(34),"CamA",CHAR(34)), CONCATENATE(CHAR(34),"CamB",CHAR(34))),"}"), ""),IF(VLOOKUP(D223,DM_fish!C:X,16, FALSE)&gt;0, CONCATENATE(",{",CHAR(34),"target",CHAR(34),":",CHAR(34),VLOOKUP(D223,DM_fish!C:X,15, FALSE),CHAR(34),",", CHAR(34), "excitation",CHAR(34), ":", VLOOKUP(D223,DM_fish!C:X,16, FALSE), ",",  CHAR(34), "camera",CHAR(34), ":", IF(VALUE(VLOOKUP(D223,DM_fish!C:X,16, FALSE))&lt;VALUE(VLOOKUP(V223,imaging_filters!A:K,11, FALSE)), CONCATENATE(CHAR(34),"CamA",CHAR(34)), CONCATENATE(CHAR(34),"CamB",CHAR(34))),"}"), ""),IF(VLOOKUP(D223,DM_fish!C:X,18, FALSE)&gt;0, CONCATENATE(",{",CHAR(34),"target",CHAR(34),":",CHAR(34),VLOOKUP(D223,DM_fish!C:X,17, FALSE),CHAR(34),",", CHAR(34), "excitation",CHAR(34), ":", VLOOKUP(D223,DM_fish!C:X,18, FALSE), ",",  CHAR(34), "camera",CHAR(34), ":", IF(VALUE(VLOOKUP(D223,DM_fish!C:X,18, FALSE))&lt;VALUE(VLOOKUP(V223,imaging_filters!A:K,11, FALSE)), CONCATENATE(CHAR(34),"CamA",CHAR(34)), CONCATENATE(CHAR(34),"CamB",CHAR(34))),"}"), ""),IF(VLOOKUP(D223,DM_fish!C:X,20, FALSE)&gt;0, CONCATENATE(",{",CHAR(34),"target",CHAR(34),":",CHAR(34),VLOOKUP(D223,DM_fish!C:X,19, FALSE),CHAR(34),",", CHAR(34), "excitation",CHAR(34), ":", VLOOKUP(D223,DM_fish!C:X,20, FALSE), ",",  CHAR(34), "camera",CHAR(34), ":", IF(VALUE(VLOOKUP(D223,DM_fish!C:X,20, FALSE))&lt;VALUE(VLOOKUP(V223,imaging_filters!A:K,11, FALSE)), CONCATENATE(CHAR(34),"CamA",CHAR(34)), CONCATENATE(CHAR(34),"CamB",CHAR(34))),"}"), ""),IF(VLOOKUP(D223,DM_fish!C:X,22, FALSE)&gt;0, CONCATENATE(",{",CHAR(34),"target",CHAR(34),":",CHAR(34),VLOOKUP(D223,DM_fish!C:X,21, FALSE),CHAR(34),",", CHAR(34), "excitation",CHAR(34), ":", VLOOKUP(D223,DM_fish!C:X,22, FALSE), ",",  CHAR(34), "camera",CHAR(34), ":", IF(VALUE(VLOOKUP(D223,DM_fish!C:X,22, FALSE))&lt;VALUE(VLOOKUP(V223,imaging_filters!A:K,11, FALSE)), CONCATENATE(CHAR(34),"CamA",CHAR(34)), CONCATENATE(CHAR(34),"CamB",CHAR(34))),"}"), "")), "]"), "")</f>
        <v/>
      </c>
      <c r="X223" s="12" t="str">
        <f ca="1">IFERROR(
CONCATENATE("[", CONCATENATE(IF(VLOOKUP(C223,DM_fish!C:X,14, FALSE)&gt;0, CONCATENATE("{",CHAR(34),"target",CHAR(34),":",CHAR(34),VLOOKUP(C223,DM_fish!C:X,13, FALSE),CHAR(34),",", CHAR(34), "excitation",CHAR(34), ":", VLOOKUP(C223,DM_fish!C:X,14, FALSE), ",",  CHAR(34), "camera",CHAR(34), ":", IF(VALUE(VLOOKUP(C223,DM_fish!C:X,14, FALSE))&lt;VALUE(VLOOKUP(V223,imaging_filters!A:K,11, FALSE)), CONCATENATE(CHAR(34),"CamA",CHAR(34)), CONCATENATE(CHAR(34),"CamB",CHAR(34))),"}"), ""),IF(VLOOKUP(C223,DM_fish!C:X,16, FALSE)&gt;0, CONCATENATE(",{",CHAR(34),"target",CHAR(34),":",CHAR(34),VLOOKUP(C223,DM_fish!C:X,15, FALSE),CHAR(34),",", CHAR(34), "excitation",CHAR(34), ":", VLOOKUP(C223,DM_fish!C:X,16, FALSE), ",",  CHAR(34), "camera",CHAR(34), ":", IF(VALUE(VLOOKUP(C223,DM_fish!C:X,16, FALSE))&lt;VALUE(VLOOKUP(V223,imaging_filters!A:K,11, FALSE)), CONCATENATE(CHAR(34),"CamA",CHAR(34)), CONCATENATE(CHAR(34),"CamB",CHAR(34))),"}"), ""),IF(VLOOKUP(C223,DM_fish!C:X,18, FALSE)&gt;0, CONCATENATE(",{",CHAR(34),"target",CHAR(34),":",CHAR(34),VLOOKUP(C223,DM_fish!C:X,17, FALSE),CHAR(34),",", CHAR(34), "excitation",CHAR(34), ":", VLOOKUP(C223,DM_fish!C:X,18, FALSE), ",",  CHAR(34), "camera",CHAR(34), ":", IF(VALUE(VLOOKUP(C223,DM_fish!C:X,18, FALSE))&lt;VALUE(VLOOKUP(V223,imaging_filters!A:K,11, FALSE)), CONCATENATE(CHAR(34),"CamA",CHAR(34)), CONCATENATE(CHAR(34),"CamB",CHAR(34))),"}"), ""),IF(VLOOKUP(C223,DM_fish!C:X,20, FALSE)&gt;0, CONCATENATE(",{",CHAR(34),"target",CHAR(34),":",CHAR(34),VLOOKUP(C223,DM_fish!C:X,19, FALSE),CHAR(34),",", CHAR(34), "excitation",CHAR(34), ":", VLOOKUP(C223,DM_fish!C:X,20, FALSE), ",",  CHAR(34), "camera",CHAR(34), ":", IF(VALUE(VLOOKUP(C223,DM_fish!C:X,20, FALSE))&lt;VALUE(VLOOKUP(V223,imaging_filters!A:K,11, FALSE)), CONCATENATE(CHAR(34),"CamA",CHAR(34)), CONCATENATE(CHAR(34),"CamB",CHAR(34))),"}"), ""),IF(VLOOKUP(C223,DM_fish!C:X,22, FALSE)&gt;0, CONCATENATE(",{",CHAR(34),"target",CHAR(34),":",CHAR(34),VLOOKUP(C223,DM_fish!C:X,21, FALSE),CHAR(34),",", CHAR(34), "excitation",CHAR(34), ":", VLOOKUP(C223,DM_fish!C:X,22, FALSE), ",",  CHAR(34), "camera",CHAR(34), ":", IF(VALUE(VLOOKUP(C223,DM_fish!C:X,22, FALSE))&lt;VALUE(VLOOKUP(V223,imaging_filters!A:K,11, FALSE)), CONCATENATE(CHAR(34),"CamA",CHAR(34)), CONCATENATE(CHAR(34),"CamB",CHAR(34))),"}"), "")), "]"), "")</f>
        <v/>
      </c>
      <c r="Y223" s="11" t="str">
        <f ca="1">IFERROR(
CONCATENATE( "[",
IF(VLOOKUP(E223,Injections!B:F,3, FALSE)&gt;0, CONCATENATE( "{",CHAR(34),"target",CHAR(34),":",CHAR(34),VLOOKUP(E223,Injections!B:F,2, FALSE),CHAR(34),",", CHAR(34), "excitation",CHAR(34), ":", VLOOKUP(E223,Injections!B:F,3, FALSE), ",",  CHAR(34), "camera",CHAR(34), ":",
IF(VALUE(VLOOKUP(E223,Injections!B:F,3, FALSE))&lt;VALUE(VLOOKUP(V223,imaging_filters!A:C,2, FALSE)), CONCATENATE(CHAR(34),"CamA",CHAR(34)), CONCATENATE(CHAR(34),"CamB",CHAR(34))),"}"), ""),
IF(VLOOKUP(E223,Injections!B:F,5, FALSE)&gt;0, CONCATENATE(",{",CHAR(34),"target",CHAR(34),":",CHAR(34),VLOOKUP(E223,Injections!B:F,4, FALSE),CHAR(34),",", CHAR(34), "excitation",CHAR(34), ":", VLOOKUP(E223,Injections!B:F,5, FALSE), ",",  CHAR(34), "camera",CHAR(34), ":",
IF(VALUE(VLOOKUP(E223,Injections!B:F,5, FALSE))&lt;VALUE(VLOOKUP(V223,imaging_filters!A:C,2, FALSE)), CONCATENATE(CHAR(34),"CamA",CHAR(34)), CONCATENATE(CHAR(34),"CamB",CHAR(34))),"}"), ""),
 "]"), "[]")</f>
        <v>[]</v>
      </c>
      <c r="Z223" s="11" t="str">
        <f ca="1">IFERROR(
CONCATENATE( "[",
IF(VLOOKUP(F223,Injections!H:L,3, FALSE)&gt;0, CONCATENATE( "{",CHAR(34),"target",CHAR(34),":",CHAR(34),VLOOKUP(F223,Injections!H:L,2, FALSE),CHAR(34),",", CHAR(34), "excitation",CHAR(34), ":", VLOOKUP(F223,Injections!H:L,3, FALSE), ",",  CHAR(34), "camera",CHAR(34), ":",
IF(VALUE(VLOOKUP(F223,Injections!H:L,3, FALSE))&lt;VALUE(VLOOKUP(V223,imaging_filters!A:K,11, FALSE)), CONCATENATE(CHAR(34),"CamA",CHAR(34)), CONCATENATE(CHAR(34),"CamB",CHAR(34))),"}"), ""),
IF(VLOOKUP(F223,Injections!H:L,5, FALSE)&gt;0, CONCATENATE(",{",CHAR(34),"target",CHAR(34),":",CHAR(34),VLOOKUP(F223,Injections!H:L,4, FALSE),CHAR(34),",", CHAR(34), "excitation",CHAR(34), ":", VLOOKUP(F223,Injections!H:L,5, FALSE), ",",  CHAR(34), "camera",CHAR(34), ":",
IF(VALUE(VLOOKUP(F223,Injections!H:L,5, FALSE))&lt;VALUE(VLOOKUP(V223,imaging_filters!A:K,11, FALSE)), CONCATENATE(CHAR(34),"CamA",CHAR(34)), CONCATENATE(CHAR(34),"CamB",CHAR(34))),"}"), ""),
 "]"), "[]")</f>
        <v>[{"target":"nuclei","excitation":560,"camera":"CamB"}]</v>
      </c>
      <c r="AA223" s="11" t="s">
        <v>411</v>
      </c>
    </row>
    <row r="224" spans="1:27" ht="15.75" customHeight="1" x14ac:dyDescent="0.15">
      <c r="A224" s="7">
        <f t="shared" si="5"/>
        <v>45769</v>
      </c>
      <c r="B224" s="1"/>
      <c r="C224" s="1" t="s">
        <v>253</v>
      </c>
      <c r="D224" s="1" t="s">
        <v>253</v>
      </c>
      <c r="E224" s="1"/>
      <c r="F224" s="1" t="s">
        <v>64</v>
      </c>
      <c r="G224" s="8"/>
      <c r="H224" s="8"/>
      <c r="I224" s="8">
        <v>45768</v>
      </c>
      <c r="K224" s="1" t="s">
        <v>246</v>
      </c>
      <c r="M224" s="8">
        <v>45769</v>
      </c>
      <c r="N224" s="9">
        <v>0.54166666666666663</v>
      </c>
      <c r="O224" s="9">
        <v>0.91666666666666663</v>
      </c>
      <c r="P224" s="1" t="s">
        <v>412</v>
      </c>
      <c r="Q224" s="1" t="s">
        <v>404</v>
      </c>
      <c r="R224" s="10" t="str">
        <f ca="1">IFERROR(__xludf.DUMMYFUNCTION("JOIN("","", SORT(UNIQUE(TOCOL({VLOOKUP(D224,DM_fish!A:B,2,FALSE),VLOOKUP(C224,DM_fish!A:B,2,FALSE), ARRAYFORMULA(VLOOKUP(SPLIT(E224, "", ""),Injections!B:G,6,FALSE)), ARRAYFORMULA(VLOOKUP(SPLIT(F224, "", ""),Injections!H:M,6,FALSE)), ARRAYFORMULA(VLOOKUP("&amp;"SPLIT(G224, "", ""),Injections!N:S,6,FALSE)), ARRAYFORMULA(VLOOKUP(SPLIT(H224, "", ""),Injections!T:Y,6,FALSE)) },3))))"),"nuclei")</f>
        <v>nuclei</v>
      </c>
      <c r="S224" s="10" t="str">
        <f ca="1">IFERROR(__xludf.DUMMYFUNCTION("IFERROR(JOIN("","", SPLIT(R224, "","", TRUE ,TRUE)), """")"),"nuclei")</f>
        <v>nuclei</v>
      </c>
      <c r="T224" s="1" t="s">
        <v>413</v>
      </c>
      <c r="U224" s="1">
        <v>1362</v>
      </c>
      <c r="V224" s="1" t="s">
        <v>203</v>
      </c>
      <c r="W224" s="12" t="str">
        <f ca="1">IFERROR(CONCATENATE("[", CONCATENATE(IF(VLOOKUP(D224,DM_fish!C:X,14, FALSE)&gt;0, CONCATENATE("{",CHAR(34),"target",CHAR(34),":",CHAR(34),VLOOKUP(D224,DM_fish!C:X,13, FALSE),CHAR(34),",", CHAR(34), "excitation",CHAR(34), ":", VLOOKUP(D224,DM_fish!C:X,14, FALSE), ",",  CHAR(34), "camera",CHAR(34), ":", IF(VALUE(VLOOKUP(D224,DM_fish!C:X,14, FALSE))&lt;VALUE(VLOOKUP(V224,imaging_filters!A:K,11, FALSE)), CONCATENATE(CHAR(34),"CamA",CHAR(34)), CONCATENATE(CHAR(34),"CamB",CHAR(34))),"}"), ""),IF(VLOOKUP(D224,DM_fish!C:X,16, FALSE)&gt;0, CONCATENATE(",{",CHAR(34),"target",CHAR(34),":",CHAR(34),VLOOKUP(D224,DM_fish!C:X,15, FALSE),CHAR(34),",", CHAR(34), "excitation",CHAR(34), ":", VLOOKUP(D224,DM_fish!C:X,16, FALSE), ",",  CHAR(34), "camera",CHAR(34), ":", IF(VALUE(VLOOKUP(D224,DM_fish!C:X,16, FALSE))&lt;VALUE(VLOOKUP(V224,imaging_filters!A:K,11, FALSE)), CONCATENATE(CHAR(34),"CamA",CHAR(34)), CONCATENATE(CHAR(34),"CamB",CHAR(34))),"}"), ""),IF(VLOOKUP(D224,DM_fish!C:X,18, FALSE)&gt;0, CONCATENATE(",{",CHAR(34),"target",CHAR(34),":",CHAR(34),VLOOKUP(D224,DM_fish!C:X,17, FALSE),CHAR(34),",", CHAR(34), "excitation",CHAR(34), ":", VLOOKUP(D224,DM_fish!C:X,18, FALSE), ",",  CHAR(34), "camera",CHAR(34), ":", IF(VALUE(VLOOKUP(D224,DM_fish!C:X,18, FALSE))&lt;VALUE(VLOOKUP(V224,imaging_filters!A:K,11, FALSE)), CONCATENATE(CHAR(34),"CamA",CHAR(34)), CONCATENATE(CHAR(34),"CamB",CHAR(34))),"}"), ""),IF(VLOOKUP(D224,DM_fish!C:X,20, FALSE)&gt;0, CONCATENATE(",{",CHAR(34),"target",CHAR(34),":",CHAR(34),VLOOKUP(D224,DM_fish!C:X,19, FALSE),CHAR(34),",", CHAR(34), "excitation",CHAR(34), ":", VLOOKUP(D224,DM_fish!C:X,20, FALSE), ",",  CHAR(34), "camera",CHAR(34), ":", IF(VALUE(VLOOKUP(D224,DM_fish!C:X,20, FALSE))&lt;VALUE(VLOOKUP(V224,imaging_filters!A:K,11, FALSE)), CONCATENATE(CHAR(34),"CamA",CHAR(34)), CONCATENATE(CHAR(34),"CamB",CHAR(34))),"}"), ""),IF(VLOOKUP(D224,DM_fish!C:X,22, FALSE)&gt;0, CONCATENATE(",{",CHAR(34),"target",CHAR(34),":",CHAR(34),VLOOKUP(D224,DM_fish!C:X,21, FALSE),CHAR(34),",", CHAR(34), "excitation",CHAR(34), ":", VLOOKUP(D224,DM_fish!C:X,22, FALSE), ",",  CHAR(34), "camera",CHAR(34), ":", IF(VALUE(VLOOKUP(D224,DM_fish!C:X,22, FALSE))&lt;VALUE(VLOOKUP(V224,imaging_filters!A:K,11, FALSE)), CONCATENATE(CHAR(34),"CamA",CHAR(34)), CONCATENATE(CHAR(34),"CamB",CHAR(34))),"}"), "")), "]"), "")</f>
        <v/>
      </c>
      <c r="X224" s="12" t="str">
        <f ca="1">IFERROR(
CONCATENATE("[", CONCATENATE(IF(VLOOKUP(C224,DM_fish!C:X,14, FALSE)&gt;0, CONCATENATE("{",CHAR(34),"target",CHAR(34),":",CHAR(34),VLOOKUP(C224,DM_fish!C:X,13, FALSE),CHAR(34),",", CHAR(34), "excitation",CHAR(34), ":", VLOOKUP(C224,DM_fish!C:X,14, FALSE), ",",  CHAR(34), "camera",CHAR(34), ":", IF(VALUE(VLOOKUP(C224,DM_fish!C:X,14, FALSE))&lt;VALUE(VLOOKUP(V224,imaging_filters!A:K,11, FALSE)), CONCATENATE(CHAR(34),"CamA",CHAR(34)), CONCATENATE(CHAR(34),"CamB",CHAR(34))),"}"), ""),IF(VLOOKUP(C224,DM_fish!C:X,16, FALSE)&gt;0, CONCATENATE(",{",CHAR(34),"target",CHAR(34),":",CHAR(34),VLOOKUP(C224,DM_fish!C:X,15, FALSE),CHAR(34),",", CHAR(34), "excitation",CHAR(34), ":", VLOOKUP(C224,DM_fish!C:X,16, FALSE), ",",  CHAR(34), "camera",CHAR(34), ":", IF(VALUE(VLOOKUP(C224,DM_fish!C:X,16, FALSE))&lt;VALUE(VLOOKUP(V224,imaging_filters!A:K,11, FALSE)), CONCATENATE(CHAR(34),"CamA",CHAR(34)), CONCATENATE(CHAR(34),"CamB",CHAR(34))),"}"), ""),IF(VLOOKUP(C224,DM_fish!C:X,18, FALSE)&gt;0, CONCATENATE(",{",CHAR(34),"target",CHAR(34),":",CHAR(34),VLOOKUP(C224,DM_fish!C:X,17, FALSE),CHAR(34),",", CHAR(34), "excitation",CHAR(34), ":", VLOOKUP(C224,DM_fish!C:X,18, FALSE), ",",  CHAR(34), "camera",CHAR(34), ":", IF(VALUE(VLOOKUP(C224,DM_fish!C:X,18, FALSE))&lt;VALUE(VLOOKUP(V224,imaging_filters!A:K,11, FALSE)), CONCATENATE(CHAR(34),"CamA",CHAR(34)), CONCATENATE(CHAR(34),"CamB",CHAR(34))),"}"), ""),IF(VLOOKUP(C224,DM_fish!C:X,20, FALSE)&gt;0, CONCATENATE(",{",CHAR(34),"target",CHAR(34),":",CHAR(34),VLOOKUP(C224,DM_fish!C:X,19, FALSE),CHAR(34),",", CHAR(34), "excitation",CHAR(34), ":", VLOOKUP(C224,DM_fish!C:X,20, FALSE), ",",  CHAR(34), "camera",CHAR(34), ":", IF(VALUE(VLOOKUP(C224,DM_fish!C:X,20, FALSE))&lt;VALUE(VLOOKUP(V224,imaging_filters!A:K,11, FALSE)), CONCATENATE(CHAR(34),"CamA",CHAR(34)), CONCATENATE(CHAR(34),"CamB",CHAR(34))),"}"), ""),IF(VLOOKUP(C224,DM_fish!C:X,22, FALSE)&gt;0, CONCATENATE(",{",CHAR(34),"target",CHAR(34),":",CHAR(34),VLOOKUP(C224,DM_fish!C:X,21, FALSE),CHAR(34),",", CHAR(34), "excitation",CHAR(34), ":", VLOOKUP(C224,DM_fish!C:X,22, FALSE), ",",  CHAR(34), "camera",CHAR(34), ":", IF(VALUE(VLOOKUP(C224,DM_fish!C:X,22, FALSE))&lt;VALUE(VLOOKUP(V224,imaging_filters!A:K,11, FALSE)), CONCATENATE(CHAR(34),"CamA",CHAR(34)), CONCATENATE(CHAR(34),"CamB",CHAR(34))),"}"), "")), "]"), "")</f>
        <v/>
      </c>
      <c r="Y224" s="11" t="str">
        <f ca="1">IFERROR(
CONCATENATE( "[",
IF(VLOOKUP(E224,Injections!B:F,3, FALSE)&gt;0, CONCATENATE( "{",CHAR(34),"target",CHAR(34),":",CHAR(34),VLOOKUP(E224,Injections!B:F,2, FALSE),CHAR(34),",", CHAR(34), "excitation",CHAR(34), ":", VLOOKUP(E224,Injections!B:F,3, FALSE), ",",  CHAR(34), "camera",CHAR(34), ":",
IF(VALUE(VLOOKUP(E224,Injections!B:F,3, FALSE))&lt;VALUE(VLOOKUP(V224,imaging_filters!A:C,2, FALSE)), CONCATENATE(CHAR(34),"CamA",CHAR(34)), CONCATENATE(CHAR(34),"CamB",CHAR(34))),"}"), ""),
IF(VLOOKUP(E224,Injections!B:F,5, FALSE)&gt;0, CONCATENATE(",{",CHAR(34),"target",CHAR(34),":",CHAR(34),VLOOKUP(E224,Injections!B:F,4, FALSE),CHAR(34),",", CHAR(34), "excitation",CHAR(34), ":", VLOOKUP(E224,Injections!B:F,5, FALSE), ",",  CHAR(34), "camera",CHAR(34), ":",
IF(VALUE(VLOOKUP(E224,Injections!B:F,5, FALSE))&lt;VALUE(VLOOKUP(V224,imaging_filters!A:C,2, FALSE)), CONCATENATE(CHAR(34),"CamA",CHAR(34)), CONCATENATE(CHAR(34),"CamB",CHAR(34))),"}"), ""),
 "]"), "[]")</f>
        <v>[]</v>
      </c>
      <c r="Z224" s="11" t="str">
        <f ca="1">IFERROR(
CONCATENATE( "[",
IF(VLOOKUP(F224,Injections!H:L,3, FALSE)&gt;0, CONCATENATE( "{",CHAR(34),"target",CHAR(34),":",CHAR(34),VLOOKUP(F224,Injections!H:L,2, FALSE),CHAR(34),",", CHAR(34), "excitation",CHAR(34), ":", VLOOKUP(F224,Injections!H:L,3, FALSE), ",",  CHAR(34), "camera",CHAR(34), ":",
IF(VALUE(VLOOKUP(F224,Injections!H:L,3, FALSE))&lt;VALUE(VLOOKUP(V224,imaging_filters!A:K,11, FALSE)), CONCATENATE(CHAR(34),"CamA",CHAR(34)), CONCATENATE(CHAR(34),"CamB",CHAR(34))),"}"), ""),
IF(VLOOKUP(F224,Injections!H:L,5, FALSE)&gt;0, CONCATENATE(",{",CHAR(34),"target",CHAR(34),":",CHAR(34),VLOOKUP(F224,Injections!H:L,4, FALSE),CHAR(34),",", CHAR(34), "excitation",CHAR(34), ":", VLOOKUP(F224,Injections!H:L,5, FALSE), ",",  CHAR(34), "camera",CHAR(34), ":",
IF(VALUE(VLOOKUP(F224,Injections!H:L,5, FALSE))&lt;VALUE(VLOOKUP(V224,imaging_filters!A:K,11, FALSE)), CONCATENATE(CHAR(34),"CamA",CHAR(34)), CONCATENATE(CHAR(34),"CamB",CHAR(34))),"}"), ""),
 "]"), "[]")</f>
        <v>[{"target":"nuclei","excitation":560,"camera":"CamB"}]</v>
      </c>
      <c r="AA224" s="11"/>
    </row>
    <row r="225" spans="1:27" ht="15.75" customHeight="1" x14ac:dyDescent="0.15">
      <c r="A225" s="7">
        <f t="shared" si="5"/>
        <v>45768</v>
      </c>
      <c r="B225" s="1"/>
      <c r="C225" s="1" t="s">
        <v>253</v>
      </c>
      <c r="D225" s="1" t="s">
        <v>253</v>
      </c>
      <c r="E225" s="1"/>
      <c r="F225" s="1" t="s">
        <v>64</v>
      </c>
      <c r="G225" s="8"/>
      <c r="H225" s="8"/>
      <c r="I225" s="8">
        <v>45765</v>
      </c>
      <c r="K225" s="1" t="s">
        <v>34</v>
      </c>
      <c r="L225" s="8">
        <v>45766</v>
      </c>
      <c r="M225" s="8">
        <v>45768</v>
      </c>
      <c r="O225" s="9">
        <v>0.66666666666666663</v>
      </c>
      <c r="P225" s="1" t="s">
        <v>414</v>
      </c>
      <c r="Q225" s="1" t="s">
        <v>415</v>
      </c>
      <c r="R225" s="10" t="str">
        <f ca="1">IFERROR(__xludf.DUMMYFUNCTION("JOIN("","", SORT(UNIQUE(TOCOL({VLOOKUP(D225,DM_fish!A:B,2,FALSE),VLOOKUP(C225,DM_fish!A:B,2,FALSE), ARRAYFORMULA(VLOOKUP(SPLIT(E225, "", ""),Injections!B:G,6,FALSE)), ARRAYFORMULA(VLOOKUP(SPLIT(F225, "", ""),Injections!H:M,6,FALSE)), ARRAYFORMULA(VLOOKUP("&amp;"SPLIT(G225, "", ""),Injections!N:S,6,FALSE)), ARRAYFORMULA(VLOOKUP(SPLIT(H225, "", ""),Injections!T:Y,6,FALSE)) },3))))"),"nuclei")</f>
        <v>nuclei</v>
      </c>
      <c r="S225" s="10" t="str">
        <f ca="1">IFERROR(__xludf.DUMMYFUNCTION("IFERROR(JOIN("","", SPLIT(R225, "","", TRUE ,TRUE)), """")"),"nuclei")</f>
        <v>nuclei</v>
      </c>
      <c r="T225" s="1" t="s">
        <v>416</v>
      </c>
      <c r="U225" s="1">
        <v>1925</v>
      </c>
      <c r="V225" s="1" t="s">
        <v>203</v>
      </c>
      <c r="W225" s="12" t="str">
        <f ca="1">IFERROR(CONCATENATE("[", CONCATENATE(IF(VLOOKUP(D225,DM_fish!C:X,14, FALSE)&gt;0, CONCATENATE("{",CHAR(34),"target",CHAR(34),":",CHAR(34),VLOOKUP(D225,DM_fish!C:X,13, FALSE),CHAR(34),",", CHAR(34), "excitation",CHAR(34), ":", VLOOKUP(D225,DM_fish!C:X,14, FALSE), ",",  CHAR(34), "camera",CHAR(34), ":", IF(VALUE(VLOOKUP(D225,DM_fish!C:X,14, FALSE))&lt;VALUE(VLOOKUP(V225,imaging_filters!A:K,11, FALSE)), CONCATENATE(CHAR(34),"CamA",CHAR(34)), CONCATENATE(CHAR(34),"CamB",CHAR(34))),"}"), ""),IF(VLOOKUP(D225,DM_fish!C:X,16, FALSE)&gt;0, CONCATENATE(",{",CHAR(34),"target",CHAR(34),":",CHAR(34),VLOOKUP(D225,DM_fish!C:X,15, FALSE),CHAR(34),",", CHAR(34), "excitation",CHAR(34), ":", VLOOKUP(D225,DM_fish!C:X,16, FALSE), ",",  CHAR(34), "camera",CHAR(34), ":", IF(VALUE(VLOOKUP(D225,DM_fish!C:X,16, FALSE))&lt;VALUE(VLOOKUP(V225,imaging_filters!A:K,11, FALSE)), CONCATENATE(CHAR(34),"CamA",CHAR(34)), CONCATENATE(CHAR(34),"CamB",CHAR(34))),"}"), ""),IF(VLOOKUP(D225,DM_fish!C:X,18, FALSE)&gt;0, CONCATENATE(",{",CHAR(34),"target",CHAR(34),":",CHAR(34),VLOOKUP(D225,DM_fish!C:X,17, FALSE),CHAR(34),",", CHAR(34), "excitation",CHAR(34), ":", VLOOKUP(D225,DM_fish!C:X,18, FALSE), ",",  CHAR(34), "camera",CHAR(34), ":", IF(VALUE(VLOOKUP(D225,DM_fish!C:X,18, FALSE))&lt;VALUE(VLOOKUP(V225,imaging_filters!A:K,11, FALSE)), CONCATENATE(CHAR(34),"CamA",CHAR(34)), CONCATENATE(CHAR(34),"CamB",CHAR(34))),"}"), ""),IF(VLOOKUP(D225,DM_fish!C:X,20, FALSE)&gt;0, CONCATENATE(",{",CHAR(34),"target",CHAR(34),":",CHAR(34),VLOOKUP(D225,DM_fish!C:X,19, FALSE),CHAR(34),",", CHAR(34), "excitation",CHAR(34), ":", VLOOKUP(D225,DM_fish!C:X,20, FALSE), ",",  CHAR(34), "camera",CHAR(34), ":", IF(VALUE(VLOOKUP(D225,DM_fish!C:X,20, FALSE))&lt;VALUE(VLOOKUP(V225,imaging_filters!A:K,11, FALSE)), CONCATENATE(CHAR(34),"CamA",CHAR(34)), CONCATENATE(CHAR(34),"CamB",CHAR(34))),"}"), ""),IF(VLOOKUP(D225,DM_fish!C:X,22, FALSE)&gt;0, CONCATENATE(",{",CHAR(34),"target",CHAR(34),":",CHAR(34),VLOOKUP(D225,DM_fish!C:X,21, FALSE),CHAR(34),",", CHAR(34), "excitation",CHAR(34), ":", VLOOKUP(D225,DM_fish!C:X,22, FALSE), ",",  CHAR(34), "camera",CHAR(34), ":", IF(VALUE(VLOOKUP(D225,DM_fish!C:X,22, FALSE))&lt;VALUE(VLOOKUP(V225,imaging_filters!A:K,11, FALSE)), CONCATENATE(CHAR(34),"CamA",CHAR(34)), CONCATENATE(CHAR(34),"CamB",CHAR(34))),"}"), "")), "]"), "")</f>
        <v/>
      </c>
      <c r="X225" s="12" t="str">
        <f ca="1">IFERROR(
CONCATENATE("[", CONCATENATE(IF(VLOOKUP(C225,DM_fish!C:X,14, FALSE)&gt;0, CONCATENATE("{",CHAR(34),"target",CHAR(34),":",CHAR(34),VLOOKUP(C225,DM_fish!C:X,13, FALSE),CHAR(34),",", CHAR(34), "excitation",CHAR(34), ":", VLOOKUP(C225,DM_fish!C:X,14, FALSE), ",",  CHAR(34), "camera",CHAR(34), ":", IF(VALUE(VLOOKUP(C225,DM_fish!C:X,14, FALSE))&lt;VALUE(VLOOKUP(V225,imaging_filters!A:K,11, FALSE)), CONCATENATE(CHAR(34),"CamA",CHAR(34)), CONCATENATE(CHAR(34),"CamB",CHAR(34))),"}"), ""),IF(VLOOKUP(C225,DM_fish!C:X,16, FALSE)&gt;0, CONCATENATE(",{",CHAR(34),"target",CHAR(34),":",CHAR(34),VLOOKUP(C225,DM_fish!C:X,15, FALSE),CHAR(34),",", CHAR(34), "excitation",CHAR(34), ":", VLOOKUP(C225,DM_fish!C:X,16, FALSE), ",",  CHAR(34), "camera",CHAR(34), ":", IF(VALUE(VLOOKUP(C225,DM_fish!C:X,16, FALSE))&lt;VALUE(VLOOKUP(V225,imaging_filters!A:K,11, FALSE)), CONCATENATE(CHAR(34),"CamA",CHAR(34)), CONCATENATE(CHAR(34),"CamB",CHAR(34))),"}"), ""),IF(VLOOKUP(C225,DM_fish!C:X,18, FALSE)&gt;0, CONCATENATE(",{",CHAR(34),"target",CHAR(34),":",CHAR(34),VLOOKUP(C225,DM_fish!C:X,17, FALSE),CHAR(34),",", CHAR(34), "excitation",CHAR(34), ":", VLOOKUP(C225,DM_fish!C:X,18, FALSE), ",",  CHAR(34), "camera",CHAR(34), ":", IF(VALUE(VLOOKUP(C225,DM_fish!C:X,18, FALSE))&lt;VALUE(VLOOKUP(V225,imaging_filters!A:K,11, FALSE)), CONCATENATE(CHAR(34),"CamA",CHAR(34)), CONCATENATE(CHAR(34),"CamB",CHAR(34))),"}"), ""),IF(VLOOKUP(C225,DM_fish!C:X,20, FALSE)&gt;0, CONCATENATE(",{",CHAR(34),"target",CHAR(34),":",CHAR(34),VLOOKUP(C225,DM_fish!C:X,19, FALSE),CHAR(34),",", CHAR(34), "excitation",CHAR(34), ":", VLOOKUP(C225,DM_fish!C:X,20, FALSE), ",",  CHAR(34), "camera",CHAR(34), ":", IF(VALUE(VLOOKUP(C225,DM_fish!C:X,20, FALSE))&lt;VALUE(VLOOKUP(V225,imaging_filters!A:K,11, FALSE)), CONCATENATE(CHAR(34),"CamA",CHAR(34)), CONCATENATE(CHAR(34),"CamB",CHAR(34))),"}"), ""),IF(VLOOKUP(C225,DM_fish!C:X,22, FALSE)&gt;0, CONCATENATE(",{",CHAR(34),"target",CHAR(34),":",CHAR(34),VLOOKUP(C225,DM_fish!C:X,21, FALSE),CHAR(34),",", CHAR(34), "excitation",CHAR(34), ":", VLOOKUP(C225,DM_fish!C:X,22, FALSE), ",",  CHAR(34), "camera",CHAR(34), ":", IF(VALUE(VLOOKUP(C225,DM_fish!C:X,22, FALSE))&lt;VALUE(VLOOKUP(V225,imaging_filters!A:K,11, FALSE)), CONCATENATE(CHAR(34),"CamA",CHAR(34)), CONCATENATE(CHAR(34),"CamB",CHAR(34))),"}"), "")), "]"), "")</f>
        <v/>
      </c>
      <c r="Y225" s="11" t="str">
        <f ca="1">IFERROR(
CONCATENATE( "[",
IF(VLOOKUP(E225,Injections!B:F,3, FALSE)&gt;0, CONCATENATE( "{",CHAR(34),"target",CHAR(34),":",CHAR(34),VLOOKUP(E225,Injections!B:F,2, FALSE),CHAR(34),",", CHAR(34), "excitation",CHAR(34), ":", VLOOKUP(E225,Injections!B:F,3, FALSE), ",",  CHAR(34), "camera",CHAR(34), ":",
IF(VALUE(VLOOKUP(E225,Injections!B:F,3, FALSE))&lt;VALUE(VLOOKUP(V225,imaging_filters!A:C,2, FALSE)), CONCATENATE(CHAR(34),"CamA",CHAR(34)), CONCATENATE(CHAR(34),"CamB",CHAR(34))),"}"), ""),
IF(VLOOKUP(E225,Injections!B:F,5, FALSE)&gt;0, CONCATENATE(",{",CHAR(34),"target",CHAR(34),":",CHAR(34),VLOOKUP(E225,Injections!B:F,4, FALSE),CHAR(34),",", CHAR(34), "excitation",CHAR(34), ":", VLOOKUP(E225,Injections!B:F,5, FALSE), ",",  CHAR(34), "camera",CHAR(34), ":",
IF(VALUE(VLOOKUP(E225,Injections!B:F,5, FALSE))&lt;VALUE(VLOOKUP(V225,imaging_filters!A:C,2, FALSE)), CONCATENATE(CHAR(34),"CamA",CHAR(34)), CONCATENATE(CHAR(34),"CamB",CHAR(34))),"}"), ""),
 "]"), "[]")</f>
        <v>[]</v>
      </c>
      <c r="Z225" s="11" t="str">
        <f ca="1">IFERROR(
CONCATENATE( "[",
IF(VLOOKUP(F225,Injections!H:L,3, FALSE)&gt;0, CONCATENATE( "{",CHAR(34),"target",CHAR(34),":",CHAR(34),VLOOKUP(F225,Injections!H:L,2, FALSE),CHAR(34),",", CHAR(34), "excitation",CHAR(34), ":", VLOOKUP(F225,Injections!H:L,3, FALSE), ",",  CHAR(34), "camera",CHAR(34), ":",
IF(VALUE(VLOOKUP(F225,Injections!H:L,3, FALSE))&lt;VALUE(VLOOKUP(V225,imaging_filters!A:K,11, FALSE)), CONCATENATE(CHAR(34),"CamA",CHAR(34)), CONCATENATE(CHAR(34),"CamB",CHAR(34))),"}"), ""),
IF(VLOOKUP(F225,Injections!H:L,5, FALSE)&gt;0, CONCATENATE(",{",CHAR(34),"target",CHAR(34),":",CHAR(34),VLOOKUP(F225,Injections!H:L,4, FALSE),CHAR(34),",", CHAR(34), "excitation",CHAR(34), ":", VLOOKUP(F225,Injections!H:L,5, FALSE), ",",  CHAR(34), "camera",CHAR(34), ":",
IF(VALUE(VLOOKUP(F225,Injections!H:L,5, FALSE))&lt;VALUE(VLOOKUP(V225,imaging_filters!A:K,11, FALSE)), CONCATENATE(CHAR(34),"CamA",CHAR(34)), CONCATENATE(CHAR(34),"CamB",CHAR(34))),"}"), ""),
 "]"), "[]")</f>
        <v>[{"target":"nuclei","excitation":560,"camera":"CamB"}]</v>
      </c>
      <c r="AA225" s="11"/>
    </row>
    <row r="226" spans="1:27" ht="15.75" customHeight="1" x14ac:dyDescent="0.15">
      <c r="A226" s="7">
        <f t="shared" si="5"/>
        <v>45765</v>
      </c>
      <c r="B226" s="1"/>
      <c r="C226" s="1" t="s">
        <v>253</v>
      </c>
      <c r="D226" s="1" t="s">
        <v>253</v>
      </c>
      <c r="E226" s="1"/>
      <c r="F226" s="1" t="s">
        <v>64</v>
      </c>
      <c r="G226" s="8"/>
      <c r="H226" s="8"/>
      <c r="I226" s="8">
        <v>45764</v>
      </c>
      <c r="J226" s="8">
        <v>45765</v>
      </c>
      <c r="K226" s="1" t="s">
        <v>246</v>
      </c>
      <c r="M226" s="8">
        <v>45765</v>
      </c>
      <c r="N226" s="9">
        <v>0.54166666666666663</v>
      </c>
      <c r="R226" s="10" t="str">
        <f ca="1">IFERROR(__xludf.DUMMYFUNCTION("JOIN("","", SORT(UNIQUE(TOCOL({VLOOKUP(D226,DM_fish!A:B,2,FALSE),VLOOKUP(C226,DM_fish!A:B,2,FALSE), ARRAYFORMULA(VLOOKUP(SPLIT(E226, "", ""),Injections!B:G,6,FALSE)), ARRAYFORMULA(VLOOKUP(SPLIT(F226, "", ""),Injections!H:M,6,FALSE)), ARRAYFORMULA(VLOOKUP("&amp;"SPLIT(G226, "", ""),Injections!N:S,6,FALSE)), ARRAYFORMULA(VLOOKUP(SPLIT(H226, "", ""),Injections!T:Y,6,FALSE)) },3))))"),"nuclei")</f>
        <v>nuclei</v>
      </c>
      <c r="S226" s="10" t="str">
        <f ca="1">IFERROR(__xludf.DUMMYFUNCTION("IFERROR(JOIN("","", SPLIT(R226, "","", TRUE ,TRUE)), """")"),"nuclei")</f>
        <v>nuclei</v>
      </c>
      <c r="T226" s="1" t="s">
        <v>417</v>
      </c>
      <c r="V226" s="1" t="s">
        <v>203</v>
      </c>
      <c r="W226" s="12" t="str">
        <f ca="1">IFERROR(CONCATENATE("[", CONCATENATE(IF(VLOOKUP(D226,DM_fish!C:X,14, FALSE)&gt;0, CONCATENATE("{",CHAR(34),"target",CHAR(34),":",CHAR(34),VLOOKUP(D226,DM_fish!C:X,13, FALSE),CHAR(34),",", CHAR(34), "excitation",CHAR(34), ":", VLOOKUP(D226,DM_fish!C:X,14, FALSE), ",",  CHAR(34), "camera",CHAR(34), ":", IF(VALUE(VLOOKUP(D226,DM_fish!C:X,14, FALSE))&lt;VALUE(VLOOKUP(V226,imaging_filters!A:K,11, FALSE)), CONCATENATE(CHAR(34),"CamA",CHAR(34)), CONCATENATE(CHAR(34),"CamB",CHAR(34))),"}"), ""),IF(VLOOKUP(D226,DM_fish!C:X,16, FALSE)&gt;0, CONCATENATE(",{",CHAR(34),"target",CHAR(34),":",CHAR(34),VLOOKUP(D226,DM_fish!C:X,15, FALSE),CHAR(34),",", CHAR(34), "excitation",CHAR(34), ":", VLOOKUP(D226,DM_fish!C:X,16, FALSE), ",",  CHAR(34), "camera",CHAR(34), ":", IF(VALUE(VLOOKUP(D226,DM_fish!C:X,16, FALSE))&lt;VALUE(VLOOKUP(V226,imaging_filters!A:K,11, FALSE)), CONCATENATE(CHAR(34),"CamA",CHAR(34)), CONCATENATE(CHAR(34),"CamB",CHAR(34))),"}"), ""),IF(VLOOKUP(D226,DM_fish!C:X,18, FALSE)&gt;0, CONCATENATE(",{",CHAR(34),"target",CHAR(34),":",CHAR(34),VLOOKUP(D226,DM_fish!C:X,17, FALSE),CHAR(34),",", CHAR(34), "excitation",CHAR(34), ":", VLOOKUP(D226,DM_fish!C:X,18, FALSE), ",",  CHAR(34), "camera",CHAR(34), ":", IF(VALUE(VLOOKUP(D226,DM_fish!C:X,18, FALSE))&lt;VALUE(VLOOKUP(V226,imaging_filters!A:K,11, FALSE)), CONCATENATE(CHAR(34),"CamA",CHAR(34)), CONCATENATE(CHAR(34),"CamB",CHAR(34))),"}"), ""),IF(VLOOKUP(D226,DM_fish!C:X,20, FALSE)&gt;0, CONCATENATE(",{",CHAR(34),"target",CHAR(34),":",CHAR(34),VLOOKUP(D226,DM_fish!C:X,19, FALSE),CHAR(34),",", CHAR(34), "excitation",CHAR(34), ":", VLOOKUP(D226,DM_fish!C:X,20, FALSE), ",",  CHAR(34), "camera",CHAR(34), ":", IF(VALUE(VLOOKUP(D226,DM_fish!C:X,20, FALSE))&lt;VALUE(VLOOKUP(V226,imaging_filters!A:K,11, FALSE)), CONCATENATE(CHAR(34),"CamA",CHAR(34)), CONCATENATE(CHAR(34),"CamB",CHAR(34))),"}"), ""),IF(VLOOKUP(D226,DM_fish!C:X,22, FALSE)&gt;0, CONCATENATE(",{",CHAR(34),"target",CHAR(34),":",CHAR(34),VLOOKUP(D226,DM_fish!C:X,21, FALSE),CHAR(34),",", CHAR(34), "excitation",CHAR(34), ":", VLOOKUP(D226,DM_fish!C:X,22, FALSE), ",",  CHAR(34), "camera",CHAR(34), ":", IF(VALUE(VLOOKUP(D226,DM_fish!C:X,22, FALSE))&lt;VALUE(VLOOKUP(V226,imaging_filters!A:K,11, FALSE)), CONCATENATE(CHAR(34),"CamA",CHAR(34)), CONCATENATE(CHAR(34),"CamB",CHAR(34))),"}"), "")), "]"), "")</f>
        <v/>
      </c>
      <c r="X226" s="12" t="str">
        <f ca="1">IFERROR(
CONCATENATE("[", CONCATENATE(IF(VLOOKUP(C226,DM_fish!C:X,14, FALSE)&gt;0, CONCATENATE("{",CHAR(34),"target",CHAR(34),":",CHAR(34),VLOOKUP(C226,DM_fish!C:X,13, FALSE),CHAR(34),",", CHAR(34), "excitation",CHAR(34), ":", VLOOKUP(C226,DM_fish!C:X,14, FALSE), ",",  CHAR(34), "camera",CHAR(34), ":", IF(VALUE(VLOOKUP(C226,DM_fish!C:X,14, FALSE))&lt;VALUE(VLOOKUP(V226,imaging_filters!A:K,11, FALSE)), CONCATENATE(CHAR(34),"CamA",CHAR(34)), CONCATENATE(CHAR(34),"CamB",CHAR(34))),"}"), ""),IF(VLOOKUP(C226,DM_fish!C:X,16, FALSE)&gt;0, CONCATENATE(",{",CHAR(34),"target",CHAR(34),":",CHAR(34),VLOOKUP(C226,DM_fish!C:X,15, FALSE),CHAR(34),",", CHAR(34), "excitation",CHAR(34), ":", VLOOKUP(C226,DM_fish!C:X,16, FALSE), ",",  CHAR(34), "camera",CHAR(34), ":", IF(VALUE(VLOOKUP(C226,DM_fish!C:X,16, FALSE))&lt;VALUE(VLOOKUP(V226,imaging_filters!A:K,11, FALSE)), CONCATENATE(CHAR(34),"CamA",CHAR(34)), CONCATENATE(CHAR(34),"CamB",CHAR(34))),"}"), ""),IF(VLOOKUP(C226,DM_fish!C:X,18, FALSE)&gt;0, CONCATENATE(",{",CHAR(34),"target",CHAR(34),":",CHAR(34),VLOOKUP(C226,DM_fish!C:X,17, FALSE),CHAR(34),",", CHAR(34), "excitation",CHAR(34), ":", VLOOKUP(C226,DM_fish!C:X,18, FALSE), ",",  CHAR(34), "camera",CHAR(34), ":", IF(VALUE(VLOOKUP(C226,DM_fish!C:X,18, FALSE))&lt;VALUE(VLOOKUP(V226,imaging_filters!A:K,11, FALSE)), CONCATENATE(CHAR(34),"CamA",CHAR(34)), CONCATENATE(CHAR(34),"CamB",CHAR(34))),"}"), ""),IF(VLOOKUP(C226,DM_fish!C:X,20, FALSE)&gt;0, CONCATENATE(",{",CHAR(34),"target",CHAR(34),":",CHAR(34),VLOOKUP(C226,DM_fish!C:X,19, FALSE),CHAR(34),",", CHAR(34), "excitation",CHAR(34), ":", VLOOKUP(C226,DM_fish!C:X,20, FALSE), ",",  CHAR(34), "camera",CHAR(34), ":", IF(VALUE(VLOOKUP(C226,DM_fish!C:X,20, FALSE))&lt;VALUE(VLOOKUP(V226,imaging_filters!A:K,11, FALSE)), CONCATENATE(CHAR(34),"CamA",CHAR(34)), CONCATENATE(CHAR(34),"CamB",CHAR(34))),"}"), ""),IF(VLOOKUP(C226,DM_fish!C:X,22, FALSE)&gt;0, CONCATENATE(",{",CHAR(34),"target",CHAR(34),":",CHAR(34),VLOOKUP(C226,DM_fish!C:X,21, FALSE),CHAR(34),",", CHAR(34), "excitation",CHAR(34), ":", VLOOKUP(C226,DM_fish!C:X,22, FALSE), ",",  CHAR(34), "camera",CHAR(34), ":", IF(VALUE(VLOOKUP(C226,DM_fish!C:X,22, FALSE))&lt;VALUE(VLOOKUP(V226,imaging_filters!A:K,11, FALSE)), CONCATENATE(CHAR(34),"CamA",CHAR(34)), CONCATENATE(CHAR(34),"CamB",CHAR(34))),"}"), "")), "]"), "")</f>
        <v/>
      </c>
      <c r="Y226" s="11" t="str">
        <f ca="1">IFERROR(
CONCATENATE( "[",
IF(VLOOKUP(E226,Injections!B:F,3, FALSE)&gt;0, CONCATENATE( "{",CHAR(34),"target",CHAR(34),":",CHAR(34),VLOOKUP(E226,Injections!B:F,2, FALSE),CHAR(34),",", CHAR(34), "excitation",CHAR(34), ":", VLOOKUP(E226,Injections!B:F,3, FALSE), ",",  CHAR(34), "camera",CHAR(34), ":",
IF(VALUE(VLOOKUP(E226,Injections!B:F,3, FALSE))&lt;VALUE(VLOOKUP(V226,imaging_filters!A:C,2, FALSE)), CONCATENATE(CHAR(34),"CamA",CHAR(34)), CONCATENATE(CHAR(34),"CamB",CHAR(34))),"}"), ""),
IF(VLOOKUP(E226,Injections!B:F,5, FALSE)&gt;0, CONCATENATE(",{",CHAR(34),"target",CHAR(34),":",CHAR(34),VLOOKUP(E226,Injections!B:F,4, FALSE),CHAR(34),",", CHAR(34), "excitation",CHAR(34), ":", VLOOKUP(E226,Injections!B:F,5, FALSE), ",",  CHAR(34), "camera",CHAR(34), ":",
IF(VALUE(VLOOKUP(E226,Injections!B:F,5, FALSE))&lt;VALUE(VLOOKUP(V226,imaging_filters!A:C,2, FALSE)), CONCATENATE(CHAR(34),"CamA",CHAR(34)), CONCATENATE(CHAR(34),"CamB",CHAR(34))),"}"), ""),
 "]"), "[]")</f>
        <v>[]</v>
      </c>
      <c r="Z226" s="11" t="str">
        <f ca="1">IFERROR(
CONCATENATE( "[",
IF(VLOOKUP(F226,Injections!H:L,3, FALSE)&gt;0, CONCATENATE( "{",CHAR(34),"target",CHAR(34),":",CHAR(34),VLOOKUP(F226,Injections!H:L,2, FALSE),CHAR(34),",", CHAR(34), "excitation",CHAR(34), ":", VLOOKUP(F226,Injections!H:L,3, FALSE), ",",  CHAR(34), "camera",CHAR(34), ":",
IF(VALUE(VLOOKUP(F226,Injections!H:L,3, FALSE))&lt;VALUE(VLOOKUP(V226,imaging_filters!A:K,11, FALSE)), CONCATENATE(CHAR(34),"CamA",CHAR(34)), CONCATENATE(CHAR(34),"CamB",CHAR(34))),"}"), ""),
IF(VLOOKUP(F226,Injections!H:L,5, FALSE)&gt;0, CONCATENATE(",{",CHAR(34),"target",CHAR(34),":",CHAR(34),VLOOKUP(F226,Injections!H:L,4, FALSE),CHAR(34),",", CHAR(34), "excitation",CHAR(34), ":", VLOOKUP(F226,Injections!H:L,5, FALSE), ",",  CHAR(34), "camera",CHAR(34), ":",
IF(VALUE(VLOOKUP(F226,Injections!H:L,5, FALSE))&lt;VALUE(VLOOKUP(V226,imaging_filters!A:K,11, FALSE)), CONCATENATE(CHAR(34),"CamA",CHAR(34)), CONCATENATE(CHAR(34),"CamB",CHAR(34))),"}"), ""),
 "]"), "[]")</f>
        <v>[{"target":"nuclei","excitation":560,"camera":"CamB"}]</v>
      </c>
      <c r="AA226" s="11" t="s">
        <v>418</v>
      </c>
    </row>
    <row r="227" spans="1:27" ht="15.75" customHeight="1" x14ac:dyDescent="0.15">
      <c r="A227" s="7">
        <f t="shared" si="5"/>
        <v>45762</v>
      </c>
      <c r="B227" s="1"/>
      <c r="C227" s="1" t="s">
        <v>253</v>
      </c>
      <c r="D227" s="1" t="s">
        <v>253</v>
      </c>
      <c r="E227" s="1"/>
      <c r="F227" s="1" t="s">
        <v>64</v>
      </c>
      <c r="G227" s="8"/>
      <c r="H227" s="8"/>
      <c r="I227" s="8">
        <v>45761</v>
      </c>
      <c r="K227" s="1" t="s">
        <v>393</v>
      </c>
      <c r="M227" s="8">
        <v>45762</v>
      </c>
      <c r="N227" s="9">
        <v>0.54166666666666663</v>
      </c>
      <c r="O227" s="9">
        <v>0.58333333333333337</v>
      </c>
      <c r="Q227" s="1" t="s">
        <v>293</v>
      </c>
      <c r="R227" s="10" t="str">
        <f ca="1">IFERROR(__xludf.DUMMYFUNCTION("JOIN("","", SORT(UNIQUE(TOCOL({VLOOKUP(D227,DM_fish!A:B,2,FALSE),VLOOKUP(C227,DM_fish!A:B,2,FALSE), ARRAYFORMULA(VLOOKUP(SPLIT(E227, "", ""),Injections!B:G,6,FALSE)), ARRAYFORMULA(VLOOKUP(SPLIT(F227, "", ""),Injections!H:M,6,FALSE)), ARRAYFORMULA(VLOOKUP("&amp;"SPLIT(G227, "", ""),Injections!N:S,6,FALSE)), ARRAYFORMULA(VLOOKUP(SPLIT(H227, "", ""),Injections!T:Y,6,FALSE)) },3))))"),"nuclei")</f>
        <v>nuclei</v>
      </c>
      <c r="S227" s="10" t="str">
        <f ca="1">IFERROR(__xludf.DUMMYFUNCTION("IFERROR(JOIN("","", SPLIT(R227, "","", TRUE ,TRUE)), """")"),"nuclei")</f>
        <v>nuclei</v>
      </c>
      <c r="T227" s="1"/>
      <c r="V227" s="1" t="s">
        <v>203</v>
      </c>
      <c r="W227" s="12" t="str">
        <f ca="1">IFERROR(CONCATENATE("[", CONCATENATE(IF(VLOOKUP(D227,DM_fish!C:X,14, FALSE)&gt;0, CONCATENATE("{",CHAR(34),"target",CHAR(34),":",CHAR(34),VLOOKUP(D227,DM_fish!C:X,13, FALSE),CHAR(34),",", CHAR(34), "excitation",CHAR(34), ":", VLOOKUP(D227,DM_fish!C:X,14, FALSE), ",",  CHAR(34), "camera",CHAR(34), ":", IF(VALUE(VLOOKUP(D227,DM_fish!C:X,14, FALSE))&lt;VALUE(VLOOKUP(V227,imaging_filters!A:K,11, FALSE)), CONCATENATE(CHAR(34),"CamA",CHAR(34)), CONCATENATE(CHAR(34),"CamB",CHAR(34))),"}"), ""),IF(VLOOKUP(D227,DM_fish!C:X,16, FALSE)&gt;0, CONCATENATE(",{",CHAR(34),"target",CHAR(34),":",CHAR(34),VLOOKUP(D227,DM_fish!C:X,15, FALSE),CHAR(34),",", CHAR(34), "excitation",CHAR(34), ":", VLOOKUP(D227,DM_fish!C:X,16, FALSE), ",",  CHAR(34), "camera",CHAR(34), ":", IF(VALUE(VLOOKUP(D227,DM_fish!C:X,16, FALSE))&lt;VALUE(VLOOKUP(V227,imaging_filters!A:K,11, FALSE)), CONCATENATE(CHAR(34),"CamA",CHAR(34)), CONCATENATE(CHAR(34),"CamB",CHAR(34))),"}"), ""),IF(VLOOKUP(D227,DM_fish!C:X,18, FALSE)&gt;0, CONCATENATE(",{",CHAR(34),"target",CHAR(34),":",CHAR(34),VLOOKUP(D227,DM_fish!C:X,17, FALSE),CHAR(34),",", CHAR(34), "excitation",CHAR(34), ":", VLOOKUP(D227,DM_fish!C:X,18, FALSE), ",",  CHAR(34), "camera",CHAR(34), ":", IF(VALUE(VLOOKUP(D227,DM_fish!C:X,18, FALSE))&lt;VALUE(VLOOKUP(V227,imaging_filters!A:K,11, FALSE)), CONCATENATE(CHAR(34),"CamA",CHAR(34)), CONCATENATE(CHAR(34),"CamB",CHAR(34))),"}"), ""),IF(VLOOKUP(D227,DM_fish!C:X,20, FALSE)&gt;0, CONCATENATE(",{",CHAR(34),"target",CHAR(34),":",CHAR(34),VLOOKUP(D227,DM_fish!C:X,19, FALSE),CHAR(34),",", CHAR(34), "excitation",CHAR(34), ":", VLOOKUP(D227,DM_fish!C:X,20, FALSE), ",",  CHAR(34), "camera",CHAR(34), ":", IF(VALUE(VLOOKUP(D227,DM_fish!C:X,20, FALSE))&lt;VALUE(VLOOKUP(V227,imaging_filters!A:K,11, FALSE)), CONCATENATE(CHAR(34),"CamA",CHAR(34)), CONCATENATE(CHAR(34),"CamB",CHAR(34))),"}"), ""),IF(VLOOKUP(D227,DM_fish!C:X,22, FALSE)&gt;0, CONCATENATE(",{",CHAR(34),"target",CHAR(34),":",CHAR(34),VLOOKUP(D227,DM_fish!C:X,21, FALSE),CHAR(34),",", CHAR(34), "excitation",CHAR(34), ":", VLOOKUP(D227,DM_fish!C:X,22, FALSE), ",",  CHAR(34), "camera",CHAR(34), ":", IF(VALUE(VLOOKUP(D227,DM_fish!C:X,22, FALSE))&lt;VALUE(VLOOKUP(V227,imaging_filters!A:K,11, FALSE)), CONCATENATE(CHAR(34),"CamA",CHAR(34)), CONCATENATE(CHAR(34),"CamB",CHAR(34))),"}"), "")), "]"), "")</f>
        <v/>
      </c>
      <c r="X227" s="12" t="str">
        <f ca="1">IFERROR(
CONCATENATE("[", CONCATENATE(IF(VLOOKUP(C227,DM_fish!C:X,14, FALSE)&gt;0, CONCATENATE("{",CHAR(34),"target",CHAR(34),":",CHAR(34),VLOOKUP(C227,DM_fish!C:X,13, FALSE),CHAR(34),",", CHAR(34), "excitation",CHAR(34), ":", VLOOKUP(C227,DM_fish!C:X,14, FALSE), ",",  CHAR(34), "camera",CHAR(34), ":", IF(VALUE(VLOOKUP(C227,DM_fish!C:X,14, FALSE))&lt;VALUE(VLOOKUP(V227,imaging_filters!A:K,11, FALSE)), CONCATENATE(CHAR(34),"CamA",CHAR(34)), CONCATENATE(CHAR(34),"CamB",CHAR(34))),"}"), ""),IF(VLOOKUP(C227,DM_fish!C:X,16, FALSE)&gt;0, CONCATENATE(",{",CHAR(34),"target",CHAR(34),":",CHAR(34),VLOOKUP(C227,DM_fish!C:X,15, FALSE),CHAR(34),",", CHAR(34), "excitation",CHAR(34), ":", VLOOKUP(C227,DM_fish!C:X,16, FALSE), ",",  CHAR(34), "camera",CHAR(34), ":", IF(VALUE(VLOOKUP(C227,DM_fish!C:X,16, FALSE))&lt;VALUE(VLOOKUP(V227,imaging_filters!A:K,11, FALSE)), CONCATENATE(CHAR(34),"CamA",CHAR(34)), CONCATENATE(CHAR(34),"CamB",CHAR(34))),"}"), ""),IF(VLOOKUP(C227,DM_fish!C:X,18, FALSE)&gt;0, CONCATENATE(",{",CHAR(34),"target",CHAR(34),":",CHAR(34),VLOOKUP(C227,DM_fish!C:X,17, FALSE),CHAR(34),",", CHAR(34), "excitation",CHAR(34), ":", VLOOKUP(C227,DM_fish!C:X,18, FALSE), ",",  CHAR(34), "camera",CHAR(34), ":", IF(VALUE(VLOOKUP(C227,DM_fish!C:X,18, FALSE))&lt;VALUE(VLOOKUP(V227,imaging_filters!A:K,11, FALSE)), CONCATENATE(CHAR(34),"CamA",CHAR(34)), CONCATENATE(CHAR(34),"CamB",CHAR(34))),"}"), ""),IF(VLOOKUP(C227,DM_fish!C:X,20, FALSE)&gt;0, CONCATENATE(",{",CHAR(34),"target",CHAR(34),":",CHAR(34),VLOOKUP(C227,DM_fish!C:X,19, FALSE),CHAR(34),",", CHAR(34), "excitation",CHAR(34), ":", VLOOKUP(C227,DM_fish!C:X,20, FALSE), ",",  CHAR(34), "camera",CHAR(34), ":", IF(VALUE(VLOOKUP(C227,DM_fish!C:X,20, FALSE))&lt;VALUE(VLOOKUP(V227,imaging_filters!A:K,11, FALSE)), CONCATENATE(CHAR(34),"CamA",CHAR(34)), CONCATENATE(CHAR(34),"CamB",CHAR(34))),"}"), ""),IF(VLOOKUP(C227,DM_fish!C:X,22, FALSE)&gt;0, CONCATENATE(",{",CHAR(34),"target",CHAR(34),":",CHAR(34),VLOOKUP(C227,DM_fish!C:X,21, FALSE),CHAR(34),",", CHAR(34), "excitation",CHAR(34), ":", VLOOKUP(C227,DM_fish!C:X,22, FALSE), ",",  CHAR(34), "camera",CHAR(34), ":", IF(VALUE(VLOOKUP(C227,DM_fish!C:X,22, FALSE))&lt;VALUE(VLOOKUP(V227,imaging_filters!A:K,11, FALSE)), CONCATENATE(CHAR(34),"CamA",CHAR(34)), CONCATENATE(CHAR(34),"CamB",CHAR(34))),"}"), "")), "]"), "")</f>
        <v/>
      </c>
      <c r="Y227" s="11" t="str">
        <f ca="1">IFERROR(
CONCATENATE( "[",
IF(VLOOKUP(E227,Injections!B:F,3, FALSE)&gt;0, CONCATENATE( "{",CHAR(34),"target",CHAR(34),":",CHAR(34),VLOOKUP(E227,Injections!B:F,2, FALSE),CHAR(34),",", CHAR(34), "excitation",CHAR(34), ":", VLOOKUP(E227,Injections!B:F,3, FALSE), ",",  CHAR(34), "camera",CHAR(34), ":",
IF(VALUE(VLOOKUP(E227,Injections!B:F,3, FALSE))&lt;VALUE(VLOOKUP(V227,imaging_filters!A:C,2, FALSE)), CONCATENATE(CHAR(34),"CamA",CHAR(34)), CONCATENATE(CHAR(34),"CamB",CHAR(34))),"}"), ""),
IF(VLOOKUP(E227,Injections!B:F,5, FALSE)&gt;0, CONCATENATE(",{",CHAR(34),"target",CHAR(34),":",CHAR(34),VLOOKUP(E227,Injections!B:F,4, FALSE),CHAR(34),",", CHAR(34), "excitation",CHAR(34), ":", VLOOKUP(E227,Injections!B:F,5, FALSE), ",",  CHAR(34), "camera",CHAR(34), ":",
IF(VALUE(VLOOKUP(E227,Injections!B:F,5, FALSE))&lt;VALUE(VLOOKUP(V227,imaging_filters!A:C,2, FALSE)), CONCATENATE(CHAR(34),"CamA",CHAR(34)), CONCATENATE(CHAR(34),"CamB",CHAR(34))),"}"), ""),
 "]"), "[]")</f>
        <v>[]</v>
      </c>
      <c r="Z227" s="11" t="str">
        <f ca="1">IFERROR(
CONCATENATE( "[",
IF(VLOOKUP(F227,Injections!H:L,3, FALSE)&gt;0, CONCATENATE( "{",CHAR(34),"target",CHAR(34),":",CHAR(34),VLOOKUP(F227,Injections!H:L,2, FALSE),CHAR(34),",", CHAR(34), "excitation",CHAR(34), ":", VLOOKUP(F227,Injections!H:L,3, FALSE), ",",  CHAR(34), "camera",CHAR(34), ":",
IF(VALUE(VLOOKUP(F227,Injections!H:L,3, FALSE))&lt;VALUE(VLOOKUP(V227,imaging_filters!A:K,11, FALSE)), CONCATENATE(CHAR(34),"CamA",CHAR(34)), CONCATENATE(CHAR(34),"CamB",CHAR(34))),"}"), ""),
IF(VLOOKUP(F227,Injections!H:L,5, FALSE)&gt;0, CONCATENATE(",{",CHAR(34),"target",CHAR(34),":",CHAR(34),VLOOKUP(F227,Injections!H:L,4, FALSE),CHAR(34),",", CHAR(34), "excitation",CHAR(34), ":", VLOOKUP(F227,Injections!H:L,5, FALSE), ",",  CHAR(34), "camera",CHAR(34), ":",
IF(VALUE(VLOOKUP(F227,Injections!H:L,5, FALSE))&lt;VALUE(VLOOKUP(V227,imaging_filters!A:K,11, FALSE)), CONCATENATE(CHAR(34),"CamA",CHAR(34)), CONCATENATE(CHAR(34),"CamB",CHAR(34))),"}"), ""),
 "]"), "[]")</f>
        <v>[{"target":"nuclei","excitation":560,"camera":"CamB"}]</v>
      </c>
      <c r="AA227" s="11" t="s">
        <v>419</v>
      </c>
    </row>
    <row r="228" spans="1:27" ht="15.75" customHeight="1" x14ac:dyDescent="0.15">
      <c r="A228" s="7">
        <f t="shared" si="5"/>
        <v>45761</v>
      </c>
      <c r="B228" s="1"/>
      <c r="C228" s="1" t="s">
        <v>253</v>
      </c>
      <c r="D228" s="1" t="s">
        <v>253</v>
      </c>
      <c r="E228" s="1"/>
      <c r="F228" s="1" t="s">
        <v>64</v>
      </c>
      <c r="G228" s="8"/>
      <c r="H228" s="8"/>
      <c r="I228" s="8">
        <v>45758</v>
      </c>
      <c r="J228" s="16">
        <v>45761</v>
      </c>
      <c r="K228" s="1" t="s">
        <v>246</v>
      </c>
      <c r="M228" s="8">
        <v>45761</v>
      </c>
      <c r="N228" s="9">
        <v>0.5</v>
      </c>
      <c r="O228" s="9">
        <v>0.52083333333333337</v>
      </c>
      <c r="P228" s="9">
        <v>0.42708333333333331</v>
      </c>
      <c r="Q228" s="1" t="s">
        <v>415</v>
      </c>
      <c r="R228" s="10" t="str">
        <f ca="1">IFERROR(__xludf.DUMMYFUNCTION("JOIN("","", SORT(UNIQUE(TOCOL({VLOOKUP(D228,DM_fish!A:B,2,FALSE),VLOOKUP(C228,DM_fish!A:B,2,FALSE), ARRAYFORMULA(VLOOKUP(SPLIT(E228, "", ""),Injections!B:G,6,FALSE)), ARRAYFORMULA(VLOOKUP(SPLIT(F228, "", ""),Injections!H:M,6,FALSE)), ARRAYFORMULA(VLOOKUP("&amp;"SPLIT(G228, "", ""),Injections!N:S,6,FALSE)), ARRAYFORMULA(VLOOKUP(SPLIT(H228, "", ""),Injections!T:Y,6,FALSE)) },3))))"),"nuclei")</f>
        <v>nuclei</v>
      </c>
      <c r="S228" s="10" t="str">
        <f ca="1">IFERROR(__xludf.DUMMYFUNCTION("IFERROR(JOIN("","", SPLIT(R228, "","", TRUE ,TRUE)), """")"),"nuclei")</f>
        <v>nuclei</v>
      </c>
      <c r="T228" s="1" t="s">
        <v>420</v>
      </c>
      <c r="U228" s="1">
        <v>1771</v>
      </c>
      <c r="V228" s="1" t="s">
        <v>203</v>
      </c>
      <c r="W228" s="12" t="str">
        <f ca="1">IFERROR(CONCATENATE("[", CONCATENATE(IF(VLOOKUP(D228,DM_fish!C:X,14, FALSE)&gt;0, CONCATENATE("{",CHAR(34),"target",CHAR(34),":",CHAR(34),VLOOKUP(D228,DM_fish!C:X,13, FALSE),CHAR(34),",", CHAR(34), "excitation",CHAR(34), ":", VLOOKUP(D228,DM_fish!C:X,14, FALSE), ",",  CHAR(34), "camera",CHAR(34), ":", IF(VALUE(VLOOKUP(D228,DM_fish!C:X,14, FALSE))&lt;VALUE(VLOOKUP(V228,imaging_filters!A:K,11, FALSE)), CONCATENATE(CHAR(34),"CamA",CHAR(34)), CONCATENATE(CHAR(34),"CamB",CHAR(34))),"}"), ""),IF(VLOOKUP(D228,DM_fish!C:X,16, FALSE)&gt;0, CONCATENATE(",{",CHAR(34),"target",CHAR(34),":",CHAR(34),VLOOKUP(D228,DM_fish!C:X,15, FALSE),CHAR(34),",", CHAR(34), "excitation",CHAR(34), ":", VLOOKUP(D228,DM_fish!C:X,16, FALSE), ",",  CHAR(34), "camera",CHAR(34), ":", IF(VALUE(VLOOKUP(D228,DM_fish!C:X,16, FALSE))&lt;VALUE(VLOOKUP(V228,imaging_filters!A:K,11, FALSE)), CONCATENATE(CHAR(34),"CamA",CHAR(34)), CONCATENATE(CHAR(34),"CamB",CHAR(34))),"}"), ""),IF(VLOOKUP(D228,DM_fish!C:X,18, FALSE)&gt;0, CONCATENATE(",{",CHAR(34),"target",CHAR(34),":",CHAR(34),VLOOKUP(D228,DM_fish!C:X,17, FALSE),CHAR(34),",", CHAR(34), "excitation",CHAR(34), ":", VLOOKUP(D228,DM_fish!C:X,18, FALSE), ",",  CHAR(34), "camera",CHAR(34), ":", IF(VALUE(VLOOKUP(D228,DM_fish!C:X,18, FALSE))&lt;VALUE(VLOOKUP(V228,imaging_filters!A:K,11, FALSE)), CONCATENATE(CHAR(34),"CamA",CHAR(34)), CONCATENATE(CHAR(34),"CamB",CHAR(34))),"}"), ""),IF(VLOOKUP(D228,DM_fish!C:X,20, FALSE)&gt;0, CONCATENATE(",{",CHAR(34),"target",CHAR(34),":",CHAR(34),VLOOKUP(D228,DM_fish!C:X,19, FALSE),CHAR(34),",", CHAR(34), "excitation",CHAR(34), ":", VLOOKUP(D228,DM_fish!C:X,20, FALSE), ",",  CHAR(34), "camera",CHAR(34), ":", IF(VALUE(VLOOKUP(D228,DM_fish!C:X,20, FALSE))&lt;VALUE(VLOOKUP(V228,imaging_filters!A:K,11, FALSE)), CONCATENATE(CHAR(34),"CamA",CHAR(34)), CONCATENATE(CHAR(34),"CamB",CHAR(34))),"}"), ""),IF(VLOOKUP(D228,DM_fish!C:X,22, FALSE)&gt;0, CONCATENATE(",{",CHAR(34),"target",CHAR(34),":",CHAR(34),VLOOKUP(D228,DM_fish!C:X,21, FALSE),CHAR(34),",", CHAR(34), "excitation",CHAR(34), ":", VLOOKUP(D228,DM_fish!C:X,22, FALSE), ",",  CHAR(34), "camera",CHAR(34), ":", IF(VALUE(VLOOKUP(D228,DM_fish!C:X,22, FALSE))&lt;VALUE(VLOOKUP(V228,imaging_filters!A:K,11, FALSE)), CONCATENATE(CHAR(34),"CamA",CHAR(34)), CONCATENATE(CHAR(34),"CamB",CHAR(34))),"}"), "")), "]"), "")</f>
        <v/>
      </c>
      <c r="X228" s="12" t="str">
        <f ca="1">IFERROR(
CONCATENATE("[", CONCATENATE(IF(VLOOKUP(C228,DM_fish!C:X,14, FALSE)&gt;0, CONCATENATE("{",CHAR(34),"target",CHAR(34),":",CHAR(34),VLOOKUP(C228,DM_fish!C:X,13, FALSE),CHAR(34),",", CHAR(34), "excitation",CHAR(34), ":", VLOOKUP(C228,DM_fish!C:X,14, FALSE), ",",  CHAR(34), "camera",CHAR(34), ":", IF(VALUE(VLOOKUP(C228,DM_fish!C:X,14, FALSE))&lt;VALUE(VLOOKUP(V228,imaging_filters!A:K,11, FALSE)), CONCATENATE(CHAR(34),"CamA",CHAR(34)), CONCATENATE(CHAR(34),"CamB",CHAR(34))),"}"), ""),IF(VLOOKUP(C228,DM_fish!C:X,16, FALSE)&gt;0, CONCATENATE(",{",CHAR(34),"target",CHAR(34),":",CHAR(34),VLOOKUP(C228,DM_fish!C:X,15, FALSE),CHAR(34),",", CHAR(34), "excitation",CHAR(34), ":", VLOOKUP(C228,DM_fish!C:X,16, FALSE), ",",  CHAR(34), "camera",CHAR(34), ":", IF(VALUE(VLOOKUP(C228,DM_fish!C:X,16, FALSE))&lt;VALUE(VLOOKUP(V228,imaging_filters!A:K,11, FALSE)), CONCATENATE(CHAR(34),"CamA",CHAR(34)), CONCATENATE(CHAR(34),"CamB",CHAR(34))),"}"), ""),IF(VLOOKUP(C228,DM_fish!C:X,18, FALSE)&gt;0, CONCATENATE(",{",CHAR(34),"target",CHAR(34),":",CHAR(34),VLOOKUP(C228,DM_fish!C:X,17, FALSE),CHAR(34),",", CHAR(34), "excitation",CHAR(34), ":", VLOOKUP(C228,DM_fish!C:X,18, FALSE), ",",  CHAR(34), "camera",CHAR(34), ":", IF(VALUE(VLOOKUP(C228,DM_fish!C:X,18, FALSE))&lt;VALUE(VLOOKUP(V228,imaging_filters!A:K,11, FALSE)), CONCATENATE(CHAR(34),"CamA",CHAR(34)), CONCATENATE(CHAR(34),"CamB",CHAR(34))),"}"), ""),IF(VLOOKUP(C228,DM_fish!C:X,20, FALSE)&gt;0, CONCATENATE(",{",CHAR(34),"target",CHAR(34),":",CHAR(34),VLOOKUP(C228,DM_fish!C:X,19, FALSE),CHAR(34),",", CHAR(34), "excitation",CHAR(34), ":", VLOOKUP(C228,DM_fish!C:X,20, FALSE), ",",  CHAR(34), "camera",CHAR(34), ":", IF(VALUE(VLOOKUP(C228,DM_fish!C:X,20, FALSE))&lt;VALUE(VLOOKUP(V228,imaging_filters!A:K,11, FALSE)), CONCATENATE(CHAR(34),"CamA",CHAR(34)), CONCATENATE(CHAR(34),"CamB",CHAR(34))),"}"), ""),IF(VLOOKUP(C228,DM_fish!C:X,22, FALSE)&gt;0, CONCATENATE(",{",CHAR(34),"target",CHAR(34),":",CHAR(34),VLOOKUP(C228,DM_fish!C:X,21, FALSE),CHAR(34),",", CHAR(34), "excitation",CHAR(34), ":", VLOOKUP(C228,DM_fish!C:X,22, FALSE), ",",  CHAR(34), "camera",CHAR(34), ":", IF(VALUE(VLOOKUP(C228,DM_fish!C:X,22, FALSE))&lt;VALUE(VLOOKUP(V228,imaging_filters!A:K,11, FALSE)), CONCATENATE(CHAR(34),"CamA",CHAR(34)), CONCATENATE(CHAR(34),"CamB",CHAR(34))),"}"), "")), "]"), "")</f>
        <v/>
      </c>
      <c r="Y228" s="11" t="str">
        <f ca="1">IFERROR(
CONCATENATE( "[",
IF(VLOOKUP(E228,Injections!B:F,3, FALSE)&gt;0, CONCATENATE( "{",CHAR(34),"target",CHAR(34),":",CHAR(34),VLOOKUP(E228,Injections!B:F,2, FALSE),CHAR(34),",", CHAR(34), "excitation",CHAR(34), ":", VLOOKUP(E228,Injections!B:F,3, FALSE), ",",  CHAR(34), "camera",CHAR(34), ":",
IF(VALUE(VLOOKUP(E228,Injections!B:F,3, FALSE))&lt;VALUE(VLOOKUP(V228,imaging_filters!A:C,2, FALSE)), CONCATENATE(CHAR(34),"CamA",CHAR(34)), CONCATENATE(CHAR(34),"CamB",CHAR(34))),"}"), ""),
IF(VLOOKUP(E228,Injections!B:F,5, FALSE)&gt;0, CONCATENATE(",{",CHAR(34),"target",CHAR(34),":",CHAR(34),VLOOKUP(E228,Injections!B:F,4, FALSE),CHAR(34),",", CHAR(34), "excitation",CHAR(34), ":", VLOOKUP(E228,Injections!B:F,5, FALSE), ",",  CHAR(34), "camera",CHAR(34), ":",
IF(VALUE(VLOOKUP(E228,Injections!B:F,5, FALSE))&lt;VALUE(VLOOKUP(V228,imaging_filters!A:C,2, FALSE)), CONCATENATE(CHAR(34),"CamA",CHAR(34)), CONCATENATE(CHAR(34),"CamB",CHAR(34))),"}"), ""),
 "]"), "[]")</f>
        <v>[]</v>
      </c>
      <c r="Z228" s="11" t="str">
        <f ca="1">IFERROR(
CONCATENATE( "[",
IF(VLOOKUP(F228,Injections!H:L,3, FALSE)&gt;0, CONCATENATE( "{",CHAR(34),"target",CHAR(34),":",CHAR(34),VLOOKUP(F228,Injections!H:L,2, FALSE),CHAR(34),",", CHAR(34), "excitation",CHAR(34), ":", VLOOKUP(F228,Injections!H:L,3, FALSE), ",",  CHAR(34), "camera",CHAR(34), ":",
IF(VALUE(VLOOKUP(F228,Injections!H:L,3, FALSE))&lt;VALUE(VLOOKUP(V228,imaging_filters!A:K,11, FALSE)), CONCATENATE(CHAR(34),"CamA",CHAR(34)), CONCATENATE(CHAR(34),"CamB",CHAR(34))),"}"), ""),
IF(VLOOKUP(F228,Injections!H:L,5, FALSE)&gt;0, CONCATENATE(",{",CHAR(34),"target",CHAR(34),":",CHAR(34),VLOOKUP(F228,Injections!H:L,4, FALSE),CHAR(34),",", CHAR(34), "excitation",CHAR(34), ":", VLOOKUP(F228,Injections!H:L,5, FALSE), ",",  CHAR(34), "camera",CHAR(34), ":",
IF(VALUE(VLOOKUP(F228,Injections!H:L,5, FALSE))&lt;VALUE(VLOOKUP(V228,imaging_filters!A:K,11, FALSE)), CONCATENATE(CHAR(34),"CamA",CHAR(34)), CONCATENATE(CHAR(34),"CamB",CHAR(34))),"}"), ""),
 "]"), "[]")</f>
        <v>[{"target":"nuclei","excitation":560,"camera":"CamB"}]</v>
      </c>
      <c r="AA228" s="11" t="s">
        <v>421</v>
      </c>
    </row>
    <row r="229" spans="1:27" ht="15.75" customHeight="1" x14ac:dyDescent="0.15">
      <c r="A229" s="7">
        <f t="shared" si="5"/>
        <v>45758</v>
      </c>
      <c r="B229" s="1"/>
      <c r="C229" s="1" t="s">
        <v>107</v>
      </c>
      <c r="D229" s="1" t="s">
        <v>107</v>
      </c>
      <c r="E229" s="1"/>
      <c r="F229" s="1" t="s">
        <v>422</v>
      </c>
      <c r="G229" s="8"/>
      <c r="H229" s="8"/>
      <c r="I229" s="8">
        <v>45756</v>
      </c>
      <c r="J229" s="8">
        <v>45758</v>
      </c>
      <c r="K229" s="1" t="s">
        <v>246</v>
      </c>
      <c r="M229" s="8">
        <v>45758</v>
      </c>
      <c r="N229" s="9">
        <v>0.5</v>
      </c>
      <c r="O229" s="9">
        <v>0.53125</v>
      </c>
      <c r="P229" s="9">
        <v>6.9444444444444441E-3</v>
      </c>
      <c r="Q229" s="1" t="s">
        <v>423</v>
      </c>
      <c r="R229" s="10" t="str">
        <f ca="1">IFERROR(__xludf.DUMMYFUNCTION("JOIN("","", SORT(UNIQUE(TOCOL({VLOOKUP(D229,DM_fish!A:B,2,FALSE),VLOOKUP(C229,DM_fish!A:B,2,FALSE), ARRAYFORMULA(VLOOKUP(SPLIT(E229, "", ""),Injections!B:G,6,FALSE)), ARRAYFORMULA(VLOOKUP(SPLIT(F229, "", ""),Injections!H:M,6,FALSE)), ARRAYFORMULA(VLOOKUP("&amp;"SPLIT(G229, "", ""),Injections!N:S,6,FALSE)), ARRAYFORMULA(VLOOKUP(SPLIT(H229, "", ""),Injections!T:Y,6,FALSE)) },3))))"),"membrane,Mitochondria")</f>
        <v>membrane,Mitochondria</v>
      </c>
      <c r="S229" s="10" t="str">
        <f ca="1">IFERROR(__xludf.DUMMYFUNCTION("IFERROR(JOIN("","", SPLIT(R229, "","", TRUE ,TRUE)), """")"),"membrane,Mitochondria")</f>
        <v>membrane,Mitochondria</v>
      </c>
      <c r="T229" s="1" t="s">
        <v>424</v>
      </c>
      <c r="U229" s="1">
        <v>600</v>
      </c>
      <c r="V229" s="1" t="s">
        <v>203</v>
      </c>
      <c r="W229" s="12" t="str">
        <f ca="1">IFERROR(CONCATENATE("[", CONCATENATE(IF(VLOOKUP(D229,DM_fish!C:X,14, FALSE)&gt;0, CONCATENATE("{",CHAR(34),"target",CHAR(34),":",CHAR(34),VLOOKUP(D229,DM_fish!C:X,13, FALSE),CHAR(34),",", CHAR(34), "excitation",CHAR(34), ":", VLOOKUP(D229,DM_fish!C:X,14, FALSE), ",",  CHAR(34), "camera",CHAR(34), ":", IF(VALUE(VLOOKUP(D229,DM_fish!C:X,14, FALSE))&lt;VALUE(VLOOKUP(V229,imaging_filters!A:K,11, FALSE)), CONCATENATE(CHAR(34),"CamA",CHAR(34)), CONCATENATE(CHAR(34),"CamB",CHAR(34))),"}"), ""),IF(VLOOKUP(D229,DM_fish!C:X,16, FALSE)&gt;0, CONCATENATE(",{",CHAR(34),"target",CHAR(34),":",CHAR(34),VLOOKUP(D229,DM_fish!C:X,15, FALSE),CHAR(34),",", CHAR(34), "excitation",CHAR(34), ":", VLOOKUP(D229,DM_fish!C:X,16, FALSE), ",",  CHAR(34), "camera",CHAR(34), ":", IF(VALUE(VLOOKUP(D229,DM_fish!C:X,16, FALSE))&lt;VALUE(VLOOKUP(V229,imaging_filters!A:K,11, FALSE)), CONCATENATE(CHAR(34),"CamA",CHAR(34)), CONCATENATE(CHAR(34),"CamB",CHAR(34))),"}"), ""),IF(VLOOKUP(D229,DM_fish!C:X,18, FALSE)&gt;0, CONCATENATE(",{",CHAR(34),"target",CHAR(34),":",CHAR(34),VLOOKUP(D229,DM_fish!C:X,17, FALSE),CHAR(34),",", CHAR(34), "excitation",CHAR(34), ":", VLOOKUP(D229,DM_fish!C:X,18, FALSE), ",",  CHAR(34), "camera",CHAR(34), ":", IF(VALUE(VLOOKUP(D229,DM_fish!C:X,18, FALSE))&lt;VALUE(VLOOKUP(V229,imaging_filters!A:K,11, FALSE)), CONCATENATE(CHAR(34),"CamA",CHAR(34)), CONCATENATE(CHAR(34),"CamB",CHAR(34))),"}"), ""),IF(VLOOKUP(D229,DM_fish!C:X,20, FALSE)&gt;0, CONCATENATE(",{",CHAR(34),"target",CHAR(34),":",CHAR(34),VLOOKUP(D229,DM_fish!C:X,19, FALSE),CHAR(34),",", CHAR(34), "excitation",CHAR(34), ":", VLOOKUP(D229,DM_fish!C:X,20, FALSE), ",",  CHAR(34), "camera",CHAR(34), ":", IF(VALUE(VLOOKUP(D229,DM_fish!C:X,20, FALSE))&lt;VALUE(VLOOKUP(V229,imaging_filters!A:K,11, FALSE)), CONCATENATE(CHAR(34),"CamA",CHAR(34)), CONCATENATE(CHAR(34),"CamB",CHAR(34))),"}"), ""),IF(VLOOKUP(D229,DM_fish!C:X,22, FALSE)&gt;0, CONCATENATE(",{",CHAR(34),"target",CHAR(34),":",CHAR(34),VLOOKUP(D229,DM_fish!C:X,21, FALSE),CHAR(34),",", CHAR(34), "excitation",CHAR(34), ":", VLOOKUP(D229,DM_fish!C:X,22, FALSE), ",",  CHAR(34), "camera",CHAR(34), ":", IF(VALUE(VLOOKUP(D229,DM_fish!C:X,22, FALSE))&lt;VALUE(VLOOKUP(V229,imaging_filters!A:K,11, FALSE)), CONCATENATE(CHAR(34),"CamA",CHAR(34)), CONCATENATE(CHAR(34),"CamB",CHAR(34))),"}"), "")), "]"), "")</f>
        <v/>
      </c>
      <c r="X229" s="12" t="str">
        <f ca="1">IFERROR(
CONCATENATE("[", CONCATENATE(IF(VLOOKUP(C229,DM_fish!C:X,14, FALSE)&gt;0, CONCATENATE("{",CHAR(34),"target",CHAR(34),":",CHAR(34),VLOOKUP(C229,DM_fish!C:X,13, FALSE),CHAR(34),",", CHAR(34), "excitation",CHAR(34), ":", VLOOKUP(C229,DM_fish!C:X,14, FALSE), ",",  CHAR(34), "camera",CHAR(34), ":", IF(VALUE(VLOOKUP(C229,DM_fish!C:X,14, FALSE))&lt;VALUE(VLOOKUP(V229,imaging_filters!A:K,11, FALSE)), CONCATENATE(CHAR(34),"CamA",CHAR(34)), CONCATENATE(CHAR(34),"CamB",CHAR(34))),"}"), ""),IF(VLOOKUP(C229,DM_fish!C:X,16, FALSE)&gt;0, CONCATENATE(",{",CHAR(34),"target",CHAR(34),":",CHAR(34),VLOOKUP(C229,DM_fish!C:X,15, FALSE),CHAR(34),",", CHAR(34), "excitation",CHAR(34), ":", VLOOKUP(C229,DM_fish!C:X,16, FALSE), ",",  CHAR(34), "camera",CHAR(34), ":", IF(VALUE(VLOOKUP(C229,DM_fish!C:X,16, FALSE))&lt;VALUE(VLOOKUP(V229,imaging_filters!A:K,11, FALSE)), CONCATENATE(CHAR(34),"CamA",CHAR(34)), CONCATENATE(CHAR(34),"CamB",CHAR(34))),"}"), ""),IF(VLOOKUP(C229,DM_fish!C:X,18, FALSE)&gt;0, CONCATENATE(",{",CHAR(34),"target",CHAR(34),":",CHAR(34),VLOOKUP(C229,DM_fish!C:X,17, FALSE),CHAR(34),",", CHAR(34), "excitation",CHAR(34), ":", VLOOKUP(C229,DM_fish!C:X,18, FALSE), ",",  CHAR(34), "camera",CHAR(34), ":", IF(VALUE(VLOOKUP(C229,DM_fish!C:X,18, FALSE))&lt;VALUE(VLOOKUP(V229,imaging_filters!A:K,11, FALSE)), CONCATENATE(CHAR(34),"CamA",CHAR(34)), CONCATENATE(CHAR(34),"CamB",CHAR(34))),"}"), ""),IF(VLOOKUP(C229,DM_fish!C:X,20, FALSE)&gt;0, CONCATENATE(",{",CHAR(34),"target",CHAR(34),":",CHAR(34),VLOOKUP(C229,DM_fish!C:X,19, FALSE),CHAR(34),",", CHAR(34), "excitation",CHAR(34), ":", VLOOKUP(C229,DM_fish!C:X,20, FALSE), ",",  CHAR(34), "camera",CHAR(34), ":", IF(VALUE(VLOOKUP(C229,DM_fish!C:X,20, FALSE))&lt;VALUE(VLOOKUP(V229,imaging_filters!A:K,11, FALSE)), CONCATENATE(CHAR(34),"CamA",CHAR(34)), CONCATENATE(CHAR(34),"CamB",CHAR(34))),"}"), ""),IF(VLOOKUP(C229,DM_fish!C:X,22, FALSE)&gt;0, CONCATENATE(",{",CHAR(34),"target",CHAR(34),":",CHAR(34),VLOOKUP(C229,DM_fish!C:X,21, FALSE),CHAR(34),",", CHAR(34), "excitation",CHAR(34), ":", VLOOKUP(C229,DM_fish!C:X,22, FALSE), ",",  CHAR(34), "camera",CHAR(34), ":", IF(VALUE(VLOOKUP(C229,DM_fish!C:X,22, FALSE))&lt;VALUE(VLOOKUP(V229,imaging_filters!A:K,11, FALSE)), CONCATENATE(CHAR(34),"CamA",CHAR(34)), CONCATENATE(CHAR(34),"CamB",CHAR(34))),"}"), "")), "]"), "")</f>
        <v/>
      </c>
      <c r="Y229" s="11" t="str">
        <f ca="1">IFERROR(
CONCATENATE( "[",
IF(VLOOKUP(E229,Injections!B:F,3, FALSE)&gt;0, CONCATENATE( "{",CHAR(34),"target",CHAR(34),":",CHAR(34),VLOOKUP(E229,Injections!B:F,2, FALSE),CHAR(34),",", CHAR(34), "excitation",CHAR(34), ":", VLOOKUP(E229,Injections!B:F,3, FALSE), ",",  CHAR(34), "camera",CHAR(34), ":",
IF(VALUE(VLOOKUP(E229,Injections!B:F,3, FALSE))&lt;VALUE(VLOOKUP(V229,imaging_filters!A:C,2, FALSE)), CONCATENATE(CHAR(34),"CamA",CHAR(34)), CONCATENATE(CHAR(34),"CamB",CHAR(34))),"}"), ""),
IF(VLOOKUP(E229,Injections!B:F,5, FALSE)&gt;0, CONCATENATE(",{",CHAR(34),"target",CHAR(34),":",CHAR(34),VLOOKUP(E229,Injections!B:F,4, FALSE),CHAR(34),",", CHAR(34), "excitation",CHAR(34), ":", VLOOKUP(E229,Injections!B:F,5, FALSE), ",",  CHAR(34), "camera",CHAR(34), ":",
IF(VALUE(VLOOKUP(E229,Injections!B:F,5, FALSE))&lt;VALUE(VLOOKUP(V229,imaging_filters!A:C,2, FALSE)), CONCATENATE(CHAR(34),"CamA",CHAR(34)), CONCATENATE(CHAR(34),"CamB",CHAR(34))),"}"), ""),
 "]"), "[]")</f>
        <v>[]</v>
      </c>
      <c r="Z229" s="11" t="str">
        <f ca="1">IFERROR(
CONCATENATE( "[",
IF(VLOOKUP(F229,Injections!H:L,3, FALSE)&gt;0, CONCATENATE( "{",CHAR(34),"target",CHAR(34),":",CHAR(34),VLOOKUP(F229,Injections!H:L,2, FALSE),CHAR(34),",", CHAR(34), "excitation",CHAR(34), ":", VLOOKUP(F229,Injections!H:L,3, FALSE), ",",  CHAR(34), "camera",CHAR(34), ":",
IF(VALUE(VLOOKUP(F229,Injections!H:L,3, FALSE))&lt;VALUE(VLOOKUP(V229,imaging_filters!A:K,11, FALSE)), CONCATENATE(CHAR(34),"CamA",CHAR(34)), CONCATENATE(CHAR(34),"CamB",CHAR(34))),"}"), ""),
IF(VLOOKUP(F229,Injections!H:L,5, FALSE)&gt;0, CONCATENATE(",{",CHAR(34),"target",CHAR(34),":",CHAR(34),VLOOKUP(F229,Injections!H:L,4, FALSE),CHAR(34),",", CHAR(34), "excitation",CHAR(34), ":", VLOOKUP(F229,Injections!H:L,5, FALSE), ",",  CHAR(34), "camera",CHAR(34), ":",
IF(VALUE(VLOOKUP(F229,Injections!H:L,5, FALSE))&lt;VALUE(VLOOKUP(V229,imaging_filters!A:K,11, FALSE)), CONCATENATE(CHAR(34),"CamA",CHAR(34)), CONCATENATE(CHAR(34),"CamB",CHAR(34))),"}"), ""),
 "]"), "[]")</f>
        <v>[]</v>
      </c>
      <c r="AA229" s="11" t="s">
        <v>425</v>
      </c>
    </row>
    <row r="230" spans="1:27" ht="15.75" customHeight="1" x14ac:dyDescent="0.15">
      <c r="A230" s="7">
        <f t="shared" si="5"/>
        <v>45757</v>
      </c>
      <c r="B230" s="1"/>
      <c r="C230" s="1" t="s">
        <v>107</v>
      </c>
      <c r="D230" s="1" t="s">
        <v>107</v>
      </c>
      <c r="E230" s="1"/>
      <c r="F230" s="1" t="s">
        <v>426</v>
      </c>
      <c r="G230" s="8"/>
      <c r="H230" s="8"/>
      <c r="I230" s="8">
        <v>45756</v>
      </c>
      <c r="J230" s="8">
        <v>45757</v>
      </c>
      <c r="K230" s="1" t="s">
        <v>34</v>
      </c>
      <c r="M230" s="8">
        <v>45757</v>
      </c>
      <c r="N230" s="9">
        <v>0.54166666666666663</v>
      </c>
      <c r="O230" s="9">
        <v>0.58333333333333337</v>
      </c>
      <c r="P230" s="9">
        <v>0.70833333333333337</v>
      </c>
      <c r="Q230" s="1" t="s">
        <v>423</v>
      </c>
      <c r="R230" s="10" t="str">
        <f ca="1">IFERROR(__xludf.DUMMYFUNCTION("JOIN("","", SORT(UNIQUE(TOCOL({VLOOKUP(#REF!,DM_fish!A:B,2,FALSE),VLOOKUP(C230,DM_fish!A:B,2,FALSE), ARRAYFORMULA(VLOOKUP(SPLIT(E230, "", ""),Injections!B:G,6,FALSE)), ARRAYFORMULA(VLOOKUP(SPLIT(F230, "", ""),Injections!H:M,6,FALSE)), ARRAYFORMULA(VLOOKUP"&amp;"(SPLIT(G230, "", ""),Injections!N:S,6,FALSE)), ARRAYFORMULA(VLOOKUP(SPLIT(H230, "", ""),Injections!T:Y,6,FALSE)) },3))))"),"Lysosomes,membrane")</f>
        <v>Lysosomes,membrane</v>
      </c>
      <c r="S230" s="10" t="str">
        <f ca="1">IFERROR(__xludf.DUMMYFUNCTION("IFERROR(JOIN("","", SPLIT(R230, "","", TRUE ,TRUE)), """")"),"Lysosomes,membrane")</f>
        <v>Lysosomes,membrane</v>
      </c>
      <c r="T230" s="1" t="s">
        <v>427</v>
      </c>
      <c r="V230" s="1" t="s">
        <v>203</v>
      </c>
      <c r="W230" s="12" t="str">
        <f ca="1">IFERROR(CONCATENATE("[", CONCATENATE(IF(VLOOKUP(D230,DM_fish!C:X,14, FALSE)&gt;0, CONCATENATE("{",CHAR(34),"target",CHAR(34),":",CHAR(34),VLOOKUP(D230,DM_fish!C:X,13, FALSE),CHAR(34),",", CHAR(34), "excitation",CHAR(34), ":", VLOOKUP(D230,DM_fish!C:X,14, FALSE), ",",  CHAR(34), "camera",CHAR(34), ":", IF(VALUE(VLOOKUP(D230,DM_fish!C:X,14, FALSE))&lt;VALUE(VLOOKUP(V230,imaging_filters!A:K,11, FALSE)), CONCATENATE(CHAR(34),"CamA",CHAR(34)), CONCATENATE(CHAR(34),"CamB",CHAR(34))),"}"), ""),IF(VLOOKUP(D230,DM_fish!C:X,16, FALSE)&gt;0, CONCATENATE(",{",CHAR(34),"target",CHAR(34),":",CHAR(34),VLOOKUP(D230,DM_fish!C:X,15, FALSE),CHAR(34),",", CHAR(34), "excitation",CHAR(34), ":", VLOOKUP(D230,DM_fish!C:X,16, FALSE), ",",  CHAR(34), "camera",CHAR(34), ":", IF(VALUE(VLOOKUP(D230,DM_fish!C:X,16, FALSE))&lt;VALUE(VLOOKUP(V230,imaging_filters!A:K,11, FALSE)), CONCATENATE(CHAR(34),"CamA",CHAR(34)), CONCATENATE(CHAR(34),"CamB",CHAR(34))),"}"), ""),IF(VLOOKUP(D230,DM_fish!C:X,18, FALSE)&gt;0, CONCATENATE(",{",CHAR(34),"target",CHAR(34),":",CHAR(34),VLOOKUP(D230,DM_fish!C:X,17, FALSE),CHAR(34),",", CHAR(34), "excitation",CHAR(34), ":", VLOOKUP(D230,DM_fish!C:X,18, FALSE), ",",  CHAR(34), "camera",CHAR(34), ":", IF(VALUE(VLOOKUP(D230,DM_fish!C:X,18, FALSE))&lt;VALUE(VLOOKUP(V230,imaging_filters!A:K,11, FALSE)), CONCATENATE(CHAR(34),"CamA",CHAR(34)), CONCATENATE(CHAR(34),"CamB",CHAR(34))),"}"), ""),IF(VLOOKUP(D230,DM_fish!C:X,20, FALSE)&gt;0, CONCATENATE(",{",CHAR(34),"target",CHAR(34),":",CHAR(34),VLOOKUP(D230,DM_fish!C:X,19, FALSE),CHAR(34),",", CHAR(34), "excitation",CHAR(34), ":", VLOOKUP(D230,DM_fish!C:X,20, FALSE), ",",  CHAR(34), "camera",CHAR(34), ":", IF(VALUE(VLOOKUP(D230,DM_fish!C:X,20, FALSE))&lt;VALUE(VLOOKUP(V230,imaging_filters!A:K,11, FALSE)), CONCATENATE(CHAR(34),"CamA",CHAR(34)), CONCATENATE(CHAR(34),"CamB",CHAR(34))),"}"), ""),IF(VLOOKUP(D230,DM_fish!C:X,22, FALSE)&gt;0, CONCATENATE(",{",CHAR(34),"target",CHAR(34),":",CHAR(34),VLOOKUP(D230,DM_fish!C:X,21, FALSE),CHAR(34),",", CHAR(34), "excitation",CHAR(34), ":", VLOOKUP(D230,DM_fish!C:X,22, FALSE), ",",  CHAR(34), "camera",CHAR(34), ":", IF(VALUE(VLOOKUP(D230,DM_fish!C:X,22, FALSE))&lt;VALUE(VLOOKUP(V230,imaging_filters!A:K,11, FALSE)), CONCATENATE(CHAR(34),"CamA",CHAR(34)), CONCATENATE(CHAR(34),"CamB",CHAR(34))),"}"), "")), "]"), "")</f>
        <v/>
      </c>
      <c r="X230" s="12" t="str">
        <f ca="1">IFERROR(
CONCATENATE("[", CONCATENATE(IF(VLOOKUP(C230,DM_fish!C:X,14, FALSE)&gt;0, CONCATENATE("{",CHAR(34),"target",CHAR(34),":",CHAR(34),VLOOKUP(C230,DM_fish!C:X,13, FALSE),CHAR(34),",", CHAR(34), "excitation",CHAR(34), ":", VLOOKUP(C230,DM_fish!C:X,14, FALSE), ",",  CHAR(34), "camera",CHAR(34), ":", IF(VALUE(VLOOKUP(C230,DM_fish!C:X,14, FALSE))&lt;VALUE(VLOOKUP(V230,imaging_filters!A:K,11, FALSE)), CONCATENATE(CHAR(34),"CamA",CHAR(34)), CONCATENATE(CHAR(34),"CamB",CHAR(34))),"}"), ""),IF(VLOOKUP(C230,DM_fish!C:X,16, FALSE)&gt;0, CONCATENATE(",{",CHAR(34),"target",CHAR(34),":",CHAR(34),VLOOKUP(C230,DM_fish!C:X,15, FALSE),CHAR(34),",", CHAR(34), "excitation",CHAR(34), ":", VLOOKUP(C230,DM_fish!C:X,16, FALSE), ",",  CHAR(34), "camera",CHAR(34), ":", IF(VALUE(VLOOKUP(C230,DM_fish!C:X,16, FALSE))&lt;VALUE(VLOOKUP(V230,imaging_filters!A:K,11, FALSE)), CONCATENATE(CHAR(34),"CamA",CHAR(34)), CONCATENATE(CHAR(34),"CamB",CHAR(34))),"}"), ""),IF(VLOOKUP(C230,DM_fish!C:X,18, FALSE)&gt;0, CONCATENATE(",{",CHAR(34),"target",CHAR(34),":",CHAR(34),VLOOKUP(C230,DM_fish!C:X,17, FALSE),CHAR(34),",", CHAR(34), "excitation",CHAR(34), ":", VLOOKUP(C230,DM_fish!C:X,18, FALSE), ",",  CHAR(34), "camera",CHAR(34), ":", IF(VALUE(VLOOKUP(C230,DM_fish!C:X,18, FALSE))&lt;VALUE(VLOOKUP(V230,imaging_filters!A:K,11, FALSE)), CONCATENATE(CHAR(34),"CamA",CHAR(34)), CONCATENATE(CHAR(34),"CamB",CHAR(34))),"}"), ""),IF(VLOOKUP(C230,DM_fish!C:X,20, FALSE)&gt;0, CONCATENATE(",{",CHAR(34),"target",CHAR(34),":",CHAR(34),VLOOKUP(C230,DM_fish!C:X,19, FALSE),CHAR(34),",", CHAR(34), "excitation",CHAR(34), ":", VLOOKUP(C230,DM_fish!C:X,20, FALSE), ",",  CHAR(34), "camera",CHAR(34), ":", IF(VALUE(VLOOKUP(C230,DM_fish!C:X,20, FALSE))&lt;VALUE(VLOOKUP(V230,imaging_filters!A:K,11, FALSE)), CONCATENATE(CHAR(34),"CamA",CHAR(34)), CONCATENATE(CHAR(34),"CamB",CHAR(34))),"}"), ""),IF(VLOOKUP(C230,DM_fish!C:X,22, FALSE)&gt;0, CONCATENATE(",{",CHAR(34),"target",CHAR(34),":",CHAR(34),VLOOKUP(C230,DM_fish!C:X,21, FALSE),CHAR(34),",", CHAR(34), "excitation",CHAR(34), ":", VLOOKUP(C230,DM_fish!C:X,22, FALSE), ",",  CHAR(34), "camera",CHAR(34), ":", IF(VALUE(VLOOKUP(C230,DM_fish!C:X,22, FALSE))&lt;VALUE(VLOOKUP(V230,imaging_filters!A:K,11, FALSE)), CONCATENATE(CHAR(34),"CamA",CHAR(34)), CONCATENATE(CHAR(34),"CamB",CHAR(34))),"}"), "")), "]"), "")</f>
        <v/>
      </c>
      <c r="Y230" s="11" t="str">
        <f ca="1">IFERROR(
CONCATENATE( "[",
IF(VLOOKUP(E230,Injections!B:F,3, FALSE)&gt;0, CONCATENATE( "{",CHAR(34),"target",CHAR(34),":",CHAR(34),VLOOKUP(E230,Injections!B:F,2, FALSE),CHAR(34),",", CHAR(34), "excitation",CHAR(34), ":", VLOOKUP(E230,Injections!B:F,3, FALSE), ",",  CHAR(34), "camera",CHAR(34), ":",
IF(VALUE(VLOOKUP(E230,Injections!B:F,3, FALSE))&lt;VALUE(VLOOKUP(V230,imaging_filters!A:C,2, FALSE)), CONCATENATE(CHAR(34),"CamA",CHAR(34)), CONCATENATE(CHAR(34),"CamB",CHAR(34))),"}"), ""),
IF(VLOOKUP(E230,Injections!B:F,5, FALSE)&gt;0, CONCATENATE(",{",CHAR(34),"target",CHAR(34),":",CHAR(34),VLOOKUP(E230,Injections!B:F,4, FALSE),CHAR(34),",", CHAR(34), "excitation",CHAR(34), ":", VLOOKUP(E230,Injections!B:F,5, FALSE), ",",  CHAR(34), "camera",CHAR(34), ":",
IF(VALUE(VLOOKUP(E230,Injections!B:F,5, FALSE))&lt;VALUE(VLOOKUP(V230,imaging_filters!A:C,2, FALSE)), CONCATENATE(CHAR(34),"CamA",CHAR(34)), CONCATENATE(CHAR(34),"CamB",CHAR(34))),"}"), ""),
 "]"), "[]")</f>
        <v>[]</v>
      </c>
      <c r="Z230" s="11" t="str">
        <f ca="1">IFERROR(
CONCATENATE( "[",
IF(VLOOKUP(F230,Injections!H:L,3, FALSE)&gt;0, CONCATENATE( "{",CHAR(34),"target",CHAR(34),":",CHAR(34),VLOOKUP(F230,Injections!H:L,2, FALSE),CHAR(34),",", CHAR(34), "excitation",CHAR(34), ":", VLOOKUP(F230,Injections!H:L,3, FALSE), ",",  CHAR(34), "camera",CHAR(34), ":",
IF(VALUE(VLOOKUP(F230,Injections!H:L,3, FALSE))&lt;VALUE(VLOOKUP(V230,imaging_filters!A:K,11, FALSE)), CONCATENATE(CHAR(34),"CamA",CHAR(34)), CONCATENATE(CHAR(34),"CamB",CHAR(34))),"}"), ""),
IF(VLOOKUP(F230,Injections!H:L,5, FALSE)&gt;0, CONCATENATE(",{",CHAR(34),"target",CHAR(34),":",CHAR(34),VLOOKUP(F230,Injections!H:L,4, FALSE),CHAR(34),",", CHAR(34), "excitation",CHAR(34), ":", VLOOKUP(F230,Injections!H:L,5, FALSE), ",",  CHAR(34), "camera",CHAR(34), ":",
IF(VALUE(VLOOKUP(F230,Injections!H:L,5, FALSE))&lt;VALUE(VLOOKUP(V230,imaging_filters!A:K,11, FALSE)), CONCATENATE(CHAR(34),"CamA",CHAR(34)), CONCATENATE(CHAR(34),"CamB",CHAR(34))),"}"), ""),
 "]"), "[]")</f>
        <v>[]</v>
      </c>
      <c r="AA230" s="1" t="s">
        <v>428</v>
      </c>
    </row>
    <row r="231" spans="1:27" ht="15.75" customHeight="1" x14ac:dyDescent="0.15">
      <c r="A231" s="7">
        <f t="shared" si="5"/>
        <v>45755</v>
      </c>
      <c r="B231" s="1"/>
      <c r="C231" s="1" t="s">
        <v>107</v>
      </c>
      <c r="D231" s="1" t="s">
        <v>107</v>
      </c>
      <c r="E231" s="1"/>
      <c r="F231" s="1" t="s">
        <v>426</v>
      </c>
      <c r="G231" s="8"/>
      <c r="H231" s="8"/>
      <c r="I231" s="8"/>
      <c r="K231" s="1" t="s">
        <v>34</v>
      </c>
      <c r="M231" s="8">
        <v>45755</v>
      </c>
      <c r="N231" s="9">
        <v>0.58333333333333337</v>
      </c>
      <c r="O231" s="9">
        <v>0.60416666666666663</v>
      </c>
      <c r="P231" s="9">
        <v>0.77083333333333337</v>
      </c>
      <c r="Q231" s="1" t="s">
        <v>167</v>
      </c>
      <c r="R231" s="10" t="str">
        <f ca="1">IFERROR(__xludf.DUMMYFUNCTION("JOIN("","", SORT(UNIQUE(TOCOL({VLOOKUP(D233,DM_fish!A:B,2,FALSE),VLOOKUP(C231,DM_fish!A:B,2,FALSE), ARRAYFORMULA(VLOOKUP(SPLIT(E231, "", ""),Injections!B:G,6,FALSE)), ARRAYFORMULA(VLOOKUP(SPLIT(F231, "", ""),Injections!H:M,6,FALSE)), ARRAYFORMULA(VLOOKUP("&amp;"SPLIT(G231, "", ""),Injections!N:S,6,FALSE)), ARRAYFORMULA(VLOOKUP(SPLIT(H231, "", ""),Injections!T:Y,6,FALSE)) },3))))"),"csp,male C - ~10% frequency exorH:GFP (+) embryos,405,445,Lysosomes,membrane")</f>
        <v>csp,male C - ~10% frequency exorH:GFP (+) embryos,405,445,Lysosomes,membrane</v>
      </c>
      <c r="S231" s="10" t="str">
        <f ca="1">IFERROR(__xludf.DUMMYFUNCTION("IFERROR(JOIN("","", SPLIT(R231, "","", TRUE ,TRUE)), """")"),"csp,male C - ~10% frequency exorH:GFP (+) embryos,405,445,Lysosomes,membrane")</f>
        <v>csp,male C - ~10% frequency exorH:GFP (+) embryos,405,445,Lysosomes,membrane</v>
      </c>
      <c r="T231" s="1"/>
      <c r="V231" s="1" t="s">
        <v>203</v>
      </c>
      <c r="W231" s="12" t="str">
        <f ca="1">IFERROR(CONCATENATE("[", CONCATENATE(IF(VLOOKUP(D231,DM_fish!C:X,14, FALSE)&gt;0, CONCATENATE("{",CHAR(34),"target",CHAR(34),":",CHAR(34),VLOOKUP(D231,DM_fish!C:X,13, FALSE),CHAR(34),",", CHAR(34), "excitation",CHAR(34), ":", VLOOKUP(D231,DM_fish!C:X,14, FALSE), ",",  CHAR(34), "camera",CHAR(34), ":", IF(VALUE(VLOOKUP(D231,DM_fish!C:X,14, FALSE))&lt;VALUE(VLOOKUP(V231,imaging_filters!A:K,11, FALSE)), CONCATENATE(CHAR(34),"CamA",CHAR(34)), CONCATENATE(CHAR(34),"CamB",CHAR(34))),"}"), ""),IF(VLOOKUP(D231,DM_fish!C:X,16, FALSE)&gt;0, CONCATENATE(",{",CHAR(34),"target",CHAR(34),":",CHAR(34),VLOOKUP(D231,DM_fish!C:X,15, FALSE),CHAR(34),",", CHAR(34), "excitation",CHAR(34), ":", VLOOKUP(D231,DM_fish!C:X,16, FALSE), ",",  CHAR(34), "camera",CHAR(34), ":", IF(VALUE(VLOOKUP(D231,DM_fish!C:X,16, FALSE))&lt;VALUE(VLOOKUP(V231,imaging_filters!A:K,11, FALSE)), CONCATENATE(CHAR(34),"CamA",CHAR(34)), CONCATENATE(CHAR(34),"CamB",CHAR(34))),"}"), ""),IF(VLOOKUP(D231,DM_fish!C:X,18, FALSE)&gt;0, CONCATENATE(",{",CHAR(34),"target",CHAR(34),":",CHAR(34),VLOOKUP(D231,DM_fish!C:X,17, FALSE),CHAR(34),",", CHAR(34), "excitation",CHAR(34), ":", VLOOKUP(D231,DM_fish!C:X,18, FALSE), ",",  CHAR(34), "camera",CHAR(34), ":", IF(VALUE(VLOOKUP(D231,DM_fish!C:X,18, FALSE))&lt;VALUE(VLOOKUP(V231,imaging_filters!A:K,11, FALSE)), CONCATENATE(CHAR(34),"CamA",CHAR(34)), CONCATENATE(CHAR(34),"CamB",CHAR(34))),"}"), ""),IF(VLOOKUP(D231,DM_fish!C:X,20, FALSE)&gt;0, CONCATENATE(",{",CHAR(34),"target",CHAR(34),":",CHAR(34),VLOOKUP(D231,DM_fish!C:X,19, FALSE),CHAR(34),",", CHAR(34), "excitation",CHAR(34), ":", VLOOKUP(D231,DM_fish!C:X,20, FALSE), ",",  CHAR(34), "camera",CHAR(34), ":", IF(VALUE(VLOOKUP(D231,DM_fish!C:X,20, FALSE))&lt;VALUE(VLOOKUP(V231,imaging_filters!A:K,11, FALSE)), CONCATENATE(CHAR(34),"CamA",CHAR(34)), CONCATENATE(CHAR(34),"CamB",CHAR(34))),"}"), ""),IF(VLOOKUP(D231,DM_fish!C:X,22, FALSE)&gt;0, CONCATENATE(",{",CHAR(34),"target",CHAR(34),":",CHAR(34),VLOOKUP(D231,DM_fish!C:X,21, FALSE),CHAR(34),",", CHAR(34), "excitation",CHAR(34), ":", VLOOKUP(D231,DM_fish!C:X,22, FALSE), ",",  CHAR(34), "camera",CHAR(34), ":", IF(VALUE(VLOOKUP(D231,DM_fish!C:X,22, FALSE))&lt;VALUE(VLOOKUP(V231,imaging_filters!A:K,11, FALSE)), CONCATENATE(CHAR(34),"CamA",CHAR(34)), CONCATENATE(CHAR(34),"CamB",CHAR(34))),"}"), "")), "]"), "")</f>
        <v/>
      </c>
      <c r="X231" s="12" t="str">
        <f ca="1">IFERROR(
CONCATENATE("[", CONCATENATE(IF(VLOOKUP(C231,DM_fish!C:X,14, FALSE)&gt;0, CONCATENATE("{",CHAR(34),"target",CHAR(34),":",CHAR(34),VLOOKUP(C231,DM_fish!C:X,13, FALSE),CHAR(34),",", CHAR(34), "excitation",CHAR(34), ":", VLOOKUP(C231,DM_fish!C:X,14, FALSE), ",",  CHAR(34), "camera",CHAR(34), ":", IF(VALUE(VLOOKUP(C231,DM_fish!C:X,14, FALSE))&lt;VALUE(VLOOKUP(V231,imaging_filters!A:K,11, FALSE)), CONCATENATE(CHAR(34),"CamA",CHAR(34)), CONCATENATE(CHAR(34),"CamB",CHAR(34))),"}"), ""),IF(VLOOKUP(C231,DM_fish!C:X,16, FALSE)&gt;0, CONCATENATE(",{",CHAR(34),"target",CHAR(34),":",CHAR(34),VLOOKUP(C231,DM_fish!C:X,15, FALSE),CHAR(34),",", CHAR(34), "excitation",CHAR(34), ":", VLOOKUP(C231,DM_fish!C:X,16, FALSE), ",",  CHAR(34), "camera",CHAR(34), ":", IF(VALUE(VLOOKUP(C231,DM_fish!C:X,16, FALSE))&lt;VALUE(VLOOKUP(V231,imaging_filters!A:K,11, FALSE)), CONCATENATE(CHAR(34),"CamA",CHAR(34)), CONCATENATE(CHAR(34),"CamB",CHAR(34))),"}"), ""),IF(VLOOKUP(C231,DM_fish!C:X,18, FALSE)&gt;0, CONCATENATE(",{",CHAR(34),"target",CHAR(34),":",CHAR(34),VLOOKUP(C231,DM_fish!C:X,17, FALSE),CHAR(34),",", CHAR(34), "excitation",CHAR(34), ":", VLOOKUP(C231,DM_fish!C:X,18, FALSE), ",",  CHAR(34), "camera",CHAR(34), ":", IF(VALUE(VLOOKUP(C231,DM_fish!C:X,18, FALSE))&lt;VALUE(VLOOKUP(V231,imaging_filters!A:K,11, FALSE)), CONCATENATE(CHAR(34),"CamA",CHAR(34)), CONCATENATE(CHAR(34),"CamB",CHAR(34))),"}"), ""),IF(VLOOKUP(C231,DM_fish!C:X,20, FALSE)&gt;0, CONCATENATE(",{",CHAR(34),"target",CHAR(34),":",CHAR(34),VLOOKUP(C231,DM_fish!C:X,19, FALSE),CHAR(34),",", CHAR(34), "excitation",CHAR(34), ":", VLOOKUP(C231,DM_fish!C:X,20, FALSE), ",",  CHAR(34), "camera",CHAR(34), ":", IF(VALUE(VLOOKUP(C231,DM_fish!C:X,20, FALSE))&lt;VALUE(VLOOKUP(V231,imaging_filters!A:K,11, FALSE)), CONCATENATE(CHAR(34),"CamA",CHAR(34)), CONCATENATE(CHAR(34),"CamB",CHAR(34))),"}"), ""),IF(VLOOKUP(C231,DM_fish!C:X,22, FALSE)&gt;0, CONCATENATE(",{",CHAR(34),"target",CHAR(34),":",CHAR(34),VLOOKUP(C231,DM_fish!C:X,21, FALSE),CHAR(34),",", CHAR(34), "excitation",CHAR(34), ":", VLOOKUP(C231,DM_fish!C:X,22, FALSE), ",",  CHAR(34), "camera",CHAR(34), ":", IF(VALUE(VLOOKUP(C231,DM_fish!C:X,22, FALSE))&lt;VALUE(VLOOKUP(V231,imaging_filters!A:K,11, FALSE)), CONCATENATE(CHAR(34),"CamA",CHAR(34)), CONCATENATE(CHAR(34),"CamB",CHAR(34))),"}"), "")), "]"), "")</f>
        <v/>
      </c>
      <c r="Y231" s="11" t="str">
        <f ca="1">IFERROR(
CONCATENATE( "[",
IF(VLOOKUP(E231,Injections!B:F,3, FALSE)&gt;0, CONCATENATE( "{",CHAR(34),"target",CHAR(34),":",CHAR(34),VLOOKUP(E231,Injections!B:F,2, FALSE),CHAR(34),",", CHAR(34), "excitation",CHAR(34), ":", VLOOKUP(E231,Injections!B:F,3, FALSE), ",",  CHAR(34), "camera",CHAR(34), ":",
IF(VALUE(VLOOKUP(E231,Injections!B:F,3, FALSE))&lt;VALUE(VLOOKUP(V231,imaging_filters!A:C,2, FALSE)), CONCATENATE(CHAR(34),"CamA",CHAR(34)), CONCATENATE(CHAR(34),"CamB",CHAR(34))),"}"), ""),
IF(VLOOKUP(E231,Injections!B:F,5, FALSE)&gt;0, CONCATENATE(",{",CHAR(34),"target",CHAR(34),":",CHAR(34),VLOOKUP(E231,Injections!B:F,4, FALSE),CHAR(34),",", CHAR(34), "excitation",CHAR(34), ":", VLOOKUP(E231,Injections!B:F,5, FALSE), ",",  CHAR(34), "camera",CHAR(34), ":",
IF(VALUE(VLOOKUP(E231,Injections!B:F,5, FALSE))&lt;VALUE(VLOOKUP(V231,imaging_filters!A:C,2, FALSE)), CONCATENATE(CHAR(34),"CamA",CHAR(34)), CONCATENATE(CHAR(34),"CamB",CHAR(34))),"}"), ""),
 "]"), "[]")</f>
        <v>[]</v>
      </c>
      <c r="Z231" s="11" t="str">
        <f ca="1">IFERROR(
CONCATENATE( "[",
IF(VLOOKUP(F231,Injections!H:L,3, FALSE)&gt;0, CONCATENATE( "{",CHAR(34),"target",CHAR(34),":",CHAR(34),VLOOKUP(F231,Injections!H:L,2, FALSE),CHAR(34),",", CHAR(34), "excitation",CHAR(34), ":", VLOOKUP(F231,Injections!H:L,3, FALSE), ",",  CHAR(34), "camera",CHAR(34), ":",
IF(VALUE(VLOOKUP(F231,Injections!H:L,3, FALSE))&lt;VALUE(VLOOKUP(V231,imaging_filters!A:K,11, FALSE)), CONCATENATE(CHAR(34),"CamA",CHAR(34)), CONCATENATE(CHAR(34),"CamB",CHAR(34))),"}"), ""),
IF(VLOOKUP(F231,Injections!H:L,5, FALSE)&gt;0, CONCATENATE(",{",CHAR(34),"target",CHAR(34),":",CHAR(34),VLOOKUP(F231,Injections!H:L,4, FALSE),CHAR(34),",", CHAR(34), "excitation",CHAR(34), ":", VLOOKUP(F231,Injections!H:L,5, FALSE), ",",  CHAR(34), "camera",CHAR(34), ":",
IF(VALUE(VLOOKUP(F231,Injections!H:L,5, FALSE))&lt;VALUE(VLOOKUP(V231,imaging_filters!A:K,11, FALSE)), CONCATENATE(CHAR(34),"CamA",CHAR(34)), CONCATENATE(CHAR(34),"CamB",CHAR(34))),"}"), ""),
 "]"), "[]")</f>
        <v>[]</v>
      </c>
      <c r="AA231" s="1" t="s">
        <v>429</v>
      </c>
    </row>
    <row r="232" spans="1:27" ht="15.75" customHeight="1" x14ac:dyDescent="0.15">
      <c r="A232" s="7">
        <f t="shared" si="5"/>
        <v>45755</v>
      </c>
      <c r="B232" s="1"/>
      <c r="C232" s="1" t="s">
        <v>107</v>
      </c>
      <c r="D232" s="1" t="s">
        <v>107</v>
      </c>
      <c r="E232" s="1"/>
      <c r="F232" s="1" t="s">
        <v>426</v>
      </c>
      <c r="G232" s="8"/>
      <c r="H232" s="8"/>
      <c r="I232" s="8"/>
      <c r="K232" s="1" t="s">
        <v>246</v>
      </c>
      <c r="M232" s="8">
        <v>45755</v>
      </c>
      <c r="N232" s="9">
        <v>0.58333333333333337</v>
      </c>
      <c r="O232" s="9">
        <v>0.60416666666666663</v>
      </c>
      <c r="P232" s="9">
        <v>0.77083333333333337</v>
      </c>
      <c r="Q232" s="1" t="s">
        <v>167</v>
      </c>
      <c r="R232" s="10" t="str">
        <f ca="1">IFERROR(__xludf.DUMMYFUNCTION("JOIN("","", SORT(UNIQUE(TOCOL({VLOOKUP(D232,DM_fish!A:B,2,FALSE),VLOOKUP(C232,DM_fish!A:B,2,FALSE), ARRAYFORMULA(VLOOKUP(SPLIT(E232, "", ""),Injections!B:G,6,FALSE)), ARRAYFORMULA(VLOOKUP(SPLIT(F232, "", ""),Injections!H:M,6,FALSE)), ARRAYFORMULA(VLOOKUP("&amp;"SPLIT(G232, "", ""),Injections!N:S,6,FALSE)), ARRAYFORMULA(VLOOKUP(SPLIT(H232, "", ""),Injections!T:Y,6,FALSE)) },3))))"),"Lysosomes,membrane")</f>
        <v>Lysosomes,membrane</v>
      </c>
      <c r="S232" s="10" t="str">
        <f ca="1">IFERROR(__xludf.DUMMYFUNCTION("IFERROR(JOIN("","", SPLIT(R232, "","", TRUE ,TRUE)), """")"),"Lysosomes,membrane")</f>
        <v>Lysosomes,membrane</v>
      </c>
      <c r="T232" s="1"/>
      <c r="V232" s="1" t="s">
        <v>203</v>
      </c>
      <c r="W232" s="12" t="str">
        <f ca="1">IFERROR(CONCATENATE("[", CONCATENATE(IF(VLOOKUP(D232,DM_fish!C:X,14, FALSE)&gt;0, CONCATENATE("{",CHAR(34),"target",CHAR(34),":",CHAR(34),VLOOKUP(D232,DM_fish!C:X,13, FALSE),CHAR(34),",", CHAR(34), "excitation",CHAR(34), ":", VLOOKUP(D232,DM_fish!C:X,14, FALSE), ",",  CHAR(34), "camera",CHAR(34), ":", IF(VALUE(VLOOKUP(D232,DM_fish!C:X,14, FALSE))&lt;VALUE(VLOOKUP(V232,imaging_filters!A:K,11, FALSE)), CONCATENATE(CHAR(34),"CamA",CHAR(34)), CONCATENATE(CHAR(34),"CamB",CHAR(34))),"}"), ""),IF(VLOOKUP(D232,DM_fish!C:X,16, FALSE)&gt;0, CONCATENATE(",{",CHAR(34),"target",CHAR(34),":",CHAR(34),VLOOKUP(D232,DM_fish!C:X,15, FALSE),CHAR(34),",", CHAR(34), "excitation",CHAR(34), ":", VLOOKUP(D232,DM_fish!C:X,16, FALSE), ",",  CHAR(34), "camera",CHAR(34), ":", IF(VALUE(VLOOKUP(D232,DM_fish!C:X,16, FALSE))&lt;VALUE(VLOOKUP(V232,imaging_filters!A:K,11, FALSE)), CONCATENATE(CHAR(34),"CamA",CHAR(34)), CONCATENATE(CHAR(34),"CamB",CHAR(34))),"}"), ""),IF(VLOOKUP(D232,DM_fish!C:X,18, FALSE)&gt;0, CONCATENATE(",{",CHAR(34),"target",CHAR(34),":",CHAR(34),VLOOKUP(D232,DM_fish!C:X,17, FALSE),CHAR(34),",", CHAR(34), "excitation",CHAR(34), ":", VLOOKUP(D232,DM_fish!C:X,18, FALSE), ",",  CHAR(34), "camera",CHAR(34), ":", IF(VALUE(VLOOKUP(D232,DM_fish!C:X,18, FALSE))&lt;VALUE(VLOOKUP(V232,imaging_filters!A:K,11, FALSE)), CONCATENATE(CHAR(34),"CamA",CHAR(34)), CONCATENATE(CHAR(34),"CamB",CHAR(34))),"}"), ""),IF(VLOOKUP(D232,DM_fish!C:X,20, FALSE)&gt;0, CONCATENATE(",{",CHAR(34),"target",CHAR(34),":",CHAR(34),VLOOKUP(D232,DM_fish!C:X,19, FALSE),CHAR(34),",", CHAR(34), "excitation",CHAR(34), ":", VLOOKUP(D232,DM_fish!C:X,20, FALSE), ",",  CHAR(34), "camera",CHAR(34), ":", IF(VALUE(VLOOKUP(D232,DM_fish!C:X,20, FALSE))&lt;VALUE(VLOOKUP(V232,imaging_filters!A:K,11, FALSE)), CONCATENATE(CHAR(34),"CamA",CHAR(34)), CONCATENATE(CHAR(34),"CamB",CHAR(34))),"}"), ""),IF(VLOOKUP(D232,DM_fish!C:X,22, FALSE)&gt;0, CONCATENATE(",{",CHAR(34),"target",CHAR(34),":",CHAR(34),VLOOKUP(D232,DM_fish!C:X,21, FALSE),CHAR(34),",", CHAR(34), "excitation",CHAR(34), ":", VLOOKUP(D232,DM_fish!C:X,22, FALSE), ",",  CHAR(34), "camera",CHAR(34), ":", IF(VALUE(VLOOKUP(D232,DM_fish!C:X,22, FALSE))&lt;VALUE(VLOOKUP(V232,imaging_filters!A:K,11, FALSE)), CONCATENATE(CHAR(34),"CamA",CHAR(34)), CONCATENATE(CHAR(34),"CamB",CHAR(34))),"}"), "")), "]"), "")</f>
        <v/>
      </c>
      <c r="X232" s="12" t="str">
        <f ca="1">IFERROR(
CONCATENATE("[", CONCATENATE(IF(VLOOKUP(C232,DM_fish!C:X,14, FALSE)&gt;0, CONCATENATE("{",CHAR(34),"target",CHAR(34),":",CHAR(34),VLOOKUP(C232,DM_fish!C:X,13, FALSE),CHAR(34),",", CHAR(34), "excitation",CHAR(34), ":", VLOOKUP(C232,DM_fish!C:X,14, FALSE), ",",  CHAR(34), "camera",CHAR(34), ":", IF(VALUE(VLOOKUP(C232,DM_fish!C:X,14, FALSE))&lt;VALUE(VLOOKUP(V232,imaging_filters!A:K,11, FALSE)), CONCATENATE(CHAR(34),"CamA",CHAR(34)), CONCATENATE(CHAR(34),"CamB",CHAR(34))),"}"), ""),IF(VLOOKUP(C232,DM_fish!C:X,16, FALSE)&gt;0, CONCATENATE(",{",CHAR(34),"target",CHAR(34),":",CHAR(34),VLOOKUP(C232,DM_fish!C:X,15, FALSE),CHAR(34),",", CHAR(34), "excitation",CHAR(34), ":", VLOOKUP(C232,DM_fish!C:X,16, FALSE), ",",  CHAR(34), "camera",CHAR(34), ":", IF(VALUE(VLOOKUP(C232,DM_fish!C:X,16, FALSE))&lt;VALUE(VLOOKUP(V232,imaging_filters!A:K,11, FALSE)), CONCATENATE(CHAR(34),"CamA",CHAR(34)), CONCATENATE(CHAR(34),"CamB",CHAR(34))),"}"), ""),IF(VLOOKUP(C232,DM_fish!C:X,18, FALSE)&gt;0, CONCATENATE(",{",CHAR(34),"target",CHAR(34),":",CHAR(34),VLOOKUP(C232,DM_fish!C:X,17, FALSE),CHAR(34),",", CHAR(34), "excitation",CHAR(34), ":", VLOOKUP(C232,DM_fish!C:X,18, FALSE), ",",  CHAR(34), "camera",CHAR(34), ":", IF(VALUE(VLOOKUP(C232,DM_fish!C:X,18, FALSE))&lt;VALUE(VLOOKUP(V232,imaging_filters!A:K,11, FALSE)), CONCATENATE(CHAR(34),"CamA",CHAR(34)), CONCATENATE(CHAR(34),"CamB",CHAR(34))),"}"), ""),IF(VLOOKUP(C232,DM_fish!C:X,20, FALSE)&gt;0, CONCATENATE(",{",CHAR(34),"target",CHAR(34),":",CHAR(34),VLOOKUP(C232,DM_fish!C:X,19, FALSE),CHAR(34),",", CHAR(34), "excitation",CHAR(34), ":", VLOOKUP(C232,DM_fish!C:X,20, FALSE), ",",  CHAR(34), "camera",CHAR(34), ":", IF(VALUE(VLOOKUP(C232,DM_fish!C:X,20, FALSE))&lt;VALUE(VLOOKUP(V232,imaging_filters!A:K,11, FALSE)), CONCATENATE(CHAR(34),"CamA",CHAR(34)), CONCATENATE(CHAR(34),"CamB",CHAR(34))),"}"), ""),IF(VLOOKUP(C232,DM_fish!C:X,22, FALSE)&gt;0, CONCATENATE(",{",CHAR(34),"target",CHAR(34),":",CHAR(34),VLOOKUP(C232,DM_fish!C:X,21, FALSE),CHAR(34),",", CHAR(34), "excitation",CHAR(34), ":", VLOOKUP(C232,DM_fish!C:X,22, FALSE), ",",  CHAR(34), "camera",CHAR(34), ":", IF(VALUE(VLOOKUP(C232,DM_fish!C:X,22, FALSE))&lt;VALUE(VLOOKUP(V232,imaging_filters!A:K,11, FALSE)), CONCATENATE(CHAR(34),"CamA",CHAR(34)), CONCATENATE(CHAR(34),"CamB",CHAR(34))),"}"), "")), "]"), "")</f>
        <v/>
      </c>
      <c r="Y232" s="11" t="str">
        <f ca="1">IFERROR(
CONCATENATE( "[",
IF(VLOOKUP(E232,Injections!B:F,3, FALSE)&gt;0, CONCATENATE( "{",CHAR(34),"target",CHAR(34),":",CHAR(34),VLOOKUP(E232,Injections!B:F,2, FALSE),CHAR(34),",", CHAR(34), "excitation",CHAR(34), ":", VLOOKUP(E232,Injections!B:F,3, FALSE), ",",  CHAR(34), "camera",CHAR(34), ":",
IF(VALUE(VLOOKUP(E232,Injections!B:F,3, FALSE))&lt;VALUE(VLOOKUP(V232,imaging_filters!A:C,2, FALSE)), CONCATENATE(CHAR(34),"CamA",CHAR(34)), CONCATENATE(CHAR(34),"CamB",CHAR(34))),"}"), ""),
IF(VLOOKUP(E232,Injections!B:F,5, FALSE)&gt;0, CONCATENATE(",{",CHAR(34),"target",CHAR(34),":",CHAR(34),VLOOKUP(E232,Injections!B:F,4, FALSE),CHAR(34),",", CHAR(34), "excitation",CHAR(34), ":", VLOOKUP(E232,Injections!B:F,5, FALSE), ",",  CHAR(34), "camera",CHAR(34), ":",
IF(VALUE(VLOOKUP(E232,Injections!B:F,5, FALSE))&lt;VALUE(VLOOKUP(V232,imaging_filters!A:C,2, FALSE)), CONCATENATE(CHAR(34),"CamA",CHAR(34)), CONCATENATE(CHAR(34),"CamB",CHAR(34))),"}"), ""),
 "]"), "[]")</f>
        <v>[]</v>
      </c>
      <c r="Z232" s="11" t="str">
        <f ca="1">IFERROR(
CONCATENATE( "[",
IF(VLOOKUP(F232,Injections!H:L,3, FALSE)&gt;0, CONCATENATE( "{",CHAR(34),"target",CHAR(34),":",CHAR(34),VLOOKUP(F232,Injections!H:L,2, FALSE),CHAR(34),",", CHAR(34), "excitation",CHAR(34), ":", VLOOKUP(F232,Injections!H:L,3, FALSE), ",",  CHAR(34), "camera",CHAR(34), ":",
IF(VALUE(VLOOKUP(F232,Injections!H:L,3, FALSE))&lt;VALUE(VLOOKUP(V232,imaging_filters!A:K,11, FALSE)), CONCATENATE(CHAR(34),"CamA",CHAR(34)), CONCATENATE(CHAR(34),"CamB",CHAR(34))),"}"), ""),
IF(VLOOKUP(F232,Injections!H:L,5, FALSE)&gt;0, CONCATENATE(",{",CHAR(34),"target",CHAR(34),":",CHAR(34),VLOOKUP(F232,Injections!H:L,4, FALSE),CHAR(34),",", CHAR(34), "excitation",CHAR(34), ":", VLOOKUP(F232,Injections!H:L,5, FALSE), ",",  CHAR(34), "camera",CHAR(34), ":",
IF(VALUE(VLOOKUP(F232,Injections!H:L,5, FALSE))&lt;VALUE(VLOOKUP(V232,imaging_filters!A:K,11, FALSE)), CONCATENATE(CHAR(34),"CamA",CHAR(34)), CONCATENATE(CHAR(34),"CamB",CHAR(34))),"}"), ""),
 "]"), "[]")</f>
        <v>[]</v>
      </c>
      <c r="AA232" s="11"/>
    </row>
    <row r="233" spans="1:27" ht="15.75" customHeight="1" x14ac:dyDescent="0.15">
      <c r="A233" s="7">
        <f t="shared" si="5"/>
        <v>45754</v>
      </c>
      <c r="B233" s="1"/>
      <c r="C233" s="1" t="s">
        <v>253</v>
      </c>
      <c r="D233" s="1" t="s">
        <v>430</v>
      </c>
      <c r="E233" s="1"/>
      <c r="F233" s="1" t="s">
        <v>431</v>
      </c>
      <c r="G233" s="8"/>
      <c r="H233" s="8"/>
      <c r="I233" s="8">
        <v>45750</v>
      </c>
      <c r="K233" s="1" t="s">
        <v>393</v>
      </c>
      <c r="L233" s="15">
        <v>45751</v>
      </c>
      <c r="M233" s="8">
        <v>45754</v>
      </c>
      <c r="N233" s="9">
        <v>0.5</v>
      </c>
      <c r="O233" s="9">
        <v>0.54166666666666663</v>
      </c>
      <c r="P233" s="9">
        <v>0.77083333333333337</v>
      </c>
      <c r="Q233" s="1" t="s">
        <v>432</v>
      </c>
      <c r="R233" s="10" t="str">
        <f ca="1">IFERROR(__xludf.DUMMYFUNCTION("JOIN("","", SORT(UNIQUE(TOCOL({VLOOKUP(D233,DM_fish!A:B,2,FALSE),VLOOKUP(C233,DM_fish!A:B,2,FALSE), ARRAYFORMULA(VLOOKUP(SPLIT(E233, "", ""),Injections!B:G,6,FALSE)), ARRAYFORMULA(VLOOKUP(SPLIT(F233, "", ""),Injections!H:M,6,FALSE)), ARRAYFORMULA(VLOOKUP("&amp;"SPLIT(G233, "", ""),Injections!N:S,6,FALSE)), ARRAYFORMULA(VLOOKUP(SPLIT(H233, "", ""),Injections!T:Y,6,FALSE)) },3))))"),",csp,male C - ~10% frequency exorH:GFP (+) embryos,405,445")</f>
        <v>,csp,male C - ~10% frequency exorH:GFP (+) embryos,405,445</v>
      </c>
      <c r="S233" s="10" t="str">
        <f ca="1">IFERROR(__xludf.DUMMYFUNCTION("IFERROR(JOIN("","", SPLIT(R233, "","", TRUE ,TRUE)), """")"),"csp,male C - ~10% frequency exorH:GFP (+) embryos,405,445")</f>
        <v>csp,male C - ~10% frequency exorH:GFP (+) embryos,405,445</v>
      </c>
      <c r="T233" s="1" t="s">
        <v>433</v>
      </c>
      <c r="V233" s="1" t="s">
        <v>280</v>
      </c>
      <c r="W233" s="12" t="str">
        <f ca="1">IFERROR(CONCATENATE("[", CONCATENATE(IF(VLOOKUP(D233,DM_fish!C:X,14, FALSE)&gt;0, CONCATENATE("{",CHAR(34),"target",CHAR(34),":",CHAR(34),VLOOKUP(D233,DM_fish!C:X,13, FALSE),CHAR(34),",", CHAR(34), "excitation",CHAR(34), ":", VLOOKUP(D233,DM_fish!C:X,14, FALSE), ",",  CHAR(34), "camera",CHAR(34), ":", IF(VALUE(VLOOKUP(D233,DM_fish!C:X,14, FALSE))&lt;VALUE(VLOOKUP(V233,imaging_filters!A:K,11, FALSE)), CONCATENATE(CHAR(34),"CamA",CHAR(34)), CONCATENATE(CHAR(34),"CamB",CHAR(34))),"}"), ""),IF(VLOOKUP(D233,DM_fish!C:X,16, FALSE)&gt;0, CONCATENATE(",{",CHAR(34),"target",CHAR(34),":",CHAR(34),VLOOKUP(D233,DM_fish!C:X,15, FALSE),CHAR(34),",", CHAR(34), "excitation",CHAR(34), ":", VLOOKUP(D233,DM_fish!C:X,16, FALSE), ",",  CHAR(34), "camera",CHAR(34), ":", IF(VALUE(VLOOKUP(D233,DM_fish!C:X,16, FALSE))&lt;VALUE(VLOOKUP(V233,imaging_filters!A:K,11, FALSE)), CONCATENATE(CHAR(34),"CamA",CHAR(34)), CONCATENATE(CHAR(34),"CamB",CHAR(34))),"}"), ""),IF(VLOOKUP(D233,DM_fish!C:X,18, FALSE)&gt;0, CONCATENATE(",{",CHAR(34),"target",CHAR(34),":",CHAR(34),VLOOKUP(D233,DM_fish!C:X,17, FALSE),CHAR(34),",", CHAR(34), "excitation",CHAR(34), ":", VLOOKUP(D233,DM_fish!C:X,18, FALSE), ",",  CHAR(34), "camera",CHAR(34), ":", IF(VALUE(VLOOKUP(D233,DM_fish!C:X,18, FALSE))&lt;VALUE(VLOOKUP(V233,imaging_filters!A:K,11, FALSE)), CONCATENATE(CHAR(34),"CamA",CHAR(34)), CONCATENATE(CHAR(34),"CamB",CHAR(34))),"}"), ""),IF(VLOOKUP(D233,DM_fish!C:X,20, FALSE)&gt;0, CONCATENATE(",{",CHAR(34),"target",CHAR(34),":",CHAR(34),VLOOKUP(D233,DM_fish!C:X,19, FALSE),CHAR(34),",", CHAR(34), "excitation",CHAR(34), ":", VLOOKUP(D233,DM_fish!C:X,20, FALSE), ",",  CHAR(34), "camera",CHAR(34), ":", IF(VALUE(VLOOKUP(D233,DM_fish!C:X,20, FALSE))&lt;VALUE(VLOOKUP(V233,imaging_filters!A:K,11, FALSE)), CONCATENATE(CHAR(34),"CamA",CHAR(34)), CONCATENATE(CHAR(34),"CamB",CHAR(34))),"}"), ""),IF(VLOOKUP(D233,DM_fish!C:X,22, FALSE)&gt;0, CONCATENATE(",{",CHAR(34),"target",CHAR(34),":",CHAR(34),VLOOKUP(D233,DM_fish!C:X,21, FALSE),CHAR(34),",", CHAR(34), "excitation",CHAR(34), ":", VLOOKUP(D233,DM_fish!C:X,22, FALSE), ",",  CHAR(34), "camera",CHAR(34), ":", IF(VALUE(VLOOKUP(D233,DM_fish!C:X,22, FALSE))&lt;VALUE(VLOOKUP(V233,imaging_filters!A:K,11, FALSE)), CONCATENATE(CHAR(34),"CamA",CHAR(34)), CONCATENATE(CHAR(34),"CamB",CHAR(34))),"}"), "")), "]"), "")</f>
        <v/>
      </c>
      <c r="X233" s="12" t="str">
        <f ca="1">IFERROR(
CONCATENATE("[", CONCATENATE(IF(VLOOKUP(C233,DM_fish!C:X,14, FALSE)&gt;0, CONCATENATE("{",CHAR(34),"target",CHAR(34),":",CHAR(34),VLOOKUP(C233,DM_fish!C:X,13, FALSE),CHAR(34),",", CHAR(34), "excitation",CHAR(34), ":", VLOOKUP(C233,DM_fish!C:X,14, FALSE), ",",  CHAR(34), "camera",CHAR(34), ":", IF(VALUE(VLOOKUP(C233,DM_fish!C:X,14, FALSE))&lt;VALUE(VLOOKUP(V233,imaging_filters!A:K,11, FALSE)), CONCATENATE(CHAR(34),"CamA",CHAR(34)), CONCATENATE(CHAR(34),"CamB",CHAR(34))),"}"), ""),IF(VLOOKUP(C233,DM_fish!C:X,16, FALSE)&gt;0, CONCATENATE(",{",CHAR(34),"target",CHAR(34),":",CHAR(34),VLOOKUP(C233,DM_fish!C:X,15, FALSE),CHAR(34),",", CHAR(34), "excitation",CHAR(34), ":", VLOOKUP(C233,DM_fish!C:X,16, FALSE), ",",  CHAR(34), "camera",CHAR(34), ":", IF(VALUE(VLOOKUP(C233,DM_fish!C:X,16, FALSE))&lt;VALUE(VLOOKUP(V233,imaging_filters!A:K,11, FALSE)), CONCATENATE(CHAR(34),"CamA",CHAR(34)), CONCATENATE(CHAR(34),"CamB",CHAR(34))),"}"), ""),IF(VLOOKUP(C233,DM_fish!C:X,18, FALSE)&gt;0, CONCATENATE(",{",CHAR(34),"target",CHAR(34),":",CHAR(34),VLOOKUP(C233,DM_fish!C:X,17, FALSE),CHAR(34),",", CHAR(34), "excitation",CHAR(34), ":", VLOOKUP(C233,DM_fish!C:X,18, FALSE), ",",  CHAR(34), "camera",CHAR(34), ":", IF(VALUE(VLOOKUP(C233,DM_fish!C:X,18, FALSE))&lt;VALUE(VLOOKUP(V233,imaging_filters!A:K,11, FALSE)), CONCATENATE(CHAR(34),"CamA",CHAR(34)), CONCATENATE(CHAR(34),"CamB",CHAR(34))),"}"), ""),IF(VLOOKUP(C233,DM_fish!C:X,20, FALSE)&gt;0, CONCATENATE(",{",CHAR(34),"target",CHAR(34),":",CHAR(34),VLOOKUP(C233,DM_fish!C:X,19, FALSE),CHAR(34),",", CHAR(34), "excitation",CHAR(34), ":", VLOOKUP(C233,DM_fish!C:X,20, FALSE), ",",  CHAR(34), "camera",CHAR(34), ":", IF(VALUE(VLOOKUP(C233,DM_fish!C:X,20, FALSE))&lt;VALUE(VLOOKUP(V233,imaging_filters!A:K,11, FALSE)), CONCATENATE(CHAR(34),"CamA",CHAR(34)), CONCATENATE(CHAR(34),"CamB",CHAR(34))),"}"), ""),IF(VLOOKUP(C233,DM_fish!C:X,22, FALSE)&gt;0, CONCATENATE(",{",CHAR(34),"target",CHAR(34),":",CHAR(34),VLOOKUP(C233,DM_fish!C:X,21, FALSE),CHAR(34),",", CHAR(34), "excitation",CHAR(34), ":", VLOOKUP(C233,DM_fish!C:X,22, FALSE), ",",  CHAR(34), "camera",CHAR(34), ":", IF(VALUE(VLOOKUP(C233,DM_fish!C:X,22, FALSE))&lt;VALUE(VLOOKUP(V233,imaging_filters!A:K,11, FALSE)), CONCATENATE(CHAR(34),"CamA",CHAR(34)), CONCATENATE(CHAR(34),"CamB",CHAR(34))),"}"), "")), "]"), "")</f>
        <v/>
      </c>
      <c r="Y233" s="11" t="str">
        <f ca="1">IFERROR(
CONCATENATE( "[",
IF(VLOOKUP(E233,Injections!B:F,3, FALSE)&gt;0, CONCATENATE( "{",CHAR(34),"target",CHAR(34),":",CHAR(34),VLOOKUP(E233,Injections!B:F,2, FALSE),CHAR(34),",", CHAR(34), "excitation",CHAR(34), ":", VLOOKUP(E233,Injections!B:F,3, FALSE), ",",  CHAR(34), "camera",CHAR(34), ":",
IF(VALUE(VLOOKUP(E233,Injections!B:F,3, FALSE))&lt;VALUE(VLOOKUP(V233,imaging_filters!A:C,2, FALSE)), CONCATENATE(CHAR(34),"CamA",CHAR(34)), CONCATENATE(CHAR(34),"CamB",CHAR(34))),"}"), ""),
IF(VLOOKUP(E233,Injections!B:F,5, FALSE)&gt;0, CONCATENATE(",{",CHAR(34),"target",CHAR(34),":",CHAR(34),VLOOKUP(E233,Injections!B:F,4, FALSE),CHAR(34),",", CHAR(34), "excitation",CHAR(34), ":", VLOOKUP(E233,Injections!B:F,5, FALSE), ",",  CHAR(34), "camera",CHAR(34), ":",
IF(VALUE(VLOOKUP(E233,Injections!B:F,5, FALSE))&lt;VALUE(VLOOKUP(V233,imaging_filters!A:C,2, FALSE)), CONCATENATE(CHAR(34),"CamA",CHAR(34)), CONCATENATE(CHAR(34),"CamB",CHAR(34))),"}"), ""),
 "]"), "[]")</f>
        <v>[]</v>
      </c>
      <c r="Z233" s="11" t="str">
        <f ca="1">IFERROR(
CONCATENATE( "[",
IF(VLOOKUP(F233,Injections!H:L,3, FALSE)&gt;0, CONCATENATE( "{",CHAR(34),"target",CHAR(34),":",CHAR(34),VLOOKUP(F233,Injections!H:L,2, FALSE),CHAR(34),",", CHAR(34), "excitation",CHAR(34), ":", VLOOKUP(F233,Injections!H:L,3, FALSE), ",",  CHAR(34), "camera",CHAR(34), ":",
IF(VALUE(VLOOKUP(F233,Injections!H:L,3, FALSE))&lt;VALUE(VLOOKUP(V233,imaging_filters!A:K,11, FALSE)), CONCATENATE(CHAR(34),"CamA",CHAR(34)), CONCATENATE(CHAR(34),"CamB",CHAR(34))),"}"), ""),
IF(VLOOKUP(F233,Injections!H:L,5, FALSE)&gt;0, CONCATENATE(",{",CHAR(34),"target",CHAR(34),":",CHAR(34),VLOOKUP(F233,Injections!H:L,4, FALSE),CHAR(34),",", CHAR(34), "excitation",CHAR(34), ":", VLOOKUP(F233,Injections!H:L,5, FALSE), ",",  CHAR(34), "camera",CHAR(34), ":",
IF(VALUE(VLOOKUP(F233,Injections!H:L,5, FALSE))&lt;VALUE(VLOOKUP(V233,imaging_filters!A:K,11, FALSE)), CONCATENATE(CHAR(34),"CamA",CHAR(34)), CONCATENATE(CHAR(34),"CamB",CHAR(34))),"}"), ""),
 "]"), "[]")</f>
        <v>[]</v>
      </c>
      <c r="AA233" s="11" t="s">
        <v>434</v>
      </c>
    </row>
    <row r="234" spans="1:27" ht="15.75" customHeight="1" x14ac:dyDescent="0.15">
      <c r="A234" s="7">
        <f t="shared" si="5"/>
        <v>45751</v>
      </c>
      <c r="B234" s="1"/>
      <c r="C234" s="1" t="s">
        <v>253</v>
      </c>
      <c r="D234" s="1" t="s">
        <v>430</v>
      </c>
      <c r="E234" s="1"/>
      <c r="F234" s="1" t="s">
        <v>355</v>
      </c>
      <c r="G234" s="8"/>
      <c r="H234" s="8"/>
      <c r="I234" s="8">
        <v>45750</v>
      </c>
      <c r="K234" s="1" t="s">
        <v>34</v>
      </c>
      <c r="L234" s="15">
        <v>45751</v>
      </c>
      <c r="M234" s="8">
        <v>45751</v>
      </c>
      <c r="N234" s="9">
        <v>0</v>
      </c>
      <c r="O234" s="9">
        <v>1.0416666666666666E-2</v>
      </c>
      <c r="P234" s="9">
        <v>0.97916666666666663</v>
      </c>
      <c r="Q234" s="1" t="s">
        <v>167</v>
      </c>
      <c r="R234" s="10" t="str">
        <f ca="1">IFERROR(__xludf.DUMMYFUNCTION("JOIN("","", SORT(UNIQUE(TOCOL({VLOOKUP(D234,DM_fish!A:B,2,FALSE),VLOOKUP(C234,DM_fish!A:B,2,FALSE), ARRAYFORMULA(VLOOKUP(SPLIT(E234, "", ""),Injections!B:G,6,FALSE)), ARRAYFORMULA(VLOOKUP(SPLIT(F234, "", ""),Injections!H:M,6,FALSE)), ARRAYFORMULA(VLOOKUP("&amp;"SPLIT(G234, "", ""),Injections!N:S,6,FALSE)), ARRAYFORMULA(VLOOKUP(SPLIT(H234, "", ""),Injections!T:Y,6,FALSE)) },3))))"),",csp,male C - ~10% frequency exorH:GFP (+) embryos,405,445")</f>
        <v>,csp,male C - ~10% frequency exorH:GFP (+) embryos,405,445</v>
      </c>
      <c r="S234" s="10" t="str">
        <f ca="1">IFERROR(__xludf.DUMMYFUNCTION("IFERROR(JOIN("","", SPLIT(R234, "","", TRUE ,TRUE)), """")"),"csp,male C - ~10% frequency exorH:GFP (+) embryos,405,445")</f>
        <v>csp,male C - ~10% frequency exorH:GFP (+) embryos,405,445</v>
      </c>
      <c r="T234" s="1" t="s">
        <v>435</v>
      </c>
      <c r="V234" s="1" t="s">
        <v>280</v>
      </c>
      <c r="W234" s="12" t="str">
        <f ca="1">IFERROR(CONCATENATE("[", CONCATENATE(IF(VLOOKUP(D234,DM_fish!C:X,14, FALSE)&gt;0, CONCATENATE("{",CHAR(34),"target",CHAR(34),":",CHAR(34),VLOOKUP(D234,DM_fish!C:X,13, FALSE),CHAR(34),",", CHAR(34), "excitation",CHAR(34), ":", VLOOKUP(D234,DM_fish!C:X,14, FALSE), ",",  CHAR(34), "camera",CHAR(34), ":", IF(VALUE(VLOOKUP(D234,DM_fish!C:X,14, FALSE))&lt;VALUE(VLOOKUP(V234,imaging_filters!A:K,11, FALSE)), CONCATENATE(CHAR(34),"CamA",CHAR(34)), CONCATENATE(CHAR(34),"CamB",CHAR(34))),"}"), ""),IF(VLOOKUP(D234,DM_fish!C:X,16, FALSE)&gt;0, CONCATENATE(",{",CHAR(34),"target",CHAR(34),":",CHAR(34),VLOOKUP(D234,DM_fish!C:X,15, FALSE),CHAR(34),",", CHAR(34), "excitation",CHAR(34), ":", VLOOKUP(D234,DM_fish!C:X,16, FALSE), ",",  CHAR(34), "camera",CHAR(34), ":", IF(VALUE(VLOOKUP(D234,DM_fish!C:X,16, FALSE))&lt;VALUE(VLOOKUP(V234,imaging_filters!A:K,11, FALSE)), CONCATENATE(CHAR(34),"CamA",CHAR(34)), CONCATENATE(CHAR(34),"CamB",CHAR(34))),"}"), ""),IF(VLOOKUP(D234,DM_fish!C:X,18, FALSE)&gt;0, CONCATENATE(",{",CHAR(34),"target",CHAR(34),":",CHAR(34),VLOOKUP(D234,DM_fish!C:X,17, FALSE),CHAR(34),",", CHAR(34), "excitation",CHAR(34), ":", VLOOKUP(D234,DM_fish!C:X,18, FALSE), ",",  CHAR(34), "camera",CHAR(34), ":", IF(VALUE(VLOOKUP(D234,DM_fish!C:X,18, FALSE))&lt;VALUE(VLOOKUP(V234,imaging_filters!A:K,11, FALSE)), CONCATENATE(CHAR(34),"CamA",CHAR(34)), CONCATENATE(CHAR(34),"CamB",CHAR(34))),"}"), ""),IF(VLOOKUP(D234,DM_fish!C:X,20, FALSE)&gt;0, CONCATENATE(",{",CHAR(34),"target",CHAR(34),":",CHAR(34),VLOOKUP(D234,DM_fish!C:X,19, FALSE),CHAR(34),",", CHAR(34), "excitation",CHAR(34), ":", VLOOKUP(D234,DM_fish!C:X,20, FALSE), ",",  CHAR(34), "camera",CHAR(34), ":", IF(VALUE(VLOOKUP(D234,DM_fish!C:X,20, FALSE))&lt;VALUE(VLOOKUP(V234,imaging_filters!A:K,11, FALSE)), CONCATENATE(CHAR(34),"CamA",CHAR(34)), CONCATENATE(CHAR(34),"CamB",CHAR(34))),"}"), ""),IF(VLOOKUP(D234,DM_fish!C:X,22, FALSE)&gt;0, CONCATENATE(",{",CHAR(34),"target",CHAR(34),":",CHAR(34),VLOOKUP(D234,DM_fish!C:X,21, FALSE),CHAR(34),",", CHAR(34), "excitation",CHAR(34), ":", VLOOKUP(D234,DM_fish!C:X,22, FALSE), ",",  CHAR(34), "camera",CHAR(34), ":", IF(VALUE(VLOOKUP(D234,DM_fish!C:X,22, FALSE))&lt;VALUE(VLOOKUP(V234,imaging_filters!A:K,11, FALSE)), CONCATENATE(CHAR(34),"CamA",CHAR(34)), CONCATENATE(CHAR(34),"CamB",CHAR(34))),"}"), "")), "]"), "")</f>
        <v/>
      </c>
      <c r="X234" s="12" t="str">
        <f ca="1">IFERROR(
CONCATENATE("[", CONCATENATE(IF(VLOOKUP(C234,DM_fish!C:X,14, FALSE)&gt;0, CONCATENATE("{",CHAR(34),"target",CHAR(34),":",CHAR(34),VLOOKUP(C234,DM_fish!C:X,13, FALSE),CHAR(34),",", CHAR(34), "excitation",CHAR(34), ":", VLOOKUP(C234,DM_fish!C:X,14, FALSE), ",",  CHAR(34), "camera",CHAR(34), ":", IF(VALUE(VLOOKUP(C234,DM_fish!C:X,14, FALSE))&lt;VALUE(VLOOKUP(V234,imaging_filters!A:K,11, FALSE)), CONCATENATE(CHAR(34),"CamA",CHAR(34)), CONCATENATE(CHAR(34),"CamB",CHAR(34))),"}"), ""),IF(VLOOKUP(C234,DM_fish!C:X,16, FALSE)&gt;0, CONCATENATE(",{",CHAR(34),"target",CHAR(34),":",CHAR(34),VLOOKUP(C234,DM_fish!C:X,15, FALSE),CHAR(34),",", CHAR(34), "excitation",CHAR(34), ":", VLOOKUP(C234,DM_fish!C:X,16, FALSE), ",",  CHAR(34), "camera",CHAR(34), ":", IF(VALUE(VLOOKUP(C234,DM_fish!C:X,16, FALSE))&lt;VALUE(VLOOKUP(V234,imaging_filters!A:K,11, FALSE)), CONCATENATE(CHAR(34),"CamA",CHAR(34)), CONCATENATE(CHAR(34),"CamB",CHAR(34))),"}"), ""),IF(VLOOKUP(C234,DM_fish!C:X,18, FALSE)&gt;0, CONCATENATE(",{",CHAR(34),"target",CHAR(34),":",CHAR(34),VLOOKUP(C234,DM_fish!C:X,17, FALSE),CHAR(34),",", CHAR(34), "excitation",CHAR(34), ":", VLOOKUP(C234,DM_fish!C:X,18, FALSE), ",",  CHAR(34), "camera",CHAR(34), ":", IF(VALUE(VLOOKUP(C234,DM_fish!C:X,18, FALSE))&lt;VALUE(VLOOKUP(V234,imaging_filters!A:K,11, FALSE)), CONCATENATE(CHAR(34),"CamA",CHAR(34)), CONCATENATE(CHAR(34),"CamB",CHAR(34))),"}"), ""),IF(VLOOKUP(C234,DM_fish!C:X,20, FALSE)&gt;0, CONCATENATE(",{",CHAR(34),"target",CHAR(34),":",CHAR(34),VLOOKUP(C234,DM_fish!C:X,19, FALSE),CHAR(34),",", CHAR(34), "excitation",CHAR(34), ":", VLOOKUP(C234,DM_fish!C:X,20, FALSE), ",",  CHAR(34), "camera",CHAR(34), ":", IF(VALUE(VLOOKUP(C234,DM_fish!C:X,20, FALSE))&lt;VALUE(VLOOKUP(V234,imaging_filters!A:K,11, FALSE)), CONCATENATE(CHAR(34),"CamA",CHAR(34)), CONCATENATE(CHAR(34),"CamB",CHAR(34))),"}"), ""),IF(VLOOKUP(C234,DM_fish!C:X,22, FALSE)&gt;0, CONCATENATE(",{",CHAR(34),"target",CHAR(34),":",CHAR(34),VLOOKUP(C234,DM_fish!C:X,21, FALSE),CHAR(34),",", CHAR(34), "excitation",CHAR(34), ":", VLOOKUP(C234,DM_fish!C:X,22, FALSE), ",",  CHAR(34), "camera",CHAR(34), ":", IF(VALUE(VLOOKUP(C234,DM_fish!C:X,22, FALSE))&lt;VALUE(VLOOKUP(V234,imaging_filters!A:K,11, FALSE)), CONCATENATE(CHAR(34),"CamA",CHAR(34)), CONCATENATE(CHAR(34),"CamB",CHAR(34))),"}"), "")), "]"), "")</f>
        <v/>
      </c>
      <c r="Y234" s="11" t="str">
        <f ca="1">IFERROR(
CONCATENATE( "[",
IF(VLOOKUP(E234,Injections!B:F,3, FALSE)&gt;0, CONCATENATE( "{",CHAR(34),"target",CHAR(34),":",CHAR(34),VLOOKUP(E234,Injections!B:F,2, FALSE),CHAR(34),",", CHAR(34), "excitation",CHAR(34), ":", VLOOKUP(E234,Injections!B:F,3, FALSE), ",",  CHAR(34), "camera",CHAR(34), ":",
IF(VALUE(VLOOKUP(E234,Injections!B:F,3, FALSE))&lt;VALUE(VLOOKUP(V234,imaging_filters!A:C,2, FALSE)), CONCATENATE(CHAR(34),"CamA",CHAR(34)), CONCATENATE(CHAR(34),"CamB",CHAR(34))),"}"), ""),
IF(VLOOKUP(E234,Injections!B:F,5, FALSE)&gt;0, CONCATENATE(",{",CHAR(34),"target",CHAR(34),":",CHAR(34),VLOOKUP(E234,Injections!B:F,4, FALSE),CHAR(34),",", CHAR(34), "excitation",CHAR(34), ":", VLOOKUP(E234,Injections!B:F,5, FALSE), ",",  CHAR(34), "camera",CHAR(34), ":",
IF(VALUE(VLOOKUP(E234,Injections!B:F,5, FALSE))&lt;VALUE(VLOOKUP(V234,imaging_filters!A:C,2, FALSE)), CONCATENATE(CHAR(34),"CamA",CHAR(34)), CONCATENATE(CHAR(34),"CamB",CHAR(34))),"}"), ""),
 "]"), "[]")</f>
        <v>[]</v>
      </c>
      <c r="Z234" s="11" t="str">
        <f ca="1">IFERROR(
CONCATENATE( "[",
IF(VLOOKUP(F234,Injections!H:L,3, FALSE)&gt;0, CONCATENATE( "{",CHAR(34),"target",CHAR(34),":",CHAR(34),VLOOKUP(F234,Injections!H:L,2, FALSE),CHAR(34),",", CHAR(34), "excitation",CHAR(34), ":", VLOOKUP(F234,Injections!H:L,3, FALSE), ",",  CHAR(34), "camera",CHAR(34), ":",
IF(VALUE(VLOOKUP(F234,Injections!H:L,3, FALSE))&lt;VALUE(VLOOKUP(V234,imaging_filters!A:K,11, FALSE)), CONCATENATE(CHAR(34),"CamA",CHAR(34)), CONCATENATE(CHAR(34),"CamB",CHAR(34))),"}"), ""),
IF(VLOOKUP(F234,Injections!H:L,5, FALSE)&gt;0, CONCATENATE(",{",CHAR(34),"target",CHAR(34),":",CHAR(34),VLOOKUP(F234,Injections!H:L,4, FALSE),CHAR(34),",", CHAR(34), "excitation",CHAR(34), ":", VLOOKUP(F234,Injections!H:L,5, FALSE), ",",  CHAR(34), "camera",CHAR(34), ":",
IF(VALUE(VLOOKUP(F234,Injections!H:L,5, FALSE))&lt;VALUE(VLOOKUP(V234,imaging_filters!A:K,11, FALSE)), CONCATENATE(CHAR(34),"CamA",CHAR(34)), CONCATENATE(CHAR(34),"CamB",CHAR(34))),"}"), ""),
 "]"), "[]")</f>
        <v>[]</v>
      </c>
      <c r="AA234" s="11" t="s">
        <v>436</v>
      </c>
    </row>
    <row r="235" spans="1:27" ht="15.75" customHeight="1" x14ac:dyDescent="0.15">
      <c r="A235" s="7">
        <f t="shared" si="5"/>
        <v>45750</v>
      </c>
      <c r="B235" s="1"/>
      <c r="C235" s="1" t="s">
        <v>253</v>
      </c>
      <c r="D235" s="1" t="s">
        <v>253</v>
      </c>
      <c r="E235" s="1"/>
      <c r="F235" s="1" t="s">
        <v>64</v>
      </c>
      <c r="G235" s="8"/>
      <c r="H235" s="8"/>
      <c r="I235" s="8"/>
      <c r="J235" s="9">
        <v>0.4375</v>
      </c>
      <c r="K235" s="1" t="s">
        <v>31</v>
      </c>
      <c r="M235" s="8">
        <v>45750</v>
      </c>
      <c r="N235" s="9">
        <v>0.45833333333333331</v>
      </c>
      <c r="O235" s="9">
        <v>0.47222222222222221</v>
      </c>
      <c r="P235" s="1" t="s">
        <v>437</v>
      </c>
      <c r="Q235" s="1" t="s">
        <v>438</v>
      </c>
      <c r="R235" s="10" t="str">
        <f ca="1">IFERROR(__xludf.DUMMYFUNCTION("JOIN("","", SORT(UNIQUE(TOCOL({VLOOKUP(D235,DM_fish!A:B,2,FALSE),VLOOKUP(C235,DM_fish!A:B,2,FALSE), ARRAYFORMULA(VLOOKUP(SPLIT(E235, "", ""),Injections!B:G,6,FALSE)), ARRAYFORMULA(VLOOKUP(SPLIT(F235, "", ""),Injections!H:M,6,FALSE)), ARRAYFORMULA(VLOOKUP("&amp;"SPLIT(G235, "", ""),Injections!N:S,6,FALSE)), ARRAYFORMULA(VLOOKUP(SPLIT(H235, "", ""),Injections!T:Y,6,FALSE)) },3))))"),"nuclei")</f>
        <v>nuclei</v>
      </c>
      <c r="S235" s="10" t="str">
        <f ca="1">IFERROR(__xludf.DUMMYFUNCTION("IFERROR(JOIN("","", SPLIT(R235, "","", TRUE ,TRUE)), """")"),"nuclei")</f>
        <v>nuclei</v>
      </c>
      <c r="T235" s="1" t="s">
        <v>439</v>
      </c>
      <c r="U235" s="17">
        <v>2385</v>
      </c>
      <c r="V235" s="1" t="s">
        <v>203</v>
      </c>
      <c r="W235" s="12" t="str">
        <f ca="1">IFERROR(CONCATENATE("[", CONCATENATE(IF(VLOOKUP(D235,DM_fish!C:X,14, FALSE)&gt;0, CONCATENATE("{",CHAR(34),"target",CHAR(34),":",CHAR(34),VLOOKUP(D235,DM_fish!C:X,13, FALSE),CHAR(34),",", CHAR(34), "excitation",CHAR(34), ":", VLOOKUP(D235,DM_fish!C:X,14, FALSE), ",",  CHAR(34), "camera",CHAR(34), ":", IF(VALUE(VLOOKUP(D235,DM_fish!C:X,14, FALSE))&lt;VALUE(VLOOKUP(V235,imaging_filters!A:K,11, FALSE)), CONCATENATE(CHAR(34),"CamA",CHAR(34)), CONCATENATE(CHAR(34),"CamB",CHAR(34))),"}"), ""),IF(VLOOKUP(D235,DM_fish!C:X,16, FALSE)&gt;0, CONCATENATE(",{",CHAR(34),"target",CHAR(34),":",CHAR(34),VLOOKUP(D235,DM_fish!C:X,15, FALSE),CHAR(34),",", CHAR(34), "excitation",CHAR(34), ":", VLOOKUP(D235,DM_fish!C:X,16, FALSE), ",",  CHAR(34), "camera",CHAR(34), ":", IF(VALUE(VLOOKUP(D235,DM_fish!C:X,16, FALSE))&lt;VALUE(VLOOKUP(V235,imaging_filters!A:K,11, FALSE)), CONCATENATE(CHAR(34),"CamA",CHAR(34)), CONCATENATE(CHAR(34),"CamB",CHAR(34))),"}"), ""),IF(VLOOKUP(D235,DM_fish!C:X,18, FALSE)&gt;0, CONCATENATE(",{",CHAR(34),"target",CHAR(34),":",CHAR(34),VLOOKUP(D235,DM_fish!C:X,17, FALSE),CHAR(34),",", CHAR(34), "excitation",CHAR(34), ":", VLOOKUP(D235,DM_fish!C:X,18, FALSE), ",",  CHAR(34), "camera",CHAR(34), ":", IF(VALUE(VLOOKUP(D235,DM_fish!C:X,18, FALSE))&lt;VALUE(VLOOKUP(V235,imaging_filters!A:K,11, FALSE)), CONCATENATE(CHAR(34),"CamA",CHAR(34)), CONCATENATE(CHAR(34),"CamB",CHAR(34))),"}"), ""),IF(VLOOKUP(D235,DM_fish!C:X,20, FALSE)&gt;0, CONCATENATE(",{",CHAR(34),"target",CHAR(34),":",CHAR(34),VLOOKUP(D235,DM_fish!C:X,19, FALSE),CHAR(34),",", CHAR(34), "excitation",CHAR(34), ":", VLOOKUP(D235,DM_fish!C:X,20, FALSE), ",",  CHAR(34), "camera",CHAR(34), ":", IF(VALUE(VLOOKUP(D235,DM_fish!C:X,20, FALSE))&lt;VALUE(VLOOKUP(V235,imaging_filters!A:K,11, FALSE)), CONCATENATE(CHAR(34),"CamA",CHAR(34)), CONCATENATE(CHAR(34),"CamB",CHAR(34))),"}"), ""),IF(VLOOKUP(D235,DM_fish!C:X,22, FALSE)&gt;0, CONCATENATE(",{",CHAR(34),"target",CHAR(34),":",CHAR(34),VLOOKUP(D235,DM_fish!C:X,21, FALSE),CHAR(34),",", CHAR(34), "excitation",CHAR(34), ":", VLOOKUP(D235,DM_fish!C:X,22, FALSE), ",",  CHAR(34), "camera",CHAR(34), ":", IF(VALUE(VLOOKUP(D235,DM_fish!C:X,22, FALSE))&lt;VALUE(VLOOKUP(V235,imaging_filters!A:K,11, FALSE)), CONCATENATE(CHAR(34),"CamA",CHAR(34)), CONCATENATE(CHAR(34),"CamB",CHAR(34))),"}"), "")), "]"), "")</f>
        <v/>
      </c>
      <c r="X235" s="12" t="str">
        <f ca="1">IFERROR(
CONCATENATE("[", CONCATENATE(IF(VLOOKUP(C235,DM_fish!C:X,14, FALSE)&gt;0, CONCATENATE("{",CHAR(34),"target",CHAR(34),":",CHAR(34),VLOOKUP(C235,DM_fish!C:X,13, FALSE),CHAR(34),",", CHAR(34), "excitation",CHAR(34), ":", VLOOKUP(C235,DM_fish!C:X,14, FALSE), ",",  CHAR(34), "camera",CHAR(34), ":", IF(VALUE(VLOOKUP(C235,DM_fish!C:X,14, FALSE))&lt;VALUE(VLOOKUP(V235,imaging_filters!A:K,11, FALSE)), CONCATENATE(CHAR(34),"CamA",CHAR(34)), CONCATENATE(CHAR(34),"CamB",CHAR(34))),"}"), ""),IF(VLOOKUP(C235,DM_fish!C:X,16, FALSE)&gt;0, CONCATENATE(",{",CHAR(34),"target",CHAR(34),":",CHAR(34),VLOOKUP(C235,DM_fish!C:X,15, FALSE),CHAR(34),",", CHAR(34), "excitation",CHAR(34), ":", VLOOKUP(C235,DM_fish!C:X,16, FALSE), ",",  CHAR(34), "camera",CHAR(34), ":", IF(VALUE(VLOOKUP(C235,DM_fish!C:X,16, FALSE))&lt;VALUE(VLOOKUP(V235,imaging_filters!A:K,11, FALSE)), CONCATENATE(CHAR(34),"CamA",CHAR(34)), CONCATENATE(CHAR(34),"CamB",CHAR(34))),"}"), ""),IF(VLOOKUP(C235,DM_fish!C:X,18, FALSE)&gt;0, CONCATENATE(",{",CHAR(34),"target",CHAR(34),":",CHAR(34),VLOOKUP(C235,DM_fish!C:X,17, FALSE),CHAR(34),",", CHAR(34), "excitation",CHAR(34), ":", VLOOKUP(C235,DM_fish!C:X,18, FALSE), ",",  CHAR(34), "camera",CHAR(34), ":", IF(VALUE(VLOOKUP(C235,DM_fish!C:X,18, FALSE))&lt;VALUE(VLOOKUP(V235,imaging_filters!A:K,11, FALSE)), CONCATENATE(CHAR(34),"CamA",CHAR(34)), CONCATENATE(CHAR(34),"CamB",CHAR(34))),"}"), ""),IF(VLOOKUP(C235,DM_fish!C:X,20, FALSE)&gt;0, CONCATENATE(",{",CHAR(34),"target",CHAR(34),":",CHAR(34),VLOOKUP(C235,DM_fish!C:X,19, FALSE),CHAR(34),",", CHAR(34), "excitation",CHAR(34), ":", VLOOKUP(C235,DM_fish!C:X,20, FALSE), ",",  CHAR(34), "camera",CHAR(34), ":", IF(VALUE(VLOOKUP(C235,DM_fish!C:X,20, FALSE))&lt;VALUE(VLOOKUP(V235,imaging_filters!A:K,11, FALSE)), CONCATENATE(CHAR(34),"CamA",CHAR(34)), CONCATENATE(CHAR(34),"CamB",CHAR(34))),"}"), ""),IF(VLOOKUP(C235,DM_fish!C:X,22, FALSE)&gt;0, CONCATENATE(",{",CHAR(34),"target",CHAR(34),":",CHAR(34),VLOOKUP(C235,DM_fish!C:X,21, FALSE),CHAR(34),",", CHAR(34), "excitation",CHAR(34), ":", VLOOKUP(C235,DM_fish!C:X,22, FALSE), ",",  CHAR(34), "camera",CHAR(34), ":", IF(VALUE(VLOOKUP(C235,DM_fish!C:X,22, FALSE))&lt;VALUE(VLOOKUP(V235,imaging_filters!A:K,11, FALSE)), CONCATENATE(CHAR(34),"CamA",CHAR(34)), CONCATENATE(CHAR(34),"CamB",CHAR(34))),"}"), "")), "]"), "")</f>
        <v/>
      </c>
      <c r="Y235" s="11" t="str">
        <f ca="1">IFERROR(
CONCATENATE( "[",
IF(VLOOKUP(E235,Injections!B:F,3, FALSE)&gt;0, CONCATENATE( "{",CHAR(34),"target",CHAR(34),":",CHAR(34),VLOOKUP(E235,Injections!B:F,2, FALSE),CHAR(34),",", CHAR(34), "excitation",CHAR(34), ":", VLOOKUP(E235,Injections!B:F,3, FALSE), ",",  CHAR(34), "camera",CHAR(34), ":",
IF(VALUE(VLOOKUP(E235,Injections!B:F,3, FALSE))&lt;VALUE(VLOOKUP(V235,imaging_filters!A:C,2, FALSE)), CONCATENATE(CHAR(34),"CamA",CHAR(34)), CONCATENATE(CHAR(34),"CamB",CHAR(34))),"}"), ""),
IF(VLOOKUP(E235,Injections!B:F,5, FALSE)&gt;0, CONCATENATE(",{",CHAR(34),"target",CHAR(34),":",CHAR(34),VLOOKUP(E235,Injections!B:F,4, FALSE),CHAR(34),",", CHAR(34), "excitation",CHAR(34), ":", VLOOKUP(E235,Injections!B:F,5, FALSE), ",",  CHAR(34), "camera",CHAR(34), ":",
IF(VALUE(VLOOKUP(E235,Injections!B:F,5, FALSE))&lt;VALUE(VLOOKUP(V235,imaging_filters!A:C,2, FALSE)), CONCATENATE(CHAR(34),"CamA",CHAR(34)), CONCATENATE(CHAR(34),"CamB",CHAR(34))),"}"), ""),
 "]"), "[]")</f>
        <v>[]</v>
      </c>
      <c r="Z235" s="11" t="str">
        <f ca="1">IFERROR(
CONCATENATE( "[",
IF(VLOOKUP(F235,Injections!H:L,3, FALSE)&gt;0, CONCATENATE( "{",CHAR(34),"target",CHAR(34),":",CHAR(34),VLOOKUP(F235,Injections!H:L,2, FALSE),CHAR(34),",", CHAR(34), "excitation",CHAR(34), ":", VLOOKUP(F235,Injections!H:L,3, FALSE), ",",  CHAR(34), "camera",CHAR(34), ":",
IF(VALUE(VLOOKUP(F235,Injections!H:L,3, FALSE))&lt;VALUE(VLOOKUP(V235,imaging_filters!A:K,11, FALSE)), CONCATENATE(CHAR(34),"CamA",CHAR(34)), CONCATENATE(CHAR(34),"CamB",CHAR(34))),"}"), ""),
IF(VLOOKUP(F235,Injections!H:L,5, FALSE)&gt;0, CONCATENATE(",{",CHAR(34),"target",CHAR(34),":",CHAR(34),VLOOKUP(F235,Injections!H:L,4, FALSE),CHAR(34),",", CHAR(34), "excitation",CHAR(34), ":", VLOOKUP(F235,Injections!H:L,5, FALSE), ",",  CHAR(34), "camera",CHAR(34), ":",
IF(VALUE(VLOOKUP(F235,Injections!H:L,5, FALSE))&lt;VALUE(VLOOKUP(V235,imaging_filters!A:K,11, FALSE)), CONCATENATE(CHAR(34),"CamA",CHAR(34)), CONCATENATE(CHAR(34),"CamB",CHAR(34))),"}"), ""),
 "]"), "[]")</f>
        <v>[{"target":"nuclei","excitation":560,"camera":"CamB"}]</v>
      </c>
      <c r="AA235" s="11" t="s">
        <v>440</v>
      </c>
    </row>
    <row r="236" spans="1:27" ht="15.75" customHeight="1" x14ac:dyDescent="0.15">
      <c r="A236" s="7">
        <v>45748</v>
      </c>
      <c r="B236" s="1"/>
      <c r="C236" s="1" t="s">
        <v>253</v>
      </c>
      <c r="D236" s="1" t="s">
        <v>253</v>
      </c>
      <c r="E236" s="1"/>
      <c r="F236" s="1" t="s">
        <v>64</v>
      </c>
      <c r="G236" s="8"/>
      <c r="H236" s="8"/>
      <c r="I236" s="8">
        <v>45747</v>
      </c>
      <c r="J236" s="1" t="s">
        <v>441</v>
      </c>
      <c r="K236" s="1" t="s">
        <v>246</v>
      </c>
      <c r="L236" s="8">
        <v>45748</v>
      </c>
      <c r="M236" s="8">
        <v>45748</v>
      </c>
      <c r="N236" s="9">
        <v>0.49305555555555558</v>
      </c>
      <c r="O236" s="18">
        <v>0.5</v>
      </c>
      <c r="P236" s="1" t="s">
        <v>442</v>
      </c>
      <c r="Q236" s="1" t="s">
        <v>443</v>
      </c>
      <c r="R236" s="10" t="str">
        <f ca="1">IFERROR(__xludf.DUMMYFUNCTION("JOIN("","", SORT(UNIQUE(TOCOL({VLOOKUP(D236,DM_fish!A:B,2,FALSE),VLOOKUP(C236,DM_fish!A:B,2,FALSE), ARRAYFORMULA(VLOOKUP(SPLIT(E236, "", ""),Injections!B:G,6,FALSE)), ARRAYFORMULA(VLOOKUP(SPLIT(F236, "", ""),Injections!H:M,6,FALSE)), ARRAYFORMULA(VLOOKUP("&amp;"SPLIT(G236, "", ""),Injections!N:S,6,FALSE)), ARRAYFORMULA(VLOOKUP(SPLIT(H236, "", ""),Injections!T:Y,6,FALSE)) },3))))"),"nuclei")</f>
        <v>nuclei</v>
      </c>
      <c r="S236" s="10" t="str">
        <f ca="1">IFERROR(__xludf.DUMMYFUNCTION("IFERROR(JOIN("","", SPLIT(R236, "","", TRUE ,TRUE)), """")"),"nuclei")</f>
        <v>nuclei</v>
      </c>
      <c r="T236" s="1" t="s">
        <v>444</v>
      </c>
      <c r="U236" s="17">
        <v>2478</v>
      </c>
      <c r="V236" s="1" t="s">
        <v>203</v>
      </c>
      <c r="W236" s="12" t="str">
        <f ca="1">IFERROR(CONCATENATE("[", CONCATENATE(IF(VLOOKUP(D236,DM_fish!C:X,14, FALSE)&gt;0, CONCATENATE("{",CHAR(34),"target",CHAR(34),":",CHAR(34),VLOOKUP(D236,DM_fish!C:X,13, FALSE),CHAR(34),",", CHAR(34), "excitation",CHAR(34), ":", VLOOKUP(D236,DM_fish!C:X,14, FALSE), ",",  CHAR(34), "camera",CHAR(34), ":", IF(VALUE(VLOOKUP(D236,DM_fish!C:X,14, FALSE))&lt;VALUE(VLOOKUP(V236,imaging_filters!A:K,11, FALSE)), CONCATENATE(CHAR(34),"CamA",CHAR(34)), CONCATENATE(CHAR(34),"CamB",CHAR(34))),"}"), ""),IF(VLOOKUP(D236,DM_fish!C:X,16, FALSE)&gt;0, CONCATENATE(",{",CHAR(34),"target",CHAR(34),":",CHAR(34),VLOOKUP(D236,DM_fish!C:X,15, FALSE),CHAR(34),",", CHAR(34), "excitation",CHAR(34), ":", VLOOKUP(D236,DM_fish!C:X,16, FALSE), ",",  CHAR(34), "camera",CHAR(34), ":", IF(VALUE(VLOOKUP(D236,DM_fish!C:X,16, FALSE))&lt;VALUE(VLOOKUP(V236,imaging_filters!A:K,11, FALSE)), CONCATENATE(CHAR(34),"CamA",CHAR(34)), CONCATENATE(CHAR(34),"CamB",CHAR(34))),"}"), ""),IF(VLOOKUP(D236,DM_fish!C:X,18, FALSE)&gt;0, CONCATENATE(",{",CHAR(34),"target",CHAR(34),":",CHAR(34),VLOOKUP(D236,DM_fish!C:X,17, FALSE),CHAR(34),",", CHAR(34), "excitation",CHAR(34), ":", VLOOKUP(D236,DM_fish!C:X,18, FALSE), ",",  CHAR(34), "camera",CHAR(34), ":", IF(VALUE(VLOOKUP(D236,DM_fish!C:X,18, FALSE))&lt;VALUE(VLOOKUP(V236,imaging_filters!A:K,11, FALSE)), CONCATENATE(CHAR(34),"CamA",CHAR(34)), CONCATENATE(CHAR(34),"CamB",CHAR(34))),"}"), ""),IF(VLOOKUP(D236,DM_fish!C:X,20, FALSE)&gt;0, CONCATENATE(",{",CHAR(34),"target",CHAR(34),":",CHAR(34),VLOOKUP(D236,DM_fish!C:X,19, FALSE),CHAR(34),",", CHAR(34), "excitation",CHAR(34), ":", VLOOKUP(D236,DM_fish!C:X,20, FALSE), ",",  CHAR(34), "camera",CHAR(34), ":", IF(VALUE(VLOOKUP(D236,DM_fish!C:X,20, FALSE))&lt;VALUE(VLOOKUP(V236,imaging_filters!A:K,11, FALSE)), CONCATENATE(CHAR(34),"CamA",CHAR(34)), CONCATENATE(CHAR(34),"CamB",CHAR(34))),"}"), ""),IF(VLOOKUP(D236,DM_fish!C:X,22, FALSE)&gt;0, CONCATENATE(",{",CHAR(34),"target",CHAR(34),":",CHAR(34),VLOOKUP(D236,DM_fish!C:X,21, FALSE),CHAR(34),",", CHAR(34), "excitation",CHAR(34), ":", VLOOKUP(D236,DM_fish!C:X,22, FALSE), ",",  CHAR(34), "camera",CHAR(34), ":", IF(VALUE(VLOOKUP(D236,DM_fish!C:X,22, FALSE))&lt;VALUE(VLOOKUP(V236,imaging_filters!A:K,11, FALSE)), CONCATENATE(CHAR(34),"CamA",CHAR(34)), CONCATENATE(CHAR(34),"CamB",CHAR(34))),"}"), "")), "]"), "")</f>
        <v/>
      </c>
      <c r="X236" s="12" t="str">
        <f ca="1">IFERROR(
CONCATENATE("[", CONCATENATE(IF(VLOOKUP(C236,DM_fish!C:X,14, FALSE)&gt;0, CONCATENATE("{",CHAR(34),"target",CHAR(34),":",CHAR(34),VLOOKUP(C236,DM_fish!C:X,13, FALSE),CHAR(34),",", CHAR(34), "excitation",CHAR(34), ":", VLOOKUP(C236,DM_fish!C:X,14, FALSE), ",",  CHAR(34), "camera",CHAR(34), ":", IF(VALUE(VLOOKUP(C236,DM_fish!C:X,14, FALSE))&lt;VALUE(VLOOKUP(V236,imaging_filters!A:K,11, FALSE)), CONCATENATE(CHAR(34),"CamA",CHAR(34)), CONCATENATE(CHAR(34),"CamB",CHAR(34))),"}"), ""),IF(VLOOKUP(C236,DM_fish!C:X,16, FALSE)&gt;0, CONCATENATE(",{",CHAR(34),"target",CHAR(34),":",CHAR(34),VLOOKUP(C236,DM_fish!C:X,15, FALSE),CHAR(34),",", CHAR(34), "excitation",CHAR(34), ":", VLOOKUP(C236,DM_fish!C:X,16, FALSE), ",",  CHAR(34), "camera",CHAR(34), ":", IF(VALUE(VLOOKUP(C236,DM_fish!C:X,16, FALSE))&lt;VALUE(VLOOKUP(V236,imaging_filters!A:K,11, FALSE)), CONCATENATE(CHAR(34),"CamA",CHAR(34)), CONCATENATE(CHAR(34),"CamB",CHAR(34))),"}"), ""),IF(VLOOKUP(C236,DM_fish!C:X,18, FALSE)&gt;0, CONCATENATE(",{",CHAR(34),"target",CHAR(34),":",CHAR(34),VLOOKUP(C236,DM_fish!C:X,17, FALSE),CHAR(34),",", CHAR(34), "excitation",CHAR(34), ":", VLOOKUP(C236,DM_fish!C:X,18, FALSE), ",",  CHAR(34), "camera",CHAR(34), ":", IF(VALUE(VLOOKUP(C236,DM_fish!C:X,18, FALSE))&lt;VALUE(VLOOKUP(V236,imaging_filters!A:K,11, FALSE)), CONCATENATE(CHAR(34),"CamA",CHAR(34)), CONCATENATE(CHAR(34),"CamB",CHAR(34))),"}"), ""),IF(VLOOKUP(C236,DM_fish!C:X,20, FALSE)&gt;0, CONCATENATE(",{",CHAR(34),"target",CHAR(34),":",CHAR(34),VLOOKUP(C236,DM_fish!C:X,19, FALSE),CHAR(34),",", CHAR(34), "excitation",CHAR(34), ":", VLOOKUP(C236,DM_fish!C:X,20, FALSE), ",",  CHAR(34), "camera",CHAR(34), ":", IF(VALUE(VLOOKUP(C236,DM_fish!C:X,20, FALSE))&lt;VALUE(VLOOKUP(V236,imaging_filters!A:K,11, FALSE)), CONCATENATE(CHAR(34),"CamA",CHAR(34)), CONCATENATE(CHAR(34),"CamB",CHAR(34))),"}"), ""),IF(VLOOKUP(C236,DM_fish!C:X,22, FALSE)&gt;0, CONCATENATE(",{",CHAR(34),"target",CHAR(34),":",CHAR(34),VLOOKUP(C236,DM_fish!C:X,21, FALSE),CHAR(34),",", CHAR(34), "excitation",CHAR(34), ":", VLOOKUP(C236,DM_fish!C:X,22, FALSE), ",",  CHAR(34), "camera",CHAR(34), ":", IF(VALUE(VLOOKUP(C236,DM_fish!C:X,22, FALSE))&lt;VALUE(VLOOKUP(V236,imaging_filters!A:K,11, FALSE)), CONCATENATE(CHAR(34),"CamA",CHAR(34)), CONCATENATE(CHAR(34),"CamB",CHAR(34))),"}"), "")), "]"), "")</f>
        <v/>
      </c>
      <c r="Y236" s="11" t="str">
        <f ca="1">IFERROR(
CONCATENATE( "[",
IF(VLOOKUP(E236,Injections!B:F,3, FALSE)&gt;0, CONCATENATE( "{",CHAR(34),"target",CHAR(34),":",CHAR(34),VLOOKUP(E236,Injections!B:F,2, FALSE),CHAR(34),",", CHAR(34), "excitation",CHAR(34), ":", VLOOKUP(E236,Injections!B:F,3, FALSE), ",",  CHAR(34), "camera",CHAR(34), ":",
IF(VALUE(VLOOKUP(E236,Injections!B:F,3, FALSE))&lt;VALUE(VLOOKUP(V236,imaging_filters!A:C,2, FALSE)), CONCATENATE(CHAR(34),"CamA",CHAR(34)), CONCATENATE(CHAR(34),"CamB",CHAR(34))),"}"), ""),
IF(VLOOKUP(E236,Injections!B:F,5, FALSE)&gt;0, CONCATENATE(",{",CHAR(34),"target",CHAR(34),":",CHAR(34),VLOOKUP(E236,Injections!B:F,4, FALSE),CHAR(34),",", CHAR(34), "excitation",CHAR(34), ":", VLOOKUP(E236,Injections!B:F,5, FALSE), ",",  CHAR(34), "camera",CHAR(34), ":",
IF(VALUE(VLOOKUP(E236,Injections!B:F,5, FALSE))&lt;VALUE(VLOOKUP(V236,imaging_filters!A:C,2, FALSE)), CONCATENATE(CHAR(34),"CamA",CHAR(34)), CONCATENATE(CHAR(34),"CamB",CHAR(34))),"}"), ""),
 "]"), "[]")</f>
        <v>[]</v>
      </c>
      <c r="Z236" s="11" t="str">
        <f ca="1">IFERROR(
CONCATENATE( "[",
IF(VLOOKUP(F236,Injections!H:L,3, FALSE)&gt;0, CONCATENATE( "{",CHAR(34),"target",CHAR(34),":",CHAR(34),VLOOKUP(F236,Injections!H:L,2, FALSE),CHAR(34),",", CHAR(34), "excitation",CHAR(34), ":", VLOOKUP(F236,Injections!H:L,3, FALSE), ",",  CHAR(34), "camera",CHAR(34), ":",
IF(VALUE(VLOOKUP(F236,Injections!H:L,3, FALSE))&lt;VALUE(VLOOKUP(V236,imaging_filters!A:K,11, FALSE)), CONCATENATE(CHAR(34),"CamA",CHAR(34)), CONCATENATE(CHAR(34),"CamB",CHAR(34))),"}"), ""),
IF(VLOOKUP(F236,Injections!H:L,5, FALSE)&gt;0, CONCATENATE(",{",CHAR(34),"target",CHAR(34),":",CHAR(34),VLOOKUP(F236,Injections!H:L,4, FALSE),CHAR(34),",", CHAR(34), "excitation",CHAR(34), ":", VLOOKUP(F236,Injections!H:L,5, FALSE), ",",  CHAR(34), "camera",CHAR(34), ":",
IF(VALUE(VLOOKUP(F236,Injections!H:L,5, FALSE))&lt;VALUE(VLOOKUP(V236,imaging_filters!A:K,11, FALSE)), CONCATENATE(CHAR(34),"CamA",CHAR(34)), CONCATENATE(CHAR(34),"CamB",CHAR(34))),"}"), ""),
 "]"), "[]")</f>
        <v>[{"target":"nuclei","excitation":560,"camera":"CamB"}]</v>
      </c>
      <c r="AA236" s="11" t="s">
        <v>445</v>
      </c>
    </row>
    <row r="237" spans="1:27" ht="15.75" customHeight="1" x14ac:dyDescent="0.15">
      <c r="A237" s="7">
        <f t="shared" ref="A237:A239" si="6">M237</f>
        <v>45747</v>
      </c>
      <c r="B237" s="1"/>
      <c r="C237" s="1" t="s">
        <v>107</v>
      </c>
      <c r="D237" s="1" t="s">
        <v>446</v>
      </c>
      <c r="E237" s="1"/>
      <c r="F237" s="1" t="s">
        <v>64</v>
      </c>
      <c r="G237" s="8"/>
      <c r="H237" s="8"/>
      <c r="I237" s="8">
        <v>45744</v>
      </c>
      <c r="J237" s="1" t="s">
        <v>447</v>
      </c>
      <c r="K237" s="1" t="s">
        <v>31</v>
      </c>
      <c r="L237" s="8">
        <v>45746</v>
      </c>
      <c r="M237" s="8">
        <v>45747</v>
      </c>
      <c r="N237" s="1" t="s">
        <v>448</v>
      </c>
      <c r="R237" s="10" t="str">
        <f ca="1">IFERROR(__xludf.DUMMYFUNCTION("JOIN("","", SORT(UNIQUE(TOCOL({VLOOKUP(D237,DM_fish!A:B,2,FALSE),VLOOKUP(C237,DM_fish!A:B,2,FALSE), ARRAYFORMULA(VLOOKUP(SPLIT(E237, "", ""),Injections!B:G,6,FALSE)), ARRAYFORMULA(VLOOKUP(SPLIT(F237, "", ""),Injections!H:M,6,FALSE)), ARRAYFORMULA(VLOOKUP("&amp;"SPLIT(G237, "", ""),Injections!N:S,6,FALSE)), ARRAYFORMULA(VLOOKUP(SPLIT(H237, "", ""),Injections!T:Y,6,FALSE)) },3))))"),"csp,male #19 - bright, low frequency transmission (&lt;10%),488,nuclei")</f>
        <v>csp,male #19 - bright, low frequency transmission (&lt;10%),488,nuclei</v>
      </c>
      <c r="S237" s="10" t="str">
        <f ca="1">IFERROR(__xludf.DUMMYFUNCTION("IFERROR(JOIN("","", SPLIT(R237, "","", TRUE ,TRUE)), """")"),"csp,male #19 - bright, low frequency transmission (&lt;10%),488,nuclei")</f>
        <v>csp,male #19 - bright, low frequency transmission (&lt;10%),488,nuclei</v>
      </c>
      <c r="T237" s="1"/>
      <c r="V237" s="1" t="s">
        <v>203</v>
      </c>
      <c r="W237" s="12" t="str">
        <f ca="1">IFERROR(CONCATENATE("[", CONCATENATE(IF(VLOOKUP(D237,DM_fish!C:X,14, FALSE)&gt;0, CONCATENATE("{",CHAR(34),"target",CHAR(34),":",CHAR(34),VLOOKUP(D237,DM_fish!C:X,13, FALSE),CHAR(34),",", CHAR(34), "excitation",CHAR(34), ":", VLOOKUP(D237,DM_fish!C:X,14, FALSE), ",",  CHAR(34), "camera",CHAR(34), ":", IF(VALUE(VLOOKUP(D237,DM_fish!C:X,14, FALSE))&lt;VALUE(VLOOKUP(V237,imaging_filters!A:K,11, FALSE)), CONCATENATE(CHAR(34),"CamA",CHAR(34)), CONCATENATE(CHAR(34),"CamB",CHAR(34))),"}"), ""),IF(VLOOKUP(D237,DM_fish!C:X,16, FALSE)&gt;0, CONCATENATE(",{",CHAR(34),"target",CHAR(34),":",CHAR(34),VLOOKUP(D237,DM_fish!C:X,15, FALSE),CHAR(34),",", CHAR(34), "excitation",CHAR(34), ":", VLOOKUP(D237,DM_fish!C:X,16, FALSE), ",",  CHAR(34), "camera",CHAR(34), ":", IF(VALUE(VLOOKUP(D237,DM_fish!C:X,16, FALSE))&lt;VALUE(VLOOKUP(V237,imaging_filters!A:K,11, FALSE)), CONCATENATE(CHAR(34),"CamA",CHAR(34)), CONCATENATE(CHAR(34),"CamB",CHAR(34))),"}"), ""),IF(VLOOKUP(D237,DM_fish!C:X,18, FALSE)&gt;0, CONCATENATE(",{",CHAR(34),"target",CHAR(34),":",CHAR(34),VLOOKUP(D237,DM_fish!C:X,17, FALSE),CHAR(34),",", CHAR(34), "excitation",CHAR(34), ":", VLOOKUP(D237,DM_fish!C:X,18, FALSE), ",",  CHAR(34), "camera",CHAR(34), ":", IF(VALUE(VLOOKUP(D237,DM_fish!C:X,18, FALSE))&lt;VALUE(VLOOKUP(V237,imaging_filters!A:K,11, FALSE)), CONCATENATE(CHAR(34),"CamA",CHAR(34)), CONCATENATE(CHAR(34),"CamB",CHAR(34))),"}"), ""),IF(VLOOKUP(D237,DM_fish!C:X,20, FALSE)&gt;0, CONCATENATE(",{",CHAR(34),"target",CHAR(34),":",CHAR(34),VLOOKUP(D237,DM_fish!C:X,19, FALSE),CHAR(34),",", CHAR(34), "excitation",CHAR(34), ":", VLOOKUP(D237,DM_fish!C:X,20, FALSE), ",",  CHAR(34), "camera",CHAR(34), ":", IF(VALUE(VLOOKUP(D237,DM_fish!C:X,20, FALSE))&lt;VALUE(VLOOKUP(V237,imaging_filters!A:K,11, FALSE)), CONCATENATE(CHAR(34),"CamA",CHAR(34)), CONCATENATE(CHAR(34),"CamB",CHAR(34))),"}"), ""),IF(VLOOKUP(D237,DM_fish!C:X,22, FALSE)&gt;0, CONCATENATE(",{",CHAR(34),"target",CHAR(34),":",CHAR(34),VLOOKUP(D237,DM_fish!C:X,21, FALSE),CHAR(34),",", CHAR(34), "excitation",CHAR(34), ":", VLOOKUP(D237,DM_fish!C:X,22, FALSE), ",",  CHAR(34), "camera",CHAR(34), ":", IF(VALUE(VLOOKUP(D237,DM_fish!C:X,22, FALSE))&lt;VALUE(VLOOKUP(V237,imaging_filters!A:K,11, FALSE)), CONCATENATE(CHAR(34),"CamA",CHAR(34)), CONCATENATE(CHAR(34),"CamB",CHAR(34))),"}"), "")), "]"), "")</f>
        <v/>
      </c>
      <c r="X237" s="12" t="str">
        <f ca="1">IFERROR(
CONCATENATE("[", CONCATENATE(IF(VLOOKUP(C237,DM_fish!C:X,14, FALSE)&gt;0, CONCATENATE("{",CHAR(34),"target",CHAR(34),":",CHAR(34),VLOOKUP(C237,DM_fish!C:X,13, FALSE),CHAR(34),",", CHAR(34), "excitation",CHAR(34), ":", VLOOKUP(C237,DM_fish!C:X,14, FALSE), ",",  CHAR(34), "camera",CHAR(34), ":", IF(VALUE(VLOOKUP(C237,DM_fish!C:X,14, FALSE))&lt;VALUE(VLOOKUP(V237,imaging_filters!A:K,11, FALSE)), CONCATENATE(CHAR(34),"CamA",CHAR(34)), CONCATENATE(CHAR(34),"CamB",CHAR(34))),"}"), ""),IF(VLOOKUP(C237,DM_fish!C:X,16, FALSE)&gt;0, CONCATENATE(",{",CHAR(34),"target",CHAR(34),":",CHAR(34),VLOOKUP(C237,DM_fish!C:X,15, FALSE),CHAR(34),",", CHAR(34), "excitation",CHAR(34), ":", VLOOKUP(C237,DM_fish!C:X,16, FALSE), ",",  CHAR(34), "camera",CHAR(34), ":", IF(VALUE(VLOOKUP(C237,DM_fish!C:X,16, FALSE))&lt;VALUE(VLOOKUP(V237,imaging_filters!A:K,11, FALSE)), CONCATENATE(CHAR(34),"CamA",CHAR(34)), CONCATENATE(CHAR(34),"CamB",CHAR(34))),"}"), ""),IF(VLOOKUP(C237,DM_fish!C:X,18, FALSE)&gt;0, CONCATENATE(",{",CHAR(34),"target",CHAR(34),":",CHAR(34),VLOOKUP(C237,DM_fish!C:X,17, FALSE),CHAR(34),",", CHAR(34), "excitation",CHAR(34), ":", VLOOKUP(C237,DM_fish!C:X,18, FALSE), ",",  CHAR(34), "camera",CHAR(34), ":", IF(VALUE(VLOOKUP(C237,DM_fish!C:X,18, FALSE))&lt;VALUE(VLOOKUP(V237,imaging_filters!A:K,11, FALSE)), CONCATENATE(CHAR(34),"CamA",CHAR(34)), CONCATENATE(CHAR(34),"CamB",CHAR(34))),"}"), ""),IF(VLOOKUP(C237,DM_fish!C:X,20, FALSE)&gt;0, CONCATENATE(",{",CHAR(34),"target",CHAR(34),":",CHAR(34),VLOOKUP(C237,DM_fish!C:X,19, FALSE),CHAR(34),",", CHAR(34), "excitation",CHAR(34), ":", VLOOKUP(C237,DM_fish!C:X,20, FALSE), ",",  CHAR(34), "camera",CHAR(34), ":", IF(VALUE(VLOOKUP(C237,DM_fish!C:X,20, FALSE))&lt;VALUE(VLOOKUP(V237,imaging_filters!A:K,11, FALSE)), CONCATENATE(CHAR(34),"CamA",CHAR(34)), CONCATENATE(CHAR(34),"CamB",CHAR(34))),"}"), ""),IF(VLOOKUP(C237,DM_fish!C:X,22, FALSE)&gt;0, CONCATENATE(",{",CHAR(34),"target",CHAR(34),":",CHAR(34),VLOOKUP(C237,DM_fish!C:X,21, FALSE),CHAR(34),",", CHAR(34), "excitation",CHAR(34), ":", VLOOKUP(C237,DM_fish!C:X,22, FALSE), ",",  CHAR(34), "camera",CHAR(34), ":", IF(VALUE(VLOOKUP(C237,DM_fish!C:X,22, FALSE))&lt;VALUE(VLOOKUP(V237,imaging_filters!A:K,11, FALSE)), CONCATENATE(CHAR(34),"CamA",CHAR(34)), CONCATENATE(CHAR(34),"CamB",CHAR(34))),"}"), "")), "]"), "")</f>
        <v/>
      </c>
      <c r="Y237" s="11" t="str">
        <f ca="1">IFERROR(
CONCATENATE( "[",
IF(VLOOKUP(E237,Injections!B:F,3, FALSE)&gt;0, CONCATENATE( "{",CHAR(34),"target",CHAR(34),":",CHAR(34),VLOOKUP(E237,Injections!B:F,2, FALSE),CHAR(34),",", CHAR(34), "excitation",CHAR(34), ":", VLOOKUP(E237,Injections!B:F,3, FALSE), ",",  CHAR(34), "camera",CHAR(34), ":",
IF(VALUE(VLOOKUP(E237,Injections!B:F,3, FALSE))&lt;VALUE(VLOOKUP(V237,imaging_filters!A:C,2, FALSE)), CONCATENATE(CHAR(34),"CamA",CHAR(34)), CONCATENATE(CHAR(34),"CamB",CHAR(34))),"}"), ""),
IF(VLOOKUP(E237,Injections!B:F,5, FALSE)&gt;0, CONCATENATE(",{",CHAR(34),"target",CHAR(34),":",CHAR(34),VLOOKUP(E237,Injections!B:F,4, FALSE),CHAR(34),",", CHAR(34), "excitation",CHAR(34), ":", VLOOKUP(E237,Injections!B:F,5, FALSE), ",",  CHAR(34), "camera",CHAR(34), ":",
IF(VALUE(VLOOKUP(E237,Injections!B:F,5, FALSE))&lt;VALUE(VLOOKUP(V237,imaging_filters!A:C,2, FALSE)), CONCATENATE(CHAR(34),"CamA",CHAR(34)), CONCATENATE(CHAR(34),"CamB",CHAR(34))),"}"), ""),
 "]"), "[]")</f>
        <v>[]</v>
      </c>
      <c r="Z237" s="11" t="str">
        <f ca="1">IFERROR(
CONCATENATE( "[",
IF(VLOOKUP(F237,Injections!H:L,3, FALSE)&gt;0, CONCATENATE( "{",CHAR(34),"target",CHAR(34),":",CHAR(34),VLOOKUP(F237,Injections!H:L,2, FALSE),CHAR(34),",", CHAR(34), "excitation",CHAR(34), ":", VLOOKUP(F237,Injections!H:L,3, FALSE), ",",  CHAR(34), "camera",CHAR(34), ":",
IF(VALUE(VLOOKUP(F237,Injections!H:L,3, FALSE))&lt;VALUE(VLOOKUP(V237,imaging_filters!A:K,11, FALSE)), CONCATENATE(CHAR(34),"CamA",CHAR(34)), CONCATENATE(CHAR(34),"CamB",CHAR(34))),"}"), ""),
IF(VLOOKUP(F237,Injections!H:L,5, FALSE)&gt;0, CONCATENATE(",{",CHAR(34),"target",CHAR(34),":",CHAR(34),VLOOKUP(F237,Injections!H:L,4, FALSE),CHAR(34),",", CHAR(34), "excitation",CHAR(34), ":", VLOOKUP(F237,Injections!H:L,5, FALSE), ",",  CHAR(34), "camera",CHAR(34), ":",
IF(VALUE(VLOOKUP(F237,Injections!H:L,5, FALSE))&lt;VALUE(VLOOKUP(V237,imaging_filters!A:K,11, FALSE)), CONCATENATE(CHAR(34),"CamA",CHAR(34)), CONCATENATE(CHAR(34),"CamB",CHAR(34))),"}"), ""),
 "]"), "[]")</f>
        <v>[{"target":"nuclei","excitation":560,"camera":"CamB"}]</v>
      </c>
      <c r="AA237" s="11"/>
    </row>
    <row r="238" spans="1:27" ht="15.75" customHeight="1" x14ac:dyDescent="0.15">
      <c r="A238" s="7">
        <f t="shared" si="6"/>
        <v>45744</v>
      </c>
      <c r="B238" s="1"/>
      <c r="C238" s="1" t="s">
        <v>253</v>
      </c>
      <c r="D238" s="1" t="s">
        <v>430</v>
      </c>
      <c r="E238" s="1"/>
      <c r="F238" s="1" t="s">
        <v>449</v>
      </c>
      <c r="G238" s="8"/>
      <c r="H238" s="8"/>
      <c r="I238" s="8">
        <v>45742</v>
      </c>
      <c r="J238" s="1" t="s">
        <v>450</v>
      </c>
      <c r="K238" s="1" t="s">
        <v>393</v>
      </c>
      <c r="L238" s="19">
        <v>45743</v>
      </c>
      <c r="M238" s="8">
        <v>45744</v>
      </c>
      <c r="N238" s="9">
        <v>0.4375</v>
      </c>
      <c r="O238" s="9">
        <v>0.45833333333333331</v>
      </c>
      <c r="P238" s="9">
        <v>0.60763888888888884</v>
      </c>
      <c r="Q238" s="1" t="s">
        <v>395</v>
      </c>
      <c r="R238" s="10" t="str">
        <f ca="1">IFERROR(__xludf.DUMMYFUNCTION("JOIN("","", SORT(UNIQUE(TOCOL({VLOOKUP(D238,DM_fish!A:B,2,FALSE),VLOOKUP(C238,DM_fish!A:B,2,FALSE), ARRAYFORMULA(VLOOKUP(SPLIT(E238, "", ""),Injections!B:G,6,FALSE)), ARRAYFORMULA(VLOOKUP(SPLIT(F238, "", ""),Injections!H:M,6,FALSE)), ARRAYFORMULA(VLOOKUP("&amp;"SPLIT(G238, "", ""),Injections!N:S,6,FALSE)), ARRAYFORMULA(VLOOKUP(SPLIT(H238, "", ""),Injections!T:Y,6,FALSE)) },3))))"),",csp,male C - ~10% frequency exorH:GFP (+) embryos,405,445")</f>
        <v>,csp,male C - ~10% frequency exorH:GFP (+) embryos,405,445</v>
      </c>
      <c r="S238" s="10" t="str">
        <f ca="1">IFERROR(__xludf.DUMMYFUNCTION("IFERROR(JOIN("","", SPLIT(R238, "","", TRUE ,TRUE)), """")"),"csp,male C - ~10% frequency exorH:GFP (+) embryos,405,445")</f>
        <v>csp,male C - ~10% frequency exorH:GFP (+) embryos,405,445</v>
      </c>
      <c r="T238" s="1" t="s">
        <v>451</v>
      </c>
      <c r="V238" s="1" t="s">
        <v>280</v>
      </c>
      <c r="W238" s="12" t="str">
        <f ca="1">IFERROR(CONCATENATE("[", CONCATENATE(IF(VLOOKUP(D238,DM_fish!C:X,14, FALSE)&gt;0, CONCATENATE("{",CHAR(34),"target",CHAR(34),":",CHAR(34),VLOOKUP(D238,DM_fish!C:X,13, FALSE),CHAR(34),",", CHAR(34), "excitation",CHAR(34), ":", VLOOKUP(D238,DM_fish!C:X,14, FALSE), ",",  CHAR(34), "camera",CHAR(34), ":", IF(VALUE(VLOOKUP(D238,DM_fish!C:X,14, FALSE))&lt;VALUE(VLOOKUP(V238,imaging_filters!A:K,11, FALSE)), CONCATENATE(CHAR(34),"CamA",CHAR(34)), CONCATENATE(CHAR(34),"CamB",CHAR(34))),"}"), ""),IF(VLOOKUP(D238,DM_fish!C:X,16, FALSE)&gt;0, CONCATENATE(",{",CHAR(34),"target",CHAR(34),":",CHAR(34),VLOOKUP(D238,DM_fish!C:X,15, FALSE),CHAR(34),",", CHAR(34), "excitation",CHAR(34), ":", VLOOKUP(D238,DM_fish!C:X,16, FALSE), ",",  CHAR(34), "camera",CHAR(34), ":", IF(VALUE(VLOOKUP(D238,DM_fish!C:X,16, FALSE))&lt;VALUE(VLOOKUP(V238,imaging_filters!A:K,11, FALSE)), CONCATENATE(CHAR(34),"CamA",CHAR(34)), CONCATENATE(CHAR(34),"CamB",CHAR(34))),"}"), ""),IF(VLOOKUP(D238,DM_fish!C:X,18, FALSE)&gt;0, CONCATENATE(",{",CHAR(34),"target",CHAR(34),":",CHAR(34),VLOOKUP(D238,DM_fish!C:X,17, FALSE),CHAR(34),",", CHAR(34), "excitation",CHAR(34), ":", VLOOKUP(D238,DM_fish!C:X,18, FALSE), ",",  CHAR(34), "camera",CHAR(34), ":", IF(VALUE(VLOOKUP(D238,DM_fish!C:X,18, FALSE))&lt;VALUE(VLOOKUP(V238,imaging_filters!A:K,11, FALSE)), CONCATENATE(CHAR(34),"CamA",CHAR(34)), CONCATENATE(CHAR(34),"CamB",CHAR(34))),"}"), ""),IF(VLOOKUP(D238,DM_fish!C:X,20, FALSE)&gt;0, CONCATENATE(",{",CHAR(34),"target",CHAR(34),":",CHAR(34),VLOOKUP(D238,DM_fish!C:X,19, FALSE),CHAR(34),",", CHAR(34), "excitation",CHAR(34), ":", VLOOKUP(D238,DM_fish!C:X,20, FALSE), ",",  CHAR(34), "camera",CHAR(34), ":", IF(VALUE(VLOOKUP(D238,DM_fish!C:X,20, FALSE))&lt;VALUE(VLOOKUP(V238,imaging_filters!A:K,11, FALSE)), CONCATENATE(CHAR(34),"CamA",CHAR(34)), CONCATENATE(CHAR(34),"CamB",CHAR(34))),"}"), ""),IF(VLOOKUP(D238,DM_fish!C:X,22, FALSE)&gt;0, CONCATENATE(",{",CHAR(34),"target",CHAR(34),":",CHAR(34),VLOOKUP(D238,DM_fish!C:X,21, FALSE),CHAR(34),",", CHAR(34), "excitation",CHAR(34), ":", VLOOKUP(D238,DM_fish!C:X,22, FALSE), ",",  CHAR(34), "camera",CHAR(34), ":", IF(VALUE(VLOOKUP(D238,DM_fish!C:X,22, FALSE))&lt;VALUE(VLOOKUP(V238,imaging_filters!A:K,11, FALSE)), CONCATENATE(CHAR(34),"CamA",CHAR(34)), CONCATENATE(CHAR(34),"CamB",CHAR(34))),"}"), "")), "]"), "")</f>
        <v/>
      </c>
      <c r="X238" s="12" t="str">
        <f ca="1">IFERROR(
CONCATENATE("[", CONCATENATE(IF(VLOOKUP(C238,DM_fish!C:X,14, FALSE)&gt;0, CONCATENATE("{",CHAR(34),"target",CHAR(34),":",CHAR(34),VLOOKUP(C238,DM_fish!C:X,13, FALSE),CHAR(34),",", CHAR(34), "excitation",CHAR(34), ":", VLOOKUP(C238,DM_fish!C:X,14, FALSE), ",",  CHAR(34), "camera",CHAR(34), ":", IF(VALUE(VLOOKUP(C238,DM_fish!C:X,14, FALSE))&lt;VALUE(VLOOKUP(V238,imaging_filters!A:K,11, FALSE)), CONCATENATE(CHAR(34),"CamA",CHAR(34)), CONCATENATE(CHAR(34),"CamB",CHAR(34))),"}"), ""),IF(VLOOKUP(C238,DM_fish!C:X,16, FALSE)&gt;0, CONCATENATE(",{",CHAR(34),"target",CHAR(34),":",CHAR(34),VLOOKUP(C238,DM_fish!C:X,15, FALSE),CHAR(34),",", CHAR(34), "excitation",CHAR(34), ":", VLOOKUP(C238,DM_fish!C:X,16, FALSE), ",",  CHAR(34), "camera",CHAR(34), ":", IF(VALUE(VLOOKUP(C238,DM_fish!C:X,16, FALSE))&lt;VALUE(VLOOKUP(V238,imaging_filters!A:K,11, FALSE)), CONCATENATE(CHAR(34),"CamA",CHAR(34)), CONCATENATE(CHAR(34),"CamB",CHAR(34))),"}"), ""),IF(VLOOKUP(C238,DM_fish!C:X,18, FALSE)&gt;0, CONCATENATE(",{",CHAR(34),"target",CHAR(34),":",CHAR(34),VLOOKUP(C238,DM_fish!C:X,17, FALSE),CHAR(34),",", CHAR(34), "excitation",CHAR(34), ":", VLOOKUP(C238,DM_fish!C:X,18, FALSE), ",",  CHAR(34), "camera",CHAR(34), ":", IF(VALUE(VLOOKUP(C238,DM_fish!C:X,18, FALSE))&lt;VALUE(VLOOKUP(V238,imaging_filters!A:K,11, FALSE)), CONCATENATE(CHAR(34),"CamA",CHAR(34)), CONCATENATE(CHAR(34),"CamB",CHAR(34))),"}"), ""),IF(VLOOKUP(C238,DM_fish!C:X,20, FALSE)&gt;0, CONCATENATE(",{",CHAR(34),"target",CHAR(34),":",CHAR(34),VLOOKUP(C238,DM_fish!C:X,19, FALSE),CHAR(34),",", CHAR(34), "excitation",CHAR(34), ":", VLOOKUP(C238,DM_fish!C:X,20, FALSE), ",",  CHAR(34), "camera",CHAR(34), ":", IF(VALUE(VLOOKUP(C238,DM_fish!C:X,20, FALSE))&lt;VALUE(VLOOKUP(V238,imaging_filters!A:K,11, FALSE)), CONCATENATE(CHAR(34),"CamA",CHAR(34)), CONCATENATE(CHAR(34),"CamB",CHAR(34))),"}"), ""),IF(VLOOKUP(C238,DM_fish!C:X,22, FALSE)&gt;0, CONCATENATE(",{",CHAR(34),"target",CHAR(34),":",CHAR(34),VLOOKUP(C238,DM_fish!C:X,21, FALSE),CHAR(34),",", CHAR(34), "excitation",CHAR(34), ":", VLOOKUP(C238,DM_fish!C:X,22, FALSE), ",",  CHAR(34), "camera",CHAR(34), ":", IF(VALUE(VLOOKUP(C238,DM_fish!C:X,22, FALSE))&lt;VALUE(VLOOKUP(V238,imaging_filters!A:K,11, FALSE)), CONCATENATE(CHAR(34),"CamA",CHAR(34)), CONCATENATE(CHAR(34),"CamB",CHAR(34))),"}"), "")), "]"), "")</f>
        <v/>
      </c>
      <c r="Y238" s="11" t="str">
        <f ca="1">IFERROR(
CONCATENATE( "[",
IF(VLOOKUP(E238,Injections!B:F,3, FALSE)&gt;0, CONCATENATE( "{",CHAR(34),"target",CHAR(34),":",CHAR(34),VLOOKUP(E238,Injections!B:F,2, FALSE),CHAR(34),",", CHAR(34), "excitation",CHAR(34), ":", VLOOKUP(E238,Injections!B:F,3, FALSE), ",",  CHAR(34), "camera",CHAR(34), ":",
IF(VALUE(VLOOKUP(E238,Injections!B:F,3, FALSE))&lt;VALUE(VLOOKUP(V238,imaging_filters!A:C,2, FALSE)), CONCATENATE(CHAR(34),"CamA",CHAR(34)), CONCATENATE(CHAR(34),"CamB",CHAR(34))),"}"), ""),
IF(VLOOKUP(E238,Injections!B:F,5, FALSE)&gt;0, CONCATENATE(",{",CHAR(34),"target",CHAR(34),":",CHAR(34),VLOOKUP(E238,Injections!B:F,4, FALSE),CHAR(34),",", CHAR(34), "excitation",CHAR(34), ":", VLOOKUP(E238,Injections!B:F,5, FALSE), ",",  CHAR(34), "camera",CHAR(34), ":",
IF(VALUE(VLOOKUP(E238,Injections!B:F,5, FALSE))&lt;VALUE(VLOOKUP(V238,imaging_filters!A:C,2, FALSE)), CONCATENATE(CHAR(34),"CamA",CHAR(34)), CONCATENATE(CHAR(34),"CamB",CHAR(34))),"}"), ""),
 "]"), "[]")</f>
        <v>[]</v>
      </c>
      <c r="Z238" s="11" t="str">
        <f ca="1">IFERROR(
CONCATENATE( "[",
IF(VLOOKUP(F238,Injections!H:L,3, FALSE)&gt;0, CONCATENATE( "{",CHAR(34),"target",CHAR(34),":",CHAR(34),VLOOKUP(F238,Injections!H:L,2, FALSE),CHAR(34),",", CHAR(34), "excitation",CHAR(34), ":", VLOOKUP(F238,Injections!H:L,3, FALSE), ",",  CHAR(34), "camera",CHAR(34), ":",
IF(VALUE(VLOOKUP(F238,Injections!H:L,3, FALSE))&lt;VALUE(VLOOKUP(V238,imaging_filters!A:K,11, FALSE)), CONCATENATE(CHAR(34),"CamA",CHAR(34)), CONCATENATE(CHAR(34),"CamB",CHAR(34))),"}"), ""),
IF(VLOOKUP(F238,Injections!H:L,5, FALSE)&gt;0, CONCATENATE(",{",CHAR(34),"target",CHAR(34),":",CHAR(34),VLOOKUP(F238,Injections!H:L,4, FALSE),CHAR(34),",", CHAR(34), "excitation",CHAR(34), ":", VLOOKUP(F238,Injections!H:L,5, FALSE), ",",  CHAR(34), "camera",CHAR(34), ":",
IF(VALUE(VLOOKUP(F238,Injections!H:L,5, FALSE))&lt;VALUE(VLOOKUP(V238,imaging_filters!A:K,11, FALSE)), CONCATENATE(CHAR(34),"CamA",CHAR(34)), CONCATENATE(CHAR(34),"CamB",CHAR(34))),"}"), ""),
 "]"), "[]")</f>
        <v>[]</v>
      </c>
      <c r="AA238" s="11"/>
    </row>
    <row r="239" spans="1:27" ht="15.75" customHeight="1" x14ac:dyDescent="0.15">
      <c r="A239" s="7">
        <f t="shared" si="6"/>
        <v>45744</v>
      </c>
      <c r="B239" s="1"/>
      <c r="C239" s="1" t="s">
        <v>253</v>
      </c>
      <c r="D239" s="1" t="s">
        <v>430</v>
      </c>
      <c r="E239" s="1"/>
      <c r="F239" s="1" t="s">
        <v>449</v>
      </c>
      <c r="G239" s="8"/>
      <c r="H239" s="8"/>
      <c r="I239" s="8">
        <v>45742</v>
      </c>
      <c r="J239" s="1" t="s">
        <v>450</v>
      </c>
      <c r="K239" s="1" t="s">
        <v>393</v>
      </c>
      <c r="L239" s="19">
        <v>45743</v>
      </c>
      <c r="M239" s="8">
        <v>45744</v>
      </c>
      <c r="N239" s="9">
        <v>0.4375</v>
      </c>
      <c r="O239" s="9">
        <v>0.625</v>
      </c>
      <c r="P239" s="9">
        <v>0.78125</v>
      </c>
      <c r="Q239" s="1" t="s">
        <v>395</v>
      </c>
      <c r="R239" s="10" t="str">
        <f ca="1">IFERROR(__xludf.DUMMYFUNCTION("JOIN("","", SORT(UNIQUE(TOCOL({VLOOKUP(D239,DM_fish!A:B,2,FALSE),VLOOKUP(C239,DM_fish!A:B,2,FALSE), ARRAYFORMULA(VLOOKUP(SPLIT(E239, "", ""),Injections!B:G,6,FALSE)), ARRAYFORMULA(VLOOKUP(SPLIT(F239, "", ""),Injections!H:M,6,FALSE)), ARRAYFORMULA(VLOOKUP("&amp;"SPLIT(G239, "", ""),Injections!N:S,6,FALSE)), ARRAYFORMULA(VLOOKUP(SPLIT(H239, "", ""),Injections!T:Y,6,FALSE)) },3))))"),",csp,male C - ~10% frequency exorH:GFP (+) embryos,405,445")</f>
        <v>,csp,male C - ~10% frequency exorH:GFP (+) embryos,405,445</v>
      </c>
      <c r="S239" s="10" t="str">
        <f ca="1">IFERROR(__xludf.DUMMYFUNCTION("IFERROR(JOIN("","", SPLIT(R239, "","", TRUE ,TRUE)), """")"),"csp,male C - ~10% frequency exorH:GFP (+) embryos,405,445")</f>
        <v>csp,male C - ~10% frequency exorH:GFP (+) embryos,405,445</v>
      </c>
      <c r="T239" s="1" t="s">
        <v>452</v>
      </c>
      <c r="V239" s="1" t="s">
        <v>280</v>
      </c>
      <c r="W239" s="12" t="str">
        <f ca="1">IFERROR(CONCATENATE("[", CONCATENATE(IF(VLOOKUP(D239,DM_fish!C:X,14, FALSE)&gt;0, CONCATENATE("{",CHAR(34),"target",CHAR(34),":",CHAR(34),VLOOKUP(D239,DM_fish!C:X,13, FALSE),CHAR(34),",", CHAR(34), "excitation",CHAR(34), ":", VLOOKUP(D239,DM_fish!C:X,14, FALSE), ",",  CHAR(34), "camera",CHAR(34), ":", IF(VALUE(VLOOKUP(D239,DM_fish!C:X,14, FALSE))&lt;VALUE(VLOOKUP(V239,imaging_filters!A:K,11, FALSE)), CONCATENATE(CHAR(34),"CamA",CHAR(34)), CONCATENATE(CHAR(34),"CamB",CHAR(34))),"}"), ""),IF(VLOOKUP(D239,DM_fish!C:X,16, FALSE)&gt;0, CONCATENATE(",{",CHAR(34),"target",CHAR(34),":",CHAR(34),VLOOKUP(D239,DM_fish!C:X,15, FALSE),CHAR(34),",", CHAR(34), "excitation",CHAR(34), ":", VLOOKUP(D239,DM_fish!C:X,16, FALSE), ",",  CHAR(34), "camera",CHAR(34), ":", IF(VALUE(VLOOKUP(D239,DM_fish!C:X,16, FALSE))&lt;VALUE(VLOOKUP(V239,imaging_filters!A:K,11, FALSE)), CONCATENATE(CHAR(34),"CamA",CHAR(34)), CONCATENATE(CHAR(34),"CamB",CHAR(34))),"}"), ""),IF(VLOOKUP(D239,DM_fish!C:X,18, FALSE)&gt;0, CONCATENATE(",{",CHAR(34),"target",CHAR(34),":",CHAR(34),VLOOKUP(D239,DM_fish!C:X,17, FALSE),CHAR(34),",", CHAR(34), "excitation",CHAR(34), ":", VLOOKUP(D239,DM_fish!C:X,18, FALSE), ",",  CHAR(34), "camera",CHAR(34), ":", IF(VALUE(VLOOKUP(D239,DM_fish!C:X,18, FALSE))&lt;VALUE(VLOOKUP(V239,imaging_filters!A:K,11, FALSE)), CONCATENATE(CHAR(34),"CamA",CHAR(34)), CONCATENATE(CHAR(34),"CamB",CHAR(34))),"}"), ""),IF(VLOOKUP(D239,DM_fish!C:X,20, FALSE)&gt;0, CONCATENATE(",{",CHAR(34),"target",CHAR(34),":",CHAR(34),VLOOKUP(D239,DM_fish!C:X,19, FALSE),CHAR(34),",", CHAR(34), "excitation",CHAR(34), ":", VLOOKUP(D239,DM_fish!C:X,20, FALSE), ",",  CHAR(34), "camera",CHAR(34), ":", IF(VALUE(VLOOKUP(D239,DM_fish!C:X,20, FALSE))&lt;VALUE(VLOOKUP(V239,imaging_filters!A:K,11, FALSE)), CONCATENATE(CHAR(34),"CamA",CHAR(34)), CONCATENATE(CHAR(34),"CamB",CHAR(34))),"}"), ""),IF(VLOOKUP(D239,DM_fish!C:X,22, FALSE)&gt;0, CONCATENATE(",{",CHAR(34),"target",CHAR(34),":",CHAR(34),VLOOKUP(D239,DM_fish!C:X,21, FALSE),CHAR(34),",", CHAR(34), "excitation",CHAR(34), ":", VLOOKUP(D239,DM_fish!C:X,22, FALSE), ",",  CHAR(34), "camera",CHAR(34), ":", IF(VALUE(VLOOKUP(D239,DM_fish!C:X,22, FALSE))&lt;VALUE(VLOOKUP(V239,imaging_filters!A:K,11, FALSE)), CONCATENATE(CHAR(34),"CamA",CHAR(34)), CONCATENATE(CHAR(34),"CamB",CHAR(34))),"}"), "")), "]"), "")</f>
        <v/>
      </c>
      <c r="X239" s="12" t="str">
        <f ca="1">IFERROR(
CONCATENATE("[", CONCATENATE(IF(VLOOKUP(C239,DM_fish!C:X,14, FALSE)&gt;0, CONCATENATE("{",CHAR(34),"target",CHAR(34),":",CHAR(34),VLOOKUP(C239,DM_fish!C:X,13, FALSE),CHAR(34),",", CHAR(34), "excitation",CHAR(34), ":", VLOOKUP(C239,DM_fish!C:X,14, FALSE), ",",  CHAR(34), "camera",CHAR(34), ":", IF(VALUE(VLOOKUP(C239,DM_fish!C:X,14, FALSE))&lt;VALUE(VLOOKUP(V239,imaging_filters!A:K,11, FALSE)), CONCATENATE(CHAR(34),"CamA",CHAR(34)), CONCATENATE(CHAR(34),"CamB",CHAR(34))),"}"), ""),IF(VLOOKUP(C239,DM_fish!C:X,16, FALSE)&gt;0, CONCATENATE(",{",CHAR(34),"target",CHAR(34),":",CHAR(34),VLOOKUP(C239,DM_fish!C:X,15, FALSE),CHAR(34),",", CHAR(34), "excitation",CHAR(34), ":", VLOOKUP(C239,DM_fish!C:X,16, FALSE), ",",  CHAR(34), "camera",CHAR(34), ":", IF(VALUE(VLOOKUP(C239,DM_fish!C:X,16, FALSE))&lt;VALUE(VLOOKUP(V239,imaging_filters!A:K,11, FALSE)), CONCATENATE(CHAR(34),"CamA",CHAR(34)), CONCATENATE(CHAR(34),"CamB",CHAR(34))),"}"), ""),IF(VLOOKUP(C239,DM_fish!C:X,18, FALSE)&gt;0, CONCATENATE(",{",CHAR(34),"target",CHAR(34),":",CHAR(34),VLOOKUP(C239,DM_fish!C:X,17, FALSE),CHAR(34),",", CHAR(34), "excitation",CHAR(34), ":", VLOOKUP(C239,DM_fish!C:X,18, FALSE), ",",  CHAR(34), "camera",CHAR(34), ":", IF(VALUE(VLOOKUP(C239,DM_fish!C:X,18, FALSE))&lt;VALUE(VLOOKUP(V239,imaging_filters!A:K,11, FALSE)), CONCATENATE(CHAR(34),"CamA",CHAR(34)), CONCATENATE(CHAR(34),"CamB",CHAR(34))),"}"), ""),IF(VLOOKUP(C239,DM_fish!C:X,20, FALSE)&gt;0, CONCATENATE(",{",CHAR(34),"target",CHAR(34),":",CHAR(34),VLOOKUP(C239,DM_fish!C:X,19, FALSE),CHAR(34),",", CHAR(34), "excitation",CHAR(34), ":", VLOOKUP(C239,DM_fish!C:X,20, FALSE), ",",  CHAR(34), "camera",CHAR(34), ":", IF(VALUE(VLOOKUP(C239,DM_fish!C:X,20, FALSE))&lt;VALUE(VLOOKUP(V239,imaging_filters!A:K,11, FALSE)), CONCATENATE(CHAR(34),"CamA",CHAR(34)), CONCATENATE(CHAR(34),"CamB",CHAR(34))),"}"), ""),IF(VLOOKUP(C239,DM_fish!C:X,22, FALSE)&gt;0, CONCATENATE(",{",CHAR(34),"target",CHAR(34),":",CHAR(34),VLOOKUP(C239,DM_fish!C:X,21, FALSE),CHAR(34),",", CHAR(34), "excitation",CHAR(34), ":", VLOOKUP(C239,DM_fish!C:X,22, FALSE), ",",  CHAR(34), "camera",CHAR(34), ":", IF(VALUE(VLOOKUP(C239,DM_fish!C:X,22, FALSE))&lt;VALUE(VLOOKUP(V239,imaging_filters!A:K,11, FALSE)), CONCATENATE(CHAR(34),"CamA",CHAR(34)), CONCATENATE(CHAR(34),"CamB",CHAR(34))),"}"), "")), "]"), "")</f>
        <v/>
      </c>
      <c r="Y239" s="11" t="str">
        <f ca="1">IFERROR(
CONCATENATE( "[",
IF(VLOOKUP(E239,Injections!B:F,3, FALSE)&gt;0, CONCATENATE( "{",CHAR(34),"target",CHAR(34),":",CHAR(34),VLOOKUP(E239,Injections!B:F,2, FALSE),CHAR(34),",", CHAR(34), "excitation",CHAR(34), ":", VLOOKUP(E239,Injections!B:F,3, FALSE), ",",  CHAR(34), "camera",CHAR(34), ":",
IF(VALUE(VLOOKUP(E239,Injections!B:F,3, FALSE))&lt;VALUE(VLOOKUP(V239,imaging_filters!A:C,2, FALSE)), CONCATENATE(CHAR(34),"CamA",CHAR(34)), CONCATENATE(CHAR(34),"CamB",CHAR(34))),"}"), ""),
IF(VLOOKUP(E239,Injections!B:F,5, FALSE)&gt;0, CONCATENATE(",{",CHAR(34),"target",CHAR(34),":",CHAR(34),VLOOKUP(E239,Injections!B:F,4, FALSE),CHAR(34),",", CHAR(34), "excitation",CHAR(34), ":", VLOOKUP(E239,Injections!B:F,5, FALSE), ",",  CHAR(34), "camera",CHAR(34), ":",
IF(VALUE(VLOOKUP(E239,Injections!B:F,5, FALSE))&lt;VALUE(VLOOKUP(V239,imaging_filters!A:C,2, FALSE)), CONCATENATE(CHAR(34),"CamA",CHAR(34)), CONCATENATE(CHAR(34),"CamB",CHAR(34))),"}"), ""),
 "]"), "[]")</f>
        <v>[]</v>
      </c>
      <c r="Z239" s="11" t="str">
        <f ca="1">IFERROR(
CONCATENATE( "[",
IF(VLOOKUP(F239,Injections!H:L,3, FALSE)&gt;0, CONCATENATE( "{",CHAR(34),"target",CHAR(34),":",CHAR(34),VLOOKUP(F239,Injections!H:L,2, FALSE),CHAR(34),",", CHAR(34), "excitation",CHAR(34), ":", VLOOKUP(F239,Injections!H:L,3, FALSE), ",",  CHAR(34), "camera",CHAR(34), ":",
IF(VALUE(VLOOKUP(F239,Injections!H:L,3, FALSE))&lt;VALUE(VLOOKUP(V239,imaging_filters!A:K,11, FALSE)), CONCATENATE(CHAR(34),"CamA",CHAR(34)), CONCATENATE(CHAR(34),"CamB",CHAR(34))),"}"), ""),
IF(VLOOKUP(F239,Injections!H:L,5, FALSE)&gt;0, CONCATENATE(",{",CHAR(34),"target",CHAR(34),":",CHAR(34),VLOOKUP(F239,Injections!H:L,4, FALSE),CHAR(34),",", CHAR(34), "excitation",CHAR(34), ":", VLOOKUP(F239,Injections!H:L,5, FALSE), ",",  CHAR(34), "camera",CHAR(34), ":",
IF(VALUE(VLOOKUP(F239,Injections!H:L,5, FALSE))&lt;VALUE(VLOOKUP(V239,imaging_filters!A:K,11, FALSE)), CONCATENATE(CHAR(34),"CamA",CHAR(34)), CONCATENATE(CHAR(34),"CamB",CHAR(34))),"}"), ""),
 "]"), "[]")</f>
        <v>[]</v>
      </c>
      <c r="AA239" s="11"/>
    </row>
    <row r="240" spans="1:27" ht="15.75" customHeight="1" x14ac:dyDescent="0.15">
      <c r="A240" s="7">
        <v>45743</v>
      </c>
      <c r="B240" s="1"/>
      <c r="C240" s="1" t="s">
        <v>253</v>
      </c>
      <c r="D240" s="1" t="s">
        <v>430</v>
      </c>
      <c r="E240" s="1"/>
      <c r="F240" s="1" t="s">
        <v>449</v>
      </c>
      <c r="G240" s="8"/>
      <c r="H240" s="8"/>
      <c r="I240" s="8">
        <v>45742</v>
      </c>
      <c r="J240" s="1" t="s">
        <v>453</v>
      </c>
      <c r="K240" s="1" t="s">
        <v>246</v>
      </c>
      <c r="L240" s="19">
        <v>45743</v>
      </c>
      <c r="M240" s="8">
        <v>45744</v>
      </c>
      <c r="N240" s="9">
        <v>0.79166666666666663</v>
      </c>
      <c r="O240" s="9">
        <v>0.80208333333333337</v>
      </c>
      <c r="P240" s="9">
        <v>0.52083333333333337</v>
      </c>
      <c r="Q240" s="1" t="s">
        <v>167</v>
      </c>
      <c r="R240" s="10" t="str">
        <f ca="1">IFERROR(__xludf.DUMMYFUNCTION("JOIN("","", SORT(UNIQUE(TOCOL({VLOOKUP(D240,DM_fish!A:B,2,FALSE),VLOOKUP(C240,DM_fish!A:B,2,FALSE), ARRAYFORMULA(VLOOKUP(SPLIT(E240, "", ""),Injections!B:G,6,FALSE)), ARRAYFORMULA(VLOOKUP(SPLIT(F240, "", ""),Injections!H:M,6,FALSE)), ARRAYFORMULA(VLOOKUP("&amp;"SPLIT(G240, "", ""),Injections!N:S,6,FALSE)), ARRAYFORMULA(VLOOKUP(SPLIT(H240, "", ""),Injections!T:Y,6,FALSE)) },3))))"),",csp,male C - ~10% frequency exorH:GFP (+) embryos,405,445")</f>
        <v>,csp,male C - ~10% frequency exorH:GFP (+) embryos,405,445</v>
      </c>
      <c r="S240" s="10" t="str">
        <f ca="1">IFERROR(__xludf.DUMMYFUNCTION("IFERROR(JOIN("","", SPLIT(R240, "","", TRUE ,TRUE)), """")"),"csp,male C - ~10% frequency exorH:GFP (+) embryos,405,445")</f>
        <v>csp,male C - ~10% frequency exorH:GFP (+) embryos,405,445</v>
      </c>
      <c r="T240" s="1" t="s">
        <v>454</v>
      </c>
      <c r="V240" s="1" t="s">
        <v>280</v>
      </c>
      <c r="W240" s="12" t="str">
        <f ca="1">IFERROR(CONCATENATE("[", CONCATENATE(IF(VLOOKUP(D240,DM_fish!C:X,14, FALSE)&gt;0, CONCATENATE("{",CHAR(34),"target",CHAR(34),":",CHAR(34),VLOOKUP(D240,DM_fish!C:X,13, FALSE),CHAR(34),",", CHAR(34), "excitation",CHAR(34), ":", VLOOKUP(D240,DM_fish!C:X,14, FALSE), ",",  CHAR(34), "camera",CHAR(34), ":", IF(VALUE(VLOOKUP(D240,DM_fish!C:X,14, FALSE))&lt;VALUE(VLOOKUP(V240,imaging_filters!A:K,11, FALSE)), CONCATENATE(CHAR(34),"CamA",CHAR(34)), CONCATENATE(CHAR(34),"CamB",CHAR(34))),"}"), ""),IF(VLOOKUP(D240,DM_fish!C:X,16, FALSE)&gt;0, CONCATENATE(",{",CHAR(34),"target",CHAR(34),":",CHAR(34),VLOOKUP(D240,DM_fish!C:X,15, FALSE),CHAR(34),",", CHAR(34), "excitation",CHAR(34), ":", VLOOKUP(D240,DM_fish!C:X,16, FALSE), ",",  CHAR(34), "camera",CHAR(34), ":", IF(VALUE(VLOOKUP(D240,DM_fish!C:X,16, FALSE))&lt;VALUE(VLOOKUP(V240,imaging_filters!A:K,11, FALSE)), CONCATENATE(CHAR(34),"CamA",CHAR(34)), CONCATENATE(CHAR(34),"CamB",CHAR(34))),"}"), ""),IF(VLOOKUP(D240,DM_fish!C:X,18, FALSE)&gt;0, CONCATENATE(",{",CHAR(34),"target",CHAR(34),":",CHAR(34),VLOOKUP(D240,DM_fish!C:X,17, FALSE),CHAR(34),",", CHAR(34), "excitation",CHAR(34), ":", VLOOKUP(D240,DM_fish!C:X,18, FALSE), ",",  CHAR(34), "camera",CHAR(34), ":", IF(VALUE(VLOOKUP(D240,DM_fish!C:X,18, FALSE))&lt;VALUE(VLOOKUP(V240,imaging_filters!A:K,11, FALSE)), CONCATENATE(CHAR(34),"CamA",CHAR(34)), CONCATENATE(CHAR(34),"CamB",CHAR(34))),"}"), ""),IF(VLOOKUP(D240,DM_fish!C:X,20, FALSE)&gt;0, CONCATENATE(",{",CHAR(34),"target",CHAR(34),":",CHAR(34),VLOOKUP(D240,DM_fish!C:X,19, FALSE),CHAR(34),",", CHAR(34), "excitation",CHAR(34), ":", VLOOKUP(D240,DM_fish!C:X,20, FALSE), ",",  CHAR(34), "camera",CHAR(34), ":", IF(VALUE(VLOOKUP(D240,DM_fish!C:X,20, FALSE))&lt;VALUE(VLOOKUP(V240,imaging_filters!A:K,11, FALSE)), CONCATENATE(CHAR(34),"CamA",CHAR(34)), CONCATENATE(CHAR(34),"CamB",CHAR(34))),"}"), ""),IF(VLOOKUP(D240,DM_fish!C:X,22, FALSE)&gt;0, CONCATENATE(",{",CHAR(34),"target",CHAR(34),":",CHAR(34),VLOOKUP(D240,DM_fish!C:X,21, FALSE),CHAR(34),",", CHAR(34), "excitation",CHAR(34), ":", VLOOKUP(D240,DM_fish!C:X,22, FALSE), ",",  CHAR(34), "camera",CHAR(34), ":", IF(VALUE(VLOOKUP(D240,DM_fish!C:X,22, FALSE))&lt;VALUE(VLOOKUP(V240,imaging_filters!A:K,11, FALSE)), CONCATENATE(CHAR(34),"CamA",CHAR(34)), CONCATENATE(CHAR(34),"CamB",CHAR(34))),"}"), "")), "]"), "")</f>
        <v/>
      </c>
      <c r="X240" s="12" t="str">
        <f ca="1">IFERROR(
CONCATENATE("[", CONCATENATE(IF(VLOOKUP(C240,DM_fish!C:X,14, FALSE)&gt;0, CONCATENATE("{",CHAR(34),"target",CHAR(34),":",CHAR(34),VLOOKUP(C240,DM_fish!C:X,13, FALSE),CHAR(34),",", CHAR(34), "excitation",CHAR(34), ":", VLOOKUP(C240,DM_fish!C:X,14, FALSE), ",",  CHAR(34), "camera",CHAR(34), ":", IF(VALUE(VLOOKUP(C240,DM_fish!C:X,14, FALSE))&lt;VALUE(VLOOKUP(V240,imaging_filters!A:K,11, FALSE)), CONCATENATE(CHAR(34),"CamA",CHAR(34)), CONCATENATE(CHAR(34),"CamB",CHAR(34))),"}"), ""),IF(VLOOKUP(C240,DM_fish!C:X,16, FALSE)&gt;0, CONCATENATE(",{",CHAR(34),"target",CHAR(34),":",CHAR(34),VLOOKUP(C240,DM_fish!C:X,15, FALSE),CHAR(34),",", CHAR(34), "excitation",CHAR(34), ":", VLOOKUP(C240,DM_fish!C:X,16, FALSE), ",",  CHAR(34), "camera",CHAR(34), ":", IF(VALUE(VLOOKUP(C240,DM_fish!C:X,16, FALSE))&lt;VALUE(VLOOKUP(V240,imaging_filters!A:K,11, FALSE)), CONCATENATE(CHAR(34),"CamA",CHAR(34)), CONCATENATE(CHAR(34),"CamB",CHAR(34))),"}"), ""),IF(VLOOKUP(C240,DM_fish!C:X,18, FALSE)&gt;0, CONCATENATE(",{",CHAR(34),"target",CHAR(34),":",CHAR(34),VLOOKUP(C240,DM_fish!C:X,17, FALSE),CHAR(34),",", CHAR(34), "excitation",CHAR(34), ":", VLOOKUP(C240,DM_fish!C:X,18, FALSE), ",",  CHAR(34), "camera",CHAR(34), ":", IF(VALUE(VLOOKUP(C240,DM_fish!C:X,18, FALSE))&lt;VALUE(VLOOKUP(V240,imaging_filters!A:K,11, FALSE)), CONCATENATE(CHAR(34),"CamA",CHAR(34)), CONCATENATE(CHAR(34),"CamB",CHAR(34))),"}"), ""),IF(VLOOKUP(C240,DM_fish!C:X,20, FALSE)&gt;0, CONCATENATE(",{",CHAR(34),"target",CHAR(34),":",CHAR(34),VLOOKUP(C240,DM_fish!C:X,19, FALSE),CHAR(34),",", CHAR(34), "excitation",CHAR(34), ":", VLOOKUP(C240,DM_fish!C:X,20, FALSE), ",",  CHAR(34), "camera",CHAR(34), ":", IF(VALUE(VLOOKUP(C240,DM_fish!C:X,20, FALSE))&lt;VALUE(VLOOKUP(V240,imaging_filters!A:K,11, FALSE)), CONCATENATE(CHAR(34),"CamA",CHAR(34)), CONCATENATE(CHAR(34),"CamB",CHAR(34))),"}"), ""),IF(VLOOKUP(C240,DM_fish!C:X,22, FALSE)&gt;0, CONCATENATE(",{",CHAR(34),"target",CHAR(34),":",CHAR(34),VLOOKUP(C240,DM_fish!C:X,21, FALSE),CHAR(34),",", CHAR(34), "excitation",CHAR(34), ":", VLOOKUP(C240,DM_fish!C:X,22, FALSE), ",",  CHAR(34), "camera",CHAR(34), ":", IF(VALUE(VLOOKUP(C240,DM_fish!C:X,22, FALSE))&lt;VALUE(VLOOKUP(V240,imaging_filters!A:K,11, FALSE)), CONCATENATE(CHAR(34),"CamA",CHAR(34)), CONCATENATE(CHAR(34),"CamB",CHAR(34))),"}"), "")), "]"), "")</f>
        <v/>
      </c>
      <c r="Y240" s="11" t="str">
        <f ca="1">IFERROR(
CONCATENATE( "[",
IF(VLOOKUP(E240,Injections!B:F,3, FALSE)&gt;0, CONCATENATE( "{",CHAR(34),"target",CHAR(34),":",CHAR(34),VLOOKUP(E240,Injections!B:F,2, FALSE),CHAR(34),",", CHAR(34), "excitation",CHAR(34), ":", VLOOKUP(E240,Injections!B:F,3, FALSE), ",",  CHAR(34), "camera",CHAR(34), ":",
IF(VALUE(VLOOKUP(E240,Injections!B:F,3, FALSE))&lt;VALUE(VLOOKUP(V240,imaging_filters!A:C,2, FALSE)), CONCATENATE(CHAR(34),"CamA",CHAR(34)), CONCATENATE(CHAR(34),"CamB",CHAR(34))),"}"), ""),
IF(VLOOKUP(E240,Injections!B:F,5, FALSE)&gt;0, CONCATENATE(",{",CHAR(34),"target",CHAR(34),":",CHAR(34),VLOOKUP(E240,Injections!B:F,4, FALSE),CHAR(34),",", CHAR(34), "excitation",CHAR(34), ":", VLOOKUP(E240,Injections!B:F,5, FALSE), ",",  CHAR(34), "camera",CHAR(34), ":",
IF(VALUE(VLOOKUP(E240,Injections!B:F,5, FALSE))&lt;VALUE(VLOOKUP(V240,imaging_filters!A:C,2, FALSE)), CONCATENATE(CHAR(34),"CamA",CHAR(34)), CONCATENATE(CHAR(34),"CamB",CHAR(34))),"}"), ""),
 "]"), "[]")</f>
        <v>[]</v>
      </c>
      <c r="Z240" s="11" t="str">
        <f ca="1">IFERROR(
CONCATENATE( "[",
IF(VLOOKUP(F240,Injections!H:L,3, FALSE)&gt;0, CONCATENATE( "{",CHAR(34),"target",CHAR(34),":",CHAR(34),VLOOKUP(F240,Injections!H:L,2, FALSE),CHAR(34),",", CHAR(34), "excitation",CHAR(34), ":", VLOOKUP(F240,Injections!H:L,3, FALSE), ",",  CHAR(34), "camera",CHAR(34), ":",
IF(VALUE(VLOOKUP(F240,Injections!H:L,3, FALSE))&lt;VALUE(VLOOKUP(V240,imaging_filters!A:K,11, FALSE)), CONCATENATE(CHAR(34),"CamA",CHAR(34)), CONCATENATE(CHAR(34),"CamB",CHAR(34))),"}"), ""),
IF(VLOOKUP(F240,Injections!H:L,5, FALSE)&gt;0, CONCATENATE(",{",CHAR(34),"target",CHAR(34),":",CHAR(34),VLOOKUP(F240,Injections!H:L,4, FALSE),CHAR(34),",", CHAR(34), "excitation",CHAR(34), ":", VLOOKUP(F240,Injections!H:L,5, FALSE), ",",  CHAR(34), "camera",CHAR(34), ":",
IF(VALUE(VLOOKUP(F240,Injections!H:L,5, FALSE))&lt;VALUE(VLOOKUP(V240,imaging_filters!A:K,11, FALSE)), CONCATENATE(CHAR(34),"CamA",CHAR(34)), CONCATENATE(CHAR(34),"CamB",CHAR(34))),"}"), ""),
 "]"), "[]")</f>
        <v>[]</v>
      </c>
      <c r="AA240" s="11"/>
    </row>
    <row r="241" spans="1:27" ht="15.75" customHeight="1" x14ac:dyDescent="0.15">
      <c r="A241" s="7">
        <v>45743</v>
      </c>
      <c r="B241" s="1"/>
      <c r="C241" s="1" t="s">
        <v>253</v>
      </c>
      <c r="D241" s="1" t="s">
        <v>430</v>
      </c>
      <c r="E241" s="1"/>
      <c r="F241" s="1" t="s">
        <v>449</v>
      </c>
      <c r="G241" s="8"/>
      <c r="H241" s="8"/>
      <c r="I241" s="8">
        <v>45742</v>
      </c>
      <c r="J241" s="1" t="s">
        <v>455</v>
      </c>
      <c r="K241" s="1" t="s">
        <v>31</v>
      </c>
      <c r="L241" s="19">
        <v>45743</v>
      </c>
      <c r="M241" s="8">
        <v>45743</v>
      </c>
      <c r="N241" s="9">
        <v>0.64583333333333337</v>
      </c>
      <c r="O241" s="9">
        <v>0.65625</v>
      </c>
      <c r="P241" s="9">
        <v>0.76388888888888884</v>
      </c>
      <c r="Q241" s="1" t="s">
        <v>456</v>
      </c>
      <c r="R241" s="10" t="str">
        <f ca="1">IFERROR(__xludf.DUMMYFUNCTION("JOIN("","", SORT(UNIQUE(TOCOL({VLOOKUP(D241,DM_fish!A:B,2,FALSE),VLOOKUP(C241,DM_fish!A:B,2,FALSE), ARRAYFORMULA(VLOOKUP(SPLIT(E241, "", ""),Injections!B:G,6,FALSE)), ARRAYFORMULA(VLOOKUP(SPLIT(F241, "", ""),Injections!H:M,6,FALSE)), ARRAYFORMULA(VLOOKUP("&amp;"SPLIT(G241, "", ""),Injections!N:S,6,FALSE)), ARRAYFORMULA(VLOOKUP(SPLIT(H241, "", ""),Injections!T:Y,6,FALSE)) },3))))"),",csp,male C - ~10% frequency exorH:GFP (+) embryos,405,445")</f>
        <v>,csp,male C - ~10% frequency exorH:GFP (+) embryos,405,445</v>
      </c>
      <c r="S241" s="10" t="str">
        <f ca="1">IFERROR(__xludf.DUMMYFUNCTION("IFERROR(JOIN("","", SPLIT(R241, "","", TRUE ,TRUE)), """")"),"csp,male C - ~10% frequency exorH:GFP (+) embryos,405,445")</f>
        <v>csp,male C - ~10% frequency exorH:GFP (+) embryos,405,445</v>
      </c>
      <c r="T241" s="1" t="s">
        <v>457</v>
      </c>
      <c r="V241" s="1" t="s">
        <v>280</v>
      </c>
      <c r="W241" s="12" t="str">
        <f ca="1">IFERROR(CONCATENATE("[", CONCATENATE(IF(VLOOKUP(D241,DM_fish!C:X,14, FALSE)&gt;0, CONCATENATE("{",CHAR(34),"target",CHAR(34),":",CHAR(34),VLOOKUP(D241,DM_fish!C:X,13, FALSE),CHAR(34),",", CHAR(34), "excitation",CHAR(34), ":", VLOOKUP(D241,DM_fish!C:X,14, FALSE), ",",  CHAR(34), "camera",CHAR(34), ":", IF(VALUE(VLOOKUP(D241,DM_fish!C:X,14, FALSE))&lt;VALUE(VLOOKUP(V241,imaging_filters!A:K,11, FALSE)), CONCATENATE(CHAR(34),"CamA",CHAR(34)), CONCATENATE(CHAR(34),"CamB",CHAR(34))),"}"), ""),IF(VLOOKUP(D241,DM_fish!C:X,16, FALSE)&gt;0, CONCATENATE(",{",CHAR(34),"target",CHAR(34),":",CHAR(34),VLOOKUP(D241,DM_fish!C:X,15, FALSE),CHAR(34),",", CHAR(34), "excitation",CHAR(34), ":", VLOOKUP(D241,DM_fish!C:X,16, FALSE), ",",  CHAR(34), "camera",CHAR(34), ":", IF(VALUE(VLOOKUP(D241,DM_fish!C:X,16, FALSE))&lt;VALUE(VLOOKUP(V241,imaging_filters!A:K,11, FALSE)), CONCATENATE(CHAR(34),"CamA",CHAR(34)), CONCATENATE(CHAR(34),"CamB",CHAR(34))),"}"), ""),IF(VLOOKUP(D241,DM_fish!C:X,18, FALSE)&gt;0, CONCATENATE(",{",CHAR(34),"target",CHAR(34),":",CHAR(34),VLOOKUP(D241,DM_fish!C:X,17, FALSE),CHAR(34),",", CHAR(34), "excitation",CHAR(34), ":", VLOOKUP(D241,DM_fish!C:X,18, FALSE), ",",  CHAR(34), "camera",CHAR(34), ":", IF(VALUE(VLOOKUP(D241,DM_fish!C:X,18, FALSE))&lt;VALUE(VLOOKUP(V241,imaging_filters!A:K,11, FALSE)), CONCATENATE(CHAR(34),"CamA",CHAR(34)), CONCATENATE(CHAR(34),"CamB",CHAR(34))),"}"), ""),IF(VLOOKUP(D241,DM_fish!C:X,20, FALSE)&gt;0, CONCATENATE(",{",CHAR(34),"target",CHAR(34),":",CHAR(34),VLOOKUP(D241,DM_fish!C:X,19, FALSE),CHAR(34),",", CHAR(34), "excitation",CHAR(34), ":", VLOOKUP(D241,DM_fish!C:X,20, FALSE), ",",  CHAR(34), "camera",CHAR(34), ":", IF(VALUE(VLOOKUP(D241,DM_fish!C:X,20, FALSE))&lt;VALUE(VLOOKUP(V241,imaging_filters!A:K,11, FALSE)), CONCATENATE(CHAR(34),"CamA",CHAR(34)), CONCATENATE(CHAR(34),"CamB",CHAR(34))),"}"), ""),IF(VLOOKUP(D241,DM_fish!C:X,22, FALSE)&gt;0, CONCATENATE(",{",CHAR(34),"target",CHAR(34),":",CHAR(34),VLOOKUP(D241,DM_fish!C:X,21, FALSE),CHAR(34),",", CHAR(34), "excitation",CHAR(34), ":", VLOOKUP(D241,DM_fish!C:X,22, FALSE), ",",  CHAR(34), "camera",CHAR(34), ":", IF(VALUE(VLOOKUP(D241,DM_fish!C:X,22, FALSE))&lt;VALUE(VLOOKUP(V241,imaging_filters!A:K,11, FALSE)), CONCATENATE(CHAR(34),"CamA",CHAR(34)), CONCATENATE(CHAR(34),"CamB",CHAR(34))),"}"), "")), "]"), "")</f>
        <v/>
      </c>
      <c r="X241" s="12" t="str">
        <f ca="1">IFERROR(
CONCATENATE("[", CONCATENATE(IF(VLOOKUP(C241,DM_fish!C:X,14, FALSE)&gt;0, CONCATENATE("{",CHAR(34),"target",CHAR(34),":",CHAR(34),VLOOKUP(C241,DM_fish!C:X,13, FALSE),CHAR(34),",", CHAR(34), "excitation",CHAR(34), ":", VLOOKUP(C241,DM_fish!C:X,14, FALSE), ",",  CHAR(34), "camera",CHAR(34), ":", IF(VALUE(VLOOKUP(C241,DM_fish!C:X,14, FALSE))&lt;VALUE(VLOOKUP(V241,imaging_filters!A:K,11, FALSE)), CONCATENATE(CHAR(34),"CamA",CHAR(34)), CONCATENATE(CHAR(34),"CamB",CHAR(34))),"}"), ""),IF(VLOOKUP(C241,DM_fish!C:X,16, FALSE)&gt;0, CONCATENATE(",{",CHAR(34),"target",CHAR(34),":",CHAR(34),VLOOKUP(C241,DM_fish!C:X,15, FALSE),CHAR(34),",", CHAR(34), "excitation",CHAR(34), ":", VLOOKUP(C241,DM_fish!C:X,16, FALSE), ",",  CHAR(34), "camera",CHAR(34), ":", IF(VALUE(VLOOKUP(C241,DM_fish!C:X,16, FALSE))&lt;VALUE(VLOOKUP(V241,imaging_filters!A:K,11, FALSE)), CONCATENATE(CHAR(34),"CamA",CHAR(34)), CONCATENATE(CHAR(34),"CamB",CHAR(34))),"}"), ""),IF(VLOOKUP(C241,DM_fish!C:X,18, FALSE)&gt;0, CONCATENATE(",{",CHAR(34),"target",CHAR(34),":",CHAR(34),VLOOKUP(C241,DM_fish!C:X,17, FALSE),CHAR(34),",", CHAR(34), "excitation",CHAR(34), ":", VLOOKUP(C241,DM_fish!C:X,18, FALSE), ",",  CHAR(34), "camera",CHAR(34), ":", IF(VALUE(VLOOKUP(C241,DM_fish!C:X,18, FALSE))&lt;VALUE(VLOOKUP(V241,imaging_filters!A:K,11, FALSE)), CONCATENATE(CHAR(34),"CamA",CHAR(34)), CONCATENATE(CHAR(34),"CamB",CHAR(34))),"}"), ""),IF(VLOOKUP(C241,DM_fish!C:X,20, FALSE)&gt;0, CONCATENATE(",{",CHAR(34),"target",CHAR(34),":",CHAR(34),VLOOKUP(C241,DM_fish!C:X,19, FALSE),CHAR(34),",", CHAR(34), "excitation",CHAR(34), ":", VLOOKUP(C241,DM_fish!C:X,20, FALSE), ",",  CHAR(34), "camera",CHAR(34), ":", IF(VALUE(VLOOKUP(C241,DM_fish!C:X,20, FALSE))&lt;VALUE(VLOOKUP(V241,imaging_filters!A:K,11, FALSE)), CONCATENATE(CHAR(34),"CamA",CHAR(34)), CONCATENATE(CHAR(34),"CamB",CHAR(34))),"}"), ""),IF(VLOOKUP(C241,DM_fish!C:X,22, FALSE)&gt;0, CONCATENATE(",{",CHAR(34),"target",CHAR(34),":",CHAR(34),VLOOKUP(C241,DM_fish!C:X,21, FALSE),CHAR(34),",", CHAR(34), "excitation",CHAR(34), ":", VLOOKUP(C241,DM_fish!C:X,22, FALSE), ",",  CHAR(34), "camera",CHAR(34), ":", IF(VALUE(VLOOKUP(C241,DM_fish!C:X,22, FALSE))&lt;VALUE(VLOOKUP(V241,imaging_filters!A:K,11, FALSE)), CONCATENATE(CHAR(34),"CamA",CHAR(34)), CONCATENATE(CHAR(34),"CamB",CHAR(34))),"}"), "")), "]"), "")</f>
        <v/>
      </c>
      <c r="Y241" s="11" t="str">
        <f ca="1">IFERROR(
CONCATENATE( "[",
IF(VLOOKUP(E241,Injections!B:F,3, FALSE)&gt;0, CONCATENATE( "{",CHAR(34),"target",CHAR(34),":",CHAR(34),VLOOKUP(E241,Injections!B:F,2, FALSE),CHAR(34),",", CHAR(34), "excitation",CHAR(34), ":", VLOOKUP(E241,Injections!B:F,3, FALSE), ",",  CHAR(34), "camera",CHAR(34), ":",
IF(VALUE(VLOOKUP(E241,Injections!B:F,3, FALSE))&lt;VALUE(VLOOKUP(V241,imaging_filters!A:C,2, FALSE)), CONCATENATE(CHAR(34),"CamA",CHAR(34)), CONCATENATE(CHAR(34),"CamB",CHAR(34))),"}"), ""),
IF(VLOOKUP(E241,Injections!B:F,5, FALSE)&gt;0, CONCATENATE(",{",CHAR(34),"target",CHAR(34),":",CHAR(34),VLOOKUP(E241,Injections!B:F,4, FALSE),CHAR(34),",", CHAR(34), "excitation",CHAR(34), ":", VLOOKUP(E241,Injections!B:F,5, FALSE), ",",  CHAR(34), "camera",CHAR(34), ":",
IF(VALUE(VLOOKUP(E241,Injections!B:F,5, FALSE))&lt;VALUE(VLOOKUP(V241,imaging_filters!A:C,2, FALSE)), CONCATENATE(CHAR(34),"CamA",CHAR(34)), CONCATENATE(CHAR(34),"CamB",CHAR(34))),"}"), ""),
 "]"), "[]")</f>
        <v>[]</v>
      </c>
      <c r="Z241" s="11" t="str">
        <f ca="1">IFERROR(
CONCATENATE( "[",
IF(VLOOKUP(F241,Injections!H:L,3, FALSE)&gt;0, CONCATENATE( "{",CHAR(34),"target",CHAR(34),":",CHAR(34),VLOOKUP(F241,Injections!H:L,2, FALSE),CHAR(34),",", CHAR(34), "excitation",CHAR(34), ":", VLOOKUP(F241,Injections!H:L,3, FALSE), ",",  CHAR(34), "camera",CHAR(34), ":",
IF(VALUE(VLOOKUP(F241,Injections!H:L,3, FALSE))&lt;VALUE(VLOOKUP(V241,imaging_filters!A:K,11, FALSE)), CONCATENATE(CHAR(34),"CamA",CHAR(34)), CONCATENATE(CHAR(34),"CamB",CHAR(34))),"}"), ""),
IF(VLOOKUP(F241,Injections!H:L,5, FALSE)&gt;0, CONCATENATE(",{",CHAR(34),"target",CHAR(34),":",CHAR(34),VLOOKUP(F241,Injections!H:L,4, FALSE),CHAR(34),",", CHAR(34), "excitation",CHAR(34), ":", VLOOKUP(F241,Injections!H:L,5, FALSE), ",",  CHAR(34), "camera",CHAR(34), ":",
IF(VALUE(VLOOKUP(F241,Injections!H:L,5, FALSE))&lt;VALUE(VLOOKUP(V241,imaging_filters!A:K,11, FALSE)), CONCATENATE(CHAR(34),"CamA",CHAR(34)), CONCATENATE(CHAR(34),"CamB",CHAR(34))),"}"), ""),
 "]"), "[]")</f>
        <v>[]</v>
      </c>
      <c r="AA241" s="11" t="s">
        <v>458</v>
      </c>
    </row>
    <row r="242" spans="1:27" ht="15.75" customHeight="1" x14ac:dyDescent="0.15">
      <c r="A242" s="7">
        <v>45743</v>
      </c>
      <c r="B242" s="1"/>
      <c r="C242" s="1" t="s">
        <v>253</v>
      </c>
      <c r="D242" s="1" t="s">
        <v>430</v>
      </c>
      <c r="E242" s="1"/>
      <c r="F242" s="1" t="s">
        <v>449</v>
      </c>
      <c r="G242" s="8"/>
      <c r="H242" s="8"/>
      <c r="I242" s="8">
        <v>45742</v>
      </c>
      <c r="J242" s="1" t="s">
        <v>455</v>
      </c>
      <c r="K242" s="1" t="s">
        <v>31</v>
      </c>
      <c r="L242" s="19">
        <v>45743</v>
      </c>
      <c r="M242" s="8">
        <v>45743</v>
      </c>
      <c r="N242" s="9">
        <v>0.64583333333333337</v>
      </c>
      <c r="O242" s="9">
        <v>0.77083333333333337</v>
      </c>
      <c r="P242" s="1" t="s">
        <v>459</v>
      </c>
      <c r="Q242" s="1" t="s">
        <v>456</v>
      </c>
      <c r="R242" s="10" t="str">
        <f ca="1">IFERROR(__xludf.DUMMYFUNCTION("JOIN("","", SORT(UNIQUE(TOCOL({VLOOKUP(D242,DM_fish!A:B,2,FALSE),VLOOKUP(C242,DM_fish!A:B,2,FALSE), ARRAYFORMULA(VLOOKUP(SPLIT(E242, "", ""),Injections!B:G,6,FALSE)), ARRAYFORMULA(VLOOKUP(SPLIT(F242, "", ""),Injections!H:M,6,FALSE)), ARRAYFORMULA(VLOOKUP("&amp;"SPLIT(G242, "", ""),Injections!N:S,6,FALSE)), ARRAYFORMULA(VLOOKUP(SPLIT(H242, "", ""),Injections!T:Y,6,FALSE)) },3))))"),",csp,male C - ~10% frequency exorH:GFP (+) embryos,405,445")</f>
        <v>,csp,male C - ~10% frequency exorH:GFP (+) embryos,405,445</v>
      </c>
      <c r="S242" s="10" t="str">
        <f ca="1">IFERROR(__xludf.DUMMYFUNCTION("IFERROR(JOIN("","", SPLIT(R242, "","", TRUE ,TRUE)), """")"),"csp,male C - ~10% frequency exorH:GFP (+) embryos,405,445")</f>
        <v>csp,male C - ~10% frequency exorH:GFP (+) embryos,405,445</v>
      </c>
      <c r="T242" s="1" t="s">
        <v>460</v>
      </c>
      <c r="V242" s="1" t="s">
        <v>280</v>
      </c>
      <c r="W242" s="12" t="str">
        <f ca="1">IFERROR(CONCATENATE("[", CONCATENATE(IF(VLOOKUP(D242,DM_fish!C:X,14, FALSE)&gt;0, CONCATENATE("{",CHAR(34),"target",CHAR(34),":",CHAR(34),VLOOKUP(D242,DM_fish!C:X,13, FALSE),CHAR(34),",", CHAR(34), "excitation",CHAR(34), ":", VLOOKUP(D242,DM_fish!C:X,14, FALSE), ",",  CHAR(34), "camera",CHAR(34), ":", IF(VALUE(VLOOKUP(D242,DM_fish!C:X,14, FALSE))&lt;VALUE(VLOOKUP(V242,imaging_filters!A:K,11, FALSE)), CONCATENATE(CHAR(34),"CamA",CHAR(34)), CONCATENATE(CHAR(34),"CamB",CHAR(34))),"}"), ""),IF(VLOOKUP(D242,DM_fish!C:X,16, FALSE)&gt;0, CONCATENATE(",{",CHAR(34),"target",CHAR(34),":",CHAR(34),VLOOKUP(D242,DM_fish!C:X,15, FALSE),CHAR(34),",", CHAR(34), "excitation",CHAR(34), ":", VLOOKUP(D242,DM_fish!C:X,16, FALSE), ",",  CHAR(34), "camera",CHAR(34), ":", IF(VALUE(VLOOKUP(D242,DM_fish!C:X,16, FALSE))&lt;VALUE(VLOOKUP(V242,imaging_filters!A:K,11, FALSE)), CONCATENATE(CHAR(34),"CamA",CHAR(34)), CONCATENATE(CHAR(34),"CamB",CHAR(34))),"}"), ""),IF(VLOOKUP(D242,DM_fish!C:X,18, FALSE)&gt;0, CONCATENATE(",{",CHAR(34),"target",CHAR(34),":",CHAR(34),VLOOKUP(D242,DM_fish!C:X,17, FALSE),CHAR(34),",", CHAR(34), "excitation",CHAR(34), ":", VLOOKUP(D242,DM_fish!C:X,18, FALSE), ",",  CHAR(34), "camera",CHAR(34), ":", IF(VALUE(VLOOKUP(D242,DM_fish!C:X,18, FALSE))&lt;VALUE(VLOOKUP(V242,imaging_filters!A:K,11, FALSE)), CONCATENATE(CHAR(34),"CamA",CHAR(34)), CONCATENATE(CHAR(34),"CamB",CHAR(34))),"}"), ""),IF(VLOOKUP(D242,DM_fish!C:X,20, FALSE)&gt;0, CONCATENATE(",{",CHAR(34),"target",CHAR(34),":",CHAR(34),VLOOKUP(D242,DM_fish!C:X,19, FALSE),CHAR(34),",", CHAR(34), "excitation",CHAR(34), ":", VLOOKUP(D242,DM_fish!C:X,20, FALSE), ",",  CHAR(34), "camera",CHAR(34), ":", IF(VALUE(VLOOKUP(D242,DM_fish!C:X,20, FALSE))&lt;VALUE(VLOOKUP(V242,imaging_filters!A:K,11, FALSE)), CONCATENATE(CHAR(34),"CamA",CHAR(34)), CONCATENATE(CHAR(34),"CamB",CHAR(34))),"}"), ""),IF(VLOOKUP(D242,DM_fish!C:X,22, FALSE)&gt;0, CONCATENATE(",{",CHAR(34),"target",CHAR(34),":",CHAR(34),VLOOKUP(D242,DM_fish!C:X,21, FALSE),CHAR(34),",", CHAR(34), "excitation",CHAR(34), ":", VLOOKUP(D242,DM_fish!C:X,22, FALSE), ",",  CHAR(34), "camera",CHAR(34), ":", IF(VALUE(VLOOKUP(D242,DM_fish!C:X,22, FALSE))&lt;VALUE(VLOOKUP(V242,imaging_filters!A:K,11, FALSE)), CONCATENATE(CHAR(34),"CamA",CHAR(34)), CONCATENATE(CHAR(34),"CamB",CHAR(34))),"}"), "")), "]"), "")</f>
        <v/>
      </c>
      <c r="X242" s="12" t="str">
        <f ca="1">IFERROR(
CONCATENATE("[", CONCATENATE(IF(VLOOKUP(C242,DM_fish!C:X,14, FALSE)&gt;0, CONCATENATE("{",CHAR(34),"target",CHAR(34),":",CHAR(34),VLOOKUP(C242,DM_fish!C:X,13, FALSE),CHAR(34),",", CHAR(34), "excitation",CHAR(34), ":", VLOOKUP(C242,DM_fish!C:X,14, FALSE), ",",  CHAR(34), "camera",CHAR(34), ":", IF(VALUE(VLOOKUP(C242,DM_fish!C:X,14, FALSE))&lt;VALUE(VLOOKUP(V242,imaging_filters!A:K,11, FALSE)), CONCATENATE(CHAR(34),"CamA",CHAR(34)), CONCATENATE(CHAR(34),"CamB",CHAR(34))),"}"), ""),IF(VLOOKUP(C242,DM_fish!C:X,16, FALSE)&gt;0, CONCATENATE(",{",CHAR(34),"target",CHAR(34),":",CHAR(34),VLOOKUP(C242,DM_fish!C:X,15, FALSE),CHAR(34),",", CHAR(34), "excitation",CHAR(34), ":", VLOOKUP(C242,DM_fish!C:X,16, FALSE), ",",  CHAR(34), "camera",CHAR(34), ":", IF(VALUE(VLOOKUP(C242,DM_fish!C:X,16, FALSE))&lt;VALUE(VLOOKUP(V242,imaging_filters!A:K,11, FALSE)), CONCATENATE(CHAR(34),"CamA",CHAR(34)), CONCATENATE(CHAR(34),"CamB",CHAR(34))),"}"), ""),IF(VLOOKUP(C242,DM_fish!C:X,18, FALSE)&gt;0, CONCATENATE(",{",CHAR(34),"target",CHAR(34),":",CHAR(34),VLOOKUP(C242,DM_fish!C:X,17, FALSE),CHAR(34),",", CHAR(34), "excitation",CHAR(34), ":", VLOOKUP(C242,DM_fish!C:X,18, FALSE), ",",  CHAR(34), "camera",CHAR(34), ":", IF(VALUE(VLOOKUP(C242,DM_fish!C:X,18, FALSE))&lt;VALUE(VLOOKUP(V242,imaging_filters!A:K,11, FALSE)), CONCATENATE(CHAR(34),"CamA",CHAR(34)), CONCATENATE(CHAR(34),"CamB",CHAR(34))),"}"), ""),IF(VLOOKUP(C242,DM_fish!C:X,20, FALSE)&gt;0, CONCATENATE(",{",CHAR(34),"target",CHAR(34),":",CHAR(34),VLOOKUP(C242,DM_fish!C:X,19, FALSE),CHAR(34),",", CHAR(34), "excitation",CHAR(34), ":", VLOOKUP(C242,DM_fish!C:X,20, FALSE), ",",  CHAR(34), "camera",CHAR(34), ":", IF(VALUE(VLOOKUP(C242,DM_fish!C:X,20, FALSE))&lt;VALUE(VLOOKUP(V242,imaging_filters!A:K,11, FALSE)), CONCATENATE(CHAR(34),"CamA",CHAR(34)), CONCATENATE(CHAR(34),"CamB",CHAR(34))),"}"), ""),IF(VLOOKUP(C242,DM_fish!C:X,22, FALSE)&gt;0, CONCATENATE(",{",CHAR(34),"target",CHAR(34),":",CHAR(34),VLOOKUP(C242,DM_fish!C:X,21, FALSE),CHAR(34),",", CHAR(34), "excitation",CHAR(34), ":", VLOOKUP(C242,DM_fish!C:X,22, FALSE), ",",  CHAR(34), "camera",CHAR(34), ":", IF(VALUE(VLOOKUP(C242,DM_fish!C:X,22, FALSE))&lt;VALUE(VLOOKUP(V242,imaging_filters!A:K,11, FALSE)), CONCATENATE(CHAR(34),"CamA",CHAR(34)), CONCATENATE(CHAR(34),"CamB",CHAR(34))),"}"), "")), "]"), "")</f>
        <v/>
      </c>
      <c r="Y242" s="11" t="str">
        <f ca="1">IFERROR(
CONCATENATE( "[",
IF(VLOOKUP(E242,Injections!B:F,3, FALSE)&gt;0, CONCATENATE( "{",CHAR(34),"target",CHAR(34),":",CHAR(34),VLOOKUP(E242,Injections!B:F,2, FALSE),CHAR(34),",", CHAR(34), "excitation",CHAR(34), ":", VLOOKUP(E242,Injections!B:F,3, FALSE), ",",  CHAR(34), "camera",CHAR(34), ":",
IF(VALUE(VLOOKUP(E242,Injections!B:F,3, FALSE))&lt;VALUE(VLOOKUP(V242,imaging_filters!A:C,2, FALSE)), CONCATENATE(CHAR(34),"CamA",CHAR(34)), CONCATENATE(CHAR(34),"CamB",CHAR(34))),"}"), ""),
IF(VLOOKUP(E242,Injections!B:F,5, FALSE)&gt;0, CONCATENATE(",{",CHAR(34),"target",CHAR(34),":",CHAR(34),VLOOKUP(E242,Injections!B:F,4, FALSE),CHAR(34),",", CHAR(34), "excitation",CHAR(34), ":", VLOOKUP(E242,Injections!B:F,5, FALSE), ",",  CHAR(34), "camera",CHAR(34), ":",
IF(VALUE(VLOOKUP(E242,Injections!B:F,5, FALSE))&lt;VALUE(VLOOKUP(V242,imaging_filters!A:C,2, FALSE)), CONCATENATE(CHAR(34),"CamA",CHAR(34)), CONCATENATE(CHAR(34),"CamB",CHAR(34))),"}"), ""),
 "]"), "[]")</f>
        <v>[]</v>
      </c>
      <c r="Z242" s="11" t="str">
        <f ca="1">IFERROR(
CONCATENATE( "[",
IF(VLOOKUP(F242,Injections!H:L,3, FALSE)&gt;0, CONCATENATE( "{",CHAR(34),"target",CHAR(34),":",CHAR(34),VLOOKUP(F242,Injections!H:L,2, FALSE),CHAR(34),",", CHAR(34), "excitation",CHAR(34), ":", VLOOKUP(F242,Injections!H:L,3, FALSE), ",",  CHAR(34), "camera",CHAR(34), ":",
IF(VALUE(VLOOKUP(F242,Injections!H:L,3, FALSE))&lt;VALUE(VLOOKUP(V242,imaging_filters!A:K,11, FALSE)), CONCATENATE(CHAR(34),"CamA",CHAR(34)), CONCATENATE(CHAR(34),"CamB",CHAR(34))),"}"), ""),
IF(VLOOKUP(F242,Injections!H:L,5, FALSE)&gt;0, CONCATENATE(",{",CHAR(34),"target",CHAR(34),":",CHAR(34),VLOOKUP(F242,Injections!H:L,4, FALSE),CHAR(34),",", CHAR(34), "excitation",CHAR(34), ":", VLOOKUP(F242,Injections!H:L,5, FALSE), ",",  CHAR(34), "camera",CHAR(34), ":",
IF(VALUE(VLOOKUP(F242,Injections!H:L,5, FALSE))&lt;VALUE(VLOOKUP(V242,imaging_filters!A:K,11, FALSE)), CONCATENATE(CHAR(34),"CamA",CHAR(34)), CONCATENATE(CHAR(34),"CamB",CHAR(34))),"}"), ""),
 "]"), "[]")</f>
        <v>[]</v>
      </c>
      <c r="AA242" s="11" t="s">
        <v>458</v>
      </c>
    </row>
    <row r="243" spans="1:27" ht="15.75" customHeight="1" x14ac:dyDescent="0.15">
      <c r="A243" s="7">
        <f t="shared" ref="A243:A316" si="7">M243</f>
        <v>45742</v>
      </c>
      <c r="B243" s="1"/>
      <c r="C243" s="1" t="s">
        <v>253</v>
      </c>
      <c r="D243" s="1" t="s">
        <v>253</v>
      </c>
      <c r="E243" s="1"/>
      <c r="F243" s="1" t="s">
        <v>64</v>
      </c>
      <c r="G243" s="8"/>
      <c r="H243" s="8"/>
      <c r="I243" s="8">
        <v>45740</v>
      </c>
      <c r="J243" s="1" t="s">
        <v>461</v>
      </c>
      <c r="K243" s="1" t="s">
        <v>246</v>
      </c>
      <c r="L243" s="19">
        <v>45741</v>
      </c>
      <c r="M243" s="8">
        <v>45742</v>
      </c>
      <c r="N243" s="9">
        <v>0.58333333333333337</v>
      </c>
      <c r="O243" s="9">
        <v>0.42708333333333331</v>
      </c>
      <c r="P243" s="1" t="s">
        <v>462</v>
      </c>
      <c r="Q243" s="1" t="s">
        <v>167</v>
      </c>
      <c r="R243" s="10" t="str">
        <f ca="1">IFERROR(__xludf.DUMMYFUNCTION("JOIN("","", SORT(UNIQUE(TOCOL({VLOOKUP(D243,DM_fish!A:B,2,FALSE),VLOOKUP(C243,DM_fish!A:B,2,FALSE), ARRAYFORMULA(VLOOKUP(SPLIT(E243, "", ""),Injections!B:G,6,FALSE)), ARRAYFORMULA(VLOOKUP(SPLIT(F243, "", ""),Injections!H:M,6,FALSE)), ARRAYFORMULA(VLOOKUP("&amp;"SPLIT(G243, "", ""),Injections!N:S,6,FALSE)), ARRAYFORMULA(VLOOKUP(SPLIT(H243, "", ""),Injections!T:Y,6,FALSE)) },3))))"),"nuclei")</f>
        <v>nuclei</v>
      </c>
      <c r="S243" s="10" t="str">
        <f ca="1">IFERROR(__xludf.DUMMYFUNCTION("IFERROR(JOIN("","", SPLIT(R243, "","", TRUE ,TRUE)), """")"),"nuclei")</f>
        <v>nuclei</v>
      </c>
      <c r="T243" s="1" t="s">
        <v>463</v>
      </c>
      <c r="U243" s="17">
        <v>3840</v>
      </c>
      <c r="V243" s="1" t="s">
        <v>203</v>
      </c>
      <c r="W243" s="12" t="str">
        <f ca="1">IFERROR(CONCATENATE("[", CONCATENATE(IF(VLOOKUP(D243,DM_fish!C:X,14, FALSE)&gt;0, CONCATENATE("{",CHAR(34),"target",CHAR(34),":",CHAR(34),VLOOKUP(D243,DM_fish!C:X,13, FALSE),CHAR(34),",", CHAR(34), "excitation",CHAR(34), ":", VLOOKUP(D243,DM_fish!C:X,14, FALSE), ",",  CHAR(34), "camera",CHAR(34), ":", IF(VALUE(VLOOKUP(D243,DM_fish!C:X,14, FALSE))&lt;VALUE(VLOOKUP(V243,imaging_filters!A:K,11, FALSE)), CONCATENATE(CHAR(34),"CamA",CHAR(34)), CONCATENATE(CHAR(34),"CamB",CHAR(34))),"}"), ""),IF(VLOOKUP(D243,DM_fish!C:X,16, FALSE)&gt;0, CONCATENATE(",{",CHAR(34),"target",CHAR(34),":",CHAR(34),VLOOKUP(D243,DM_fish!C:X,15, FALSE),CHAR(34),",", CHAR(34), "excitation",CHAR(34), ":", VLOOKUP(D243,DM_fish!C:X,16, FALSE), ",",  CHAR(34), "camera",CHAR(34), ":", IF(VALUE(VLOOKUP(D243,DM_fish!C:X,16, FALSE))&lt;VALUE(VLOOKUP(V243,imaging_filters!A:K,11, FALSE)), CONCATENATE(CHAR(34),"CamA",CHAR(34)), CONCATENATE(CHAR(34),"CamB",CHAR(34))),"}"), ""),IF(VLOOKUP(D243,DM_fish!C:X,18, FALSE)&gt;0, CONCATENATE(",{",CHAR(34),"target",CHAR(34),":",CHAR(34),VLOOKUP(D243,DM_fish!C:X,17, FALSE),CHAR(34),",", CHAR(34), "excitation",CHAR(34), ":", VLOOKUP(D243,DM_fish!C:X,18, FALSE), ",",  CHAR(34), "camera",CHAR(34), ":", IF(VALUE(VLOOKUP(D243,DM_fish!C:X,18, FALSE))&lt;VALUE(VLOOKUP(V243,imaging_filters!A:K,11, FALSE)), CONCATENATE(CHAR(34),"CamA",CHAR(34)), CONCATENATE(CHAR(34),"CamB",CHAR(34))),"}"), ""),IF(VLOOKUP(D243,DM_fish!C:X,20, FALSE)&gt;0, CONCATENATE(",{",CHAR(34),"target",CHAR(34),":",CHAR(34),VLOOKUP(D243,DM_fish!C:X,19, FALSE),CHAR(34),",", CHAR(34), "excitation",CHAR(34), ":", VLOOKUP(D243,DM_fish!C:X,20, FALSE), ",",  CHAR(34), "camera",CHAR(34), ":", IF(VALUE(VLOOKUP(D243,DM_fish!C:X,20, FALSE))&lt;VALUE(VLOOKUP(V243,imaging_filters!A:K,11, FALSE)), CONCATENATE(CHAR(34),"CamA",CHAR(34)), CONCATENATE(CHAR(34),"CamB",CHAR(34))),"}"), ""),IF(VLOOKUP(D243,DM_fish!C:X,22, FALSE)&gt;0, CONCATENATE(",{",CHAR(34),"target",CHAR(34),":",CHAR(34),VLOOKUP(D243,DM_fish!C:X,21, FALSE),CHAR(34),",", CHAR(34), "excitation",CHAR(34), ":", VLOOKUP(D243,DM_fish!C:X,22, FALSE), ",",  CHAR(34), "camera",CHAR(34), ":", IF(VALUE(VLOOKUP(D243,DM_fish!C:X,22, FALSE))&lt;VALUE(VLOOKUP(V243,imaging_filters!A:K,11, FALSE)), CONCATENATE(CHAR(34),"CamA",CHAR(34)), CONCATENATE(CHAR(34),"CamB",CHAR(34))),"}"), "")), "]"), "")</f>
        <v/>
      </c>
      <c r="X243" s="12" t="str">
        <f ca="1">IFERROR(
CONCATENATE("[", CONCATENATE(IF(VLOOKUP(C243,DM_fish!C:X,14, FALSE)&gt;0, CONCATENATE("{",CHAR(34),"target",CHAR(34),":",CHAR(34),VLOOKUP(C243,DM_fish!C:X,13, FALSE),CHAR(34),",", CHAR(34), "excitation",CHAR(34), ":", VLOOKUP(C243,DM_fish!C:X,14, FALSE), ",",  CHAR(34), "camera",CHAR(34), ":", IF(VALUE(VLOOKUP(C243,DM_fish!C:X,14, FALSE))&lt;VALUE(VLOOKUP(V243,imaging_filters!A:K,11, FALSE)), CONCATENATE(CHAR(34),"CamA",CHAR(34)), CONCATENATE(CHAR(34),"CamB",CHAR(34))),"}"), ""),IF(VLOOKUP(C243,DM_fish!C:X,16, FALSE)&gt;0, CONCATENATE(",{",CHAR(34),"target",CHAR(34),":",CHAR(34),VLOOKUP(C243,DM_fish!C:X,15, FALSE),CHAR(34),",", CHAR(34), "excitation",CHAR(34), ":", VLOOKUP(C243,DM_fish!C:X,16, FALSE), ",",  CHAR(34), "camera",CHAR(34), ":", IF(VALUE(VLOOKUP(C243,DM_fish!C:X,16, FALSE))&lt;VALUE(VLOOKUP(V243,imaging_filters!A:K,11, FALSE)), CONCATENATE(CHAR(34),"CamA",CHAR(34)), CONCATENATE(CHAR(34),"CamB",CHAR(34))),"}"), ""),IF(VLOOKUP(C243,DM_fish!C:X,18, FALSE)&gt;0, CONCATENATE(",{",CHAR(34),"target",CHAR(34),":",CHAR(34),VLOOKUP(C243,DM_fish!C:X,17, FALSE),CHAR(34),",", CHAR(34), "excitation",CHAR(34), ":", VLOOKUP(C243,DM_fish!C:X,18, FALSE), ",",  CHAR(34), "camera",CHAR(34), ":", IF(VALUE(VLOOKUP(C243,DM_fish!C:X,18, FALSE))&lt;VALUE(VLOOKUP(V243,imaging_filters!A:K,11, FALSE)), CONCATENATE(CHAR(34),"CamA",CHAR(34)), CONCATENATE(CHAR(34),"CamB",CHAR(34))),"}"), ""),IF(VLOOKUP(C243,DM_fish!C:X,20, FALSE)&gt;0, CONCATENATE(",{",CHAR(34),"target",CHAR(34),":",CHAR(34),VLOOKUP(C243,DM_fish!C:X,19, FALSE),CHAR(34),",", CHAR(34), "excitation",CHAR(34), ":", VLOOKUP(C243,DM_fish!C:X,20, FALSE), ",",  CHAR(34), "camera",CHAR(34), ":", IF(VALUE(VLOOKUP(C243,DM_fish!C:X,20, FALSE))&lt;VALUE(VLOOKUP(V243,imaging_filters!A:K,11, FALSE)), CONCATENATE(CHAR(34),"CamA",CHAR(34)), CONCATENATE(CHAR(34),"CamB",CHAR(34))),"}"), ""),IF(VLOOKUP(C243,DM_fish!C:X,22, FALSE)&gt;0, CONCATENATE(",{",CHAR(34),"target",CHAR(34),":",CHAR(34),VLOOKUP(C243,DM_fish!C:X,21, FALSE),CHAR(34),",", CHAR(34), "excitation",CHAR(34), ":", VLOOKUP(C243,DM_fish!C:X,22, FALSE), ",",  CHAR(34), "camera",CHAR(34), ":", IF(VALUE(VLOOKUP(C243,DM_fish!C:X,22, FALSE))&lt;VALUE(VLOOKUP(V243,imaging_filters!A:K,11, FALSE)), CONCATENATE(CHAR(34),"CamA",CHAR(34)), CONCATENATE(CHAR(34),"CamB",CHAR(34))),"}"), "")), "]"), "")</f>
        <v/>
      </c>
      <c r="Y243" s="11" t="str">
        <f ca="1">IFERROR(
CONCATENATE( "[",
IF(VLOOKUP(E243,Injections!B:F,3, FALSE)&gt;0, CONCATENATE( "{",CHAR(34),"target",CHAR(34),":",CHAR(34),VLOOKUP(E243,Injections!B:F,2, FALSE),CHAR(34),",", CHAR(34), "excitation",CHAR(34), ":", VLOOKUP(E243,Injections!B:F,3, FALSE), ",",  CHAR(34), "camera",CHAR(34), ":",
IF(VALUE(VLOOKUP(E243,Injections!B:F,3, FALSE))&lt;VALUE(VLOOKUP(V243,imaging_filters!A:C,2, FALSE)), CONCATENATE(CHAR(34),"CamA",CHAR(34)), CONCATENATE(CHAR(34),"CamB",CHAR(34))),"}"), ""),
IF(VLOOKUP(E243,Injections!B:F,5, FALSE)&gt;0, CONCATENATE(",{",CHAR(34),"target",CHAR(34),":",CHAR(34),VLOOKUP(E243,Injections!B:F,4, FALSE),CHAR(34),",", CHAR(34), "excitation",CHAR(34), ":", VLOOKUP(E243,Injections!B:F,5, FALSE), ",",  CHAR(34), "camera",CHAR(34), ":",
IF(VALUE(VLOOKUP(E243,Injections!B:F,5, FALSE))&lt;VALUE(VLOOKUP(V243,imaging_filters!A:C,2, FALSE)), CONCATENATE(CHAR(34),"CamA",CHAR(34)), CONCATENATE(CHAR(34),"CamB",CHAR(34))),"}"), ""),
 "]"), "[]")</f>
        <v>[]</v>
      </c>
      <c r="Z243" s="11" t="str">
        <f ca="1">IFERROR(
CONCATENATE( "[",
IF(VLOOKUP(F243,Injections!H:L,3, FALSE)&gt;0, CONCATENATE( "{",CHAR(34),"target",CHAR(34),":",CHAR(34),VLOOKUP(F243,Injections!H:L,2, FALSE),CHAR(34),",", CHAR(34), "excitation",CHAR(34), ":", VLOOKUP(F243,Injections!H:L,3, FALSE), ",",  CHAR(34), "camera",CHAR(34), ":",
IF(VALUE(VLOOKUP(F243,Injections!H:L,3, FALSE))&lt;VALUE(VLOOKUP(V243,imaging_filters!A:K,11, FALSE)), CONCATENATE(CHAR(34),"CamA",CHAR(34)), CONCATENATE(CHAR(34),"CamB",CHAR(34))),"}"), ""),
IF(VLOOKUP(F243,Injections!H:L,5, FALSE)&gt;0, CONCATENATE(",{",CHAR(34),"target",CHAR(34),":",CHAR(34),VLOOKUP(F243,Injections!H:L,4, FALSE),CHAR(34),",", CHAR(34), "excitation",CHAR(34), ":", VLOOKUP(F243,Injections!H:L,5, FALSE), ",",  CHAR(34), "camera",CHAR(34), ":",
IF(VALUE(VLOOKUP(F243,Injections!H:L,5, FALSE))&lt;VALUE(VLOOKUP(V243,imaging_filters!A:K,11, FALSE)), CONCATENATE(CHAR(34),"CamA",CHAR(34)), CONCATENATE(CHAR(34),"CamB",CHAR(34))),"}"), ""),
 "]"), "[]")</f>
        <v>[{"target":"nuclei","excitation":560,"camera":"CamB"}]</v>
      </c>
      <c r="AA243" s="11" t="s">
        <v>464</v>
      </c>
    </row>
    <row r="244" spans="1:27" ht="15.75" customHeight="1" x14ac:dyDescent="0.15">
      <c r="A244" s="7">
        <f t="shared" si="7"/>
        <v>45741</v>
      </c>
      <c r="B244" s="1"/>
      <c r="C244" s="1" t="s">
        <v>253</v>
      </c>
      <c r="D244" s="1" t="s">
        <v>253</v>
      </c>
      <c r="E244" s="1"/>
      <c r="F244" s="1" t="s">
        <v>64</v>
      </c>
      <c r="G244" s="8"/>
      <c r="H244" s="8"/>
      <c r="I244" s="8">
        <v>45740</v>
      </c>
      <c r="J244" s="1" t="s">
        <v>461</v>
      </c>
      <c r="K244" s="1" t="s">
        <v>246</v>
      </c>
      <c r="L244" s="19">
        <v>45741</v>
      </c>
      <c r="M244" s="8">
        <v>45741</v>
      </c>
      <c r="N244" s="9">
        <v>0.58333333333333337</v>
      </c>
      <c r="O244" s="9">
        <v>0.61111111111111116</v>
      </c>
      <c r="P244" s="1" t="s">
        <v>465</v>
      </c>
      <c r="Q244" s="1" t="s">
        <v>423</v>
      </c>
      <c r="R244" s="10" t="str">
        <f ca="1">IFERROR(__xludf.DUMMYFUNCTION("JOIN("","", SORT(UNIQUE(TOCOL({VLOOKUP(D244,DM_fish!A:B,2,FALSE),VLOOKUP(C244,DM_fish!A:B,2,FALSE), ARRAYFORMULA(VLOOKUP(SPLIT(E244, "", ""),Injections!B:G,6,FALSE)), ARRAYFORMULA(VLOOKUP(SPLIT(F244, "", ""),Injections!H:M,6,FALSE)), ARRAYFORMULA(VLOOKUP("&amp;"SPLIT(G244, "", ""),Injections!N:S,6,FALSE)), ARRAYFORMULA(VLOOKUP(SPLIT(H244, "", ""),Injections!T:Y,6,FALSE)) },3))))"),"nuclei")</f>
        <v>nuclei</v>
      </c>
      <c r="S244" s="10" t="str">
        <f ca="1">IFERROR(__xludf.DUMMYFUNCTION("IFERROR(JOIN("","", SPLIT(R244, "","", TRUE ,TRUE)), """")"),"nuclei")</f>
        <v>nuclei</v>
      </c>
      <c r="T244" s="1" t="s">
        <v>466</v>
      </c>
      <c r="U244" s="17">
        <v>3840</v>
      </c>
      <c r="V244" s="1" t="s">
        <v>203</v>
      </c>
      <c r="W244" s="12" t="str">
        <f ca="1">IFERROR(CONCATENATE("[", CONCATENATE(IF(VLOOKUP(D244,DM_fish!C:X,14, FALSE)&gt;0, CONCATENATE("{",CHAR(34),"target",CHAR(34),":",CHAR(34),VLOOKUP(D244,DM_fish!C:X,13, FALSE),CHAR(34),",", CHAR(34), "excitation",CHAR(34), ":", VLOOKUP(D244,DM_fish!C:X,14, FALSE), ",",  CHAR(34), "camera",CHAR(34), ":", IF(VALUE(VLOOKUP(D244,DM_fish!C:X,14, FALSE))&lt;VALUE(VLOOKUP(V244,imaging_filters!A:K,11, FALSE)), CONCATENATE(CHAR(34),"CamA",CHAR(34)), CONCATENATE(CHAR(34),"CamB",CHAR(34))),"}"), ""),IF(VLOOKUP(D244,DM_fish!C:X,16, FALSE)&gt;0, CONCATENATE(",{",CHAR(34),"target",CHAR(34),":",CHAR(34),VLOOKUP(D244,DM_fish!C:X,15, FALSE),CHAR(34),",", CHAR(34), "excitation",CHAR(34), ":", VLOOKUP(D244,DM_fish!C:X,16, FALSE), ",",  CHAR(34), "camera",CHAR(34), ":", IF(VALUE(VLOOKUP(D244,DM_fish!C:X,16, FALSE))&lt;VALUE(VLOOKUP(V244,imaging_filters!A:K,11, FALSE)), CONCATENATE(CHAR(34),"CamA",CHAR(34)), CONCATENATE(CHAR(34),"CamB",CHAR(34))),"}"), ""),IF(VLOOKUP(D244,DM_fish!C:X,18, FALSE)&gt;0, CONCATENATE(",{",CHAR(34),"target",CHAR(34),":",CHAR(34),VLOOKUP(D244,DM_fish!C:X,17, FALSE),CHAR(34),",", CHAR(34), "excitation",CHAR(34), ":", VLOOKUP(D244,DM_fish!C:X,18, FALSE), ",",  CHAR(34), "camera",CHAR(34), ":", IF(VALUE(VLOOKUP(D244,DM_fish!C:X,18, FALSE))&lt;VALUE(VLOOKUP(V244,imaging_filters!A:K,11, FALSE)), CONCATENATE(CHAR(34),"CamA",CHAR(34)), CONCATENATE(CHAR(34),"CamB",CHAR(34))),"}"), ""),IF(VLOOKUP(D244,DM_fish!C:X,20, FALSE)&gt;0, CONCATENATE(",{",CHAR(34),"target",CHAR(34),":",CHAR(34),VLOOKUP(D244,DM_fish!C:X,19, FALSE),CHAR(34),",", CHAR(34), "excitation",CHAR(34), ":", VLOOKUP(D244,DM_fish!C:X,20, FALSE), ",",  CHAR(34), "camera",CHAR(34), ":", IF(VALUE(VLOOKUP(D244,DM_fish!C:X,20, FALSE))&lt;VALUE(VLOOKUP(V244,imaging_filters!A:K,11, FALSE)), CONCATENATE(CHAR(34),"CamA",CHAR(34)), CONCATENATE(CHAR(34),"CamB",CHAR(34))),"}"), ""),IF(VLOOKUP(D244,DM_fish!C:X,22, FALSE)&gt;0, CONCATENATE(",{",CHAR(34),"target",CHAR(34),":",CHAR(34),VLOOKUP(D244,DM_fish!C:X,21, FALSE),CHAR(34),",", CHAR(34), "excitation",CHAR(34), ":", VLOOKUP(D244,DM_fish!C:X,22, FALSE), ",",  CHAR(34), "camera",CHAR(34), ":", IF(VALUE(VLOOKUP(D244,DM_fish!C:X,22, FALSE))&lt;VALUE(VLOOKUP(V244,imaging_filters!A:K,11, FALSE)), CONCATENATE(CHAR(34),"CamA",CHAR(34)), CONCATENATE(CHAR(34),"CamB",CHAR(34))),"}"), "")), "]"), "")</f>
        <v/>
      </c>
      <c r="X244" s="12" t="str">
        <f ca="1">IFERROR(
CONCATENATE("[", CONCATENATE(IF(VLOOKUP(C244,DM_fish!C:X,14, FALSE)&gt;0, CONCATENATE("{",CHAR(34),"target",CHAR(34),":",CHAR(34),VLOOKUP(C244,DM_fish!C:X,13, FALSE),CHAR(34),",", CHAR(34), "excitation",CHAR(34), ":", VLOOKUP(C244,DM_fish!C:X,14, FALSE), ",",  CHAR(34), "camera",CHAR(34), ":", IF(VALUE(VLOOKUP(C244,DM_fish!C:X,14, FALSE))&lt;VALUE(VLOOKUP(V244,imaging_filters!A:K,11, FALSE)), CONCATENATE(CHAR(34),"CamA",CHAR(34)), CONCATENATE(CHAR(34),"CamB",CHAR(34))),"}"), ""),IF(VLOOKUP(C244,DM_fish!C:X,16, FALSE)&gt;0, CONCATENATE(",{",CHAR(34),"target",CHAR(34),":",CHAR(34),VLOOKUP(C244,DM_fish!C:X,15, FALSE),CHAR(34),",", CHAR(34), "excitation",CHAR(34), ":", VLOOKUP(C244,DM_fish!C:X,16, FALSE), ",",  CHAR(34), "camera",CHAR(34), ":", IF(VALUE(VLOOKUP(C244,DM_fish!C:X,16, FALSE))&lt;VALUE(VLOOKUP(V244,imaging_filters!A:K,11, FALSE)), CONCATENATE(CHAR(34),"CamA",CHAR(34)), CONCATENATE(CHAR(34),"CamB",CHAR(34))),"}"), ""),IF(VLOOKUP(C244,DM_fish!C:X,18, FALSE)&gt;0, CONCATENATE(",{",CHAR(34),"target",CHAR(34),":",CHAR(34),VLOOKUP(C244,DM_fish!C:X,17, FALSE),CHAR(34),",", CHAR(34), "excitation",CHAR(34), ":", VLOOKUP(C244,DM_fish!C:X,18, FALSE), ",",  CHAR(34), "camera",CHAR(34), ":", IF(VALUE(VLOOKUP(C244,DM_fish!C:X,18, FALSE))&lt;VALUE(VLOOKUP(V244,imaging_filters!A:K,11, FALSE)), CONCATENATE(CHAR(34),"CamA",CHAR(34)), CONCATENATE(CHAR(34),"CamB",CHAR(34))),"}"), ""),IF(VLOOKUP(C244,DM_fish!C:X,20, FALSE)&gt;0, CONCATENATE(",{",CHAR(34),"target",CHAR(34),":",CHAR(34),VLOOKUP(C244,DM_fish!C:X,19, FALSE),CHAR(34),",", CHAR(34), "excitation",CHAR(34), ":", VLOOKUP(C244,DM_fish!C:X,20, FALSE), ",",  CHAR(34), "camera",CHAR(34), ":", IF(VALUE(VLOOKUP(C244,DM_fish!C:X,20, FALSE))&lt;VALUE(VLOOKUP(V244,imaging_filters!A:K,11, FALSE)), CONCATENATE(CHAR(34),"CamA",CHAR(34)), CONCATENATE(CHAR(34),"CamB",CHAR(34))),"}"), ""),IF(VLOOKUP(C244,DM_fish!C:X,22, FALSE)&gt;0, CONCATENATE(",{",CHAR(34),"target",CHAR(34),":",CHAR(34),VLOOKUP(C244,DM_fish!C:X,21, FALSE),CHAR(34),",", CHAR(34), "excitation",CHAR(34), ":", VLOOKUP(C244,DM_fish!C:X,22, FALSE), ",",  CHAR(34), "camera",CHAR(34), ":", IF(VALUE(VLOOKUP(C244,DM_fish!C:X,22, FALSE))&lt;VALUE(VLOOKUP(V244,imaging_filters!A:K,11, FALSE)), CONCATENATE(CHAR(34),"CamA",CHAR(34)), CONCATENATE(CHAR(34),"CamB",CHAR(34))),"}"), "")), "]"), "")</f>
        <v/>
      </c>
      <c r="Y244" s="11" t="str">
        <f ca="1">IFERROR(
CONCATENATE( "[",
IF(VLOOKUP(E244,Injections!B:F,3, FALSE)&gt;0, CONCATENATE( "{",CHAR(34),"target",CHAR(34),":",CHAR(34),VLOOKUP(E244,Injections!B:F,2, FALSE),CHAR(34),",", CHAR(34), "excitation",CHAR(34), ":", VLOOKUP(E244,Injections!B:F,3, FALSE), ",",  CHAR(34), "camera",CHAR(34), ":",
IF(VALUE(VLOOKUP(E244,Injections!B:F,3, FALSE))&lt;VALUE(VLOOKUP(V244,imaging_filters!A:C,2, FALSE)), CONCATENATE(CHAR(34),"CamA",CHAR(34)), CONCATENATE(CHAR(34),"CamB",CHAR(34))),"}"), ""),
IF(VLOOKUP(E244,Injections!B:F,5, FALSE)&gt;0, CONCATENATE(",{",CHAR(34),"target",CHAR(34),":",CHAR(34),VLOOKUP(E244,Injections!B:F,4, FALSE),CHAR(34),",", CHAR(34), "excitation",CHAR(34), ":", VLOOKUP(E244,Injections!B:F,5, FALSE), ",",  CHAR(34), "camera",CHAR(34), ":",
IF(VALUE(VLOOKUP(E244,Injections!B:F,5, FALSE))&lt;VALUE(VLOOKUP(V244,imaging_filters!A:C,2, FALSE)), CONCATENATE(CHAR(34),"CamA",CHAR(34)), CONCATENATE(CHAR(34),"CamB",CHAR(34))),"}"), ""),
 "]"), "[]")</f>
        <v>[]</v>
      </c>
      <c r="Z244" s="11" t="str">
        <f ca="1">IFERROR(
CONCATENATE( "[",
IF(VLOOKUP(F244,Injections!H:L,3, FALSE)&gt;0, CONCATENATE( "{",CHAR(34),"target",CHAR(34),":",CHAR(34),VLOOKUP(F244,Injections!H:L,2, FALSE),CHAR(34),",", CHAR(34), "excitation",CHAR(34), ":", VLOOKUP(F244,Injections!H:L,3, FALSE), ",",  CHAR(34), "camera",CHAR(34), ":",
IF(VALUE(VLOOKUP(F244,Injections!H:L,3, FALSE))&lt;VALUE(VLOOKUP(V244,imaging_filters!A:K,11, FALSE)), CONCATENATE(CHAR(34),"CamA",CHAR(34)), CONCATENATE(CHAR(34),"CamB",CHAR(34))),"}"), ""),
IF(VLOOKUP(F244,Injections!H:L,5, FALSE)&gt;0, CONCATENATE(",{",CHAR(34),"target",CHAR(34),":",CHAR(34),VLOOKUP(F244,Injections!H:L,4, FALSE),CHAR(34),",", CHAR(34), "excitation",CHAR(34), ":", VLOOKUP(F244,Injections!H:L,5, FALSE), ",",  CHAR(34), "camera",CHAR(34), ":",
IF(VALUE(VLOOKUP(F244,Injections!H:L,5, FALSE))&lt;VALUE(VLOOKUP(V244,imaging_filters!A:K,11, FALSE)), CONCATENATE(CHAR(34),"CamA",CHAR(34)), CONCATENATE(CHAR(34),"CamB",CHAR(34))),"}"), ""),
 "]"), "[]")</f>
        <v>[{"target":"nuclei","excitation":560,"camera":"CamB"}]</v>
      </c>
      <c r="AA244" s="11" t="s">
        <v>464</v>
      </c>
    </row>
    <row r="245" spans="1:27" ht="15.75" customHeight="1" x14ac:dyDescent="0.15">
      <c r="A245" s="7">
        <f t="shared" si="7"/>
        <v>45740</v>
      </c>
      <c r="B245" s="1"/>
      <c r="C245" s="1" t="s">
        <v>253</v>
      </c>
      <c r="D245" s="1" t="s">
        <v>253</v>
      </c>
      <c r="E245" s="1"/>
      <c r="F245" s="1" t="s">
        <v>64</v>
      </c>
      <c r="G245" s="8"/>
      <c r="H245" s="8"/>
      <c r="I245" s="8">
        <v>45737</v>
      </c>
      <c r="J245" s="1" t="s">
        <v>467</v>
      </c>
      <c r="K245" s="1" t="s">
        <v>34</v>
      </c>
      <c r="L245" s="19">
        <v>45740</v>
      </c>
      <c r="M245" s="19">
        <v>45740</v>
      </c>
      <c r="N245" s="9">
        <v>0.4861111111111111</v>
      </c>
      <c r="O245" s="9">
        <v>0.73958333333333337</v>
      </c>
      <c r="P245" s="1" t="s">
        <v>414</v>
      </c>
      <c r="Q245" s="1" t="s">
        <v>333</v>
      </c>
      <c r="R245" s="10" t="str">
        <f ca="1">IFERROR(__xludf.DUMMYFUNCTION("JOIN("","", SORT(UNIQUE(TOCOL({VLOOKUP(D245,DM_fish!A:B,2,FALSE),VLOOKUP(C245,DM_fish!A:B,2,FALSE), ARRAYFORMULA(VLOOKUP(SPLIT(E245, "", ""),Injections!B:G,6,FALSE)), ARRAYFORMULA(VLOOKUP(SPLIT(F245, "", ""),Injections!H:M,6,FALSE)), ARRAYFORMULA(VLOOKUP("&amp;"SPLIT(G245, "", ""),Injections!N:S,6,FALSE)), ARRAYFORMULA(VLOOKUP(SPLIT(H245, "", ""),Injections!T:Y,6,FALSE)) },3))))"),"nuclei")</f>
        <v>nuclei</v>
      </c>
      <c r="S245" s="10" t="str">
        <f ca="1">IFERROR(__xludf.DUMMYFUNCTION("IFERROR(JOIN("","", SPLIT(R245, "","", TRUE ,TRUE)), """")"),"nuclei")</f>
        <v>nuclei</v>
      </c>
      <c r="T245" s="1" t="s">
        <v>468</v>
      </c>
      <c r="U245" s="17">
        <v>2222</v>
      </c>
      <c r="V245" s="1" t="s">
        <v>203</v>
      </c>
      <c r="W245" s="12" t="str">
        <f ca="1">IFERROR(CONCATENATE("[", CONCATENATE(IF(VLOOKUP(D245,DM_fish!C:X,14, FALSE)&gt;0, CONCATENATE("{",CHAR(34),"target",CHAR(34),":",CHAR(34),VLOOKUP(D245,DM_fish!C:X,13, FALSE),CHAR(34),",", CHAR(34), "excitation",CHAR(34), ":", VLOOKUP(D245,DM_fish!C:X,14, FALSE), ",",  CHAR(34), "camera",CHAR(34), ":", IF(VALUE(VLOOKUP(D245,DM_fish!C:X,14, FALSE))&lt;VALUE(VLOOKUP(V245,imaging_filters!A:K,11, FALSE)), CONCATENATE(CHAR(34),"CamA",CHAR(34)), CONCATENATE(CHAR(34),"CamB",CHAR(34))),"}"), ""),IF(VLOOKUP(D245,DM_fish!C:X,16, FALSE)&gt;0, CONCATENATE(",{",CHAR(34),"target",CHAR(34),":",CHAR(34),VLOOKUP(D245,DM_fish!C:X,15, FALSE),CHAR(34),",", CHAR(34), "excitation",CHAR(34), ":", VLOOKUP(D245,DM_fish!C:X,16, FALSE), ",",  CHAR(34), "camera",CHAR(34), ":", IF(VALUE(VLOOKUP(D245,DM_fish!C:X,16, FALSE))&lt;VALUE(VLOOKUP(V245,imaging_filters!A:K,11, FALSE)), CONCATENATE(CHAR(34),"CamA",CHAR(34)), CONCATENATE(CHAR(34),"CamB",CHAR(34))),"}"), ""),IF(VLOOKUP(D245,DM_fish!C:X,18, FALSE)&gt;0, CONCATENATE(",{",CHAR(34),"target",CHAR(34),":",CHAR(34),VLOOKUP(D245,DM_fish!C:X,17, FALSE),CHAR(34),",", CHAR(34), "excitation",CHAR(34), ":", VLOOKUP(D245,DM_fish!C:X,18, FALSE), ",",  CHAR(34), "camera",CHAR(34), ":", IF(VALUE(VLOOKUP(D245,DM_fish!C:X,18, FALSE))&lt;VALUE(VLOOKUP(V245,imaging_filters!A:K,11, FALSE)), CONCATENATE(CHAR(34),"CamA",CHAR(34)), CONCATENATE(CHAR(34),"CamB",CHAR(34))),"}"), ""),IF(VLOOKUP(D245,DM_fish!C:X,20, FALSE)&gt;0, CONCATENATE(",{",CHAR(34),"target",CHAR(34),":",CHAR(34),VLOOKUP(D245,DM_fish!C:X,19, FALSE),CHAR(34),",", CHAR(34), "excitation",CHAR(34), ":", VLOOKUP(D245,DM_fish!C:X,20, FALSE), ",",  CHAR(34), "camera",CHAR(34), ":", IF(VALUE(VLOOKUP(D245,DM_fish!C:X,20, FALSE))&lt;VALUE(VLOOKUP(V245,imaging_filters!A:K,11, FALSE)), CONCATENATE(CHAR(34),"CamA",CHAR(34)), CONCATENATE(CHAR(34),"CamB",CHAR(34))),"}"), ""),IF(VLOOKUP(D245,DM_fish!C:X,22, FALSE)&gt;0, CONCATENATE(",{",CHAR(34),"target",CHAR(34),":",CHAR(34),VLOOKUP(D245,DM_fish!C:X,21, FALSE),CHAR(34),",", CHAR(34), "excitation",CHAR(34), ":", VLOOKUP(D245,DM_fish!C:X,22, FALSE), ",",  CHAR(34), "camera",CHAR(34), ":", IF(VALUE(VLOOKUP(D245,DM_fish!C:X,22, FALSE))&lt;VALUE(VLOOKUP(V245,imaging_filters!A:K,11, FALSE)), CONCATENATE(CHAR(34),"CamA",CHAR(34)), CONCATENATE(CHAR(34),"CamB",CHAR(34))),"}"), "")), "]"), "")</f>
        <v/>
      </c>
      <c r="X245" s="12" t="str">
        <f ca="1">IFERROR(
CONCATENATE("[", CONCATENATE(IF(VLOOKUP(C245,DM_fish!C:X,14, FALSE)&gt;0, CONCATENATE("{",CHAR(34),"target",CHAR(34),":",CHAR(34),VLOOKUP(C245,DM_fish!C:X,13, FALSE),CHAR(34),",", CHAR(34), "excitation",CHAR(34), ":", VLOOKUP(C245,DM_fish!C:X,14, FALSE), ",",  CHAR(34), "camera",CHAR(34), ":", IF(VALUE(VLOOKUP(C245,DM_fish!C:X,14, FALSE))&lt;VALUE(VLOOKUP(V245,imaging_filters!A:K,11, FALSE)), CONCATENATE(CHAR(34),"CamA",CHAR(34)), CONCATENATE(CHAR(34),"CamB",CHAR(34))),"}"), ""),IF(VLOOKUP(C245,DM_fish!C:X,16, FALSE)&gt;0, CONCATENATE(",{",CHAR(34),"target",CHAR(34),":",CHAR(34),VLOOKUP(C245,DM_fish!C:X,15, FALSE),CHAR(34),",", CHAR(34), "excitation",CHAR(34), ":", VLOOKUP(C245,DM_fish!C:X,16, FALSE), ",",  CHAR(34), "camera",CHAR(34), ":", IF(VALUE(VLOOKUP(C245,DM_fish!C:X,16, FALSE))&lt;VALUE(VLOOKUP(V245,imaging_filters!A:K,11, FALSE)), CONCATENATE(CHAR(34),"CamA",CHAR(34)), CONCATENATE(CHAR(34),"CamB",CHAR(34))),"}"), ""),IF(VLOOKUP(C245,DM_fish!C:X,18, FALSE)&gt;0, CONCATENATE(",{",CHAR(34),"target",CHAR(34),":",CHAR(34),VLOOKUP(C245,DM_fish!C:X,17, FALSE),CHAR(34),",", CHAR(34), "excitation",CHAR(34), ":", VLOOKUP(C245,DM_fish!C:X,18, FALSE), ",",  CHAR(34), "camera",CHAR(34), ":", IF(VALUE(VLOOKUP(C245,DM_fish!C:X,18, FALSE))&lt;VALUE(VLOOKUP(V245,imaging_filters!A:K,11, FALSE)), CONCATENATE(CHAR(34),"CamA",CHAR(34)), CONCATENATE(CHAR(34),"CamB",CHAR(34))),"}"), ""),IF(VLOOKUP(C245,DM_fish!C:X,20, FALSE)&gt;0, CONCATENATE(",{",CHAR(34),"target",CHAR(34),":",CHAR(34),VLOOKUP(C245,DM_fish!C:X,19, FALSE),CHAR(34),",", CHAR(34), "excitation",CHAR(34), ":", VLOOKUP(C245,DM_fish!C:X,20, FALSE), ",",  CHAR(34), "camera",CHAR(34), ":", IF(VALUE(VLOOKUP(C245,DM_fish!C:X,20, FALSE))&lt;VALUE(VLOOKUP(V245,imaging_filters!A:K,11, FALSE)), CONCATENATE(CHAR(34),"CamA",CHAR(34)), CONCATENATE(CHAR(34),"CamB",CHAR(34))),"}"), ""),IF(VLOOKUP(C245,DM_fish!C:X,22, FALSE)&gt;0, CONCATENATE(",{",CHAR(34),"target",CHAR(34),":",CHAR(34),VLOOKUP(C245,DM_fish!C:X,21, FALSE),CHAR(34),",", CHAR(34), "excitation",CHAR(34), ":", VLOOKUP(C245,DM_fish!C:X,22, FALSE), ",",  CHAR(34), "camera",CHAR(34), ":", IF(VALUE(VLOOKUP(C245,DM_fish!C:X,22, FALSE))&lt;VALUE(VLOOKUP(V245,imaging_filters!A:K,11, FALSE)), CONCATENATE(CHAR(34),"CamA",CHAR(34)), CONCATENATE(CHAR(34),"CamB",CHAR(34))),"}"), "")), "]"), "")</f>
        <v/>
      </c>
      <c r="Y245" s="11" t="str">
        <f ca="1">IFERROR(
CONCATENATE( "[",
IF(VLOOKUP(E245,Injections!B:F,3, FALSE)&gt;0, CONCATENATE( "{",CHAR(34),"target",CHAR(34),":",CHAR(34),VLOOKUP(E245,Injections!B:F,2, FALSE),CHAR(34),",", CHAR(34), "excitation",CHAR(34), ":", VLOOKUP(E245,Injections!B:F,3, FALSE), ",",  CHAR(34), "camera",CHAR(34), ":",
IF(VALUE(VLOOKUP(E245,Injections!B:F,3, FALSE))&lt;VALUE(VLOOKUP(V245,imaging_filters!A:C,2, FALSE)), CONCATENATE(CHAR(34),"CamA",CHAR(34)), CONCATENATE(CHAR(34),"CamB",CHAR(34))),"}"), ""),
IF(VLOOKUP(E245,Injections!B:F,5, FALSE)&gt;0, CONCATENATE(",{",CHAR(34),"target",CHAR(34),":",CHAR(34),VLOOKUP(E245,Injections!B:F,4, FALSE),CHAR(34),",", CHAR(34), "excitation",CHAR(34), ":", VLOOKUP(E245,Injections!B:F,5, FALSE), ",",  CHAR(34), "camera",CHAR(34), ":",
IF(VALUE(VLOOKUP(E245,Injections!B:F,5, FALSE))&lt;VALUE(VLOOKUP(V245,imaging_filters!A:C,2, FALSE)), CONCATENATE(CHAR(34),"CamA",CHAR(34)), CONCATENATE(CHAR(34),"CamB",CHAR(34))),"}"), ""),
 "]"), "[]")</f>
        <v>[]</v>
      </c>
      <c r="Z245" s="11" t="str">
        <f ca="1">IFERROR(
CONCATENATE( "[",
IF(VLOOKUP(F245,Injections!H:L,3, FALSE)&gt;0, CONCATENATE( "{",CHAR(34),"target",CHAR(34),":",CHAR(34),VLOOKUP(F245,Injections!H:L,2, FALSE),CHAR(34),",", CHAR(34), "excitation",CHAR(34), ":", VLOOKUP(F245,Injections!H:L,3, FALSE), ",",  CHAR(34), "camera",CHAR(34), ":",
IF(VALUE(VLOOKUP(F245,Injections!H:L,3, FALSE))&lt;VALUE(VLOOKUP(V245,imaging_filters!A:K,11, FALSE)), CONCATENATE(CHAR(34),"CamA",CHAR(34)), CONCATENATE(CHAR(34),"CamB",CHAR(34))),"}"), ""),
IF(VLOOKUP(F245,Injections!H:L,5, FALSE)&gt;0, CONCATENATE(",{",CHAR(34),"target",CHAR(34),":",CHAR(34),VLOOKUP(F245,Injections!H:L,4, FALSE),CHAR(34),",", CHAR(34), "excitation",CHAR(34), ":", VLOOKUP(F245,Injections!H:L,5, FALSE), ",",  CHAR(34), "camera",CHAR(34), ":",
IF(VALUE(VLOOKUP(F245,Injections!H:L,5, FALSE))&lt;VALUE(VLOOKUP(V245,imaging_filters!A:K,11, FALSE)), CONCATENATE(CHAR(34),"CamA",CHAR(34)), CONCATENATE(CHAR(34),"CamB",CHAR(34))),"}"), ""),
 "]"), "[]")</f>
        <v>[{"target":"nuclei","excitation":560,"camera":"CamB"}]</v>
      </c>
      <c r="AA245" s="11"/>
    </row>
    <row r="246" spans="1:27" ht="15.75" customHeight="1" x14ac:dyDescent="0.15">
      <c r="A246" s="7">
        <f t="shared" si="7"/>
        <v>45740</v>
      </c>
      <c r="B246" s="1"/>
      <c r="C246" s="1" t="s">
        <v>253</v>
      </c>
      <c r="D246" s="1" t="s">
        <v>253</v>
      </c>
      <c r="E246" s="1"/>
      <c r="F246" s="1" t="s">
        <v>64</v>
      </c>
      <c r="G246" s="8"/>
      <c r="H246" s="8"/>
      <c r="I246" s="8">
        <v>45737</v>
      </c>
      <c r="J246" s="1" t="s">
        <v>467</v>
      </c>
      <c r="K246" s="1" t="s">
        <v>77</v>
      </c>
      <c r="L246" s="19">
        <v>45740</v>
      </c>
      <c r="M246" s="19">
        <v>45740</v>
      </c>
      <c r="N246" s="9">
        <v>0.4861111111111111</v>
      </c>
      <c r="O246" s="9">
        <v>0.49305555555555558</v>
      </c>
      <c r="P246" s="1" t="s">
        <v>414</v>
      </c>
      <c r="Q246" s="1" t="s">
        <v>469</v>
      </c>
      <c r="R246" s="10" t="str">
        <f ca="1">IFERROR(__xludf.DUMMYFUNCTION("JOIN("","", SORT(UNIQUE(TOCOL({VLOOKUP(D246,DM_fish!A:B,2,FALSE),VLOOKUP(C246,DM_fish!A:B,2,FALSE), ARRAYFORMULA(VLOOKUP(SPLIT(E246, "", ""),Injections!B:G,6,FALSE)), ARRAYFORMULA(VLOOKUP(SPLIT(F246, "", ""),Injections!H:M,6,FALSE)), ARRAYFORMULA(VLOOKUP("&amp;"SPLIT(G246, "", ""),Injections!N:S,6,FALSE)), ARRAYFORMULA(VLOOKUP(SPLIT(H246, "", ""),Injections!T:Y,6,FALSE)) },3))))"),"nuclei")</f>
        <v>nuclei</v>
      </c>
      <c r="S246" s="10" t="str">
        <f ca="1">IFERROR(__xludf.DUMMYFUNCTION("IFERROR(JOIN("","", SPLIT(R246, "","", TRUE ,TRUE)), """")"),"nuclei")</f>
        <v>nuclei</v>
      </c>
      <c r="T246" s="1" t="s">
        <v>470</v>
      </c>
      <c r="U246" s="17">
        <v>3758</v>
      </c>
      <c r="V246" s="1" t="s">
        <v>203</v>
      </c>
      <c r="W246" s="12" t="str">
        <f ca="1">IFERROR(CONCATENATE("[", CONCATENATE(IF(VLOOKUP(D246,DM_fish!C:X,14, FALSE)&gt;0, CONCATENATE("{",CHAR(34),"target",CHAR(34),":",CHAR(34),VLOOKUP(D246,DM_fish!C:X,13, FALSE),CHAR(34),",", CHAR(34), "excitation",CHAR(34), ":", VLOOKUP(D246,DM_fish!C:X,14, FALSE), ",",  CHAR(34), "camera",CHAR(34), ":", IF(VALUE(VLOOKUP(D246,DM_fish!C:X,14, FALSE))&lt;VALUE(VLOOKUP(V246,imaging_filters!A:K,11, FALSE)), CONCATENATE(CHAR(34),"CamA",CHAR(34)), CONCATENATE(CHAR(34),"CamB",CHAR(34))),"}"), ""),IF(VLOOKUP(D246,DM_fish!C:X,16, FALSE)&gt;0, CONCATENATE(",{",CHAR(34),"target",CHAR(34),":",CHAR(34),VLOOKUP(D246,DM_fish!C:X,15, FALSE),CHAR(34),",", CHAR(34), "excitation",CHAR(34), ":", VLOOKUP(D246,DM_fish!C:X,16, FALSE), ",",  CHAR(34), "camera",CHAR(34), ":", IF(VALUE(VLOOKUP(D246,DM_fish!C:X,16, FALSE))&lt;VALUE(VLOOKUP(V246,imaging_filters!A:K,11, FALSE)), CONCATENATE(CHAR(34),"CamA",CHAR(34)), CONCATENATE(CHAR(34),"CamB",CHAR(34))),"}"), ""),IF(VLOOKUP(D246,DM_fish!C:X,18, FALSE)&gt;0, CONCATENATE(",{",CHAR(34),"target",CHAR(34),":",CHAR(34),VLOOKUP(D246,DM_fish!C:X,17, FALSE),CHAR(34),",", CHAR(34), "excitation",CHAR(34), ":", VLOOKUP(D246,DM_fish!C:X,18, FALSE), ",",  CHAR(34), "camera",CHAR(34), ":", IF(VALUE(VLOOKUP(D246,DM_fish!C:X,18, FALSE))&lt;VALUE(VLOOKUP(V246,imaging_filters!A:K,11, FALSE)), CONCATENATE(CHAR(34),"CamA",CHAR(34)), CONCATENATE(CHAR(34),"CamB",CHAR(34))),"}"), ""),IF(VLOOKUP(D246,DM_fish!C:X,20, FALSE)&gt;0, CONCATENATE(",{",CHAR(34),"target",CHAR(34),":",CHAR(34),VLOOKUP(D246,DM_fish!C:X,19, FALSE),CHAR(34),",", CHAR(34), "excitation",CHAR(34), ":", VLOOKUP(D246,DM_fish!C:X,20, FALSE), ",",  CHAR(34), "camera",CHAR(34), ":", IF(VALUE(VLOOKUP(D246,DM_fish!C:X,20, FALSE))&lt;VALUE(VLOOKUP(V246,imaging_filters!A:K,11, FALSE)), CONCATENATE(CHAR(34),"CamA",CHAR(34)), CONCATENATE(CHAR(34),"CamB",CHAR(34))),"}"), ""),IF(VLOOKUP(D246,DM_fish!C:X,22, FALSE)&gt;0, CONCATENATE(",{",CHAR(34),"target",CHAR(34),":",CHAR(34),VLOOKUP(D246,DM_fish!C:X,21, FALSE),CHAR(34),",", CHAR(34), "excitation",CHAR(34), ":", VLOOKUP(D246,DM_fish!C:X,22, FALSE), ",",  CHAR(34), "camera",CHAR(34), ":", IF(VALUE(VLOOKUP(D246,DM_fish!C:X,22, FALSE))&lt;VALUE(VLOOKUP(V246,imaging_filters!A:K,11, FALSE)), CONCATENATE(CHAR(34),"CamA",CHAR(34)), CONCATENATE(CHAR(34),"CamB",CHAR(34))),"}"), "")), "]"), "")</f>
        <v/>
      </c>
      <c r="X246" s="12" t="str">
        <f ca="1">IFERROR(
CONCATENATE("[", CONCATENATE(IF(VLOOKUP(C246,DM_fish!C:X,14, FALSE)&gt;0, CONCATENATE("{",CHAR(34),"target",CHAR(34),":",CHAR(34),VLOOKUP(C246,DM_fish!C:X,13, FALSE),CHAR(34),",", CHAR(34), "excitation",CHAR(34), ":", VLOOKUP(C246,DM_fish!C:X,14, FALSE), ",",  CHAR(34), "camera",CHAR(34), ":", IF(VALUE(VLOOKUP(C246,DM_fish!C:X,14, FALSE))&lt;VALUE(VLOOKUP(V246,imaging_filters!A:K,11, FALSE)), CONCATENATE(CHAR(34),"CamA",CHAR(34)), CONCATENATE(CHAR(34),"CamB",CHAR(34))),"}"), ""),IF(VLOOKUP(C246,DM_fish!C:X,16, FALSE)&gt;0, CONCATENATE(",{",CHAR(34),"target",CHAR(34),":",CHAR(34),VLOOKUP(C246,DM_fish!C:X,15, FALSE),CHAR(34),",", CHAR(34), "excitation",CHAR(34), ":", VLOOKUP(C246,DM_fish!C:X,16, FALSE), ",",  CHAR(34), "camera",CHAR(34), ":", IF(VALUE(VLOOKUP(C246,DM_fish!C:X,16, FALSE))&lt;VALUE(VLOOKUP(V246,imaging_filters!A:K,11, FALSE)), CONCATENATE(CHAR(34),"CamA",CHAR(34)), CONCATENATE(CHAR(34),"CamB",CHAR(34))),"}"), ""),IF(VLOOKUP(C246,DM_fish!C:X,18, FALSE)&gt;0, CONCATENATE(",{",CHAR(34),"target",CHAR(34),":",CHAR(34),VLOOKUP(C246,DM_fish!C:X,17, FALSE),CHAR(34),",", CHAR(34), "excitation",CHAR(34), ":", VLOOKUP(C246,DM_fish!C:X,18, FALSE), ",",  CHAR(34), "camera",CHAR(34), ":", IF(VALUE(VLOOKUP(C246,DM_fish!C:X,18, FALSE))&lt;VALUE(VLOOKUP(V246,imaging_filters!A:K,11, FALSE)), CONCATENATE(CHAR(34),"CamA",CHAR(34)), CONCATENATE(CHAR(34),"CamB",CHAR(34))),"}"), ""),IF(VLOOKUP(C246,DM_fish!C:X,20, FALSE)&gt;0, CONCATENATE(",{",CHAR(34),"target",CHAR(34),":",CHAR(34),VLOOKUP(C246,DM_fish!C:X,19, FALSE),CHAR(34),",", CHAR(34), "excitation",CHAR(34), ":", VLOOKUP(C246,DM_fish!C:X,20, FALSE), ",",  CHAR(34), "camera",CHAR(34), ":", IF(VALUE(VLOOKUP(C246,DM_fish!C:X,20, FALSE))&lt;VALUE(VLOOKUP(V246,imaging_filters!A:K,11, FALSE)), CONCATENATE(CHAR(34),"CamA",CHAR(34)), CONCATENATE(CHAR(34),"CamB",CHAR(34))),"}"), ""),IF(VLOOKUP(C246,DM_fish!C:X,22, FALSE)&gt;0, CONCATENATE(",{",CHAR(34),"target",CHAR(34),":",CHAR(34),VLOOKUP(C246,DM_fish!C:X,21, FALSE),CHAR(34),",", CHAR(34), "excitation",CHAR(34), ":", VLOOKUP(C246,DM_fish!C:X,22, FALSE), ",",  CHAR(34), "camera",CHAR(34), ":", IF(VALUE(VLOOKUP(C246,DM_fish!C:X,22, FALSE))&lt;VALUE(VLOOKUP(V246,imaging_filters!A:K,11, FALSE)), CONCATENATE(CHAR(34),"CamA",CHAR(34)), CONCATENATE(CHAR(34),"CamB",CHAR(34))),"}"), "")), "]"), "")</f>
        <v/>
      </c>
      <c r="Y246" s="11" t="str">
        <f ca="1">IFERROR(
CONCATENATE( "[",
IF(VLOOKUP(E246,Injections!B:F,3, FALSE)&gt;0, CONCATENATE( "{",CHAR(34),"target",CHAR(34),":",CHAR(34),VLOOKUP(E246,Injections!B:F,2, FALSE),CHAR(34),",", CHAR(34), "excitation",CHAR(34), ":", VLOOKUP(E246,Injections!B:F,3, FALSE), ",",  CHAR(34), "camera",CHAR(34), ":",
IF(VALUE(VLOOKUP(E246,Injections!B:F,3, FALSE))&lt;VALUE(VLOOKUP(V246,imaging_filters!A:C,2, FALSE)), CONCATENATE(CHAR(34),"CamA",CHAR(34)), CONCATENATE(CHAR(34),"CamB",CHAR(34))),"}"), ""),
IF(VLOOKUP(E246,Injections!B:F,5, FALSE)&gt;0, CONCATENATE(",{",CHAR(34),"target",CHAR(34),":",CHAR(34),VLOOKUP(E246,Injections!B:F,4, FALSE),CHAR(34),",", CHAR(34), "excitation",CHAR(34), ":", VLOOKUP(E246,Injections!B:F,5, FALSE), ",",  CHAR(34), "camera",CHAR(34), ":",
IF(VALUE(VLOOKUP(E246,Injections!B:F,5, FALSE))&lt;VALUE(VLOOKUP(V246,imaging_filters!A:C,2, FALSE)), CONCATENATE(CHAR(34),"CamA",CHAR(34)), CONCATENATE(CHAR(34),"CamB",CHAR(34))),"}"), ""),
 "]"), "[]")</f>
        <v>[]</v>
      </c>
      <c r="Z246" s="11" t="str">
        <f ca="1">IFERROR(
CONCATENATE( "[",
IF(VLOOKUP(F246,Injections!H:L,3, FALSE)&gt;0, CONCATENATE( "{",CHAR(34),"target",CHAR(34),":",CHAR(34),VLOOKUP(F246,Injections!H:L,2, FALSE),CHAR(34),",", CHAR(34), "excitation",CHAR(34), ":", VLOOKUP(F246,Injections!H:L,3, FALSE), ",",  CHAR(34), "camera",CHAR(34), ":",
IF(VALUE(VLOOKUP(F246,Injections!H:L,3, FALSE))&lt;VALUE(VLOOKUP(V246,imaging_filters!A:K,11, FALSE)), CONCATENATE(CHAR(34),"CamA",CHAR(34)), CONCATENATE(CHAR(34),"CamB",CHAR(34))),"}"), ""),
IF(VLOOKUP(F246,Injections!H:L,5, FALSE)&gt;0, CONCATENATE(",{",CHAR(34),"target",CHAR(34),":",CHAR(34),VLOOKUP(F246,Injections!H:L,4, FALSE),CHAR(34),",", CHAR(34), "excitation",CHAR(34), ":", VLOOKUP(F246,Injections!H:L,5, FALSE), ",",  CHAR(34), "camera",CHAR(34), ":",
IF(VALUE(VLOOKUP(F246,Injections!H:L,5, FALSE))&lt;VALUE(VLOOKUP(V246,imaging_filters!A:K,11, FALSE)), CONCATENATE(CHAR(34),"CamA",CHAR(34)), CONCATENATE(CHAR(34),"CamB",CHAR(34))),"}"), ""),
 "]"), "[]")</f>
        <v>[{"target":"nuclei","excitation":560,"camera":"CamB"}]</v>
      </c>
      <c r="AA246" s="11"/>
    </row>
    <row r="247" spans="1:27" ht="15.75" customHeight="1" x14ac:dyDescent="0.15">
      <c r="A247" s="7">
        <f t="shared" si="7"/>
        <v>45737</v>
      </c>
      <c r="B247" s="1"/>
      <c r="C247" s="1" t="s">
        <v>253</v>
      </c>
      <c r="D247" s="1" t="s">
        <v>107</v>
      </c>
      <c r="E247" s="1"/>
      <c r="F247" s="1" t="s">
        <v>64</v>
      </c>
      <c r="G247" s="8"/>
      <c r="H247" s="8"/>
      <c r="I247" s="8">
        <v>45733</v>
      </c>
      <c r="J247" s="1" t="s">
        <v>471</v>
      </c>
      <c r="K247" s="1" t="s">
        <v>34</v>
      </c>
      <c r="L247" s="8">
        <v>45735</v>
      </c>
      <c r="M247" s="8">
        <v>45737</v>
      </c>
      <c r="N247" s="9">
        <v>0.65625</v>
      </c>
      <c r="O247" s="1" t="s">
        <v>472</v>
      </c>
      <c r="P247" s="1" t="s">
        <v>473</v>
      </c>
      <c r="R247" s="10" t="str">
        <f ca="1">IFERROR(__xludf.DUMMYFUNCTION("JOIN("","", SORT(UNIQUE(TOCOL({VLOOKUP(D247,DM_fish!A:B,2,FALSE),VLOOKUP(C247,DM_fish!A:B,2,FALSE), ARRAYFORMULA(VLOOKUP(SPLIT(E247, "", ""),Injections!B:G,6,FALSE)), ARRAYFORMULA(VLOOKUP(SPLIT(F247, "", ""),Injections!H:M,6,FALSE)), ARRAYFORMULA(VLOOKUP("&amp;"SPLIT(G247, "", ""),Injections!N:S,6,FALSE)), ARRAYFORMULA(VLOOKUP(SPLIT(H247, "", ""),Injections!T:Y,6,FALSE)) },3))))"),"nuclei")</f>
        <v>nuclei</v>
      </c>
      <c r="S247" s="10" t="str">
        <f ca="1">IFERROR(__xludf.DUMMYFUNCTION("IFERROR(JOIN("","", SPLIT(R247, "","", TRUE ,TRUE)), """")"),"nuclei")</f>
        <v>nuclei</v>
      </c>
      <c r="T247" s="1"/>
      <c r="V247" s="1" t="s">
        <v>203</v>
      </c>
      <c r="W247" s="12" t="str">
        <f ca="1">IFERROR(CONCATENATE("[", CONCATENATE(IF(VLOOKUP(D247,DM_fish!C:X,14, FALSE)&gt;0, CONCATENATE("{",CHAR(34),"target",CHAR(34),":",CHAR(34),VLOOKUP(D247,DM_fish!C:X,13, FALSE),CHAR(34),",", CHAR(34), "excitation",CHAR(34), ":", VLOOKUP(D247,DM_fish!C:X,14, FALSE), ",",  CHAR(34), "camera",CHAR(34), ":", IF(VALUE(VLOOKUP(D247,DM_fish!C:X,14, FALSE))&lt;VALUE(VLOOKUP(V247,imaging_filters!A:K,11, FALSE)), CONCATENATE(CHAR(34),"CamA",CHAR(34)), CONCATENATE(CHAR(34),"CamB",CHAR(34))),"}"), ""),IF(VLOOKUP(D247,DM_fish!C:X,16, FALSE)&gt;0, CONCATENATE(",{",CHAR(34),"target",CHAR(34),":",CHAR(34),VLOOKUP(D247,DM_fish!C:X,15, FALSE),CHAR(34),",", CHAR(34), "excitation",CHAR(34), ":", VLOOKUP(D247,DM_fish!C:X,16, FALSE), ",",  CHAR(34), "camera",CHAR(34), ":", IF(VALUE(VLOOKUP(D247,DM_fish!C:X,16, FALSE))&lt;VALUE(VLOOKUP(V247,imaging_filters!A:K,11, FALSE)), CONCATENATE(CHAR(34),"CamA",CHAR(34)), CONCATENATE(CHAR(34),"CamB",CHAR(34))),"}"), ""),IF(VLOOKUP(D247,DM_fish!C:X,18, FALSE)&gt;0, CONCATENATE(",{",CHAR(34),"target",CHAR(34),":",CHAR(34),VLOOKUP(D247,DM_fish!C:X,17, FALSE),CHAR(34),",", CHAR(34), "excitation",CHAR(34), ":", VLOOKUP(D247,DM_fish!C:X,18, FALSE), ",",  CHAR(34), "camera",CHAR(34), ":", IF(VALUE(VLOOKUP(D247,DM_fish!C:X,18, FALSE))&lt;VALUE(VLOOKUP(V247,imaging_filters!A:K,11, FALSE)), CONCATENATE(CHAR(34),"CamA",CHAR(34)), CONCATENATE(CHAR(34),"CamB",CHAR(34))),"}"), ""),IF(VLOOKUP(D247,DM_fish!C:X,20, FALSE)&gt;0, CONCATENATE(",{",CHAR(34),"target",CHAR(34),":",CHAR(34),VLOOKUP(D247,DM_fish!C:X,19, FALSE),CHAR(34),",", CHAR(34), "excitation",CHAR(34), ":", VLOOKUP(D247,DM_fish!C:X,20, FALSE), ",",  CHAR(34), "camera",CHAR(34), ":", IF(VALUE(VLOOKUP(D247,DM_fish!C:X,20, FALSE))&lt;VALUE(VLOOKUP(V247,imaging_filters!A:K,11, FALSE)), CONCATENATE(CHAR(34),"CamA",CHAR(34)), CONCATENATE(CHAR(34),"CamB",CHAR(34))),"}"), ""),IF(VLOOKUP(D247,DM_fish!C:X,22, FALSE)&gt;0, CONCATENATE(",{",CHAR(34),"target",CHAR(34),":",CHAR(34),VLOOKUP(D247,DM_fish!C:X,21, FALSE),CHAR(34),",", CHAR(34), "excitation",CHAR(34), ":", VLOOKUP(D247,DM_fish!C:X,22, FALSE), ",",  CHAR(34), "camera",CHAR(34), ":", IF(VALUE(VLOOKUP(D247,DM_fish!C:X,22, FALSE))&lt;VALUE(VLOOKUP(V247,imaging_filters!A:K,11, FALSE)), CONCATENATE(CHAR(34),"CamA",CHAR(34)), CONCATENATE(CHAR(34),"CamB",CHAR(34))),"}"), "")), "]"), "")</f>
        <v/>
      </c>
      <c r="X247" s="12" t="str">
        <f ca="1">IFERROR(
CONCATENATE("[", CONCATENATE(IF(VLOOKUP(C247,DM_fish!C:X,14, FALSE)&gt;0, CONCATENATE("{",CHAR(34),"target",CHAR(34),":",CHAR(34),VLOOKUP(C247,DM_fish!C:X,13, FALSE),CHAR(34),",", CHAR(34), "excitation",CHAR(34), ":", VLOOKUP(C247,DM_fish!C:X,14, FALSE), ",",  CHAR(34), "camera",CHAR(34), ":", IF(VALUE(VLOOKUP(C247,DM_fish!C:X,14, FALSE))&lt;VALUE(VLOOKUP(V247,imaging_filters!A:K,11, FALSE)), CONCATENATE(CHAR(34),"CamA",CHAR(34)), CONCATENATE(CHAR(34),"CamB",CHAR(34))),"}"), ""),IF(VLOOKUP(C247,DM_fish!C:X,16, FALSE)&gt;0, CONCATENATE(",{",CHAR(34),"target",CHAR(34),":",CHAR(34),VLOOKUP(C247,DM_fish!C:X,15, FALSE),CHAR(34),",", CHAR(34), "excitation",CHAR(34), ":", VLOOKUP(C247,DM_fish!C:X,16, FALSE), ",",  CHAR(34), "camera",CHAR(34), ":", IF(VALUE(VLOOKUP(C247,DM_fish!C:X,16, FALSE))&lt;VALUE(VLOOKUP(V247,imaging_filters!A:K,11, FALSE)), CONCATENATE(CHAR(34),"CamA",CHAR(34)), CONCATENATE(CHAR(34),"CamB",CHAR(34))),"}"), ""),IF(VLOOKUP(C247,DM_fish!C:X,18, FALSE)&gt;0, CONCATENATE(",{",CHAR(34),"target",CHAR(34),":",CHAR(34),VLOOKUP(C247,DM_fish!C:X,17, FALSE),CHAR(34),",", CHAR(34), "excitation",CHAR(34), ":", VLOOKUP(C247,DM_fish!C:X,18, FALSE), ",",  CHAR(34), "camera",CHAR(34), ":", IF(VALUE(VLOOKUP(C247,DM_fish!C:X,18, FALSE))&lt;VALUE(VLOOKUP(V247,imaging_filters!A:K,11, FALSE)), CONCATENATE(CHAR(34),"CamA",CHAR(34)), CONCATENATE(CHAR(34),"CamB",CHAR(34))),"}"), ""),IF(VLOOKUP(C247,DM_fish!C:X,20, FALSE)&gt;0, CONCATENATE(",{",CHAR(34),"target",CHAR(34),":",CHAR(34),VLOOKUP(C247,DM_fish!C:X,19, FALSE),CHAR(34),",", CHAR(34), "excitation",CHAR(34), ":", VLOOKUP(C247,DM_fish!C:X,20, FALSE), ",",  CHAR(34), "camera",CHAR(34), ":", IF(VALUE(VLOOKUP(C247,DM_fish!C:X,20, FALSE))&lt;VALUE(VLOOKUP(V247,imaging_filters!A:K,11, FALSE)), CONCATENATE(CHAR(34),"CamA",CHAR(34)), CONCATENATE(CHAR(34),"CamB",CHAR(34))),"}"), ""),IF(VLOOKUP(C247,DM_fish!C:X,22, FALSE)&gt;0, CONCATENATE(",{",CHAR(34),"target",CHAR(34),":",CHAR(34),VLOOKUP(C247,DM_fish!C:X,21, FALSE),CHAR(34),",", CHAR(34), "excitation",CHAR(34), ":", VLOOKUP(C247,DM_fish!C:X,22, FALSE), ",",  CHAR(34), "camera",CHAR(34), ":", IF(VALUE(VLOOKUP(C247,DM_fish!C:X,22, FALSE))&lt;VALUE(VLOOKUP(V247,imaging_filters!A:K,11, FALSE)), CONCATENATE(CHAR(34),"CamA",CHAR(34)), CONCATENATE(CHAR(34),"CamB",CHAR(34))),"}"), "")), "]"), "")</f>
        <v/>
      </c>
      <c r="Y247" s="11" t="str">
        <f ca="1">IFERROR(
CONCATENATE( "[",
IF(VLOOKUP(E247,Injections!B:F,3, FALSE)&gt;0, CONCATENATE( "{",CHAR(34),"target",CHAR(34),":",CHAR(34),VLOOKUP(E247,Injections!B:F,2, FALSE),CHAR(34),",", CHAR(34), "excitation",CHAR(34), ":", VLOOKUP(E247,Injections!B:F,3, FALSE), ",",  CHAR(34), "camera",CHAR(34), ":",
IF(VALUE(VLOOKUP(E247,Injections!B:F,3, FALSE))&lt;VALUE(VLOOKUP(V247,imaging_filters!A:C,2, FALSE)), CONCATENATE(CHAR(34),"CamA",CHAR(34)), CONCATENATE(CHAR(34),"CamB",CHAR(34))),"}"), ""),
IF(VLOOKUP(E247,Injections!B:F,5, FALSE)&gt;0, CONCATENATE(",{",CHAR(34),"target",CHAR(34),":",CHAR(34),VLOOKUP(E247,Injections!B:F,4, FALSE),CHAR(34),",", CHAR(34), "excitation",CHAR(34), ":", VLOOKUP(E247,Injections!B:F,5, FALSE), ",",  CHAR(34), "camera",CHAR(34), ":",
IF(VALUE(VLOOKUP(E247,Injections!B:F,5, FALSE))&lt;VALUE(VLOOKUP(V247,imaging_filters!A:C,2, FALSE)), CONCATENATE(CHAR(34),"CamA",CHAR(34)), CONCATENATE(CHAR(34),"CamB",CHAR(34))),"}"), ""),
 "]"), "[]")</f>
        <v>[]</v>
      </c>
      <c r="Z247" s="11" t="str">
        <f ca="1">IFERROR(
CONCATENATE( "[",
IF(VLOOKUP(F247,Injections!H:L,3, FALSE)&gt;0, CONCATENATE( "{",CHAR(34),"target",CHAR(34),":",CHAR(34),VLOOKUP(F247,Injections!H:L,2, FALSE),CHAR(34),",", CHAR(34), "excitation",CHAR(34), ":", VLOOKUP(F247,Injections!H:L,3, FALSE), ",",  CHAR(34), "camera",CHAR(34), ":",
IF(VALUE(VLOOKUP(F247,Injections!H:L,3, FALSE))&lt;VALUE(VLOOKUP(V247,imaging_filters!A:K,11, FALSE)), CONCATENATE(CHAR(34),"CamA",CHAR(34)), CONCATENATE(CHAR(34),"CamB",CHAR(34))),"}"), ""),
IF(VLOOKUP(F247,Injections!H:L,5, FALSE)&gt;0, CONCATENATE(",{",CHAR(34),"target",CHAR(34),":",CHAR(34),VLOOKUP(F247,Injections!H:L,4, FALSE),CHAR(34),",", CHAR(34), "excitation",CHAR(34), ":", VLOOKUP(F247,Injections!H:L,5, FALSE), ",",  CHAR(34), "camera",CHAR(34), ":",
IF(VALUE(VLOOKUP(F247,Injections!H:L,5, FALSE))&lt;VALUE(VLOOKUP(V247,imaging_filters!A:K,11, FALSE)), CONCATENATE(CHAR(34),"CamA",CHAR(34)), CONCATENATE(CHAR(34),"CamB",CHAR(34))),"}"), ""),
 "]"), "[]")</f>
        <v>[{"target":"nuclei","excitation":560,"camera":"CamB"}]</v>
      </c>
      <c r="AA247" s="11"/>
    </row>
    <row r="248" spans="1:27" ht="15.75" customHeight="1" x14ac:dyDescent="0.15">
      <c r="A248" s="7">
        <f t="shared" si="7"/>
        <v>45737</v>
      </c>
      <c r="B248" s="1"/>
      <c r="C248" s="1" t="s">
        <v>253</v>
      </c>
      <c r="D248" s="1" t="s">
        <v>107</v>
      </c>
      <c r="E248" s="1"/>
      <c r="F248" s="1" t="s">
        <v>64</v>
      </c>
      <c r="G248" s="8"/>
      <c r="H248" s="8"/>
      <c r="I248" s="8">
        <v>45733</v>
      </c>
      <c r="J248" s="1" t="s">
        <v>471</v>
      </c>
      <c r="K248" s="1" t="s">
        <v>34</v>
      </c>
      <c r="L248" s="8">
        <v>45735</v>
      </c>
      <c r="M248" s="8">
        <v>45737</v>
      </c>
      <c r="N248" s="9">
        <v>0.65625</v>
      </c>
      <c r="O248" s="1" t="s">
        <v>472</v>
      </c>
      <c r="P248" s="1" t="s">
        <v>473</v>
      </c>
      <c r="R248" s="10" t="str">
        <f ca="1">IFERROR(__xludf.DUMMYFUNCTION("JOIN("","", SORT(UNIQUE(TOCOL({VLOOKUP(D248,DM_fish!A:B,2,FALSE),VLOOKUP(C248,DM_fish!A:B,2,FALSE), ARRAYFORMULA(VLOOKUP(SPLIT(E248, "", ""),Injections!B:G,6,FALSE)), ARRAYFORMULA(VLOOKUP(SPLIT(F248, "", ""),Injections!H:M,6,FALSE)), ARRAYFORMULA(VLOOKUP("&amp;"SPLIT(G248, "", ""),Injections!N:S,6,FALSE)), ARRAYFORMULA(VLOOKUP(SPLIT(H248, "", ""),Injections!T:Y,6,FALSE)) },3))))"),"nuclei")</f>
        <v>nuclei</v>
      </c>
      <c r="S248" s="10" t="str">
        <f ca="1">IFERROR(__xludf.DUMMYFUNCTION("IFERROR(JOIN("","", SPLIT(R248, "","", TRUE ,TRUE)), """")"),"nuclei")</f>
        <v>nuclei</v>
      </c>
      <c r="T248" s="1"/>
      <c r="V248" s="1" t="s">
        <v>203</v>
      </c>
      <c r="W248" s="12" t="str">
        <f ca="1">IFERROR(CONCATENATE("[", CONCATENATE(IF(VLOOKUP(D248,DM_fish!C:X,14, FALSE)&gt;0, CONCATENATE("{",CHAR(34),"target",CHAR(34),":",CHAR(34),VLOOKUP(D248,DM_fish!C:X,13, FALSE),CHAR(34),",", CHAR(34), "excitation",CHAR(34), ":", VLOOKUP(D248,DM_fish!C:X,14, FALSE), ",",  CHAR(34), "camera",CHAR(34), ":", IF(VALUE(VLOOKUP(D248,DM_fish!C:X,14, FALSE))&lt;VALUE(VLOOKUP(V248,imaging_filters!A:K,11, FALSE)), CONCATENATE(CHAR(34),"CamA",CHAR(34)), CONCATENATE(CHAR(34),"CamB",CHAR(34))),"}"), ""),IF(VLOOKUP(D248,DM_fish!C:X,16, FALSE)&gt;0, CONCATENATE(",{",CHAR(34),"target",CHAR(34),":",CHAR(34),VLOOKUP(D248,DM_fish!C:X,15, FALSE),CHAR(34),",", CHAR(34), "excitation",CHAR(34), ":", VLOOKUP(D248,DM_fish!C:X,16, FALSE), ",",  CHAR(34), "camera",CHAR(34), ":", IF(VALUE(VLOOKUP(D248,DM_fish!C:X,16, FALSE))&lt;VALUE(VLOOKUP(V248,imaging_filters!A:K,11, FALSE)), CONCATENATE(CHAR(34),"CamA",CHAR(34)), CONCATENATE(CHAR(34),"CamB",CHAR(34))),"}"), ""),IF(VLOOKUP(D248,DM_fish!C:X,18, FALSE)&gt;0, CONCATENATE(",{",CHAR(34),"target",CHAR(34),":",CHAR(34),VLOOKUP(D248,DM_fish!C:X,17, FALSE),CHAR(34),",", CHAR(34), "excitation",CHAR(34), ":", VLOOKUP(D248,DM_fish!C:X,18, FALSE), ",",  CHAR(34), "camera",CHAR(34), ":", IF(VALUE(VLOOKUP(D248,DM_fish!C:X,18, FALSE))&lt;VALUE(VLOOKUP(V248,imaging_filters!A:K,11, FALSE)), CONCATENATE(CHAR(34),"CamA",CHAR(34)), CONCATENATE(CHAR(34),"CamB",CHAR(34))),"}"), ""),IF(VLOOKUP(D248,DM_fish!C:X,20, FALSE)&gt;0, CONCATENATE(",{",CHAR(34),"target",CHAR(34),":",CHAR(34),VLOOKUP(D248,DM_fish!C:X,19, FALSE),CHAR(34),",", CHAR(34), "excitation",CHAR(34), ":", VLOOKUP(D248,DM_fish!C:X,20, FALSE), ",",  CHAR(34), "camera",CHAR(34), ":", IF(VALUE(VLOOKUP(D248,DM_fish!C:X,20, FALSE))&lt;VALUE(VLOOKUP(V248,imaging_filters!A:K,11, FALSE)), CONCATENATE(CHAR(34),"CamA",CHAR(34)), CONCATENATE(CHAR(34),"CamB",CHAR(34))),"}"), ""),IF(VLOOKUP(D248,DM_fish!C:X,22, FALSE)&gt;0, CONCATENATE(",{",CHAR(34),"target",CHAR(34),":",CHAR(34),VLOOKUP(D248,DM_fish!C:X,21, FALSE),CHAR(34),",", CHAR(34), "excitation",CHAR(34), ":", VLOOKUP(D248,DM_fish!C:X,22, FALSE), ",",  CHAR(34), "camera",CHAR(34), ":", IF(VALUE(VLOOKUP(D248,DM_fish!C:X,22, FALSE))&lt;VALUE(VLOOKUP(V248,imaging_filters!A:K,11, FALSE)), CONCATENATE(CHAR(34),"CamA",CHAR(34)), CONCATENATE(CHAR(34),"CamB",CHAR(34))),"}"), "")), "]"), "")</f>
        <v/>
      </c>
      <c r="X248" s="12" t="str">
        <f ca="1">IFERROR(
CONCATENATE("[", CONCATENATE(IF(VLOOKUP(C248,DM_fish!C:X,14, FALSE)&gt;0, CONCATENATE("{",CHAR(34),"target",CHAR(34),":",CHAR(34),VLOOKUP(C248,DM_fish!C:X,13, FALSE),CHAR(34),",", CHAR(34), "excitation",CHAR(34), ":", VLOOKUP(C248,DM_fish!C:X,14, FALSE), ",",  CHAR(34), "camera",CHAR(34), ":", IF(VALUE(VLOOKUP(C248,DM_fish!C:X,14, FALSE))&lt;VALUE(VLOOKUP(V248,imaging_filters!A:K,11, FALSE)), CONCATENATE(CHAR(34),"CamA",CHAR(34)), CONCATENATE(CHAR(34),"CamB",CHAR(34))),"}"), ""),IF(VLOOKUP(C248,DM_fish!C:X,16, FALSE)&gt;0, CONCATENATE(",{",CHAR(34),"target",CHAR(34),":",CHAR(34),VLOOKUP(C248,DM_fish!C:X,15, FALSE),CHAR(34),",", CHAR(34), "excitation",CHAR(34), ":", VLOOKUP(C248,DM_fish!C:X,16, FALSE), ",",  CHAR(34), "camera",CHAR(34), ":", IF(VALUE(VLOOKUP(C248,DM_fish!C:X,16, FALSE))&lt;VALUE(VLOOKUP(V248,imaging_filters!A:K,11, FALSE)), CONCATENATE(CHAR(34),"CamA",CHAR(34)), CONCATENATE(CHAR(34),"CamB",CHAR(34))),"}"), ""),IF(VLOOKUP(C248,DM_fish!C:X,18, FALSE)&gt;0, CONCATENATE(",{",CHAR(34),"target",CHAR(34),":",CHAR(34),VLOOKUP(C248,DM_fish!C:X,17, FALSE),CHAR(34),",", CHAR(34), "excitation",CHAR(34), ":", VLOOKUP(C248,DM_fish!C:X,18, FALSE), ",",  CHAR(34), "camera",CHAR(34), ":", IF(VALUE(VLOOKUP(C248,DM_fish!C:X,18, FALSE))&lt;VALUE(VLOOKUP(V248,imaging_filters!A:K,11, FALSE)), CONCATENATE(CHAR(34),"CamA",CHAR(34)), CONCATENATE(CHAR(34),"CamB",CHAR(34))),"}"), ""),IF(VLOOKUP(C248,DM_fish!C:X,20, FALSE)&gt;0, CONCATENATE(",{",CHAR(34),"target",CHAR(34),":",CHAR(34),VLOOKUP(C248,DM_fish!C:X,19, FALSE),CHAR(34),",", CHAR(34), "excitation",CHAR(34), ":", VLOOKUP(C248,DM_fish!C:X,20, FALSE), ",",  CHAR(34), "camera",CHAR(34), ":", IF(VALUE(VLOOKUP(C248,DM_fish!C:X,20, FALSE))&lt;VALUE(VLOOKUP(V248,imaging_filters!A:K,11, FALSE)), CONCATENATE(CHAR(34),"CamA",CHAR(34)), CONCATENATE(CHAR(34),"CamB",CHAR(34))),"}"), ""),IF(VLOOKUP(C248,DM_fish!C:X,22, FALSE)&gt;0, CONCATENATE(",{",CHAR(34),"target",CHAR(34),":",CHAR(34),VLOOKUP(C248,DM_fish!C:X,21, FALSE),CHAR(34),",", CHAR(34), "excitation",CHAR(34), ":", VLOOKUP(C248,DM_fish!C:X,22, FALSE), ",",  CHAR(34), "camera",CHAR(34), ":", IF(VALUE(VLOOKUP(C248,DM_fish!C:X,22, FALSE))&lt;VALUE(VLOOKUP(V248,imaging_filters!A:K,11, FALSE)), CONCATENATE(CHAR(34),"CamA",CHAR(34)), CONCATENATE(CHAR(34),"CamB",CHAR(34))),"}"), "")), "]"), "")</f>
        <v/>
      </c>
      <c r="Y248" s="11" t="str">
        <f ca="1">IFERROR(
CONCATENATE( "[",
IF(VLOOKUP(E248,Injections!B:F,3, FALSE)&gt;0, CONCATENATE( "{",CHAR(34),"target",CHAR(34),":",CHAR(34),VLOOKUP(E248,Injections!B:F,2, FALSE),CHAR(34),",", CHAR(34), "excitation",CHAR(34), ":", VLOOKUP(E248,Injections!B:F,3, FALSE), ",",  CHAR(34), "camera",CHAR(34), ":",
IF(VALUE(VLOOKUP(E248,Injections!B:F,3, FALSE))&lt;VALUE(VLOOKUP(V248,imaging_filters!A:C,2, FALSE)), CONCATENATE(CHAR(34),"CamA",CHAR(34)), CONCATENATE(CHAR(34),"CamB",CHAR(34))),"}"), ""),
IF(VLOOKUP(E248,Injections!B:F,5, FALSE)&gt;0, CONCATENATE(",{",CHAR(34),"target",CHAR(34),":",CHAR(34),VLOOKUP(E248,Injections!B:F,4, FALSE),CHAR(34),",", CHAR(34), "excitation",CHAR(34), ":", VLOOKUP(E248,Injections!B:F,5, FALSE), ",",  CHAR(34), "camera",CHAR(34), ":",
IF(VALUE(VLOOKUP(E248,Injections!B:F,5, FALSE))&lt;VALUE(VLOOKUP(V248,imaging_filters!A:C,2, FALSE)), CONCATENATE(CHAR(34),"CamA",CHAR(34)), CONCATENATE(CHAR(34),"CamB",CHAR(34))),"}"), ""),
 "]"), "[]")</f>
        <v>[]</v>
      </c>
      <c r="Z248" s="11" t="str">
        <f ca="1">IFERROR(
CONCATENATE( "[",
IF(VLOOKUP(F248,Injections!H:L,3, FALSE)&gt;0, CONCATENATE( "{",CHAR(34),"target",CHAR(34),":",CHAR(34),VLOOKUP(F248,Injections!H:L,2, FALSE),CHAR(34),",", CHAR(34), "excitation",CHAR(34), ":", VLOOKUP(F248,Injections!H:L,3, FALSE), ",",  CHAR(34), "camera",CHAR(34), ":",
IF(VALUE(VLOOKUP(F248,Injections!H:L,3, FALSE))&lt;VALUE(VLOOKUP(V248,imaging_filters!A:K,11, FALSE)), CONCATENATE(CHAR(34),"CamA",CHAR(34)), CONCATENATE(CHAR(34),"CamB",CHAR(34))),"}"), ""),
IF(VLOOKUP(F248,Injections!H:L,5, FALSE)&gt;0, CONCATENATE(",{",CHAR(34),"target",CHAR(34),":",CHAR(34),VLOOKUP(F248,Injections!H:L,4, FALSE),CHAR(34),",", CHAR(34), "excitation",CHAR(34), ":", VLOOKUP(F248,Injections!H:L,5, FALSE), ",",  CHAR(34), "camera",CHAR(34), ":",
IF(VALUE(VLOOKUP(F248,Injections!H:L,5, FALSE))&lt;VALUE(VLOOKUP(V248,imaging_filters!A:K,11, FALSE)), CONCATENATE(CHAR(34),"CamA",CHAR(34)), CONCATENATE(CHAR(34),"CamB",CHAR(34))),"}"), ""),
 "]"), "[]")</f>
        <v>[{"target":"nuclei","excitation":560,"camera":"CamB"}]</v>
      </c>
      <c r="AA248" s="11"/>
    </row>
    <row r="249" spans="1:27" ht="15.75" customHeight="1" x14ac:dyDescent="0.15">
      <c r="A249" s="7">
        <f t="shared" si="7"/>
        <v>45737</v>
      </c>
      <c r="B249" s="1"/>
      <c r="C249" s="1" t="s">
        <v>107</v>
      </c>
      <c r="D249" s="1" t="s">
        <v>430</v>
      </c>
      <c r="E249" s="1"/>
      <c r="F249" s="1" t="s">
        <v>449</v>
      </c>
      <c r="G249" s="8"/>
      <c r="H249" s="8"/>
      <c r="I249" s="8">
        <v>45735</v>
      </c>
      <c r="J249" s="1" t="s">
        <v>474</v>
      </c>
      <c r="K249" s="1" t="s">
        <v>246</v>
      </c>
      <c r="L249" s="19">
        <v>45736</v>
      </c>
      <c r="M249" s="8">
        <v>45737</v>
      </c>
      <c r="N249" s="9">
        <v>0.43055555555555558</v>
      </c>
      <c r="O249" s="9">
        <v>0.4375</v>
      </c>
      <c r="P249" s="9">
        <v>0.75</v>
      </c>
      <c r="Q249" s="1" t="s">
        <v>475</v>
      </c>
      <c r="R249" s="10" t="str">
        <f ca="1">IFERROR(__xludf.DUMMYFUNCTION("JOIN("","", SORT(UNIQUE(TOCOL({VLOOKUP(D249,DM_fish!A:B,2,FALSE),VLOOKUP(C249,DM_fish!A:B,2,FALSE), ARRAYFORMULA(VLOOKUP(SPLIT(E249, "", ""),Injections!B:G,6,FALSE)), ARRAYFORMULA(VLOOKUP(SPLIT(F249, "", ""),Injections!H:M,6,FALSE)), ARRAYFORMULA(VLOOKUP("&amp;"SPLIT(G249, "", ""),Injections!N:S,6,FALSE)), ARRAYFORMULA(VLOOKUP(SPLIT(H249, "", ""),Injections!T:Y,6,FALSE)) },3))))"),",csp,male C - ~10% frequency exorH:GFP (+) embryos,405,445")</f>
        <v>,csp,male C - ~10% frequency exorH:GFP (+) embryos,405,445</v>
      </c>
      <c r="S249" s="10" t="str">
        <f ca="1">IFERROR(__xludf.DUMMYFUNCTION("IFERROR(JOIN("","", SPLIT(R249, "","", TRUE ,TRUE)), """")"),"csp,male C - ~10% frequency exorH:GFP (+) embryos,405,445")</f>
        <v>csp,male C - ~10% frequency exorH:GFP (+) embryos,405,445</v>
      </c>
      <c r="T249" s="1" t="s">
        <v>476</v>
      </c>
      <c r="V249" s="1" t="s">
        <v>280</v>
      </c>
      <c r="W249" s="12" t="str">
        <f ca="1">IFERROR(CONCATENATE("[", CONCATENATE(IF(VLOOKUP(D249,DM_fish!C:X,14, FALSE)&gt;0, CONCATENATE("{",CHAR(34),"target",CHAR(34),":",CHAR(34),VLOOKUP(D249,DM_fish!C:X,13, FALSE),CHAR(34),",", CHAR(34), "excitation",CHAR(34), ":", VLOOKUP(D249,DM_fish!C:X,14, FALSE), ",",  CHAR(34), "camera",CHAR(34), ":", IF(VALUE(VLOOKUP(D249,DM_fish!C:X,14, FALSE))&lt;VALUE(VLOOKUP(V249,imaging_filters!A:K,11, FALSE)), CONCATENATE(CHAR(34),"CamA",CHAR(34)), CONCATENATE(CHAR(34),"CamB",CHAR(34))),"}"), ""),IF(VLOOKUP(D249,DM_fish!C:X,16, FALSE)&gt;0, CONCATENATE(",{",CHAR(34),"target",CHAR(34),":",CHAR(34),VLOOKUP(D249,DM_fish!C:X,15, FALSE),CHAR(34),",", CHAR(34), "excitation",CHAR(34), ":", VLOOKUP(D249,DM_fish!C:X,16, FALSE), ",",  CHAR(34), "camera",CHAR(34), ":", IF(VALUE(VLOOKUP(D249,DM_fish!C:X,16, FALSE))&lt;VALUE(VLOOKUP(V249,imaging_filters!A:K,11, FALSE)), CONCATENATE(CHAR(34),"CamA",CHAR(34)), CONCATENATE(CHAR(34),"CamB",CHAR(34))),"}"), ""),IF(VLOOKUP(D249,DM_fish!C:X,18, FALSE)&gt;0, CONCATENATE(",{",CHAR(34),"target",CHAR(34),":",CHAR(34),VLOOKUP(D249,DM_fish!C:X,17, FALSE),CHAR(34),",", CHAR(34), "excitation",CHAR(34), ":", VLOOKUP(D249,DM_fish!C:X,18, FALSE), ",",  CHAR(34), "camera",CHAR(34), ":", IF(VALUE(VLOOKUP(D249,DM_fish!C:X,18, FALSE))&lt;VALUE(VLOOKUP(V249,imaging_filters!A:K,11, FALSE)), CONCATENATE(CHAR(34),"CamA",CHAR(34)), CONCATENATE(CHAR(34),"CamB",CHAR(34))),"}"), ""),IF(VLOOKUP(D249,DM_fish!C:X,20, FALSE)&gt;0, CONCATENATE(",{",CHAR(34),"target",CHAR(34),":",CHAR(34),VLOOKUP(D249,DM_fish!C:X,19, FALSE),CHAR(34),",", CHAR(34), "excitation",CHAR(34), ":", VLOOKUP(D249,DM_fish!C:X,20, FALSE), ",",  CHAR(34), "camera",CHAR(34), ":", IF(VALUE(VLOOKUP(D249,DM_fish!C:X,20, FALSE))&lt;VALUE(VLOOKUP(V249,imaging_filters!A:K,11, FALSE)), CONCATENATE(CHAR(34),"CamA",CHAR(34)), CONCATENATE(CHAR(34),"CamB",CHAR(34))),"}"), ""),IF(VLOOKUP(D249,DM_fish!C:X,22, FALSE)&gt;0, CONCATENATE(",{",CHAR(34),"target",CHAR(34),":",CHAR(34),VLOOKUP(D249,DM_fish!C:X,21, FALSE),CHAR(34),",", CHAR(34), "excitation",CHAR(34), ":", VLOOKUP(D249,DM_fish!C:X,22, FALSE), ",",  CHAR(34), "camera",CHAR(34), ":", IF(VALUE(VLOOKUP(D249,DM_fish!C:X,22, FALSE))&lt;VALUE(VLOOKUP(V249,imaging_filters!A:K,11, FALSE)), CONCATENATE(CHAR(34),"CamA",CHAR(34)), CONCATENATE(CHAR(34),"CamB",CHAR(34))),"}"), "")), "]"), "")</f>
        <v/>
      </c>
      <c r="X249" s="12" t="str">
        <f ca="1">IFERROR(
CONCATENATE("[", CONCATENATE(IF(VLOOKUP(C249,DM_fish!C:X,14, FALSE)&gt;0, CONCATENATE("{",CHAR(34),"target",CHAR(34),":",CHAR(34),VLOOKUP(C249,DM_fish!C:X,13, FALSE),CHAR(34),",", CHAR(34), "excitation",CHAR(34), ":", VLOOKUP(C249,DM_fish!C:X,14, FALSE), ",",  CHAR(34), "camera",CHAR(34), ":", IF(VALUE(VLOOKUP(C249,DM_fish!C:X,14, FALSE))&lt;VALUE(VLOOKUP(V249,imaging_filters!A:K,11, FALSE)), CONCATENATE(CHAR(34),"CamA",CHAR(34)), CONCATENATE(CHAR(34),"CamB",CHAR(34))),"}"), ""),IF(VLOOKUP(C249,DM_fish!C:X,16, FALSE)&gt;0, CONCATENATE(",{",CHAR(34),"target",CHAR(34),":",CHAR(34),VLOOKUP(C249,DM_fish!C:X,15, FALSE),CHAR(34),",", CHAR(34), "excitation",CHAR(34), ":", VLOOKUP(C249,DM_fish!C:X,16, FALSE), ",",  CHAR(34), "camera",CHAR(34), ":", IF(VALUE(VLOOKUP(C249,DM_fish!C:X,16, FALSE))&lt;VALUE(VLOOKUP(V249,imaging_filters!A:K,11, FALSE)), CONCATENATE(CHAR(34),"CamA",CHAR(34)), CONCATENATE(CHAR(34),"CamB",CHAR(34))),"}"), ""),IF(VLOOKUP(C249,DM_fish!C:X,18, FALSE)&gt;0, CONCATENATE(",{",CHAR(34),"target",CHAR(34),":",CHAR(34),VLOOKUP(C249,DM_fish!C:X,17, FALSE),CHAR(34),",", CHAR(34), "excitation",CHAR(34), ":", VLOOKUP(C249,DM_fish!C:X,18, FALSE), ",",  CHAR(34), "camera",CHAR(34), ":", IF(VALUE(VLOOKUP(C249,DM_fish!C:X,18, FALSE))&lt;VALUE(VLOOKUP(V249,imaging_filters!A:K,11, FALSE)), CONCATENATE(CHAR(34),"CamA",CHAR(34)), CONCATENATE(CHAR(34),"CamB",CHAR(34))),"}"), ""),IF(VLOOKUP(C249,DM_fish!C:X,20, FALSE)&gt;0, CONCATENATE(",{",CHAR(34),"target",CHAR(34),":",CHAR(34),VLOOKUP(C249,DM_fish!C:X,19, FALSE),CHAR(34),",", CHAR(34), "excitation",CHAR(34), ":", VLOOKUP(C249,DM_fish!C:X,20, FALSE), ",",  CHAR(34), "camera",CHAR(34), ":", IF(VALUE(VLOOKUP(C249,DM_fish!C:X,20, FALSE))&lt;VALUE(VLOOKUP(V249,imaging_filters!A:K,11, FALSE)), CONCATENATE(CHAR(34),"CamA",CHAR(34)), CONCATENATE(CHAR(34),"CamB",CHAR(34))),"}"), ""),IF(VLOOKUP(C249,DM_fish!C:X,22, FALSE)&gt;0, CONCATENATE(",{",CHAR(34),"target",CHAR(34),":",CHAR(34),VLOOKUP(C249,DM_fish!C:X,21, FALSE),CHAR(34),",", CHAR(34), "excitation",CHAR(34), ":", VLOOKUP(C249,DM_fish!C:X,22, FALSE), ",",  CHAR(34), "camera",CHAR(34), ":", IF(VALUE(VLOOKUP(C249,DM_fish!C:X,22, FALSE))&lt;VALUE(VLOOKUP(V249,imaging_filters!A:K,11, FALSE)), CONCATENATE(CHAR(34),"CamA",CHAR(34)), CONCATENATE(CHAR(34),"CamB",CHAR(34))),"}"), "")), "]"), "")</f>
        <v/>
      </c>
      <c r="Y249" s="11" t="str">
        <f ca="1">IFERROR(
CONCATENATE( "[",
IF(VLOOKUP(E249,Injections!B:F,3, FALSE)&gt;0, CONCATENATE( "{",CHAR(34),"target",CHAR(34),":",CHAR(34),VLOOKUP(E249,Injections!B:F,2, FALSE),CHAR(34),",", CHAR(34), "excitation",CHAR(34), ":", VLOOKUP(E249,Injections!B:F,3, FALSE), ",",  CHAR(34), "camera",CHAR(34), ":",
IF(VALUE(VLOOKUP(E249,Injections!B:F,3, FALSE))&lt;VALUE(VLOOKUP(V249,imaging_filters!A:C,2, FALSE)), CONCATENATE(CHAR(34),"CamA",CHAR(34)), CONCATENATE(CHAR(34),"CamB",CHAR(34))),"}"), ""),
IF(VLOOKUP(E249,Injections!B:F,5, FALSE)&gt;0, CONCATENATE(",{",CHAR(34),"target",CHAR(34),":",CHAR(34),VLOOKUP(E249,Injections!B:F,4, FALSE),CHAR(34),",", CHAR(34), "excitation",CHAR(34), ":", VLOOKUP(E249,Injections!B:F,5, FALSE), ",",  CHAR(34), "camera",CHAR(34), ":",
IF(VALUE(VLOOKUP(E249,Injections!B:F,5, FALSE))&lt;VALUE(VLOOKUP(V249,imaging_filters!A:C,2, FALSE)), CONCATENATE(CHAR(34),"CamA",CHAR(34)), CONCATENATE(CHAR(34),"CamB",CHAR(34))),"}"), ""),
 "]"), "[]")</f>
        <v>[]</v>
      </c>
      <c r="Z249" s="11" t="str">
        <f ca="1">IFERROR(
CONCATENATE( "[",
IF(VLOOKUP(F249,Injections!H:L,3, FALSE)&gt;0, CONCATENATE( "{",CHAR(34),"target",CHAR(34),":",CHAR(34),VLOOKUP(F249,Injections!H:L,2, FALSE),CHAR(34),",", CHAR(34), "excitation",CHAR(34), ":", VLOOKUP(F249,Injections!H:L,3, FALSE), ",",  CHAR(34), "camera",CHAR(34), ":",
IF(VALUE(VLOOKUP(F249,Injections!H:L,3, FALSE))&lt;VALUE(VLOOKUP(V249,imaging_filters!A:K,11, FALSE)), CONCATENATE(CHAR(34),"CamA",CHAR(34)), CONCATENATE(CHAR(34),"CamB",CHAR(34))),"}"), ""),
IF(VLOOKUP(F249,Injections!H:L,5, FALSE)&gt;0, CONCATENATE(",{",CHAR(34),"target",CHAR(34),":",CHAR(34),VLOOKUP(F249,Injections!H:L,4, FALSE),CHAR(34),",", CHAR(34), "excitation",CHAR(34), ":", VLOOKUP(F249,Injections!H:L,5, FALSE), ",",  CHAR(34), "camera",CHAR(34), ":",
IF(VALUE(VLOOKUP(F249,Injections!H:L,5, FALSE))&lt;VALUE(VLOOKUP(V249,imaging_filters!A:K,11, FALSE)), CONCATENATE(CHAR(34),"CamA",CHAR(34)), CONCATENATE(CHAR(34),"CamB",CHAR(34))),"}"), ""),
 "]"), "[]")</f>
        <v>[]</v>
      </c>
      <c r="AA249" s="11" t="s">
        <v>477</v>
      </c>
    </row>
    <row r="250" spans="1:27" ht="15.75" customHeight="1" x14ac:dyDescent="0.15">
      <c r="A250" s="7">
        <f t="shared" si="7"/>
        <v>45736</v>
      </c>
      <c r="B250" s="1"/>
      <c r="C250" s="1" t="s">
        <v>253</v>
      </c>
      <c r="D250" s="1" t="s">
        <v>107</v>
      </c>
      <c r="E250" s="1"/>
      <c r="F250" s="1" t="s">
        <v>64</v>
      </c>
      <c r="G250" s="8"/>
      <c r="H250" s="8"/>
      <c r="I250" s="8">
        <v>45733</v>
      </c>
      <c r="J250" s="1" t="s">
        <v>478</v>
      </c>
      <c r="K250" s="1" t="s">
        <v>246</v>
      </c>
      <c r="L250" s="19">
        <v>45734</v>
      </c>
      <c r="M250" s="8">
        <v>45736</v>
      </c>
      <c r="N250" s="9">
        <v>0.4375</v>
      </c>
      <c r="O250" s="9">
        <v>0.44444444444444442</v>
      </c>
      <c r="P250" s="9">
        <v>0.70138888888888884</v>
      </c>
      <c r="Q250" s="1" t="s">
        <v>366</v>
      </c>
      <c r="R250" s="10" t="str">
        <f ca="1">IFERROR(__xludf.DUMMYFUNCTION("JOIN("","", SORT(UNIQUE(TOCOL({VLOOKUP(D250,DM_fish!A:B,2,FALSE),VLOOKUP(C250,DM_fish!A:B,2,FALSE), ARRAYFORMULA(VLOOKUP(SPLIT(E250, "", ""),Injections!B:G,6,FALSE)), ARRAYFORMULA(VLOOKUP(SPLIT(F250, "", ""),Injections!H:M,6,FALSE)), ARRAYFORMULA(VLOOKUP("&amp;"SPLIT(G250, "", ""),Injections!N:S,6,FALSE)), ARRAYFORMULA(VLOOKUP(SPLIT(H250, "", ""),Injections!T:Y,6,FALSE)) },3))))"),"nuclei")</f>
        <v>nuclei</v>
      </c>
      <c r="S250" s="10" t="str">
        <f ca="1">IFERROR(__xludf.DUMMYFUNCTION("IFERROR(JOIN("","", SPLIT(R250, "","", TRUE ,TRUE)), """")"),"nuclei")</f>
        <v>nuclei</v>
      </c>
      <c r="T250" s="1" t="s">
        <v>479</v>
      </c>
      <c r="U250" s="17">
        <v>759</v>
      </c>
      <c r="V250" s="1" t="s">
        <v>203</v>
      </c>
      <c r="W250" s="12" t="str">
        <f ca="1">IFERROR(CONCATENATE("[", CONCATENATE(IF(VLOOKUP(D250,DM_fish!C:X,14, FALSE)&gt;0, CONCATENATE("{",CHAR(34),"target",CHAR(34),":",CHAR(34),VLOOKUP(D250,DM_fish!C:X,13, FALSE),CHAR(34),",", CHAR(34), "excitation",CHAR(34), ":", VLOOKUP(D250,DM_fish!C:X,14, FALSE), ",",  CHAR(34), "camera",CHAR(34), ":", IF(VALUE(VLOOKUP(D250,DM_fish!C:X,14, FALSE))&lt;VALUE(VLOOKUP(V250,imaging_filters!A:K,11, FALSE)), CONCATENATE(CHAR(34),"CamA",CHAR(34)), CONCATENATE(CHAR(34),"CamB",CHAR(34))),"}"), ""),IF(VLOOKUP(D250,DM_fish!C:X,16, FALSE)&gt;0, CONCATENATE(",{",CHAR(34),"target",CHAR(34),":",CHAR(34),VLOOKUP(D250,DM_fish!C:X,15, FALSE),CHAR(34),",", CHAR(34), "excitation",CHAR(34), ":", VLOOKUP(D250,DM_fish!C:X,16, FALSE), ",",  CHAR(34), "camera",CHAR(34), ":", IF(VALUE(VLOOKUP(D250,DM_fish!C:X,16, FALSE))&lt;VALUE(VLOOKUP(V250,imaging_filters!A:K,11, FALSE)), CONCATENATE(CHAR(34),"CamA",CHAR(34)), CONCATENATE(CHAR(34),"CamB",CHAR(34))),"}"), ""),IF(VLOOKUP(D250,DM_fish!C:X,18, FALSE)&gt;0, CONCATENATE(",{",CHAR(34),"target",CHAR(34),":",CHAR(34),VLOOKUP(D250,DM_fish!C:X,17, FALSE),CHAR(34),",", CHAR(34), "excitation",CHAR(34), ":", VLOOKUP(D250,DM_fish!C:X,18, FALSE), ",",  CHAR(34), "camera",CHAR(34), ":", IF(VALUE(VLOOKUP(D250,DM_fish!C:X,18, FALSE))&lt;VALUE(VLOOKUP(V250,imaging_filters!A:K,11, FALSE)), CONCATENATE(CHAR(34),"CamA",CHAR(34)), CONCATENATE(CHAR(34),"CamB",CHAR(34))),"}"), ""),IF(VLOOKUP(D250,DM_fish!C:X,20, FALSE)&gt;0, CONCATENATE(",{",CHAR(34),"target",CHAR(34),":",CHAR(34),VLOOKUP(D250,DM_fish!C:X,19, FALSE),CHAR(34),",", CHAR(34), "excitation",CHAR(34), ":", VLOOKUP(D250,DM_fish!C:X,20, FALSE), ",",  CHAR(34), "camera",CHAR(34), ":", IF(VALUE(VLOOKUP(D250,DM_fish!C:X,20, FALSE))&lt;VALUE(VLOOKUP(V250,imaging_filters!A:K,11, FALSE)), CONCATENATE(CHAR(34),"CamA",CHAR(34)), CONCATENATE(CHAR(34),"CamB",CHAR(34))),"}"), ""),IF(VLOOKUP(D250,DM_fish!C:X,22, FALSE)&gt;0, CONCATENATE(",{",CHAR(34),"target",CHAR(34),":",CHAR(34),VLOOKUP(D250,DM_fish!C:X,21, FALSE),CHAR(34),",", CHAR(34), "excitation",CHAR(34), ":", VLOOKUP(D250,DM_fish!C:X,22, FALSE), ",",  CHAR(34), "camera",CHAR(34), ":", IF(VALUE(VLOOKUP(D250,DM_fish!C:X,22, FALSE))&lt;VALUE(VLOOKUP(V250,imaging_filters!A:K,11, FALSE)), CONCATENATE(CHAR(34),"CamA",CHAR(34)), CONCATENATE(CHAR(34),"CamB",CHAR(34))),"}"), "")), "]"), "")</f>
        <v/>
      </c>
      <c r="X250" s="12" t="str">
        <f ca="1">IFERROR(
CONCATENATE("[", CONCATENATE(IF(VLOOKUP(C250,DM_fish!C:X,14, FALSE)&gt;0, CONCATENATE("{",CHAR(34),"target",CHAR(34),":",CHAR(34),VLOOKUP(C250,DM_fish!C:X,13, FALSE),CHAR(34),",", CHAR(34), "excitation",CHAR(34), ":", VLOOKUP(C250,DM_fish!C:X,14, FALSE), ",",  CHAR(34), "camera",CHAR(34), ":", IF(VALUE(VLOOKUP(C250,DM_fish!C:X,14, FALSE))&lt;VALUE(VLOOKUP(V250,imaging_filters!A:K,11, FALSE)), CONCATENATE(CHAR(34),"CamA",CHAR(34)), CONCATENATE(CHAR(34),"CamB",CHAR(34))),"}"), ""),IF(VLOOKUP(C250,DM_fish!C:X,16, FALSE)&gt;0, CONCATENATE(",{",CHAR(34),"target",CHAR(34),":",CHAR(34),VLOOKUP(C250,DM_fish!C:X,15, FALSE),CHAR(34),",", CHAR(34), "excitation",CHAR(34), ":", VLOOKUP(C250,DM_fish!C:X,16, FALSE), ",",  CHAR(34), "camera",CHAR(34), ":", IF(VALUE(VLOOKUP(C250,DM_fish!C:X,16, FALSE))&lt;VALUE(VLOOKUP(V250,imaging_filters!A:K,11, FALSE)), CONCATENATE(CHAR(34),"CamA",CHAR(34)), CONCATENATE(CHAR(34),"CamB",CHAR(34))),"}"), ""),IF(VLOOKUP(C250,DM_fish!C:X,18, FALSE)&gt;0, CONCATENATE(",{",CHAR(34),"target",CHAR(34),":",CHAR(34),VLOOKUP(C250,DM_fish!C:X,17, FALSE),CHAR(34),",", CHAR(34), "excitation",CHAR(34), ":", VLOOKUP(C250,DM_fish!C:X,18, FALSE), ",",  CHAR(34), "camera",CHAR(34), ":", IF(VALUE(VLOOKUP(C250,DM_fish!C:X,18, FALSE))&lt;VALUE(VLOOKUP(V250,imaging_filters!A:K,11, FALSE)), CONCATENATE(CHAR(34),"CamA",CHAR(34)), CONCATENATE(CHAR(34),"CamB",CHAR(34))),"}"), ""),IF(VLOOKUP(C250,DM_fish!C:X,20, FALSE)&gt;0, CONCATENATE(",{",CHAR(34),"target",CHAR(34),":",CHAR(34),VLOOKUP(C250,DM_fish!C:X,19, FALSE),CHAR(34),",", CHAR(34), "excitation",CHAR(34), ":", VLOOKUP(C250,DM_fish!C:X,20, FALSE), ",",  CHAR(34), "camera",CHAR(34), ":", IF(VALUE(VLOOKUP(C250,DM_fish!C:X,20, FALSE))&lt;VALUE(VLOOKUP(V250,imaging_filters!A:K,11, FALSE)), CONCATENATE(CHAR(34),"CamA",CHAR(34)), CONCATENATE(CHAR(34),"CamB",CHAR(34))),"}"), ""),IF(VLOOKUP(C250,DM_fish!C:X,22, FALSE)&gt;0, CONCATENATE(",{",CHAR(34),"target",CHAR(34),":",CHAR(34),VLOOKUP(C250,DM_fish!C:X,21, FALSE),CHAR(34),",", CHAR(34), "excitation",CHAR(34), ":", VLOOKUP(C250,DM_fish!C:X,22, FALSE), ",",  CHAR(34), "camera",CHAR(34), ":", IF(VALUE(VLOOKUP(C250,DM_fish!C:X,22, FALSE))&lt;VALUE(VLOOKUP(V250,imaging_filters!A:K,11, FALSE)), CONCATENATE(CHAR(34),"CamA",CHAR(34)), CONCATENATE(CHAR(34),"CamB",CHAR(34))),"}"), "")), "]"), "")</f>
        <v/>
      </c>
      <c r="Y250" s="11" t="str">
        <f ca="1">IFERROR(
CONCATENATE( "[",
IF(VLOOKUP(E250,Injections!B:F,3, FALSE)&gt;0, CONCATENATE( "{",CHAR(34),"target",CHAR(34),":",CHAR(34),VLOOKUP(E250,Injections!B:F,2, FALSE),CHAR(34),",", CHAR(34), "excitation",CHAR(34), ":", VLOOKUP(E250,Injections!B:F,3, FALSE), ",",  CHAR(34), "camera",CHAR(34), ":",
IF(VALUE(VLOOKUP(E250,Injections!B:F,3, FALSE))&lt;VALUE(VLOOKUP(V250,imaging_filters!A:C,2, FALSE)), CONCATENATE(CHAR(34),"CamA",CHAR(34)), CONCATENATE(CHAR(34),"CamB",CHAR(34))),"}"), ""),
IF(VLOOKUP(E250,Injections!B:F,5, FALSE)&gt;0, CONCATENATE(",{",CHAR(34),"target",CHAR(34),":",CHAR(34),VLOOKUP(E250,Injections!B:F,4, FALSE),CHAR(34),",", CHAR(34), "excitation",CHAR(34), ":", VLOOKUP(E250,Injections!B:F,5, FALSE), ",",  CHAR(34), "camera",CHAR(34), ":",
IF(VALUE(VLOOKUP(E250,Injections!B:F,5, FALSE))&lt;VALUE(VLOOKUP(V250,imaging_filters!A:C,2, FALSE)), CONCATENATE(CHAR(34),"CamA",CHAR(34)), CONCATENATE(CHAR(34),"CamB",CHAR(34))),"}"), ""),
 "]"), "[]")</f>
        <v>[]</v>
      </c>
      <c r="Z250" s="11" t="str">
        <f ca="1">IFERROR(
CONCATENATE( "[",
IF(VLOOKUP(F250,Injections!H:L,3, FALSE)&gt;0, CONCATENATE( "{",CHAR(34),"target",CHAR(34),":",CHAR(34),VLOOKUP(F250,Injections!H:L,2, FALSE),CHAR(34),",", CHAR(34), "excitation",CHAR(34), ":", VLOOKUP(F250,Injections!H:L,3, FALSE), ",",  CHAR(34), "camera",CHAR(34), ":",
IF(VALUE(VLOOKUP(F250,Injections!H:L,3, FALSE))&lt;VALUE(VLOOKUP(V250,imaging_filters!A:K,11, FALSE)), CONCATENATE(CHAR(34),"CamA",CHAR(34)), CONCATENATE(CHAR(34),"CamB",CHAR(34))),"}"), ""),
IF(VLOOKUP(F250,Injections!H:L,5, FALSE)&gt;0, CONCATENATE(",{",CHAR(34),"target",CHAR(34),":",CHAR(34),VLOOKUP(F250,Injections!H:L,4, FALSE),CHAR(34),",", CHAR(34), "excitation",CHAR(34), ":", VLOOKUP(F250,Injections!H:L,5, FALSE), ",",  CHAR(34), "camera",CHAR(34), ":",
IF(VALUE(VLOOKUP(F250,Injections!H:L,5, FALSE))&lt;VALUE(VLOOKUP(V250,imaging_filters!A:K,11, FALSE)), CONCATENATE(CHAR(34),"CamA",CHAR(34)), CONCATENATE(CHAR(34),"CamB",CHAR(34))),"}"), ""),
 "]"), "[]")</f>
        <v>[{"target":"nuclei","excitation":560,"camera":"CamB"}]</v>
      </c>
      <c r="AA250" s="11"/>
    </row>
    <row r="251" spans="1:27" ht="15.75" customHeight="1" x14ac:dyDescent="0.15">
      <c r="A251" s="7">
        <f t="shared" si="7"/>
        <v>45736</v>
      </c>
      <c r="B251" s="1"/>
      <c r="C251" s="1" t="s">
        <v>253</v>
      </c>
      <c r="D251" s="1" t="s">
        <v>107</v>
      </c>
      <c r="E251" s="1"/>
      <c r="F251" s="1" t="s">
        <v>64</v>
      </c>
      <c r="G251" s="8"/>
      <c r="H251" s="8"/>
      <c r="I251" s="8">
        <v>45733</v>
      </c>
      <c r="J251" s="1" t="s">
        <v>478</v>
      </c>
      <c r="K251" s="1" t="s">
        <v>246</v>
      </c>
      <c r="L251" s="19">
        <v>45734</v>
      </c>
      <c r="M251" s="8">
        <v>45736</v>
      </c>
      <c r="N251" s="9">
        <v>0.4375</v>
      </c>
      <c r="O251" s="9">
        <v>0.44444444444444442</v>
      </c>
      <c r="P251" s="1" t="s">
        <v>480</v>
      </c>
      <c r="Q251" s="1" t="s">
        <v>366</v>
      </c>
      <c r="R251" s="10" t="str">
        <f ca="1">IFERROR(__xludf.DUMMYFUNCTION("JOIN("","", SORT(UNIQUE(TOCOL({VLOOKUP(D251,DM_fish!A:B,2,FALSE),VLOOKUP(C251,DM_fish!A:B,2,FALSE), ARRAYFORMULA(VLOOKUP(SPLIT(E251, "", ""),Injections!B:G,6,FALSE)), ARRAYFORMULA(VLOOKUP(SPLIT(F251, "", ""),Injections!H:M,6,FALSE)), ARRAYFORMULA(VLOOKUP("&amp;"SPLIT(G251, "", ""),Injections!N:S,6,FALSE)), ARRAYFORMULA(VLOOKUP(SPLIT(H251, "", ""),Injections!T:Y,6,FALSE)) },3))))"),"nuclei")</f>
        <v>nuclei</v>
      </c>
      <c r="S251" s="10" t="str">
        <f ca="1">IFERROR(__xludf.DUMMYFUNCTION("IFERROR(JOIN("","", SPLIT(R251, "","", TRUE ,TRUE)), """")"),"nuclei")</f>
        <v>nuclei</v>
      </c>
      <c r="T251" s="1" t="s">
        <v>481</v>
      </c>
      <c r="U251" s="17">
        <v>1403</v>
      </c>
      <c r="V251" s="1" t="s">
        <v>203</v>
      </c>
      <c r="W251" s="12" t="str">
        <f ca="1">IFERROR(CONCATENATE("[", CONCATENATE(IF(VLOOKUP(D251,DM_fish!C:X,14, FALSE)&gt;0, CONCATENATE("{",CHAR(34),"target",CHAR(34),":",CHAR(34),VLOOKUP(D251,DM_fish!C:X,13, FALSE),CHAR(34),",", CHAR(34), "excitation",CHAR(34), ":", VLOOKUP(D251,DM_fish!C:X,14, FALSE), ",",  CHAR(34), "camera",CHAR(34), ":", IF(VALUE(VLOOKUP(D251,DM_fish!C:X,14, FALSE))&lt;VALUE(VLOOKUP(V251,imaging_filters!A:K,11, FALSE)), CONCATENATE(CHAR(34),"CamA",CHAR(34)), CONCATENATE(CHAR(34),"CamB",CHAR(34))),"}"), ""),IF(VLOOKUP(D251,DM_fish!C:X,16, FALSE)&gt;0, CONCATENATE(",{",CHAR(34),"target",CHAR(34),":",CHAR(34),VLOOKUP(D251,DM_fish!C:X,15, FALSE),CHAR(34),",", CHAR(34), "excitation",CHAR(34), ":", VLOOKUP(D251,DM_fish!C:X,16, FALSE), ",",  CHAR(34), "camera",CHAR(34), ":", IF(VALUE(VLOOKUP(D251,DM_fish!C:X,16, FALSE))&lt;VALUE(VLOOKUP(V251,imaging_filters!A:K,11, FALSE)), CONCATENATE(CHAR(34),"CamA",CHAR(34)), CONCATENATE(CHAR(34),"CamB",CHAR(34))),"}"), ""),IF(VLOOKUP(D251,DM_fish!C:X,18, FALSE)&gt;0, CONCATENATE(",{",CHAR(34),"target",CHAR(34),":",CHAR(34),VLOOKUP(D251,DM_fish!C:X,17, FALSE),CHAR(34),",", CHAR(34), "excitation",CHAR(34), ":", VLOOKUP(D251,DM_fish!C:X,18, FALSE), ",",  CHAR(34), "camera",CHAR(34), ":", IF(VALUE(VLOOKUP(D251,DM_fish!C:X,18, FALSE))&lt;VALUE(VLOOKUP(V251,imaging_filters!A:K,11, FALSE)), CONCATENATE(CHAR(34),"CamA",CHAR(34)), CONCATENATE(CHAR(34),"CamB",CHAR(34))),"}"), ""),IF(VLOOKUP(D251,DM_fish!C:X,20, FALSE)&gt;0, CONCATENATE(",{",CHAR(34),"target",CHAR(34),":",CHAR(34),VLOOKUP(D251,DM_fish!C:X,19, FALSE),CHAR(34),",", CHAR(34), "excitation",CHAR(34), ":", VLOOKUP(D251,DM_fish!C:X,20, FALSE), ",",  CHAR(34), "camera",CHAR(34), ":", IF(VALUE(VLOOKUP(D251,DM_fish!C:X,20, FALSE))&lt;VALUE(VLOOKUP(V251,imaging_filters!A:K,11, FALSE)), CONCATENATE(CHAR(34),"CamA",CHAR(34)), CONCATENATE(CHAR(34),"CamB",CHAR(34))),"}"), ""),IF(VLOOKUP(D251,DM_fish!C:X,22, FALSE)&gt;0, CONCATENATE(",{",CHAR(34),"target",CHAR(34),":",CHAR(34),VLOOKUP(D251,DM_fish!C:X,21, FALSE),CHAR(34),",", CHAR(34), "excitation",CHAR(34), ":", VLOOKUP(D251,DM_fish!C:X,22, FALSE), ",",  CHAR(34), "camera",CHAR(34), ":", IF(VALUE(VLOOKUP(D251,DM_fish!C:X,22, FALSE))&lt;VALUE(VLOOKUP(V251,imaging_filters!A:K,11, FALSE)), CONCATENATE(CHAR(34),"CamA",CHAR(34)), CONCATENATE(CHAR(34),"CamB",CHAR(34))),"}"), "")), "]"), "")</f>
        <v/>
      </c>
      <c r="X251" s="12" t="str">
        <f ca="1">IFERROR(
CONCATENATE("[", CONCATENATE(IF(VLOOKUP(C251,DM_fish!C:X,14, FALSE)&gt;0, CONCATENATE("{",CHAR(34),"target",CHAR(34),":",CHAR(34),VLOOKUP(C251,DM_fish!C:X,13, FALSE),CHAR(34),",", CHAR(34), "excitation",CHAR(34), ":", VLOOKUP(C251,DM_fish!C:X,14, FALSE), ",",  CHAR(34), "camera",CHAR(34), ":", IF(VALUE(VLOOKUP(C251,DM_fish!C:X,14, FALSE))&lt;VALUE(VLOOKUP(V251,imaging_filters!A:K,11, FALSE)), CONCATENATE(CHAR(34),"CamA",CHAR(34)), CONCATENATE(CHAR(34),"CamB",CHAR(34))),"}"), ""),IF(VLOOKUP(C251,DM_fish!C:X,16, FALSE)&gt;0, CONCATENATE(",{",CHAR(34),"target",CHAR(34),":",CHAR(34),VLOOKUP(C251,DM_fish!C:X,15, FALSE),CHAR(34),",", CHAR(34), "excitation",CHAR(34), ":", VLOOKUP(C251,DM_fish!C:X,16, FALSE), ",",  CHAR(34), "camera",CHAR(34), ":", IF(VALUE(VLOOKUP(C251,DM_fish!C:X,16, FALSE))&lt;VALUE(VLOOKUP(V251,imaging_filters!A:K,11, FALSE)), CONCATENATE(CHAR(34),"CamA",CHAR(34)), CONCATENATE(CHAR(34),"CamB",CHAR(34))),"}"), ""),IF(VLOOKUP(C251,DM_fish!C:X,18, FALSE)&gt;0, CONCATENATE(",{",CHAR(34),"target",CHAR(34),":",CHAR(34),VLOOKUP(C251,DM_fish!C:X,17, FALSE),CHAR(34),",", CHAR(34), "excitation",CHAR(34), ":", VLOOKUP(C251,DM_fish!C:X,18, FALSE), ",",  CHAR(34), "camera",CHAR(34), ":", IF(VALUE(VLOOKUP(C251,DM_fish!C:X,18, FALSE))&lt;VALUE(VLOOKUP(V251,imaging_filters!A:K,11, FALSE)), CONCATENATE(CHAR(34),"CamA",CHAR(34)), CONCATENATE(CHAR(34),"CamB",CHAR(34))),"}"), ""),IF(VLOOKUP(C251,DM_fish!C:X,20, FALSE)&gt;0, CONCATENATE(",{",CHAR(34),"target",CHAR(34),":",CHAR(34),VLOOKUP(C251,DM_fish!C:X,19, FALSE),CHAR(34),",", CHAR(34), "excitation",CHAR(34), ":", VLOOKUP(C251,DM_fish!C:X,20, FALSE), ",",  CHAR(34), "camera",CHAR(34), ":", IF(VALUE(VLOOKUP(C251,DM_fish!C:X,20, FALSE))&lt;VALUE(VLOOKUP(V251,imaging_filters!A:K,11, FALSE)), CONCATENATE(CHAR(34),"CamA",CHAR(34)), CONCATENATE(CHAR(34),"CamB",CHAR(34))),"}"), ""),IF(VLOOKUP(C251,DM_fish!C:X,22, FALSE)&gt;0, CONCATENATE(",{",CHAR(34),"target",CHAR(34),":",CHAR(34),VLOOKUP(C251,DM_fish!C:X,21, FALSE),CHAR(34),",", CHAR(34), "excitation",CHAR(34), ":", VLOOKUP(C251,DM_fish!C:X,22, FALSE), ",",  CHAR(34), "camera",CHAR(34), ":", IF(VALUE(VLOOKUP(C251,DM_fish!C:X,22, FALSE))&lt;VALUE(VLOOKUP(V251,imaging_filters!A:K,11, FALSE)), CONCATENATE(CHAR(34),"CamA",CHAR(34)), CONCATENATE(CHAR(34),"CamB",CHAR(34))),"}"), "")), "]"), "")</f>
        <v/>
      </c>
      <c r="Y251" s="11" t="str">
        <f ca="1">IFERROR(
CONCATENATE( "[",
IF(VLOOKUP(E251,Injections!B:F,3, FALSE)&gt;0, CONCATENATE( "{",CHAR(34),"target",CHAR(34),":",CHAR(34),VLOOKUP(E251,Injections!B:F,2, FALSE),CHAR(34),",", CHAR(34), "excitation",CHAR(34), ":", VLOOKUP(E251,Injections!B:F,3, FALSE), ",",  CHAR(34), "camera",CHAR(34), ":",
IF(VALUE(VLOOKUP(E251,Injections!B:F,3, FALSE))&lt;VALUE(VLOOKUP(V251,imaging_filters!A:C,2, FALSE)), CONCATENATE(CHAR(34),"CamA",CHAR(34)), CONCATENATE(CHAR(34),"CamB",CHAR(34))),"}"), ""),
IF(VLOOKUP(E251,Injections!B:F,5, FALSE)&gt;0, CONCATENATE(",{",CHAR(34),"target",CHAR(34),":",CHAR(34),VLOOKUP(E251,Injections!B:F,4, FALSE),CHAR(34),",", CHAR(34), "excitation",CHAR(34), ":", VLOOKUP(E251,Injections!B:F,5, FALSE), ",",  CHAR(34), "camera",CHAR(34), ":",
IF(VALUE(VLOOKUP(E251,Injections!B:F,5, FALSE))&lt;VALUE(VLOOKUP(V251,imaging_filters!A:C,2, FALSE)), CONCATENATE(CHAR(34),"CamA",CHAR(34)), CONCATENATE(CHAR(34),"CamB",CHAR(34))),"}"), ""),
 "]"), "[]")</f>
        <v>[]</v>
      </c>
      <c r="Z251" s="11" t="str">
        <f ca="1">IFERROR(
CONCATENATE( "[",
IF(VLOOKUP(F251,Injections!H:L,3, FALSE)&gt;0, CONCATENATE( "{",CHAR(34),"target",CHAR(34),":",CHAR(34),VLOOKUP(F251,Injections!H:L,2, FALSE),CHAR(34),",", CHAR(34), "excitation",CHAR(34), ":", VLOOKUP(F251,Injections!H:L,3, FALSE), ",",  CHAR(34), "camera",CHAR(34), ":",
IF(VALUE(VLOOKUP(F251,Injections!H:L,3, FALSE))&lt;VALUE(VLOOKUP(V251,imaging_filters!A:K,11, FALSE)), CONCATENATE(CHAR(34),"CamA",CHAR(34)), CONCATENATE(CHAR(34),"CamB",CHAR(34))),"}"), ""),
IF(VLOOKUP(F251,Injections!H:L,5, FALSE)&gt;0, CONCATENATE(",{",CHAR(34),"target",CHAR(34),":",CHAR(34),VLOOKUP(F251,Injections!H:L,4, FALSE),CHAR(34),",", CHAR(34), "excitation",CHAR(34), ":", VLOOKUP(F251,Injections!H:L,5, FALSE), ",",  CHAR(34), "camera",CHAR(34), ":",
IF(VALUE(VLOOKUP(F251,Injections!H:L,5, FALSE))&lt;VALUE(VLOOKUP(V251,imaging_filters!A:K,11, FALSE)), CONCATENATE(CHAR(34),"CamA",CHAR(34)), CONCATENATE(CHAR(34),"CamB",CHAR(34))),"}"), ""),
 "]"), "[]")</f>
        <v>[{"target":"nuclei","excitation":560,"camera":"CamB"}]</v>
      </c>
      <c r="AA251" s="11"/>
    </row>
    <row r="252" spans="1:27" ht="15.75" customHeight="1" x14ac:dyDescent="0.15">
      <c r="A252" s="7">
        <f t="shared" si="7"/>
        <v>45735</v>
      </c>
      <c r="B252" s="1"/>
      <c r="C252" s="1" t="s">
        <v>253</v>
      </c>
      <c r="D252" s="1" t="s">
        <v>107</v>
      </c>
      <c r="E252" s="1"/>
      <c r="F252" s="1" t="s">
        <v>64</v>
      </c>
      <c r="G252" s="8"/>
      <c r="H252" s="8"/>
      <c r="I252" s="8">
        <v>45733</v>
      </c>
      <c r="J252" s="1" t="s">
        <v>482</v>
      </c>
      <c r="K252" s="1" t="s">
        <v>34</v>
      </c>
      <c r="L252" s="19">
        <v>45734</v>
      </c>
      <c r="M252" s="8">
        <v>45735</v>
      </c>
      <c r="N252" s="9">
        <v>0.41666666666666669</v>
      </c>
      <c r="O252" s="9">
        <v>0.4375</v>
      </c>
      <c r="P252" s="9">
        <v>0.73958333333333337</v>
      </c>
      <c r="Q252" s="1" t="s">
        <v>366</v>
      </c>
      <c r="R252" s="10" t="str">
        <f ca="1">IFERROR(__xludf.DUMMYFUNCTION("JOIN("","", SORT(UNIQUE(TOCOL({VLOOKUP(D252,DM_fish!A:B,2,FALSE),VLOOKUP(C252,DM_fish!A:B,2,FALSE), ARRAYFORMULA(VLOOKUP(SPLIT(E252, "", ""),Injections!B:G,6,FALSE)), ARRAYFORMULA(VLOOKUP(SPLIT(F252, "", ""),Injections!H:M,6,FALSE)), ARRAYFORMULA(VLOOKUP("&amp;"SPLIT(G252, "", ""),Injections!N:S,6,FALSE)), ARRAYFORMULA(VLOOKUP(SPLIT(H252, "", ""),Injections!T:Y,6,FALSE)) },3))))"),"nuclei")</f>
        <v>nuclei</v>
      </c>
      <c r="S252" s="10" t="str">
        <f ca="1">IFERROR(__xludf.DUMMYFUNCTION("IFERROR(JOIN("","", SPLIT(R252, "","", TRUE ,TRUE)), """")"),"nuclei")</f>
        <v>nuclei</v>
      </c>
      <c r="T252" s="1" t="s">
        <v>483</v>
      </c>
      <c r="U252" s="17">
        <v>1874</v>
      </c>
      <c r="V252" s="1" t="s">
        <v>203</v>
      </c>
      <c r="W252" s="12" t="str">
        <f ca="1">IFERROR(CONCATENATE("[", CONCATENATE(IF(VLOOKUP(D252,DM_fish!C:X,14, FALSE)&gt;0, CONCATENATE("{",CHAR(34),"target",CHAR(34),":",CHAR(34),VLOOKUP(D252,DM_fish!C:X,13, FALSE),CHAR(34),",", CHAR(34), "excitation",CHAR(34), ":", VLOOKUP(D252,DM_fish!C:X,14, FALSE), ",",  CHAR(34), "camera",CHAR(34), ":", IF(VALUE(VLOOKUP(D252,DM_fish!C:X,14, FALSE))&lt;VALUE(VLOOKUP(V252,imaging_filters!A:K,11, FALSE)), CONCATENATE(CHAR(34),"CamA",CHAR(34)), CONCATENATE(CHAR(34),"CamB",CHAR(34))),"}"), ""),IF(VLOOKUP(D252,DM_fish!C:X,16, FALSE)&gt;0, CONCATENATE(",{",CHAR(34),"target",CHAR(34),":",CHAR(34),VLOOKUP(D252,DM_fish!C:X,15, FALSE),CHAR(34),",", CHAR(34), "excitation",CHAR(34), ":", VLOOKUP(D252,DM_fish!C:X,16, FALSE), ",",  CHAR(34), "camera",CHAR(34), ":", IF(VALUE(VLOOKUP(D252,DM_fish!C:X,16, FALSE))&lt;VALUE(VLOOKUP(V252,imaging_filters!A:K,11, FALSE)), CONCATENATE(CHAR(34),"CamA",CHAR(34)), CONCATENATE(CHAR(34),"CamB",CHAR(34))),"}"), ""),IF(VLOOKUP(D252,DM_fish!C:X,18, FALSE)&gt;0, CONCATENATE(",{",CHAR(34),"target",CHAR(34),":",CHAR(34),VLOOKUP(D252,DM_fish!C:X,17, FALSE),CHAR(34),",", CHAR(34), "excitation",CHAR(34), ":", VLOOKUP(D252,DM_fish!C:X,18, FALSE), ",",  CHAR(34), "camera",CHAR(34), ":", IF(VALUE(VLOOKUP(D252,DM_fish!C:X,18, FALSE))&lt;VALUE(VLOOKUP(V252,imaging_filters!A:K,11, FALSE)), CONCATENATE(CHAR(34),"CamA",CHAR(34)), CONCATENATE(CHAR(34),"CamB",CHAR(34))),"}"), ""),IF(VLOOKUP(D252,DM_fish!C:X,20, FALSE)&gt;0, CONCATENATE(",{",CHAR(34),"target",CHAR(34),":",CHAR(34),VLOOKUP(D252,DM_fish!C:X,19, FALSE),CHAR(34),",", CHAR(34), "excitation",CHAR(34), ":", VLOOKUP(D252,DM_fish!C:X,20, FALSE), ",",  CHAR(34), "camera",CHAR(34), ":", IF(VALUE(VLOOKUP(D252,DM_fish!C:X,20, FALSE))&lt;VALUE(VLOOKUP(V252,imaging_filters!A:K,11, FALSE)), CONCATENATE(CHAR(34),"CamA",CHAR(34)), CONCATENATE(CHAR(34),"CamB",CHAR(34))),"}"), ""),IF(VLOOKUP(D252,DM_fish!C:X,22, FALSE)&gt;0, CONCATENATE(",{",CHAR(34),"target",CHAR(34),":",CHAR(34),VLOOKUP(D252,DM_fish!C:X,21, FALSE),CHAR(34),",", CHAR(34), "excitation",CHAR(34), ":", VLOOKUP(D252,DM_fish!C:X,22, FALSE), ",",  CHAR(34), "camera",CHAR(34), ":", IF(VALUE(VLOOKUP(D252,DM_fish!C:X,22, FALSE))&lt;VALUE(VLOOKUP(V252,imaging_filters!A:K,11, FALSE)), CONCATENATE(CHAR(34),"CamA",CHAR(34)), CONCATENATE(CHAR(34),"CamB",CHAR(34))),"}"), "")), "]"), "")</f>
        <v/>
      </c>
      <c r="X252" s="12" t="str">
        <f ca="1">IFERROR(
CONCATENATE("[", CONCATENATE(IF(VLOOKUP(C252,DM_fish!C:X,14, FALSE)&gt;0, CONCATENATE("{",CHAR(34),"target",CHAR(34),":",CHAR(34),VLOOKUP(C252,DM_fish!C:X,13, FALSE),CHAR(34),",", CHAR(34), "excitation",CHAR(34), ":", VLOOKUP(C252,DM_fish!C:X,14, FALSE), ",",  CHAR(34), "camera",CHAR(34), ":", IF(VALUE(VLOOKUP(C252,DM_fish!C:X,14, FALSE))&lt;VALUE(VLOOKUP(V252,imaging_filters!A:K,11, FALSE)), CONCATENATE(CHAR(34),"CamA",CHAR(34)), CONCATENATE(CHAR(34),"CamB",CHAR(34))),"}"), ""),IF(VLOOKUP(C252,DM_fish!C:X,16, FALSE)&gt;0, CONCATENATE(",{",CHAR(34),"target",CHAR(34),":",CHAR(34),VLOOKUP(C252,DM_fish!C:X,15, FALSE),CHAR(34),",", CHAR(34), "excitation",CHAR(34), ":", VLOOKUP(C252,DM_fish!C:X,16, FALSE), ",",  CHAR(34), "camera",CHAR(34), ":", IF(VALUE(VLOOKUP(C252,DM_fish!C:X,16, FALSE))&lt;VALUE(VLOOKUP(V252,imaging_filters!A:K,11, FALSE)), CONCATENATE(CHAR(34),"CamA",CHAR(34)), CONCATENATE(CHAR(34),"CamB",CHAR(34))),"}"), ""),IF(VLOOKUP(C252,DM_fish!C:X,18, FALSE)&gt;0, CONCATENATE(",{",CHAR(34),"target",CHAR(34),":",CHAR(34),VLOOKUP(C252,DM_fish!C:X,17, FALSE),CHAR(34),",", CHAR(34), "excitation",CHAR(34), ":", VLOOKUP(C252,DM_fish!C:X,18, FALSE), ",",  CHAR(34), "camera",CHAR(34), ":", IF(VALUE(VLOOKUP(C252,DM_fish!C:X,18, FALSE))&lt;VALUE(VLOOKUP(V252,imaging_filters!A:K,11, FALSE)), CONCATENATE(CHAR(34),"CamA",CHAR(34)), CONCATENATE(CHAR(34),"CamB",CHAR(34))),"}"), ""),IF(VLOOKUP(C252,DM_fish!C:X,20, FALSE)&gt;0, CONCATENATE(",{",CHAR(34),"target",CHAR(34),":",CHAR(34),VLOOKUP(C252,DM_fish!C:X,19, FALSE),CHAR(34),",", CHAR(34), "excitation",CHAR(34), ":", VLOOKUP(C252,DM_fish!C:X,20, FALSE), ",",  CHAR(34), "camera",CHAR(34), ":", IF(VALUE(VLOOKUP(C252,DM_fish!C:X,20, FALSE))&lt;VALUE(VLOOKUP(V252,imaging_filters!A:K,11, FALSE)), CONCATENATE(CHAR(34),"CamA",CHAR(34)), CONCATENATE(CHAR(34),"CamB",CHAR(34))),"}"), ""),IF(VLOOKUP(C252,DM_fish!C:X,22, FALSE)&gt;0, CONCATENATE(",{",CHAR(34),"target",CHAR(34),":",CHAR(34),VLOOKUP(C252,DM_fish!C:X,21, FALSE),CHAR(34),",", CHAR(34), "excitation",CHAR(34), ":", VLOOKUP(C252,DM_fish!C:X,22, FALSE), ",",  CHAR(34), "camera",CHAR(34), ":", IF(VALUE(VLOOKUP(C252,DM_fish!C:X,22, FALSE))&lt;VALUE(VLOOKUP(V252,imaging_filters!A:K,11, FALSE)), CONCATENATE(CHAR(34),"CamA",CHAR(34)), CONCATENATE(CHAR(34),"CamB",CHAR(34))),"}"), "")), "]"), "")</f>
        <v/>
      </c>
      <c r="Y252" s="11" t="str">
        <f ca="1">IFERROR(
CONCATENATE( "[",
IF(VLOOKUP(E252,Injections!B:F,3, FALSE)&gt;0, CONCATENATE( "{",CHAR(34),"target",CHAR(34),":",CHAR(34),VLOOKUP(E252,Injections!B:F,2, FALSE),CHAR(34),",", CHAR(34), "excitation",CHAR(34), ":", VLOOKUP(E252,Injections!B:F,3, FALSE), ",",  CHAR(34), "camera",CHAR(34), ":",
IF(VALUE(VLOOKUP(E252,Injections!B:F,3, FALSE))&lt;VALUE(VLOOKUP(V252,imaging_filters!A:C,2, FALSE)), CONCATENATE(CHAR(34),"CamA",CHAR(34)), CONCATENATE(CHAR(34),"CamB",CHAR(34))),"}"), ""),
IF(VLOOKUP(E252,Injections!B:F,5, FALSE)&gt;0, CONCATENATE(",{",CHAR(34),"target",CHAR(34),":",CHAR(34),VLOOKUP(E252,Injections!B:F,4, FALSE),CHAR(34),",", CHAR(34), "excitation",CHAR(34), ":", VLOOKUP(E252,Injections!B:F,5, FALSE), ",",  CHAR(34), "camera",CHAR(34), ":",
IF(VALUE(VLOOKUP(E252,Injections!B:F,5, FALSE))&lt;VALUE(VLOOKUP(V252,imaging_filters!A:C,2, FALSE)), CONCATENATE(CHAR(34),"CamA",CHAR(34)), CONCATENATE(CHAR(34),"CamB",CHAR(34))),"}"), ""),
 "]"), "[]")</f>
        <v>[]</v>
      </c>
      <c r="Z252" s="11" t="str">
        <f ca="1">IFERROR(
CONCATENATE( "[",
IF(VLOOKUP(F252,Injections!H:L,3, FALSE)&gt;0, CONCATENATE( "{",CHAR(34),"target",CHAR(34),":",CHAR(34),VLOOKUP(F252,Injections!H:L,2, FALSE),CHAR(34),",", CHAR(34), "excitation",CHAR(34), ":", VLOOKUP(F252,Injections!H:L,3, FALSE), ",",  CHAR(34), "camera",CHAR(34), ":",
IF(VALUE(VLOOKUP(F252,Injections!H:L,3, FALSE))&lt;VALUE(VLOOKUP(V252,imaging_filters!A:K,11, FALSE)), CONCATENATE(CHAR(34),"CamA",CHAR(34)), CONCATENATE(CHAR(34),"CamB",CHAR(34))),"}"), ""),
IF(VLOOKUP(F252,Injections!H:L,5, FALSE)&gt;0, CONCATENATE(",{",CHAR(34),"target",CHAR(34),":",CHAR(34),VLOOKUP(F252,Injections!H:L,4, FALSE),CHAR(34),",", CHAR(34), "excitation",CHAR(34), ":", VLOOKUP(F252,Injections!H:L,5, FALSE), ",",  CHAR(34), "camera",CHAR(34), ":",
IF(VALUE(VLOOKUP(F252,Injections!H:L,5, FALSE))&lt;VALUE(VLOOKUP(V252,imaging_filters!A:K,11, FALSE)), CONCATENATE(CHAR(34),"CamA",CHAR(34)), CONCATENATE(CHAR(34),"CamB",CHAR(34))),"}"), ""),
 "]"), "[]")</f>
        <v>[{"target":"nuclei","excitation":560,"camera":"CamB"}]</v>
      </c>
      <c r="AA252" s="11"/>
    </row>
    <row r="253" spans="1:27" ht="15.75" customHeight="1" x14ac:dyDescent="0.15">
      <c r="A253" s="7">
        <f t="shared" si="7"/>
        <v>45735</v>
      </c>
      <c r="B253" s="1"/>
      <c r="C253" s="1" t="s">
        <v>253</v>
      </c>
      <c r="D253" s="1" t="s">
        <v>107</v>
      </c>
      <c r="E253" s="1"/>
      <c r="F253" s="1" t="s">
        <v>64</v>
      </c>
      <c r="G253" s="8"/>
      <c r="H253" s="8"/>
      <c r="I253" s="8">
        <v>45733</v>
      </c>
      <c r="J253" s="1" t="s">
        <v>482</v>
      </c>
      <c r="K253" s="1" t="s">
        <v>34</v>
      </c>
      <c r="L253" s="19">
        <v>45734</v>
      </c>
      <c r="M253" s="8">
        <v>45735</v>
      </c>
      <c r="N253" s="9">
        <v>0.41666666666666669</v>
      </c>
      <c r="O253" s="9">
        <v>0.75</v>
      </c>
      <c r="P253" s="9">
        <v>0.4236111111111111</v>
      </c>
      <c r="Q253" s="1" t="s">
        <v>366</v>
      </c>
      <c r="R253" s="10" t="str">
        <f ca="1">IFERROR(__xludf.DUMMYFUNCTION("JOIN("","", SORT(UNIQUE(TOCOL({VLOOKUP(D253,DM_fish!A:B,2,FALSE),VLOOKUP(C253,DM_fish!A:B,2,FALSE), ARRAYFORMULA(VLOOKUP(SPLIT(E253, "", ""),Injections!B:G,6,FALSE)), ARRAYFORMULA(VLOOKUP(SPLIT(F253, "", ""),Injections!H:M,6,FALSE)), ARRAYFORMULA(VLOOKUP("&amp;"SPLIT(G253, "", ""),Injections!N:S,6,FALSE)), ARRAYFORMULA(VLOOKUP(SPLIT(H253, "", ""),Injections!T:Y,6,FALSE)) },3))))"),"nuclei")</f>
        <v>nuclei</v>
      </c>
      <c r="S253" s="10" t="str">
        <f ca="1">IFERROR(__xludf.DUMMYFUNCTION("IFERROR(JOIN("","", SPLIT(R253, "","", TRUE ,TRUE)), """")"),"nuclei")</f>
        <v>nuclei</v>
      </c>
      <c r="T253" s="1" t="s">
        <v>484</v>
      </c>
      <c r="U253" s="17">
        <v>2099</v>
      </c>
      <c r="V253" s="1" t="s">
        <v>203</v>
      </c>
      <c r="W253" s="12" t="str">
        <f ca="1">IFERROR(CONCATENATE("[", CONCATENATE(IF(VLOOKUP(D253,DM_fish!C:X,14, FALSE)&gt;0, CONCATENATE("{",CHAR(34),"target",CHAR(34),":",CHAR(34),VLOOKUP(D253,DM_fish!C:X,13, FALSE),CHAR(34),",", CHAR(34), "excitation",CHAR(34), ":", VLOOKUP(D253,DM_fish!C:X,14, FALSE), ",",  CHAR(34), "camera",CHAR(34), ":", IF(VALUE(VLOOKUP(D253,DM_fish!C:X,14, FALSE))&lt;VALUE(VLOOKUP(V253,imaging_filters!A:K,11, FALSE)), CONCATENATE(CHAR(34),"CamA",CHAR(34)), CONCATENATE(CHAR(34),"CamB",CHAR(34))),"}"), ""),IF(VLOOKUP(D253,DM_fish!C:X,16, FALSE)&gt;0, CONCATENATE(",{",CHAR(34),"target",CHAR(34),":",CHAR(34),VLOOKUP(D253,DM_fish!C:X,15, FALSE),CHAR(34),",", CHAR(34), "excitation",CHAR(34), ":", VLOOKUP(D253,DM_fish!C:X,16, FALSE), ",",  CHAR(34), "camera",CHAR(34), ":", IF(VALUE(VLOOKUP(D253,DM_fish!C:X,16, FALSE))&lt;VALUE(VLOOKUP(V253,imaging_filters!A:K,11, FALSE)), CONCATENATE(CHAR(34),"CamA",CHAR(34)), CONCATENATE(CHAR(34),"CamB",CHAR(34))),"}"), ""),IF(VLOOKUP(D253,DM_fish!C:X,18, FALSE)&gt;0, CONCATENATE(",{",CHAR(34),"target",CHAR(34),":",CHAR(34),VLOOKUP(D253,DM_fish!C:X,17, FALSE),CHAR(34),",", CHAR(34), "excitation",CHAR(34), ":", VLOOKUP(D253,DM_fish!C:X,18, FALSE), ",",  CHAR(34), "camera",CHAR(34), ":", IF(VALUE(VLOOKUP(D253,DM_fish!C:X,18, FALSE))&lt;VALUE(VLOOKUP(V253,imaging_filters!A:K,11, FALSE)), CONCATENATE(CHAR(34),"CamA",CHAR(34)), CONCATENATE(CHAR(34),"CamB",CHAR(34))),"}"), ""),IF(VLOOKUP(D253,DM_fish!C:X,20, FALSE)&gt;0, CONCATENATE(",{",CHAR(34),"target",CHAR(34),":",CHAR(34),VLOOKUP(D253,DM_fish!C:X,19, FALSE),CHAR(34),",", CHAR(34), "excitation",CHAR(34), ":", VLOOKUP(D253,DM_fish!C:X,20, FALSE), ",",  CHAR(34), "camera",CHAR(34), ":", IF(VALUE(VLOOKUP(D253,DM_fish!C:X,20, FALSE))&lt;VALUE(VLOOKUP(V253,imaging_filters!A:K,11, FALSE)), CONCATENATE(CHAR(34),"CamA",CHAR(34)), CONCATENATE(CHAR(34),"CamB",CHAR(34))),"}"), ""),IF(VLOOKUP(D253,DM_fish!C:X,22, FALSE)&gt;0, CONCATENATE(",{",CHAR(34),"target",CHAR(34),":",CHAR(34),VLOOKUP(D253,DM_fish!C:X,21, FALSE),CHAR(34),",", CHAR(34), "excitation",CHAR(34), ":", VLOOKUP(D253,DM_fish!C:X,22, FALSE), ",",  CHAR(34), "camera",CHAR(34), ":", IF(VALUE(VLOOKUP(D253,DM_fish!C:X,22, FALSE))&lt;VALUE(VLOOKUP(V253,imaging_filters!A:K,11, FALSE)), CONCATENATE(CHAR(34),"CamA",CHAR(34)), CONCATENATE(CHAR(34),"CamB",CHAR(34))),"}"), "")), "]"), "")</f>
        <v/>
      </c>
      <c r="X253" s="12" t="str">
        <f ca="1">IFERROR(
CONCATENATE("[", CONCATENATE(IF(VLOOKUP(C253,DM_fish!C:X,14, FALSE)&gt;0, CONCATENATE("{",CHAR(34),"target",CHAR(34),":",CHAR(34),VLOOKUP(C253,DM_fish!C:X,13, FALSE),CHAR(34),",", CHAR(34), "excitation",CHAR(34), ":", VLOOKUP(C253,DM_fish!C:X,14, FALSE), ",",  CHAR(34), "camera",CHAR(34), ":", IF(VALUE(VLOOKUP(C253,DM_fish!C:X,14, FALSE))&lt;VALUE(VLOOKUP(V253,imaging_filters!A:K,11, FALSE)), CONCATENATE(CHAR(34),"CamA",CHAR(34)), CONCATENATE(CHAR(34),"CamB",CHAR(34))),"}"), ""),IF(VLOOKUP(C253,DM_fish!C:X,16, FALSE)&gt;0, CONCATENATE(",{",CHAR(34),"target",CHAR(34),":",CHAR(34),VLOOKUP(C253,DM_fish!C:X,15, FALSE),CHAR(34),",", CHAR(34), "excitation",CHAR(34), ":", VLOOKUP(C253,DM_fish!C:X,16, FALSE), ",",  CHAR(34), "camera",CHAR(34), ":", IF(VALUE(VLOOKUP(C253,DM_fish!C:X,16, FALSE))&lt;VALUE(VLOOKUP(V253,imaging_filters!A:K,11, FALSE)), CONCATENATE(CHAR(34),"CamA",CHAR(34)), CONCATENATE(CHAR(34),"CamB",CHAR(34))),"}"), ""),IF(VLOOKUP(C253,DM_fish!C:X,18, FALSE)&gt;0, CONCATENATE(",{",CHAR(34),"target",CHAR(34),":",CHAR(34),VLOOKUP(C253,DM_fish!C:X,17, FALSE),CHAR(34),",", CHAR(34), "excitation",CHAR(34), ":", VLOOKUP(C253,DM_fish!C:X,18, FALSE), ",",  CHAR(34), "camera",CHAR(34), ":", IF(VALUE(VLOOKUP(C253,DM_fish!C:X,18, FALSE))&lt;VALUE(VLOOKUP(V253,imaging_filters!A:K,11, FALSE)), CONCATENATE(CHAR(34),"CamA",CHAR(34)), CONCATENATE(CHAR(34),"CamB",CHAR(34))),"}"), ""),IF(VLOOKUP(C253,DM_fish!C:X,20, FALSE)&gt;0, CONCATENATE(",{",CHAR(34),"target",CHAR(34),":",CHAR(34),VLOOKUP(C253,DM_fish!C:X,19, FALSE),CHAR(34),",", CHAR(34), "excitation",CHAR(34), ":", VLOOKUP(C253,DM_fish!C:X,20, FALSE), ",",  CHAR(34), "camera",CHAR(34), ":", IF(VALUE(VLOOKUP(C253,DM_fish!C:X,20, FALSE))&lt;VALUE(VLOOKUP(V253,imaging_filters!A:K,11, FALSE)), CONCATENATE(CHAR(34),"CamA",CHAR(34)), CONCATENATE(CHAR(34),"CamB",CHAR(34))),"}"), ""),IF(VLOOKUP(C253,DM_fish!C:X,22, FALSE)&gt;0, CONCATENATE(",{",CHAR(34),"target",CHAR(34),":",CHAR(34),VLOOKUP(C253,DM_fish!C:X,21, FALSE),CHAR(34),",", CHAR(34), "excitation",CHAR(34), ":", VLOOKUP(C253,DM_fish!C:X,22, FALSE), ",",  CHAR(34), "camera",CHAR(34), ":", IF(VALUE(VLOOKUP(C253,DM_fish!C:X,22, FALSE))&lt;VALUE(VLOOKUP(V253,imaging_filters!A:K,11, FALSE)), CONCATENATE(CHAR(34),"CamA",CHAR(34)), CONCATENATE(CHAR(34),"CamB",CHAR(34))),"}"), "")), "]"), "")</f>
        <v/>
      </c>
      <c r="Y253" s="11" t="str">
        <f ca="1">IFERROR(
CONCATENATE( "[",
IF(VLOOKUP(E253,Injections!B:F,3, FALSE)&gt;0, CONCATENATE( "{",CHAR(34),"target",CHAR(34),":",CHAR(34),VLOOKUP(E253,Injections!B:F,2, FALSE),CHAR(34),",", CHAR(34), "excitation",CHAR(34), ":", VLOOKUP(E253,Injections!B:F,3, FALSE), ",",  CHAR(34), "camera",CHAR(34), ":",
IF(VALUE(VLOOKUP(E253,Injections!B:F,3, FALSE))&lt;VALUE(VLOOKUP(V253,imaging_filters!A:C,2, FALSE)), CONCATENATE(CHAR(34),"CamA",CHAR(34)), CONCATENATE(CHAR(34),"CamB",CHAR(34))),"}"), ""),
IF(VLOOKUP(E253,Injections!B:F,5, FALSE)&gt;0, CONCATENATE(",{",CHAR(34),"target",CHAR(34),":",CHAR(34),VLOOKUP(E253,Injections!B:F,4, FALSE),CHAR(34),",", CHAR(34), "excitation",CHAR(34), ":", VLOOKUP(E253,Injections!B:F,5, FALSE), ",",  CHAR(34), "camera",CHAR(34), ":",
IF(VALUE(VLOOKUP(E253,Injections!B:F,5, FALSE))&lt;VALUE(VLOOKUP(V253,imaging_filters!A:C,2, FALSE)), CONCATENATE(CHAR(34),"CamA",CHAR(34)), CONCATENATE(CHAR(34),"CamB",CHAR(34))),"}"), ""),
 "]"), "[]")</f>
        <v>[]</v>
      </c>
      <c r="Z253" s="11" t="str">
        <f ca="1">IFERROR(
CONCATENATE( "[",
IF(VLOOKUP(F253,Injections!H:L,3, FALSE)&gt;0, CONCATENATE( "{",CHAR(34),"target",CHAR(34),":",CHAR(34),VLOOKUP(F253,Injections!H:L,2, FALSE),CHAR(34),",", CHAR(34), "excitation",CHAR(34), ":", VLOOKUP(F253,Injections!H:L,3, FALSE), ",",  CHAR(34), "camera",CHAR(34), ":",
IF(VALUE(VLOOKUP(F253,Injections!H:L,3, FALSE))&lt;VALUE(VLOOKUP(V253,imaging_filters!A:K,11, FALSE)), CONCATENATE(CHAR(34),"CamA",CHAR(34)), CONCATENATE(CHAR(34),"CamB",CHAR(34))),"}"), ""),
IF(VLOOKUP(F253,Injections!H:L,5, FALSE)&gt;0, CONCATENATE(",{",CHAR(34),"target",CHAR(34),":",CHAR(34),VLOOKUP(F253,Injections!H:L,4, FALSE),CHAR(34),",", CHAR(34), "excitation",CHAR(34), ":", VLOOKUP(F253,Injections!H:L,5, FALSE), ",",  CHAR(34), "camera",CHAR(34), ":",
IF(VALUE(VLOOKUP(F253,Injections!H:L,5, FALSE))&lt;VALUE(VLOOKUP(V253,imaging_filters!A:K,11, FALSE)), CONCATENATE(CHAR(34),"CamA",CHAR(34)), CONCATENATE(CHAR(34),"CamB",CHAR(34))),"}"), ""),
 "]"), "[]")</f>
        <v>[{"target":"nuclei","excitation":560,"camera":"CamB"}]</v>
      </c>
      <c r="AA253" s="11"/>
    </row>
    <row r="254" spans="1:27" ht="15.75" customHeight="1" x14ac:dyDescent="0.15">
      <c r="A254" s="7">
        <f t="shared" si="7"/>
        <v>45734</v>
      </c>
      <c r="B254" s="1"/>
      <c r="C254" s="1" t="s">
        <v>107</v>
      </c>
      <c r="D254" s="1" t="s">
        <v>253</v>
      </c>
      <c r="E254" s="1"/>
      <c r="F254" s="1" t="s">
        <v>64</v>
      </c>
      <c r="G254" s="8"/>
      <c r="H254" s="8"/>
      <c r="I254" s="8">
        <v>45730</v>
      </c>
      <c r="J254" s="1" t="s">
        <v>485</v>
      </c>
      <c r="K254" s="1" t="s">
        <v>31</v>
      </c>
      <c r="L254" s="19">
        <v>45732</v>
      </c>
      <c r="M254" s="8">
        <v>45734</v>
      </c>
      <c r="N254" s="9">
        <v>0.40277777777777779</v>
      </c>
      <c r="O254" s="9">
        <v>0.41666666666666669</v>
      </c>
      <c r="P254" s="9">
        <v>0.5625</v>
      </c>
      <c r="Q254" s="1" t="s">
        <v>155</v>
      </c>
      <c r="R254" s="10" t="str">
        <f ca="1">IFERROR(__xludf.DUMMYFUNCTION("JOIN("","", SORT(UNIQUE(TOCOL({VLOOKUP(D254,DM_fish!A:B,2,FALSE),VLOOKUP(C254,DM_fish!A:B,2,FALSE), ARRAYFORMULA(VLOOKUP(SPLIT(E254, "", ""),Injections!B:G,6,FALSE)), ARRAYFORMULA(VLOOKUP(SPLIT(F254, "", ""),Injections!H:M,6,FALSE)), ARRAYFORMULA(VLOOKUP("&amp;"SPLIT(G254, "", ""),Injections!N:S,6,FALSE)), ARRAYFORMULA(VLOOKUP(SPLIT(H254, "", ""),Injections!T:Y,6,FALSE)) },3))))"),"nuclei")</f>
        <v>nuclei</v>
      </c>
      <c r="S254" s="10" t="str">
        <f ca="1">IFERROR(__xludf.DUMMYFUNCTION("IFERROR(JOIN("","", SPLIT(R254, "","", TRUE ,TRUE)), """")"),"nuclei")</f>
        <v>nuclei</v>
      </c>
      <c r="T254" s="1" t="s">
        <v>486</v>
      </c>
      <c r="U254" s="17">
        <v>1167</v>
      </c>
      <c r="V254" s="1" t="s">
        <v>203</v>
      </c>
      <c r="W254" s="12" t="str">
        <f ca="1">IFERROR(CONCATENATE("[", CONCATENATE(IF(VLOOKUP(D254,DM_fish!C:X,14, FALSE)&gt;0, CONCATENATE("{",CHAR(34),"target",CHAR(34),":",CHAR(34),VLOOKUP(D254,DM_fish!C:X,13, FALSE),CHAR(34),",", CHAR(34), "excitation",CHAR(34), ":", VLOOKUP(D254,DM_fish!C:X,14, FALSE), ",",  CHAR(34), "camera",CHAR(34), ":", IF(VALUE(VLOOKUP(D254,DM_fish!C:X,14, FALSE))&lt;VALUE(VLOOKUP(V254,imaging_filters!A:K,11, FALSE)), CONCATENATE(CHAR(34),"CamA",CHAR(34)), CONCATENATE(CHAR(34),"CamB",CHAR(34))),"}"), ""),IF(VLOOKUP(D254,DM_fish!C:X,16, FALSE)&gt;0, CONCATENATE(",{",CHAR(34),"target",CHAR(34),":",CHAR(34),VLOOKUP(D254,DM_fish!C:X,15, FALSE),CHAR(34),",", CHAR(34), "excitation",CHAR(34), ":", VLOOKUP(D254,DM_fish!C:X,16, FALSE), ",",  CHAR(34), "camera",CHAR(34), ":", IF(VALUE(VLOOKUP(D254,DM_fish!C:X,16, FALSE))&lt;VALUE(VLOOKUP(V254,imaging_filters!A:K,11, FALSE)), CONCATENATE(CHAR(34),"CamA",CHAR(34)), CONCATENATE(CHAR(34),"CamB",CHAR(34))),"}"), ""),IF(VLOOKUP(D254,DM_fish!C:X,18, FALSE)&gt;0, CONCATENATE(",{",CHAR(34),"target",CHAR(34),":",CHAR(34),VLOOKUP(D254,DM_fish!C:X,17, FALSE),CHAR(34),",", CHAR(34), "excitation",CHAR(34), ":", VLOOKUP(D254,DM_fish!C:X,18, FALSE), ",",  CHAR(34), "camera",CHAR(34), ":", IF(VALUE(VLOOKUP(D254,DM_fish!C:X,18, FALSE))&lt;VALUE(VLOOKUP(V254,imaging_filters!A:K,11, FALSE)), CONCATENATE(CHAR(34),"CamA",CHAR(34)), CONCATENATE(CHAR(34),"CamB",CHAR(34))),"}"), ""),IF(VLOOKUP(D254,DM_fish!C:X,20, FALSE)&gt;0, CONCATENATE(",{",CHAR(34),"target",CHAR(34),":",CHAR(34),VLOOKUP(D254,DM_fish!C:X,19, FALSE),CHAR(34),",", CHAR(34), "excitation",CHAR(34), ":", VLOOKUP(D254,DM_fish!C:X,20, FALSE), ",",  CHAR(34), "camera",CHAR(34), ":", IF(VALUE(VLOOKUP(D254,DM_fish!C:X,20, FALSE))&lt;VALUE(VLOOKUP(V254,imaging_filters!A:K,11, FALSE)), CONCATENATE(CHAR(34),"CamA",CHAR(34)), CONCATENATE(CHAR(34),"CamB",CHAR(34))),"}"), ""),IF(VLOOKUP(D254,DM_fish!C:X,22, FALSE)&gt;0, CONCATENATE(",{",CHAR(34),"target",CHAR(34),":",CHAR(34),VLOOKUP(D254,DM_fish!C:X,21, FALSE),CHAR(34),",", CHAR(34), "excitation",CHAR(34), ":", VLOOKUP(D254,DM_fish!C:X,22, FALSE), ",",  CHAR(34), "camera",CHAR(34), ":", IF(VALUE(VLOOKUP(D254,DM_fish!C:X,22, FALSE))&lt;VALUE(VLOOKUP(V254,imaging_filters!A:K,11, FALSE)), CONCATENATE(CHAR(34),"CamA",CHAR(34)), CONCATENATE(CHAR(34),"CamB",CHAR(34))),"}"), "")), "]"), "")</f>
        <v/>
      </c>
      <c r="X254" s="12" t="str">
        <f ca="1">IFERROR(
CONCATENATE("[", CONCATENATE(IF(VLOOKUP(C254,DM_fish!C:X,14, FALSE)&gt;0, CONCATENATE("{",CHAR(34),"target",CHAR(34),":",CHAR(34),VLOOKUP(C254,DM_fish!C:X,13, FALSE),CHAR(34),",", CHAR(34), "excitation",CHAR(34), ":", VLOOKUP(C254,DM_fish!C:X,14, FALSE), ",",  CHAR(34), "camera",CHAR(34), ":", IF(VALUE(VLOOKUP(C254,DM_fish!C:X,14, FALSE))&lt;VALUE(VLOOKUP(V254,imaging_filters!A:K,11, FALSE)), CONCATENATE(CHAR(34),"CamA",CHAR(34)), CONCATENATE(CHAR(34),"CamB",CHAR(34))),"}"), ""),IF(VLOOKUP(C254,DM_fish!C:X,16, FALSE)&gt;0, CONCATENATE(",{",CHAR(34),"target",CHAR(34),":",CHAR(34),VLOOKUP(C254,DM_fish!C:X,15, FALSE),CHAR(34),",", CHAR(34), "excitation",CHAR(34), ":", VLOOKUP(C254,DM_fish!C:X,16, FALSE), ",",  CHAR(34), "camera",CHAR(34), ":", IF(VALUE(VLOOKUP(C254,DM_fish!C:X,16, FALSE))&lt;VALUE(VLOOKUP(V254,imaging_filters!A:K,11, FALSE)), CONCATENATE(CHAR(34),"CamA",CHAR(34)), CONCATENATE(CHAR(34),"CamB",CHAR(34))),"}"), ""),IF(VLOOKUP(C254,DM_fish!C:X,18, FALSE)&gt;0, CONCATENATE(",{",CHAR(34),"target",CHAR(34),":",CHAR(34),VLOOKUP(C254,DM_fish!C:X,17, FALSE),CHAR(34),",", CHAR(34), "excitation",CHAR(34), ":", VLOOKUP(C254,DM_fish!C:X,18, FALSE), ",",  CHAR(34), "camera",CHAR(34), ":", IF(VALUE(VLOOKUP(C254,DM_fish!C:X,18, FALSE))&lt;VALUE(VLOOKUP(V254,imaging_filters!A:K,11, FALSE)), CONCATENATE(CHAR(34),"CamA",CHAR(34)), CONCATENATE(CHAR(34),"CamB",CHAR(34))),"}"), ""),IF(VLOOKUP(C254,DM_fish!C:X,20, FALSE)&gt;0, CONCATENATE(",{",CHAR(34),"target",CHAR(34),":",CHAR(34),VLOOKUP(C254,DM_fish!C:X,19, FALSE),CHAR(34),",", CHAR(34), "excitation",CHAR(34), ":", VLOOKUP(C254,DM_fish!C:X,20, FALSE), ",",  CHAR(34), "camera",CHAR(34), ":", IF(VALUE(VLOOKUP(C254,DM_fish!C:X,20, FALSE))&lt;VALUE(VLOOKUP(V254,imaging_filters!A:K,11, FALSE)), CONCATENATE(CHAR(34),"CamA",CHAR(34)), CONCATENATE(CHAR(34),"CamB",CHAR(34))),"}"), ""),IF(VLOOKUP(C254,DM_fish!C:X,22, FALSE)&gt;0, CONCATENATE(",{",CHAR(34),"target",CHAR(34),":",CHAR(34),VLOOKUP(C254,DM_fish!C:X,21, FALSE),CHAR(34),",", CHAR(34), "excitation",CHAR(34), ":", VLOOKUP(C254,DM_fish!C:X,22, FALSE), ",",  CHAR(34), "camera",CHAR(34), ":", IF(VALUE(VLOOKUP(C254,DM_fish!C:X,22, FALSE))&lt;VALUE(VLOOKUP(V254,imaging_filters!A:K,11, FALSE)), CONCATENATE(CHAR(34),"CamA",CHAR(34)), CONCATENATE(CHAR(34),"CamB",CHAR(34))),"}"), "")), "]"), "")</f>
        <v/>
      </c>
      <c r="Y254" s="11" t="str">
        <f ca="1">IFERROR(
CONCATENATE( "[",
IF(VLOOKUP(E254,Injections!B:F,3, FALSE)&gt;0, CONCATENATE( "{",CHAR(34),"target",CHAR(34),":",CHAR(34),VLOOKUP(E254,Injections!B:F,2, FALSE),CHAR(34),",", CHAR(34), "excitation",CHAR(34), ":", VLOOKUP(E254,Injections!B:F,3, FALSE), ",",  CHAR(34), "camera",CHAR(34), ":",
IF(VALUE(VLOOKUP(E254,Injections!B:F,3, FALSE))&lt;VALUE(VLOOKUP(V254,imaging_filters!A:C,2, FALSE)), CONCATENATE(CHAR(34),"CamA",CHAR(34)), CONCATENATE(CHAR(34),"CamB",CHAR(34))),"}"), ""),
IF(VLOOKUP(E254,Injections!B:F,5, FALSE)&gt;0, CONCATENATE(",{",CHAR(34),"target",CHAR(34),":",CHAR(34),VLOOKUP(E254,Injections!B:F,4, FALSE),CHAR(34),",", CHAR(34), "excitation",CHAR(34), ":", VLOOKUP(E254,Injections!B:F,5, FALSE), ",",  CHAR(34), "camera",CHAR(34), ":",
IF(VALUE(VLOOKUP(E254,Injections!B:F,5, FALSE))&lt;VALUE(VLOOKUP(V254,imaging_filters!A:C,2, FALSE)), CONCATENATE(CHAR(34),"CamA",CHAR(34)), CONCATENATE(CHAR(34),"CamB",CHAR(34))),"}"), ""),
 "]"), "[]")</f>
        <v>[]</v>
      </c>
      <c r="Z254" s="11" t="str">
        <f ca="1">IFERROR(
CONCATENATE( "[",
IF(VLOOKUP(F254,Injections!H:L,3, FALSE)&gt;0, CONCATENATE( "{",CHAR(34),"target",CHAR(34),":",CHAR(34),VLOOKUP(F254,Injections!H:L,2, FALSE),CHAR(34),",", CHAR(34), "excitation",CHAR(34), ":", VLOOKUP(F254,Injections!H:L,3, FALSE), ",",  CHAR(34), "camera",CHAR(34), ":",
IF(VALUE(VLOOKUP(F254,Injections!H:L,3, FALSE))&lt;VALUE(VLOOKUP(V254,imaging_filters!A:K,11, FALSE)), CONCATENATE(CHAR(34),"CamA",CHAR(34)), CONCATENATE(CHAR(34),"CamB",CHAR(34))),"}"), ""),
IF(VLOOKUP(F254,Injections!H:L,5, FALSE)&gt;0, CONCATENATE(",{",CHAR(34),"target",CHAR(34),":",CHAR(34),VLOOKUP(F254,Injections!H:L,4, FALSE),CHAR(34),",", CHAR(34), "excitation",CHAR(34), ":", VLOOKUP(F254,Injections!H:L,5, FALSE), ",",  CHAR(34), "camera",CHAR(34), ":",
IF(VALUE(VLOOKUP(F254,Injections!H:L,5, FALSE))&lt;VALUE(VLOOKUP(V254,imaging_filters!A:K,11, FALSE)), CONCATENATE(CHAR(34),"CamA",CHAR(34)), CONCATENATE(CHAR(34),"CamB",CHAR(34))),"}"), ""),
 "]"), "[]")</f>
        <v>[{"target":"nuclei","excitation":560,"camera":"CamB"}]</v>
      </c>
      <c r="AA254" s="11"/>
    </row>
    <row r="255" spans="1:27" ht="15.75" customHeight="1" x14ac:dyDescent="0.15">
      <c r="A255" s="7">
        <f t="shared" si="7"/>
        <v>45734</v>
      </c>
      <c r="B255" s="1"/>
      <c r="C255" s="1" t="s">
        <v>253</v>
      </c>
      <c r="D255" s="1" t="s">
        <v>107</v>
      </c>
      <c r="E255" s="1"/>
      <c r="F255" s="1" t="s">
        <v>64</v>
      </c>
      <c r="G255" s="8"/>
      <c r="H255" s="8"/>
      <c r="I255" s="8">
        <v>45733</v>
      </c>
      <c r="J255" s="1" t="s">
        <v>487</v>
      </c>
      <c r="K255" s="1" t="s">
        <v>77</v>
      </c>
      <c r="L255" s="19">
        <v>45734</v>
      </c>
      <c r="M255" s="8">
        <v>45734</v>
      </c>
      <c r="N255" s="9">
        <v>0.56944444444444442</v>
      </c>
      <c r="O255" s="9">
        <v>0.58333333333333337</v>
      </c>
      <c r="P255" s="9">
        <v>0.79166666666666663</v>
      </c>
      <c r="Q255" s="1" t="s">
        <v>456</v>
      </c>
      <c r="R255" s="10" t="str">
        <f ca="1">IFERROR(__xludf.DUMMYFUNCTION("JOIN("","", SORT(UNIQUE(TOCOL({VLOOKUP(D255,DM_fish!A:B,2,FALSE),VLOOKUP(C255,DM_fish!A:B,2,FALSE), ARRAYFORMULA(VLOOKUP(SPLIT(E255, "", ""),Injections!B:G,6,FALSE)), ARRAYFORMULA(VLOOKUP(SPLIT(F255, "", ""),Injections!H:M,6,FALSE)), ARRAYFORMULA(VLOOKUP("&amp;"SPLIT(G255, "", ""),Injections!N:S,6,FALSE)), ARRAYFORMULA(VLOOKUP(SPLIT(H255, "", ""),Injections!T:Y,6,FALSE)) },3))))"),"nuclei")</f>
        <v>nuclei</v>
      </c>
      <c r="S255" s="10" t="str">
        <f ca="1">IFERROR(__xludf.DUMMYFUNCTION("IFERROR(JOIN("","", SPLIT(R255, "","", TRUE ,TRUE)), """")"),"nuclei")</f>
        <v>nuclei</v>
      </c>
      <c r="T255" s="1" t="s">
        <v>488</v>
      </c>
      <c r="U255" s="17">
        <v>993</v>
      </c>
      <c r="V255" s="1" t="s">
        <v>203</v>
      </c>
      <c r="W255" s="12" t="str">
        <f ca="1">IFERROR(CONCATENATE("[", CONCATENATE(IF(VLOOKUP(D255,DM_fish!C:X,14, FALSE)&gt;0, CONCATENATE("{",CHAR(34),"target",CHAR(34),":",CHAR(34),VLOOKUP(D255,DM_fish!C:X,13, FALSE),CHAR(34),",", CHAR(34), "excitation",CHAR(34), ":", VLOOKUP(D255,DM_fish!C:X,14, FALSE), ",",  CHAR(34), "camera",CHAR(34), ":", IF(VALUE(VLOOKUP(D255,DM_fish!C:X,14, FALSE))&lt;VALUE(VLOOKUP(V255,imaging_filters!A:K,11, FALSE)), CONCATENATE(CHAR(34),"CamA",CHAR(34)), CONCATENATE(CHAR(34),"CamB",CHAR(34))),"}"), ""),IF(VLOOKUP(D255,DM_fish!C:X,16, FALSE)&gt;0, CONCATENATE(",{",CHAR(34),"target",CHAR(34),":",CHAR(34),VLOOKUP(D255,DM_fish!C:X,15, FALSE),CHAR(34),",", CHAR(34), "excitation",CHAR(34), ":", VLOOKUP(D255,DM_fish!C:X,16, FALSE), ",",  CHAR(34), "camera",CHAR(34), ":", IF(VALUE(VLOOKUP(D255,DM_fish!C:X,16, FALSE))&lt;VALUE(VLOOKUP(V255,imaging_filters!A:K,11, FALSE)), CONCATENATE(CHAR(34),"CamA",CHAR(34)), CONCATENATE(CHAR(34),"CamB",CHAR(34))),"}"), ""),IF(VLOOKUP(D255,DM_fish!C:X,18, FALSE)&gt;0, CONCATENATE(",{",CHAR(34),"target",CHAR(34),":",CHAR(34),VLOOKUP(D255,DM_fish!C:X,17, FALSE),CHAR(34),",", CHAR(34), "excitation",CHAR(34), ":", VLOOKUP(D255,DM_fish!C:X,18, FALSE), ",",  CHAR(34), "camera",CHAR(34), ":", IF(VALUE(VLOOKUP(D255,DM_fish!C:X,18, FALSE))&lt;VALUE(VLOOKUP(V255,imaging_filters!A:K,11, FALSE)), CONCATENATE(CHAR(34),"CamA",CHAR(34)), CONCATENATE(CHAR(34),"CamB",CHAR(34))),"}"), ""),IF(VLOOKUP(D255,DM_fish!C:X,20, FALSE)&gt;0, CONCATENATE(",{",CHAR(34),"target",CHAR(34),":",CHAR(34),VLOOKUP(D255,DM_fish!C:X,19, FALSE),CHAR(34),",", CHAR(34), "excitation",CHAR(34), ":", VLOOKUP(D255,DM_fish!C:X,20, FALSE), ",",  CHAR(34), "camera",CHAR(34), ":", IF(VALUE(VLOOKUP(D255,DM_fish!C:X,20, FALSE))&lt;VALUE(VLOOKUP(V255,imaging_filters!A:K,11, FALSE)), CONCATENATE(CHAR(34),"CamA",CHAR(34)), CONCATENATE(CHAR(34),"CamB",CHAR(34))),"}"), ""),IF(VLOOKUP(D255,DM_fish!C:X,22, FALSE)&gt;0, CONCATENATE(",{",CHAR(34),"target",CHAR(34),":",CHAR(34),VLOOKUP(D255,DM_fish!C:X,21, FALSE),CHAR(34),",", CHAR(34), "excitation",CHAR(34), ":", VLOOKUP(D255,DM_fish!C:X,22, FALSE), ",",  CHAR(34), "camera",CHAR(34), ":", IF(VALUE(VLOOKUP(D255,DM_fish!C:X,22, FALSE))&lt;VALUE(VLOOKUP(V255,imaging_filters!A:K,11, FALSE)), CONCATENATE(CHAR(34),"CamA",CHAR(34)), CONCATENATE(CHAR(34),"CamB",CHAR(34))),"}"), "")), "]"), "")</f>
        <v/>
      </c>
      <c r="X255" s="12" t="str">
        <f ca="1">IFERROR(
CONCATENATE("[", CONCATENATE(IF(VLOOKUP(C255,DM_fish!C:X,14, FALSE)&gt;0, CONCATENATE("{",CHAR(34),"target",CHAR(34),":",CHAR(34),VLOOKUP(C255,DM_fish!C:X,13, FALSE),CHAR(34),",", CHAR(34), "excitation",CHAR(34), ":", VLOOKUP(C255,DM_fish!C:X,14, FALSE), ",",  CHAR(34), "camera",CHAR(34), ":", IF(VALUE(VLOOKUP(C255,DM_fish!C:X,14, FALSE))&lt;VALUE(VLOOKUP(V255,imaging_filters!A:K,11, FALSE)), CONCATENATE(CHAR(34),"CamA",CHAR(34)), CONCATENATE(CHAR(34),"CamB",CHAR(34))),"}"), ""),IF(VLOOKUP(C255,DM_fish!C:X,16, FALSE)&gt;0, CONCATENATE(",{",CHAR(34),"target",CHAR(34),":",CHAR(34),VLOOKUP(C255,DM_fish!C:X,15, FALSE),CHAR(34),",", CHAR(34), "excitation",CHAR(34), ":", VLOOKUP(C255,DM_fish!C:X,16, FALSE), ",",  CHAR(34), "camera",CHAR(34), ":", IF(VALUE(VLOOKUP(C255,DM_fish!C:X,16, FALSE))&lt;VALUE(VLOOKUP(V255,imaging_filters!A:K,11, FALSE)), CONCATENATE(CHAR(34),"CamA",CHAR(34)), CONCATENATE(CHAR(34),"CamB",CHAR(34))),"}"), ""),IF(VLOOKUP(C255,DM_fish!C:X,18, FALSE)&gt;0, CONCATENATE(",{",CHAR(34),"target",CHAR(34),":",CHAR(34),VLOOKUP(C255,DM_fish!C:X,17, FALSE),CHAR(34),",", CHAR(34), "excitation",CHAR(34), ":", VLOOKUP(C255,DM_fish!C:X,18, FALSE), ",",  CHAR(34), "camera",CHAR(34), ":", IF(VALUE(VLOOKUP(C255,DM_fish!C:X,18, FALSE))&lt;VALUE(VLOOKUP(V255,imaging_filters!A:K,11, FALSE)), CONCATENATE(CHAR(34),"CamA",CHAR(34)), CONCATENATE(CHAR(34),"CamB",CHAR(34))),"}"), ""),IF(VLOOKUP(C255,DM_fish!C:X,20, FALSE)&gt;0, CONCATENATE(",{",CHAR(34),"target",CHAR(34),":",CHAR(34),VLOOKUP(C255,DM_fish!C:X,19, FALSE),CHAR(34),",", CHAR(34), "excitation",CHAR(34), ":", VLOOKUP(C255,DM_fish!C:X,20, FALSE), ",",  CHAR(34), "camera",CHAR(34), ":", IF(VALUE(VLOOKUP(C255,DM_fish!C:X,20, FALSE))&lt;VALUE(VLOOKUP(V255,imaging_filters!A:K,11, FALSE)), CONCATENATE(CHAR(34),"CamA",CHAR(34)), CONCATENATE(CHAR(34),"CamB",CHAR(34))),"}"), ""),IF(VLOOKUP(C255,DM_fish!C:X,22, FALSE)&gt;0, CONCATENATE(",{",CHAR(34),"target",CHAR(34),":",CHAR(34),VLOOKUP(C255,DM_fish!C:X,21, FALSE),CHAR(34),",", CHAR(34), "excitation",CHAR(34), ":", VLOOKUP(C255,DM_fish!C:X,22, FALSE), ",",  CHAR(34), "camera",CHAR(34), ":", IF(VALUE(VLOOKUP(C255,DM_fish!C:X,22, FALSE))&lt;VALUE(VLOOKUP(V255,imaging_filters!A:K,11, FALSE)), CONCATENATE(CHAR(34),"CamA",CHAR(34)), CONCATENATE(CHAR(34),"CamB",CHAR(34))),"}"), "")), "]"), "")</f>
        <v/>
      </c>
      <c r="Y255" s="11" t="str">
        <f ca="1">IFERROR(
CONCATENATE( "[",
IF(VLOOKUP(E255,Injections!B:F,3, FALSE)&gt;0, CONCATENATE( "{",CHAR(34),"target",CHAR(34),":",CHAR(34),VLOOKUP(E255,Injections!B:F,2, FALSE),CHAR(34),",", CHAR(34), "excitation",CHAR(34), ":", VLOOKUP(E255,Injections!B:F,3, FALSE), ",",  CHAR(34), "camera",CHAR(34), ":",
IF(VALUE(VLOOKUP(E255,Injections!B:F,3, FALSE))&lt;VALUE(VLOOKUP(V255,imaging_filters!A:C,2, FALSE)), CONCATENATE(CHAR(34),"CamA",CHAR(34)), CONCATENATE(CHAR(34),"CamB",CHAR(34))),"}"), ""),
IF(VLOOKUP(E255,Injections!B:F,5, FALSE)&gt;0, CONCATENATE(",{",CHAR(34),"target",CHAR(34),":",CHAR(34),VLOOKUP(E255,Injections!B:F,4, FALSE),CHAR(34),",", CHAR(34), "excitation",CHAR(34), ":", VLOOKUP(E255,Injections!B:F,5, FALSE), ",",  CHAR(34), "camera",CHAR(34), ":",
IF(VALUE(VLOOKUP(E255,Injections!B:F,5, FALSE))&lt;VALUE(VLOOKUP(V255,imaging_filters!A:C,2, FALSE)), CONCATENATE(CHAR(34),"CamA",CHAR(34)), CONCATENATE(CHAR(34),"CamB",CHAR(34))),"}"), ""),
 "]"), "[]")</f>
        <v>[]</v>
      </c>
      <c r="Z255" s="11" t="str">
        <f ca="1">IFERROR(
CONCATENATE( "[",
IF(VLOOKUP(F255,Injections!H:L,3, FALSE)&gt;0, CONCATENATE( "{",CHAR(34),"target",CHAR(34),":",CHAR(34),VLOOKUP(F255,Injections!H:L,2, FALSE),CHAR(34),",", CHAR(34), "excitation",CHAR(34), ":", VLOOKUP(F255,Injections!H:L,3, FALSE), ",",  CHAR(34), "camera",CHAR(34), ":",
IF(VALUE(VLOOKUP(F255,Injections!H:L,3, FALSE))&lt;VALUE(VLOOKUP(V255,imaging_filters!A:K,11, FALSE)), CONCATENATE(CHAR(34),"CamA",CHAR(34)), CONCATENATE(CHAR(34),"CamB",CHAR(34))),"}"), ""),
IF(VLOOKUP(F255,Injections!H:L,5, FALSE)&gt;0, CONCATENATE(",{",CHAR(34),"target",CHAR(34),":",CHAR(34),VLOOKUP(F255,Injections!H:L,4, FALSE),CHAR(34),",", CHAR(34), "excitation",CHAR(34), ":", VLOOKUP(F255,Injections!H:L,5, FALSE), ",",  CHAR(34), "camera",CHAR(34), ":",
IF(VALUE(VLOOKUP(F255,Injections!H:L,5, FALSE))&lt;VALUE(VLOOKUP(V255,imaging_filters!A:K,11, FALSE)), CONCATENATE(CHAR(34),"CamA",CHAR(34)), CONCATENATE(CHAR(34),"CamB",CHAR(34))),"}"), ""),
 "]"), "[]")</f>
        <v>[{"target":"nuclei","excitation":560,"camera":"CamB"}]</v>
      </c>
      <c r="AA255" s="11"/>
    </row>
    <row r="256" spans="1:27" ht="15.75" customHeight="1" x14ac:dyDescent="0.15">
      <c r="A256" s="7">
        <f t="shared" si="7"/>
        <v>45734</v>
      </c>
      <c r="B256" s="1"/>
      <c r="C256" s="1" t="s">
        <v>253</v>
      </c>
      <c r="D256" s="1" t="s">
        <v>107</v>
      </c>
      <c r="E256" s="1"/>
      <c r="F256" s="1" t="s">
        <v>64</v>
      </c>
      <c r="G256" s="8"/>
      <c r="H256" s="8"/>
      <c r="I256" s="8">
        <v>45733</v>
      </c>
      <c r="J256" s="1" t="s">
        <v>487</v>
      </c>
      <c r="K256" s="1" t="s">
        <v>77</v>
      </c>
      <c r="L256" s="19">
        <v>45734</v>
      </c>
      <c r="M256" s="8">
        <v>45734</v>
      </c>
      <c r="N256" s="9">
        <v>0.56944444444444442</v>
      </c>
      <c r="O256" s="1" t="s">
        <v>489</v>
      </c>
      <c r="Q256" s="1"/>
      <c r="R256" s="10" t="str">
        <f ca="1">IFERROR(__xludf.DUMMYFUNCTION("JOIN("","", SORT(UNIQUE(TOCOL({VLOOKUP(D256,DM_fish!A:B,2,FALSE),VLOOKUP(C256,DM_fish!A:B,2,FALSE), ARRAYFORMULA(VLOOKUP(SPLIT(E256, "", ""),Injections!B:G,6,FALSE)), ARRAYFORMULA(VLOOKUP(SPLIT(F256, "", ""),Injections!H:M,6,FALSE)), ARRAYFORMULA(VLOOKUP("&amp;"SPLIT(G256, "", ""),Injections!N:S,6,FALSE)), ARRAYFORMULA(VLOOKUP(SPLIT(H256, "", ""),Injections!T:Y,6,FALSE)) },3))))"),"nuclei")</f>
        <v>nuclei</v>
      </c>
      <c r="S256" s="10" t="str">
        <f ca="1">IFERROR(__xludf.DUMMYFUNCTION("IFERROR(JOIN("","", SPLIT(R256, "","", TRUE ,TRUE)), """")"),"nuclei")</f>
        <v>nuclei</v>
      </c>
      <c r="T256" s="1"/>
      <c r="U256" s="17"/>
      <c r="V256" s="1" t="s">
        <v>203</v>
      </c>
      <c r="W256" s="12" t="str">
        <f ca="1">IFERROR(CONCATENATE("[", CONCATENATE(IF(VLOOKUP(D256,DM_fish!C:X,14, FALSE)&gt;0, CONCATENATE("{",CHAR(34),"target",CHAR(34),":",CHAR(34),VLOOKUP(D256,DM_fish!C:X,13, FALSE),CHAR(34),",", CHAR(34), "excitation",CHAR(34), ":", VLOOKUP(D256,DM_fish!C:X,14, FALSE), ",",  CHAR(34), "camera",CHAR(34), ":", IF(VALUE(VLOOKUP(D256,DM_fish!C:X,14, FALSE))&lt;VALUE(VLOOKUP(V256,imaging_filters!A:K,11, FALSE)), CONCATENATE(CHAR(34),"CamA",CHAR(34)), CONCATENATE(CHAR(34),"CamB",CHAR(34))),"}"), ""),IF(VLOOKUP(D256,DM_fish!C:X,16, FALSE)&gt;0, CONCATENATE(",{",CHAR(34),"target",CHAR(34),":",CHAR(34),VLOOKUP(D256,DM_fish!C:X,15, FALSE),CHAR(34),",", CHAR(34), "excitation",CHAR(34), ":", VLOOKUP(D256,DM_fish!C:X,16, FALSE), ",",  CHAR(34), "camera",CHAR(34), ":", IF(VALUE(VLOOKUP(D256,DM_fish!C:X,16, FALSE))&lt;VALUE(VLOOKUP(V256,imaging_filters!A:K,11, FALSE)), CONCATENATE(CHAR(34),"CamA",CHAR(34)), CONCATENATE(CHAR(34),"CamB",CHAR(34))),"}"), ""),IF(VLOOKUP(D256,DM_fish!C:X,18, FALSE)&gt;0, CONCATENATE(",{",CHAR(34),"target",CHAR(34),":",CHAR(34),VLOOKUP(D256,DM_fish!C:X,17, FALSE),CHAR(34),",", CHAR(34), "excitation",CHAR(34), ":", VLOOKUP(D256,DM_fish!C:X,18, FALSE), ",",  CHAR(34), "camera",CHAR(34), ":", IF(VALUE(VLOOKUP(D256,DM_fish!C:X,18, FALSE))&lt;VALUE(VLOOKUP(V256,imaging_filters!A:K,11, FALSE)), CONCATENATE(CHAR(34),"CamA",CHAR(34)), CONCATENATE(CHAR(34),"CamB",CHAR(34))),"}"), ""),IF(VLOOKUP(D256,DM_fish!C:X,20, FALSE)&gt;0, CONCATENATE(",{",CHAR(34),"target",CHAR(34),":",CHAR(34),VLOOKUP(D256,DM_fish!C:X,19, FALSE),CHAR(34),",", CHAR(34), "excitation",CHAR(34), ":", VLOOKUP(D256,DM_fish!C:X,20, FALSE), ",",  CHAR(34), "camera",CHAR(34), ":", IF(VALUE(VLOOKUP(D256,DM_fish!C:X,20, FALSE))&lt;VALUE(VLOOKUP(V256,imaging_filters!A:K,11, FALSE)), CONCATENATE(CHAR(34),"CamA",CHAR(34)), CONCATENATE(CHAR(34),"CamB",CHAR(34))),"}"), ""),IF(VLOOKUP(D256,DM_fish!C:X,22, FALSE)&gt;0, CONCATENATE(",{",CHAR(34),"target",CHAR(34),":",CHAR(34),VLOOKUP(D256,DM_fish!C:X,21, FALSE),CHAR(34),",", CHAR(34), "excitation",CHAR(34), ":", VLOOKUP(D256,DM_fish!C:X,22, FALSE), ",",  CHAR(34), "camera",CHAR(34), ":", IF(VALUE(VLOOKUP(D256,DM_fish!C:X,22, FALSE))&lt;VALUE(VLOOKUP(V256,imaging_filters!A:K,11, FALSE)), CONCATENATE(CHAR(34),"CamA",CHAR(34)), CONCATENATE(CHAR(34),"CamB",CHAR(34))),"}"), "")), "]"), "")</f>
        <v/>
      </c>
      <c r="X256" s="12" t="str">
        <f ca="1">IFERROR(
CONCATENATE("[", CONCATENATE(IF(VLOOKUP(C256,DM_fish!C:X,14, FALSE)&gt;0, CONCATENATE("{",CHAR(34),"target",CHAR(34),":",CHAR(34),VLOOKUP(C256,DM_fish!C:X,13, FALSE),CHAR(34),",", CHAR(34), "excitation",CHAR(34), ":", VLOOKUP(C256,DM_fish!C:X,14, FALSE), ",",  CHAR(34), "camera",CHAR(34), ":", IF(VALUE(VLOOKUP(C256,DM_fish!C:X,14, FALSE))&lt;VALUE(VLOOKUP(V256,imaging_filters!A:K,11, FALSE)), CONCATENATE(CHAR(34),"CamA",CHAR(34)), CONCATENATE(CHAR(34),"CamB",CHAR(34))),"}"), ""),IF(VLOOKUP(C256,DM_fish!C:X,16, FALSE)&gt;0, CONCATENATE(",{",CHAR(34),"target",CHAR(34),":",CHAR(34),VLOOKUP(C256,DM_fish!C:X,15, FALSE),CHAR(34),",", CHAR(34), "excitation",CHAR(34), ":", VLOOKUP(C256,DM_fish!C:X,16, FALSE), ",",  CHAR(34), "camera",CHAR(34), ":", IF(VALUE(VLOOKUP(C256,DM_fish!C:X,16, FALSE))&lt;VALUE(VLOOKUP(V256,imaging_filters!A:K,11, FALSE)), CONCATENATE(CHAR(34),"CamA",CHAR(34)), CONCATENATE(CHAR(34),"CamB",CHAR(34))),"}"), ""),IF(VLOOKUP(C256,DM_fish!C:X,18, FALSE)&gt;0, CONCATENATE(",{",CHAR(34),"target",CHAR(34),":",CHAR(34),VLOOKUP(C256,DM_fish!C:X,17, FALSE),CHAR(34),",", CHAR(34), "excitation",CHAR(34), ":", VLOOKUP(C256,DM_fish!C:X,18, FALSE), ",",  CHAR(34), "camera",CHAR(34), ":", IF(VALUE(VLOOKUP(C256,DM_fish!C:X,18, FALSE))&lt;VALUE(VLOOKUP(V256,imaging_filters!A:K,11, FALSE)), CONCATENATE(CHAR(34),"CamA",CHAR(34)), CONCATENATE(CHAR(34),"CamB",CHAR(34))),"}"), ""),IF(VLOOKUP(C256,DM_fish!C:X,20, FALSE)&gt;0, CONCATENATE(",{",CHAR(34),"target",CHAR(34),":",CHAR(34),VLOOKUP(C256,DM_fish!C:X,19, FALSE),CHAR(34),",", CHAR(34), "excitation",CHAR(34), ":", VLOOKUP(C256,DM_fish!C:X,20, FALSE), ",",  CHAR(34), "camera",CHAR(34), ":", IF(VALUE(VLOOKUP(C256,DM_fish!C:X,20, FALSE))&lt;VALUE(VLOOKUP(V256,imaging_filters!A:K,11, FALSE)), CONCATENATE(CHAR(34),"CamA",CHAR(34)), CONCATENATE(CHAR(34),"CamB",CHAR(34))),"}"), ""),IF(VLOOKUP(C256,DM_fish!C:X,22, FALSE)&gt;0, CONCATENATE(",{",CHAR(34),"target",CHAR(34),":",CHAR(34),VLOOKUP(C256,DM_fish!C:X,21, FALSE),CHAR(34),",", CHAR(34), "excitation",CHAR(34), ":", VLOOKUP(C256,DM_fish!C:X,22, FALSE), ",",  CHAR(34), "camera",CHAR(34), ":", IF(VALUE(VLOOKUP(C256,DM_fish!C:X,22, FALSE))&lt;VALUE(VLOOKUP(V256,imaging_filters!A:K,11, FALSE)), CONCATENATE(CHAR(34),"CamA",CHAR(34)), CONCATENATE(CHAR(34),"CamB",CHAR(34))),"}"), "")), "]"), "")</f>
        <v/>
      </c>
      <c r="Y256" s="11" t="str">
        <f ca="1">IFERROR(
CONCATENATE( "[",
IF(VLOOKUP(E256,Injections!B:F,3, FALSE)&gt;0, CONCATENATE( "{",CHAR(34),"target",CHAR(34),":",CHAR(34),VLOOKUP(E256,Injections!B:F,2, FALSE),CHAR(34),",", CHAR(34), "excitation",CHAR(34), ":", VLOOKUP(E256,Injections!B:F,3, FALSE), ",",  CHAR(34), "camera",CHAR(34), ":",
IF(VALUE(VLOOKUP(E256,Injections!B:F,3, FALSE))&lt;VALUE(VLOOKUP(V256,imaging_filters!A:C,2, FALSE)), CONCATENATE(CHAR(34),"CamA",CHAR(34)), CONCATENATE(CHAR(34),"CamB",CHAR(34))),"}"), ""),
IF(VLOOKUP(E256,Injections!B:F,5, FALSE)&gt;0, CONCATENATE(",{",CHAR(34),"target",CHAR(34),":",CHAR(34),VLOOKUP(E256,Injections!B:F,4, FALSE),CHAR(34),",", CHAR(34), "excitation",CHAR(34), ":", VLOOKUP(E256,Injections!B:F,5, FALSE), ",",  CHAR(34), "camera",CHAR(34), ":",
IF(VALUE(VLOOKUP(E256,Injections!B:F,5, FALSE))&lt;VALUE(VLOOKUP(V256,imaging_filters!A:C,2, FALSE)), CONCATENATE(CHAR(34),"CamA",CHAR(34)), CONCATENATE(CHAR(34),"CamB",CHAR(34))),"}"), ""),
 "]"), "[]")</f>
        <v>[]</v>
      </c>
      <c r="Z256" s="11" t="str">
        <f ca="1">IFERROR(
CONCATENATE( "[",
IF(VLOOKUP(F256,Injections!H:L,3, FALSE)&gt;0, CONCATENATE( "{",CHAR(34),"target",CHAR(34),":",CHAR(34),VLOOKUP(F256,Injections!H:L,2, FALSE),CHAR(34),",", CHAR(34), "excitation",CHAR(34), ":", VLOOKUP(F256,Injections!H:L,3, FALSE), ",",  CHAR(34), "camera",CHAR(34), ":",
IF(VALUE(VLOOKUP(F256,Injections!H:L,3, FALSE))&lt;VALUE(VLOOKUP(V256,imaging_filters!A:K,11, FALSE)), CONCATENATE(CHAR(34),"CamA",CHAR(34)), CONCATENATE(CHAR(34),"CamB",CHAR(34))),"}"), ""),
IF(VLOOKUP(F256,Injections!H:L,5, FALSE)&gt;0, CONCATENATE(",{",CHAR(34),"target",CHAR(34),":",CHAR(34),VLOOKUP(F256,Injections!H:L,4, FALSE),CHAR(34),",", CHAR(34), "excitation",CHAR(34), ":", VLOOKUP(F256,Injections!H:L,5, FALSE), ",",  CHAR(34), "camera",CHAR(34), ":",
IF(VALUE(VLOOKUP(F256,Injections!H:L,5, FALSE))&lt;VALUE(VLOOKUP(V256,imaging_filters!A:K,11, FALSE)), CONCATENATE(CHAR(34),"CamA",CHAR(34)), CONCATENATE(CHAR(34),"CamB",CHAR(34))),"}"), ""),
 "]"), "[]")</f>
        <v>[{"target":"nuclei","excitation":560,"camera":"CamB"}]</v>
      </c>
      <c r="AA256" s="11"/>
    </row>
    <row r="257" spans="1:28" ht="15.75" customHeight="1" x14ac:dyDescent="0.15">
      <c r="A257" s="7">
        <f t="shared" si="7"/>
        <v>45733</v>
      </c>
      <c r="B257" s="1"/>
      <c r="C257" s="1" t="s">
        <v>107</v>
      </c>
      <c r="D257" s="1" t="s">
        <v>253</v>
      </c>
      <c r="E257" s="1"/>
      <c r="F257" s="1" t="s">
        <v>64</v>
      </c>
      <c r="G257" s="8"/>
      <c r="H257" s="8"/>
      <c r="I257" s="8">
        <v>45730</v>
      </c>
      <c r="J257" s="1" t="s">
        <v>490</v>
      </c>
      <c r="K257" s="1" t="s">
        <v>31</v>
      </c>
      <c r="L257" s="19">
        <v>45732</v>
      </c>
      <c r="M257" s="8">
        <v>45733</v>
      </c>
      <c r="N257" s="9">
        <v>0.52083333333333337</v>
      </c>
      <c r="O257" s="9">
        <v>0.53125</v>
      </c>
      <c r="P257" s="1" t="s">
        <v>491</v>
      </c>
      <c r="Q257" s="1" t="s">
        <v>155</v>
      </c>
      <c r="R257" s="10" t="str">
        <f ca="1">IFERROR(__xludf.DUMMYFUNCTION("JOIN("","", SORT(UNIQUE(TOCOL({VLOOKUP(D257,DM_fish!A:B,2,FALSE),VLOOKUP(C257,DM_fish!A:B,2,FALSE), ARRAYFORMULA(VLOOKUP(SPLIT(E257, "", ""),Injections!B:G,6,FALSE)), ARRAYFORMULA(VLOOKUP(SPLIT(F257, "", ""),Injections!H:M,6,FALSE)), ARRAYFORMULA(VLOOKUP("&amp;"SPLIT(G257, "", ""),Injections!N:S,6,FALSE)), ARRAYFORMULA(VLOOKUP(SPLIT(H257, "", ""),Injections!T:Y,6,FALSE)) },3))))"),"nuclei")</f>
        <v>nuclei</v>
      </c>
      <c r="S257" s="10" t="str">
        <f ca="1">IFERROR(__xludf.DUMMYFUNCTION("IFERROR(JOIN("","", SPLIT(R257, "","", TRUE ,TRUE)), """")"),"nuclei")</f>
        <v>nuclei</v>
      </c>
      <c r="T257" s="1" t="s">
        <v>492</v>
      </c>
      <c r="U257" s="17">
        <v>3512</v>
      </c>
      <c r="V257" s="1" t="s">
        <v>203</v>
      </c>
      <c r="W257" s="12" t="str">
        <f ca="1">IFERROR(CONCATENATE("[", CONCATENATE(IF(VLOOKUP(D257,DM_fish!C:X,14, FALSE)&gt;0, CONCATENATE("{",CHAR(34),"target",CHAR(34),":",CHAR(34),VLOOKUP(D257,DM_fish!C:X,13, FALSE),CHAR(34),",", CHAR(34), "excitation",CHAR(34), ":", VLOOKUP(D257,DM_fish!C:X,14, FALSE), ",",  CHAR(34), "camera",CHAR(34), ":", IF(VALUE(VLOOKUP(D257,DM_fish!C:X,14, FALSE))&lt;VALUE(VLOOKUP(V257,imaging_filters!A:K,11, FALSE)), CONCATENATE(CHAR(34),"CamA",CHAR(34)), CONCATENATE(CHAR(34),"CamB",CHAR(34))),"}"), ""),IF(VLOOKUP(D257,DM_fish!C:X,16, FALSE)&gt;0, CONCATENATE(",{",CHAR(34),"target",CHAR(34),":",CHAR(34),VLOOKUP(D257,DM_fish!C:X,15, FALSE),CHAR(34),",", CHAR(34), "excitation",CHAR(34), ":", VLOOKUP(D257,DM_fish!C:X,16, FALSE), ",",  CHAR(34), "camera",CHAR(34), ":", IF(VALUE(VLOOKUP(D257,DM_fish!C:X,16, FALSE))&lt;VALUE(VLOOKUP(V257,imaging_filters!A:K,11, FALSE)), CONCATENATE(CHAR(34),"CamA",CHAR(34)), CONCATENATE(CHAR(34),"CamB",CHAR(34))),"}"), ""),IF(VLOOKUP(D257,DM_fish!C:X,18, FALSE)&gt;0, CONCATENATE(",{",CHAR(34),"target",CHAR(34),":",CHAR(34),VLOOKUP(D257,DM_fish!C:X,17, FALSE),CHAR(34),",", CHAR(34), "excitation",CHAR(34), ":", VLOOKUP(D257,DM_fish!C:X,18, FALSE), ",",  CHAR(34), "camera",CHAR(34), ":", IF(VALUE(VLOOKUP(D257,DM_fish!C:X,18, FALSE))&lt;VALUE(VLOOKUP(V257,imaging_filters!A:K,11, FALSE)), CONCATENATE(CHAR(34),"CamA",CHAR(34)), CONCATENATE(CHAR(34),"CamB",CHAR(34))),"}"), ""),IF(VLOOKUP(D257,DM_fish!C:X,20, FALSE)&gt;0, CONCATENATE(",{",CHAR(34),"target",CHAR(34),":",CHAR(34),VLOOKUP(D257,DM_fish!C:X,19, FALSE),CHAR(34),",", CHAR(34), "excitation",CHAR(34), ":", VLOOKUP(D257,DM_fish!C:X,20, FALSE), ",",  CHAR(34), "camera",CHAR(34), ":", IF(VALUE(VLOOKUP(D257,DM_fish!C:X,20, FALSE))&lt;VALUE(VLOOKUP(V257,imaging_filters!A:K,11, FALSE)), CONCATENATE(CHAR(34),"CamA",CHAR(34)), CONCATENATE(CHAR(34),"CamB",CHAR(34))),"}"), ""),IF(VLOOKUP(D257,DM_fish!C:X,22, FALSE)&gt;0, CONCATENATE(",{",CHAR(34),"target",CHAR(34),":",CHAR(34),VLOOKUP(D257,DM_fish!C:X,21, FALSE),CHAR(34),",", CHAR(34), "excitation",CHAR(34), ":", VLOOKUP(D257,DM_fish!C:X,22, FALSE), ",",  CHAR(34), "camera",CHAR(34), ":", IF(VALUE(VLOOKUP(D257,DM_fish!C:X,22, FALSE))&lt;VALUE(VLOOKUP(V257,imaging_filters!A:K,11, FALSE)), CONCATENATE(CHAR(34),"CamA",CHAR(34)), CONCATENATE(CHAR(34),"CamB",CHAR(34))),"}"), "")), "]"), "")</f>
        <v/>
      </c>
      <c r="X257" s="12" t="str">
        <f ca="1">IFERROR(
CONCATENATE("[", CONCATENATE(IF(VLOOKUP(C257,DM_fish!C:X,14, FALSE)&gt;0, CONCATENATE("{",CHAR(34),"target",CHAR(34),":",CHAR(34),VLOOKUP(C257,DM_fish!C:X,13, FALSE),CHAR(34),",", CHAR(34), "excitation",CHAR(34), ":", VLOOKUP(C257,DM_fish!C:X,14, FALSE), ",",  CHAR(34), "camera",CHAR(34), ":", IF(VALUE(VLOOKUP(C257,DM_fish!C:X,14, FALSE))&lt;VALUE(VLOOKUP(V257,imaging_filters!A:K,11, FALSE)), CONCATENATE(CHAR(34),"CamA",CHAR(34)), CONCATENATE(CHAR(34),"CamB",CHAR(34))),"}"), ""),IF(VLOOKUP(C257,DM_fish!C:X,16, FALSE)&gt;0, CONCATENATE(",{",CHAR(34),"target",CHAR(34),":",CHAR(34),VLOOKUP(C257,DM_fish!C:X,15, FALSE),CHAR(34),",", CHAR(34), "excitation",CHAR(34), ":", VLOOKUP(C257,DM_fish!C:X,16, FALSE), ",",  CHAR(34), "camera",CHAR(34), ":", IF(VALUE(VLOOKUP(C257,DM_fish!C:X,16, FALSE))&lt;VALUE(VLOOKUP(V257,imaging_filters!A:K,11, FALSE)), CONCATENATE(CHAR(34),"CamA",CHAR(34)), CONCATENATE(CHAR(34),"CamB",CHAR(34))),"}"), ""),IF(VLOOKUP(C257,DM_fish!C:X,18, FALSE)&gt;0, CONCATENATE(",{",CHAR(34),"target",CHAR(34),":",CHAR(34),VLOOKUP(C257,DM_fish!C:X,17, FALSE),CHAR(34),",", CHAR(34), "excitation",CHAR(34), ":", VLOOKUP(C257,DM_fish!C:X,18, FALSE), ",",  CHAR(34), "camera",CHAR(34), ":", IF(VALUE(VLOOKUP(C257,DM_fish!C:X,18, FALSE))&lt;VALUE(VLOOKUP(V257,imaging_filters!A:K,11, FALSE)), CONCATENATE(CHAR(34),"CamA",CHAR(34)), CONCATENATE(CHAR(34),"CamB",CHAR(34))),"}"), ""),IF(VLOOKUP(C257,DM_fish!C:X,20, FALSE)&gt;0, CONCATENATE(",{",CHAR(34),"target",CHAR(34),":",CHAR(34),VLOOKUP(C257,DM_fish!C:X,19, FALSE),CHAR(34),",", CHAR(34), "excitation",CHAR(34), ":", VLOOKUP(C257,DM_fish!C:X,20, FALSE), ",",  CHAR(34), "camera",CHAR(34), ":", IF(VALUE(VLOOKUP(C257,DM_fish!C:X,20, FALSE))&lt;VALUE(VLOOKUP(V257,imaging_filters!A:K,11, FALSE)), CONCATENATE(CHAR(34),"CamA",CHAR(34)), CONCATENATE(CHAR(34),"CamB",CHAR(34))),"}"), ""),IF(VLOOKUP(C257,DM_fish!C:X,22, FALSE)&gt;0, CONCATENATE(",{",CHAR(34),"target",CHAR(34),":",CHAR(34),VLOOKUP(C257,DM_fish!C:X,21, FALSE),CHAR(34),",", CHAR(34), "excitation",CHAR(34), ":", VLOOKUP(C257,DM_fish!C:X,22, FALSE), ",",  CHAR(34), "camera",CHAR(34), ":", IF(VALUE(VLOOKUP(C257,DM_fish!C:X,22, FALSE))&lt;VALUE(VLOOKUP(V257,imaging_filters!A:K,11, FALSE)), CONCATENATE(CHAR(34),"CamA",CHAR(34)), CONCATENATE(CHAR(34),"CamB",CHAR(34))),"}"), "")), "]"), "")</f>
        <v/>
      </c>
      <c r="Y257" s="11" t="str">
        <f ca="1">IFERROR(
CONCATENATE( "[",
IF(VLOOKUP(E257,Injections!B:F,3, FALSE)&gt;0, CONCATENATE( "{",CHAR(34),"target",CHAR(34),":",CHAR(34),VLOOKUP(E257,Injections!B:F,2, FALSE),CHAR(34),",", CHAR(34), "excitation",CHAR(34), ":", VLOOKUP(E257,Injections!B:F,3, FALSE), ",",  CHAR(34), "camera",CHAR(34), ":",
IF(VALUE(VLOOKUP(E257,Injections!B:F,3, FALSE))&lt;VALUE(VLOOKUP(V257,imaging_filters!A:C,2, FALSE)), CONCATENATE(CHAR(34),"CamA",CHAR(34)), CONCATENATE(CHAR(34),"CamB",CHAR(34))),"}"), ""),
IF(VLOOKUP(E257,Injections!B:F,5, FALSE)&gt;0, CONCATENATE(",{",CHAR(34),"target",CHAR(34),":",CHAR(34),VLOOKUP(E257,Injections!B:F,4, FALSE),CHAR(34),",", CHAR(34), "excitation",CHAR(34), ":", VLOOKUP(E257,Injections!B:F,5, FALSE), ",",  CHAR(34), "camera",CHAR(34), ":",
IF(VALUE(VLOOKUP(E257,Injections!B:F,5, FALSE))&lt;VALUE(VLOOKUP(V257,imaging_filters!A:C,2, FALSE)), CONCATENATE(CHAR(34),"CamA",CHAR(34)), CONCATENATE(CHAR(34),"CamB",CHAR(34))),"}"), ""),
 "]"), "[]")</f>
        <v>[]</v>
      </c>
      <c r="Z257" s="11" t="str">
        <f ca="1">IFERROR(
CONCATENATE( "[",
IF(VLOOKUP(F257,Injections!H:L,3, FALSE)&gt;0, CONCATENATE( "{",CHAR(34),"target",CHAR(34),":",CHAR(34),VLOOKUP(F257,Injections!H:L,2, FALSE),CHAR(34),",", CHAR(34), "excitation",CHAR(34), ":", VLOOKUP(F257,Injections!H:L,3, FALSE), ",",  CHAR(34), "camera",CHAR(34), ":",
IF(VALUE(VLOOKUP(F257,Injections!H:L,3, FALSE))&lt;VALUE(VLOOKUP(V257,imaging_filters!A:K,11, FALSE)), CONCATENATE(CHAR(34),"CamA",CHAR(34)), CONCATENATE(CHAR(34),"CamB",CHAR(34))),"}"), ""),
IF(VLOOKUP(F257,Injections!H:L,5, FALSE)&gt;0, CONCATENATE(",{",CHAR(34),"target",CHAR(34),":",CHAR(34),VLOOKUP(F257,Injections!H:L,4, FALSE),CHAR(34),",", CHAR(34), "excitation",CHAR(34), ":", VLOOKUP(F257,Injections!H:L,5, FALSE), ",",  CHAR(34), "camera",CHAR(34), ":",
IF(VALUE(VLOOKUP(F257,Injections!H:L,5, FALSE))&lt;VALUE(VLOOKUP(V257,imaging_filters!A:K,11, FALSE)), CONCATENATE(CHAR(34),"CamA",CHAR(34)), CONCATENATE(CHAR(34),"CamB",CHAR(34))),"}"), ""),
 "]"), "[]")</f>
        <v>[{"target":"nuclei","excitation":560,"camera":"CamB"}]</v>
      </c>
      <c r="AA257" s="11"/>
    </row>
    <row r="258" spans="1:28" ht="15.75" customHeight="1" x14ac:dyDescent="0.15">
      <c r="A258" s="7">
        <f t="shared" si="7"/>
        <v>45733</v>
      </c>
      <c r="B258" s="1"/>
      <c r="C258" s="1" t="s">
        <v>107</v>
      </c>
      <c r="D258" s="1" t="s">
        <v>253</v>
      </c>
      <c r="E258" s="1"/>
      <c r="F258" s="1" t="s">
        <v>64</v>
      </c>
      <c r="G258" s="8"/>
      <c r="H258" s="8"/>
      <c r="I258" s="8">
        <v>45730</v>
      </c>
      <c r="J258" s="1" t="s">
        <v>490</v>
      </c>
      <c r="K258" s="1" t="s">
        <v>31</v>
      </c>
      <c r="L258" s="19">
        <v>45732</v>
      </c>
      <c r="M258" s="8">
        <v>45733</v>
      </c>
      <c r="N258" s="9">
        <v>0.52083333333333337</v>
      </c>
      <c r="O258" s="9">
        <v>0.53125</v>
      </c>
      <c r="P258" s="1" t="s">
        <v>491</v>
      </c>
      <c r="Q258" s="1" t="s">
        <v>155</v>
      </c>
      <c r="R258" s="10" t="str">
        <f ca="1">IFERROR(__xludf.DUMMYFUNCTION("JOIN("","", SORT(UNIQUE(TOCOL({VLOOKUP(D258,DM_fish!A:B,2,FALSE),VLOOKUP(C258,DM_fish!A:B,2,FALSE), ARRAYFORMULA(VLOOKUP(SPLIT(E258, "", ""),Injections!B:G,6,FALSE)), ARRAYFORMULA(VLOOKUP(SPLIT(F258, "", ""),Injections!H:M,6,FALSE)), ARRAYFORMULA(VLOOKUP("&amp;"SPLIT(G258, "", ""),Injections!N:S,6,FALSE)), ARRAYFORMULA(VLOOKUP(SPLIT(H258, "", ""),Injections!T:Y,6,FALSE)) },3))))"),"nuclei")</f>
        <v>nuclei</v>
      </c>
      <c r="S258" s="10" t="str">
        <f ca="1">IFERROR(__xludf.DUMMYFUNCTION("IFERROR(JOIN("","", SPLIT(R258, "","", TRUE ,TRUE)), """")"),"nuclei")</f>
        <v>nuclei</v>
      </c>
      <c r="T258" s="1" t="s">
        <v>493</v>
      </c>
      <c r="U258" s="17">
        <v>1167</v>
      </c>
      <c r="V258" s="1" t="s">
        <v>203</v>
      </c>
      <c r="W258" s="12" t="str">
        <f ca="1">IFERROR(CONCATENATE("[", CONCATENATE(IF(VLOOKUP(D258,DM_fish!C:X,14, FALSE)&gt;0, CONCATENATE("{",CHAR(34),"target",CHAR(34),":",CHAR(34),VLOOKUP(D258,DM_fish!C:X,13, FALSE),CHAR(34),",", CHAR(34), "excitation",CHAR(34), ":", VLOOKUP(D258,DM_fish!C:X,14, FALSE), ",",  CHAR(34), "camera",CHAR(34), ":", IF(VALUE(VLOOKUP(D258,DM_fish!C:X,14, FALSE))&lt;VALUE(VLOOKUP(V258,imaging_filters!A:K,11, FALSE)), CONCATENATE(CHAR(34),"CamA",CHAR(34)), CONCATENATE(CHAR(34),"CamB",CHAR(34))),"}"), ""),IF(VLOOKUP(D258,DM_fish!C:X,16, FALSE)&gt;0, CONCATENATE(",{",CHAR(34),"target",CHAR(34),":",CHAR(34),VLOOKUP(D258,DM_fish!C:X,15, FALSE),CHAR(34),",", CHAR(34), "excitation",CHAR(34), ":", VLOOKUP(D258,DM_fish!C:X,16, FALSE), ",",  CHAR(34), "camera",CHAR(34), ":", IF(VALUE(VLOOKUP(D258,DM_fish!C:X,16, FALSE))&lt;VALUE(VLOOKUP(V258,imaging_filters!A:K,11, FALSE)), CONCATENATE(CHAR(34),"CamA",CHAR(34)), CONCATENATE(CHAR(34),"CamB",CHAR(34))),"}"), ""),IF(VLOOKUP(D258,DM_fish!C:X,18, FALSE)&gt;0, CONCATENATE(",{",CHAR(34),"target",CHAR(34),":",CHAR(34),VLOOKUP(D258,DM_fish!C:X,17, FALSE),CHAR(34),",", CHAR(34), "excitation",CHAR(34), ":", VLOOKUP(D258,DM_fish!C:X,18, FALSE), ",",  CHAR(34), "camera",CHAR(34), ":", IF(VALUE(VLOOKUP(D258,DM_fish!C:X,18, FALSE))&lt;VALUE(VLOOKUP(V258,imaging_filters!A:K,11, FALSE)), CONCATENATE(CHAR(34),"CamA",CHAR(34)), CONCATENATE(CHAR(34),"CamB",CHAR(34))),"}"), ""),IF(VLOOKUP(D258,DM_fish!C:X,20, FALSE)&gt;0, CONCATENATE(",{",CHAR(34),"target",CHAR(34),":",CHAR(34),VLOOKUP(D258,DM_fish!C:X,19, FALSE),CHAR(34),",", CHAR(34), "excitation",CHAR(34), ":", VLOOKUP(D258,DM_fish!C:X,20, FALSE), ",",  CHAR(34), "camera",CHAR(34), ":", IF(VALUE(VLOOKUP(D258,DM_fish!C:X,20, FALSE))&lt;VALUE(VLOOKUP(V258,imaging_filters!A:K,11, FALSE)), CONCATENATE(CHAR(34),"CamA",CHAR(34)), CONCATENATE(CHAR(34),"CamB",CHAR(34))),"}"), ""),IF(VLOOKUP(D258,DM_fish!C:X,22, FALSE)&gt;0, CONCATENATE(",{",CHAR(34),"target",CHAR(34),":",CHAR(34),VLOOKUP(D258,DM_fish!C:X,21, FALSE),CHAR(34),",", CHAR(34), "excitation",CHAR(34), ":", VLOOKUP(D258,DM_fish!C:X,22, FALSE), ",",  CHAR(34), "camera",CHAR(34), ":", IF(VALUE(VLOOKUP(D258,DM_fish!C:X,22, FALSE))&lt;VALUE(VLOOKUP(V258,imaging_filters!A:K,11, FALSE)), CONCATENATE(CHAR(34),"CamA",CHAR(34)), CONCATENATE(CHAR(34),"CamB",CHAR(34))),"}"), "")), "]"), "")</f>
        <v/>
      </c>
      <c r="X258" s="12" t="str">
        <f ca="1">IFERROR(
CONCATENATE("[", CONCATENATE(IF(VLOOKUP(C258,DM_fish!C:X,14, FALSE)&gt;0, CONCATENATE("{",CHAR(34),"target",CHAR(34),":",CHAR(34),VLOOKUP(C258,DM_fish!C:X,13, FALSE),CHAR(34),",", CHAR(34), "excitation",CHAR(34), ":", VLOOKUP(C258,DM_fish!C:X,14, FALSE), ",",  CHAR(34), "camera",CHAR(34), ":", IF(VALUE(VLOOKUP(C258,DM_fish!C:X,14, FALSE))&lt;VALUE(VLOOKUP(V258,imaging_filters!A:K,11, FALSE)), CONCATENATE(CHAR(34),"CamA",CHAR(34)), CONCATENATE(CHAR(34),"CamB",CHAR(34))),"}"), ""),IF(VLOOKUP(C258,DM_fish!C:X,16, FALSE)&gt;0, CONCATENATE(",{",CHAR(34),"target",CHAR(34),":",CHAR(34),VLOOKUP(C258,DM_fish!C:X,15, FALSE),CHAR(34),",", CHAR(34), "excitation",CHAR(34), ":", VLOOKUP(C258,DM_fish!C:X,16, FALSE), ",",  CHAR(34), "camera",CHAR(34), ":", IF(VALUE(VLOOKUP(C258,DM_fish!C:X,16, FALSE))&lt;VALUE(VLOOKUP(V258,imaging_filters!A:K,11, FALSE)), CONCATENATE(CHAR(34),"CamA",CHAR(34)), CONCATENATE(CHAR(34),"CamB",CHAR(34))),"}"), ""),IF(VLOOKUP(C258,DM_fish!C:X,18, FALSE)&gt;0, CONCATENATE(",{",CHAR(34),"target",CHAR(34),":",CHAR(34),VLOOKUP(C258,DM_fish!C:X,17, FALSE),CHAR(34),",", CHAR(34), "excitation",CHAR(34), ":", VLOOKUP(C258,DM_fish!C:X,18, FALSE), ",",  CHAR(34), "camera",CHAR(34), ":", IF(VALUE(VLOOKUP(C258,DM_fish!C:X,18, FALSE))&lt;VALUE(VLOOKUP(V258,imaging_filters!A:K,11, FALSE)), CONCATENATE(CHAR(34),"CamA",CHAR(34)), CONCATENATE(CHAR(34),"CamB",CHAR(34))),"}"), ""),IF(VLOOKUP(C258,DM_fish!C:X,20, FALSE)&gt;0, CONCATENATE(",{",CHAR(34),"target",CHAR(34),":",CHAR(34),VLOOKUP(C258,DM_fish!C:X,19, FALSE),CHAR(34),",", CHAR(34), "excitation",CHAR(34), ":", VLOOKUP(C258,DM_fish!C:X,20, FALSE), ",",  CHAR(34), "camera",CHAR(34), ":", IF(VALUE(VLOOKUP(C258,DM_fish!C:X,20, FALSE))&lt;VALUE(VLOOKUP(V258,imaging_filters!A:K,11, FALSE)), CONCATENATE(CHAR(34),"CamA",CHAR(34)), CONCATENATE(CHAR(34),"CamB",CHAR(34))),"}"), ""),IF(VLOOKUP(C258,DM_fish!C:X,22, FALSE)&gt;0, CONCATENATE(",{",CHAR(34),"target",CHAR(34),":",CHAR(34),VLOOKUP(C258,DM_fish!C:X,21, FALSE),CHAR(34),",", CHAR(34), "excitation",CHAR(34), ":", VLOOKUP(C258,DM_fish!C:X,22, FALSE), ",",  CHAR(34), "camera",CHAR(34), ":", IF(VALUE(VLOOKUP(C258,DM_fish!C:X,22, FALSE))&lt;VALUE(VLOOKUP(V258,imaging_filters!A:K,11, FALSE)), CONCATENATE(CHAR(34),"CamA",CHAR(34)), CONCATENATE(CHAR(34),"CamB",CHAR(34))),"}"), "")), "]"), "")</f>
        <v/>
      </c>
      <c r="Y258" s="11" t="str">
        <f ca="1">IFERROR(
CONCATENATE( "[",
IF(VLOOKUP(E258,Injections!B:F,3, FALSE)&gt;0, CONCATENATE( "{",CHAR(34),"target",CHAR(34),":",CHAR(34),VLOOKUP(E258,Injections!B:F,2, FALSE),CHAR(34),",", CHAR(34), "excitation",CHAR(34), ":", VLOOKUP(E258,Injections!B:F,3, FALSE), ",",  CHAR(34), "camera",CHAR(34), ":",
IF(VALUE(VLOOKUP(E258,Injections!B:F,3, FALSE))&lt;VALUE(VLOOKUP(V258,imaging_filters!A:C,2, FALSE)), CONCATENATE(CHAR(34),"CamA",CHAR(34)), CONCATENATE(CHAR(34),"CamB",CHAR(34))),"}"), ""),
IF(VLOOKUP(E258,Injections!B:F,5, FALSE)&gt;0, CONCATENATE(",{",CHAR(34),"target",CHAR(34),":",CHAR(34),VLOOKUP(E258,Injections!B:F,4, FALSE),CHAR(34),",", CHAR(34), "excitation",CHAR(34), ":", VLOOKUP(E258,Injections!B:F,5, FALSE), ",",  CHAR(34), "camera",CHAR(34), ":",
IF(VALUE(VLOOKUP(E258,Injections!B:F,5, FALSE))&lt;VALUE(VLOOKUP(V258,imaging_filters!A:C,2, FALSE)), CONCATENATE(CHAR(34),"CamA",CHAR(34)), CONCATENATE(CHAR(34),"CamB",CHAR(34))),"}"), ""),
 "]"), "[]")</f>
        <v>[]</v>
      </c>
      <c r="Z258" s="11" t="str">
        <f ca="1">IFERROR(
CONCATENATE( "[",
IF(VLOOKUP(F258,Injections!H:L,3, FALSE)&gt;0, CONCATENATE( "{",CHAR(34),"target",CHAR(34),":",CHAR(34),VLOOKUP(F258,Injections!H:L,2, FALSE),CHAR(34),",", CHAR(34), "excitation",CHAR(34), ":", VLOOKUP(F258,Injections!H:L,3, FALSE), ",",  CHAR(34), "camera",CHAR(34), ":",
IF(VALUE(VLOOKUP(F258,Injections!H:L,3, FALSE))&lt;VALUE(VLOOKUP(V258,imaging_filters!A:K,11, FALSE)), CONCATENATE(CHAR(34),"CamA",CHAR(34)), CONCATENATE(CHAR(34),"CamB",CHAR(34))),"}"), ""),
IF(VLOOKUP(F258,Injections!H:L,5, FALSE)&gt;0, CONCATENATE(",{",CHAR(34),"target",CHAR(34),":",CHAR(34),VLOOKUP(F258,Injections!H:L,4, FALSE),CHAR(34),",", CHAR(34), "excitation",CHAR(34), ":", VLOOKUP(F258,Injections!H:L,5, FALSE), ",",  CHAR(34), "camera",CHAR(34), ":",
IF(VALUE(VLOOKUP(F258,Injections!H:L,5, FALSE))&lt;VALUE(VLOOKUP(V258,imaging_filters!A:K,11, FALSE)), CONCATENATE(CHAR(34),"CamA",CHAR(34)), CONCATENATE(CHAR(34),"CamB",CHAR(34))),"}"), ""),
 "]"), "[]")</f>
        <v>[{"target":"nuclei","excitation":560,"camera":"CamB"}]</v>
      </c>
      <c r="AA258" s="11"/>
    </row>
    <row r="259" spans="1:28" ht="15.75" customHeight="1" x14ac:dyDescent="0.15">
      <c r="A259" s="7">
        <f t="shared" si="7"/>
        <v>45730</v>
      </c>
      <c r="B259" s="1"/>
      <c r="C259" s="1" t="s">
        <v>253</v>
      </c>
      <c r="D259" s="1" t="s">
        <v>164</v>
      </c>
      <c r="E259" s="1"/>
      <c r="F259" s="1" t="s">
        <v>449</v>
      </c>
      <c r="G259" s="8"/>
      <c r="H259" s="8"/>
      <c r="I259" s="8">
        <v>45728</v>
      </c>
      <c r="J259" s="1" t="s">
        <v>494</v>
      </c>
      <c r="K259" s="1" t="s">
        <v>34</v>
      </c>
      <c r="L259" s="19">
        <v>45729</v>
      </c>
      <c r="M259" s="8">
        <v>45730</v>
      </c>
      <c r="N259" s="9">
        <v>0.41666666666666669</v>
      </c>
      <c r="O259" s="9">
        <v>0.4375</v>
      </c>
      <c r="P259" s="9">
        <v>0.5</v>
      </c>
      <c r="Q259" s="1" t="s">
        <v>495</v>
      </c>
      <c r="R259" s="10" t="str">
        <f ca="1">IFERROR(__xludf.DUMMYFUNCTION("JOIN("","", SORT(UNIQUE(TOCOL({VLOOKUP(D259,DM_fish!A:B,2,FALSE),VLOOKUP(C259,DM_fish!A:B,2,FALSE), ARRAYFORMULA(VLOOKUP(SPLIT(E259, "", ""),Injections!B:G,6,FALSE)), ARRAYFORMULA(VLOOKUP(SPLIT(F259, "", ""),Injections!H:M,6,FALSE)), ARRAYFORMULA(VLOOKUP("&amp;"SPLIT(G259, "", ""),Injections!N:S,6,FALSE)), ARRAYFORMULA(VLOOKUP(SPLIT(H259, "", ""),Injections!T:Y,6,FALSE)) },3))))"),",csp,male #5 25%+ positive rate - currently best founder (but 2 alleles, one dim one bright(er)?,405,445")</f>
        <v>,csp,male #5 25%+ positive rate - currently best founder (but 2 alleles, one dim one bright(er)?,405,445</v>
      </c>
      <c r="S259" s="10" t="str">
        <f ca="1">IFERROR(__xludf.DUMMYFUNCTION("IFERROR(JOIN("","", SPLIT(R259, "","", TRUE ,TRUE)), """")"),"csp,male #5 25%+ positive rate - currently best founder (but 2 alleles, one dim one bright(er)?,405,445")</f>
        <v>csp,male #5 25%+ positive rate - currently best founder (but 2 alleles, one dim one bright(er)?,405,445</v>
      </c>
      <c r="T259" s="1" t="s">
        <v>496</v>
      </c>
      <c r="U259" s="1">
        <v>98</v>
      </c>
      <c r="V259" s="1" t="s">
        <v>280</v>
      </c>
      <c r="W259" s="12" t="str">
        <f ca="1">IFERROR(CONCATENATE("[", CONCATENATE(IF(VLOOKUP(D259,DM_fish!C:X,14, FALSE)&gt;0, CONCATENATE("{",CHAR(34),"target",CHAR(34),":",CHAR(34),VLOOKUP(D259,DM_fish!C:X,13, FALSE),CHAR(34),",", CHAR(34), "excitation",CHAR(34), ":", VLOOKUP(D259,DM_fish!C:X,14, FALSE), ",",  CHAR(34), "camera",CHAR(34), ":", IF(VALUE(VLOOKUP(D259,DM_fish!C:X,14, FALSE))&lt;VALUE(VLOOKUP(V259,imaging_filters!A:K,11, FALSE)), CONCATENATE(CHAR(34),"CamA",CHAR(34)), CONCATENATE(CHAR(34),"CamB",CHAR(34))),"}"), ""),IF(VLOOKUP(D259,DM_fish!C:X,16, FALSE)&gt;0, CONCATENATE(",{",CHAR(34),"target",CHAR(34),":",CHAR(34),VLOOKUP(D259,DM_fish!C:X,15, FALSE),CHAR(34),",", CHAR(34), "excitation",CHAR(34), ":", VLOOKUP(D259,DM_fish!C:X,16, FALSE), ",",  CHAR(34), "camera",CHAR(34), ":", IF(VALUE(VLOOKUP(D259,DM_fish!C:X,16, FALSE))&lt;VALUE(VLOOKUP(V259,imaging_filters!A:K,11, FALSE)), CONCATENATE(CHAR(34),"CamA",CHAR(34)), CONCATENATE(CHAR(34),"CamB",CHAR(34))),"}"), ""),IF(VLOOKUP(D259,DM_fish!C:X,18, FALSE)&gt;0, CONCATENATE(",{",CHAR(34),"target",CHAR(34),":",CHAR(34),VLOOKUP(D259,DM_fish!C:X,17, FALSE),CHAR(34),",", CHAR(34), "excitation",CHAR(34), ":", VLOOKUP(D259,DM_fish!C:X,18, FALSE), ",",  CHAR(34), "camera",CHAR(34), ":", IF(VALUE(VLOOKUP(D259,DM_fish!C:X,18, FALSE))&lt;VALUE(VLOOKUP(V259,imaging_filters!A:K,11, FALSE)), CONCATENATE(CHAR(34),"CamA",CHAR(34)), CONCATENATE(CHAR(34),"CamB",CHAR(34))),"}"), ""),IF(VLOOKUP(D259,DM_fish!C:X,20, FALSE)&gt;0, CONCATENATE(",{",CHAR(34),"target",CHAR(34),":",CHAR(34),VLOOKUP(D259,DM_fish!C:X,19, FALSE),CHAR(34),",", CHAR(34), "excitation",CHAR(34), ":", VLOOKUP(D259,DM_fish!C:X,20, FALSE), ",",  CHAR(34), "camera",CHAR(34), ":", IF(VALUE(VLOOKUP(D259,DM_fish!C:X,20, FALSE))&lt;VALUE(VLOOKUP(V259,imaging_filters!A:K,11, FALSE)), CONCATENATE(CHAR(34),"CamA",CHAR(34)), CONCATENATE(CHAR(34),"CamB",CHAR(34))),"}"), ""),IF(VLOOKUP(D259,DM_fish!C:X,22, FALSE)&gt;0, CONCATENATE(",{",CHAR(34),"target",CHAR(34),":",CHAR(34),VLOOKUP(D259,DM_fish!C:X,21, FALSE),CHAR(34),",", CHAR(34), "excitation",CHAR(34), ":", VLOOKUP(D259,DM_fish!C:X,22, FALSE), ",",  CHAR(34), "camera",CHAR(34), ":", IF(VALUE(VLOOKUP(D259,DM_fish!C:X,22, FALSE))&lt;VALUE(VLOOKUP(V259,imaging_filters!A:K,11, FALSE)), CONCATENATE(CHAR(34),"CamA",CHAR(34)), CONCATENATE(CHAR(34),"CamB",CHAR(34))),"}"), "")), "]"), "")</f>
        <v/>
      </c>
      <c r="X259" s="12" t="str">
        <f ca="1">IFERROR(
CONCATENATE("[", CONCATENATE(IF(VLOOKUP(C259,DM_fish!C:X,14, FALSE)&gt;0, CONCATENATE("{",CHAR(34),"target",CHAR(34),":",CHAR(34),VLOOKUP(C259,DM_fish!C:X,13, FALSE),CHAR(34),",", CHAR(34), "excitation",CHAR(34), ":", VLOOKUP(C259,DM_fish!C:X,14, FALSE), ",",  CHAR(34), "camera",CHAR(34), ":", IF(VALUE(VLOOKUP(C259,DM_fish!C:X,14, FALSE))&lt;VALUE(VLOOKUP(V259,imaging_filters!A:K,11, FALSE)), CONCATENATE(CHAR(34),"CamA",CHAR(34)), CONCATENATE(CHAR(34),"CamB",CHAR(34))),"}"), ""),IF(VLOOKUP(C259,DM_fish!C:X,16, FALSE)&gt;0, CONCATENATE(",{",CHAR(34),"target",CHAR(34),":",CHAR(34),VLOOKUP(C259,DM_fish!C:X,15, FALSE),CHAR(34),",", CHAR(34), "excitation",CHAR(34), ":", VLOOKUP(C259,DM_fish!C:X,16, FALSE), ",",  CHAR(34), "camera",CHAR(34), ":", IF(VALUE(VLOOKUP(C259,DM_fish!C:X,16, FALSE))&lt;VALUE(VLOOKUP(V259,imaging_filters!A:K,11, FALSE)), CONCATENATE(CHAR(34),"CamA",CHAR(34)), CONCATENATE(CHAR(34),"CamB",CHAR(34))),"}"), ""),IF(VLOOKUP(C259,DM_fish!C:X,18, FALSE)&gt;0, CONCATENATE(",{",CHAR(34),"target",CHAR(34),":",CHAR(34),VLOOKUP(C259,DM_fish!C:X,17, FALSE),CHAR(34),",", CHAR(34), "excitation",CHAR(34), ":", VLOOKUP(C259,DM_fish!C:X,18, FALSE), ",",  CHAR(34), "camera",CHAR(34), ":", IF(VALUE(VLOOKUP(C259,DM_fish!C:X,18, FALSE))&lt;VALUE(VLOOKUP(V259,imaging_filters!A:K,11, FALSE)), CONCATENATE(CHAR(34),"CamA",CHAR(34)), CONCATENATE(CHAR(34),"CamB",CHAR(34))),"}"), ""),IF(VLOOKUP(C259,DM_fish!C:X,20, FALSE)&gt;0, CONCATENATE(",{",CHAR(34),"target",CHAR(34),":",CHAR(34),VLOOKUP(C259,DM_fish!C:X,19, FALSE),CHAR(34),",", CHAR(34), "excitation",CHAR(34), ":", VLOOKUP(C259,DM_fish!C:X,20, FALSE), ",",  CHAR(34), "camera",CHAR(34), ":", IF(VALUE(VLOOKUP(C259,DM_fish!C:X,20, FALSE))&lt;VALUE(VLOOKUP(V259,imaging_filters!A:K,11, FALSE)), CONCATENATE(CHAR(34),"CamA",CHAR(34)), CONCATENATE(CHAR(34),"CamB",CHAR(34))),"}"), ""),IF(VLOOKUP(C259,DM_fish!C:X,22, FALSE)&gt;0, CONCATENATE(",{",CHAR(34),"target",CHAR(34),":",CHAR(34),VLOOKUP(C259,DM_fish!C:X,21, FALSE),CHAR(34),",", CHAR(34), "excitation",CHAR(34), ":", VLOOKUP(C259,DM_fish!C:X,22, FALSE), ",",  CHAR(34), "camera",CHAR(34), ":", IF(VALUE(VLOOKUP(C259,DM_fish!C:X,22, FALSE))&lt;VALUE(VLOOKUP(V259,imaging_filters!A:K,11, FALSE)), CONCATENATE(CHAR(34),"CamA",CHAR(34)), CONCATENATE(CHAR(34),"CamB",CHAR(34))),"}"), "")), "]"), "")</f>
        <v/>
      </c>
      <c r="Y259" s="11" t="str">
        <f ca="1">IFERROR(
CONCATENATE( "[",
IF(VLOOKUP(E259,Injections!B:F,3, FALSE)&gt;0, CONCATENATE( "{",CHAR(34),"target",CHAR(34),":",CHAR(34),VLOOKUP(E259,Injections!B:F,2, FALSE),CHAR(34),",", CHAR(34), "excitation",CHAR(34), ":", VLOOKUP(E259,Injections!B:F,3, FALSE), ",",  CHAR(34), "camera",CHAR(34), ":",
IF(VALUE(VLOOKUP(E259,Injections!B:F,3, FALSE))&lt;VALUE(VLOOKUP(V259,imaging_filters!A:C,2, FALSE)), CONCATENATE(CHAR(34),"CamA",CHAR(34)), CONCATENATE(CHAR(34),"CamB",CHAR(34))),"}"), ""),
IF(VLOOKUP(E259,Injections!B:F,5, FALSE)&gt;0, CONCATENATE(",{",CHAR(34),"target",CHAR(34),":",CHAR(34),VLOOKUP(E259,Injections!B:F,4, FALSE),CHAR(34),",", CHAR(34), "excitation",CHAR(34), ":", VLOOKUP(E259,Injections!B:F,5, FALSE), ",",  CHAR(34), "camera",CHAR(34), ":",
IF(VALUE(VLOOKUP(E259,Injections!B:F,5, FALSE))&lt;VALUE(VLOOKUP(V259,imaging_filters!A:C,2, FALSE)), CONCATENATE(CHAR(34),"CamA",CHAR(34)), CONCATENATE(CHAR(34),"CamB",CHAR(34))),"}"), ""),
 "]"), "[]")</f>
        <v>[]</v>
      </c>
      <c r="Z259" s="11" t="str">
        <f ca="1">IFERROR(
CONCATENATE( "[",
IF(VLOOKUP(F259,Injections!H:L,3, FALSE)&gt;0, CONCATENATE( "{",CHAR(34),"target",CHAR(34),":",CHAR(34),VLOOKUP(F259,Injections!H:L,2, FALSE),CHAR(34),",", CHAR(34), "excitation",CHAR(34), ":", VLOOKUP(F259,Injections!H:L,3, FALSE), ",",  CHAR(34), "camera",CHAR(34), ":",
IF(VALUE(VLOOKUP(F259,Injections!H:L,3, FALSE))&lt;VALUE(VLOOKUP(V259,imaging_filters!A:K,11, FALSE)), CONCATENATE(CHAR(34),"CamA",CHAR(34)), CONCATENATE(CHAR(34),"CamB",CHAR(34))),"}"), ""),
IF(VLOOKUP(F259,Injections!H:L,5, FALSE)&gt;0, CONCATENATE(",{",CHAR(34),"target",CHAR(34),":",CHAR(34),VLOOKUP(F259,Injections!H:L,4, FALSE),CHAR(34),",", CHAR(34), "excitation",CHAR(34), ":", VLOOKUP(F259,Injections!H:L,5, FALSE), ",",  CHAR(34), "camera",CHAR(34), ":",
IF(VALUE(VLOOKUP(F259,Injections!H:L,5, FALSE))&lt;VALUE(VLOOKUP(V259,imaging_filters!A:K,11, FALSE)), CONCATENATE(CHAR(34),"CamA",CHAR(34)), CONCATENATE(CHAR(34),"CamB",CHAR(34))),"}"), ""),
 "]"), "[]")</f>
        <v>[]</v>
      </c>
      <c r="AA259" s="11"/>
    </row>
    <row r="260" spans="1:28" ht="15.75" customHeight="1" x14ac:dyDescent="0.15">
      <c r="A260" s="7">
        <f t="shared" si="7"/>
        <v>45730</v>
      </c>
      <c r="B260" s="1"/>
      <c r="C260" s="1" t="s">
        <v>253</v>
      </c>
      <c r="D260" s="1" t="s">
        <v>164</v>
      </c>
      <c r="E260" s="1"/>
      <c r="F260" s="1" t="s">
        <v>449</v>
      </c>
      <c r="G260" s="8"/>
      <c r="H260" s="8"/>
      <c r="I260" s="8">
        <v>45728</v>
      </c>
      <c r="J260" s="1" t="s">
        <v>494</v>
      </c>
      <c r="K260" s="1" t="s">
        <v>34</v>
      </c>
      <c r="L260" s="19">
        <v>45729</v>
      </c>
      <c r="M260" s="8">
        <v>45730</v>
      </c>
      <c r="N260" s="9">
        <v>0.41666666666666669</v>
      </c>
      <c r="O260" s="9">
        <v>0.50694444444444442</v>
      </c>
      <c r="P260" s="9">
        <v>0.65972222222222221</v>
      </c>
      <c r="Q260" s="1" t="s">
        <v>495</v>
      </c>
      <c r="R260" s="10" t="str">
        <f ca="1">IFERROR(__xludf.DUMMYFUNCTION("JOIN("","", SORT(UNIQUE(TOCOL({VLOOKUP(D260,DM_fish!A:B,2,FALSE),VLOOKUP(C260,DM_fish!A:B,2,FALSE), ARRAYFORMULA(VLOOKUP(SPLIT(E260, "", ""),Injections!B:G,6,FALSE)), ARRAYFORMULA(VLOOKUP(SPLIT(F260, "", ""),Injections!H:M,6,FALSE)), ARRAYFORMULA(VLOOKUP("&amp;"SPLIT(G260, "", ""),Injections!N:S,6,FALSE)), ARRAYFORMULA(VLOOKUP(SPLIT(H260, "", ""),Injections!T:Y,6,FALSE)) },3))))"),",csp,male #5 25%+ positive rate - currently best founder (but 2 alleles, one dim one bright(er)?,405,445")</f>
        <v>,csp,male #5 25%+ positive rate - currently best founder (but 2 alleles, one dim one bright(er)?,405,445</v>
      </c>
      <c r="S260" s="10" t="str">
        <f ca="1">IFERROR(__xludf.DUMMYFUNCTION("IFERROR(JOIN("","", SPLIT(R260, "","", TRUE ,TRUE)), """")"),"csp,male #5 25%+ positive rate - currently best founder (but 2 alleles, one dim one bright(er)?,405,445")</f>
        <v>csp,male #5 25%+ positive rate - currently best founder (but 2 alleles, one dim one bright(er)?,405,445</v>
      </c>
      <c r="T260" s="1" t="s">
        <v>497</v>
      </c>
      <c r="U260" s="1">
        <v>97</v>
      </c>
      <c r="V260" s="1" t="s">
        <v>280</v>
      </c>
      <c r="W260" s="12" t="str">
        <f ca="1">IFERROR(CONCATENATE("[", CONCATENATE(IF(VLOOKUP(D260,DM_fish!C:X,14, FALSE)&gt;0, CONCATENATE("{",CHAR(34),"target",CHAR(34),":",CHAR(34),VLOOKUP(D260,DM_fish!C:X,13, FALSE),CHAR(34),",", CHAR(34), "excitation",CHAR(34), ":", VLOOKUP(D260,DM_fish!C:X,14, FALSE), ",",  CHAR(34), "camera",CHAR(34), ":", IF(VALUE(VLOOKUP(D260,DM_fish!C:X,14, FALSE))&lt;VALUE(VLOOKUP(V260,imaging_filters!A:K,11, FALSE)), CONCATENATE(CHAR(34),"CamA",CHAR(34)), CONCATENATE(CHAR(34),"CamB",CHAR(34))),"}"), ""),IF(VLOOKUP(D260,DM_fish!C:X,16, FALSE)&gt;0, CONCATENATE(",{",CHAR(34),"target",CHAR(34),":",CHAR(34),VLOOKUP(D260,DM_fish!C:X,15, FALSE),CHAR(34),",", CHAR(34), "excitation",CHAR(34), ":", VLOOKUP(D260,DM_fish!C:X,16, FALSE), ",",  CHAR(34), "camera",CHAR(34), ":", IF(VALUE(VLOOKUP(D260,DM_fish!C:X,16, FALSE))&lt;VALUE(VLOOKUP(V260,imaging_filters!A:K,11, FALSE)), CONCATENATE(CHAR(34),"CamA",CHAR(34)), CONCATENATE(CHAR(34),"CamB",CHAR(34))),"}"), ""),IF(VLOOKUP(D260,DM_fish!C:X,18, FALSE)&gt;0, CONCATENATE(",{",CHAR(34),"target",CHAR(34),":",CHAR(34),VLOOKUP(D260,DM_fish!C:X,17, FALSE),CHAR(34),",", CHAR(34), "excitation",CHAR(34), ":", VLOOKUP(D260,DM_fish!C:X,18, FALSE), ",",  CHAR(34), "camera",CHAR(34), ":", IF(VALUE(VLOOKUP(D260,DM_fish!C:X,18, FALSE))&lt;VALUE(VLOOKUP(V260,imaging_filters!A:K,11, FALSE)), CONCATENATE(CHAR(34),"CamA",CHAR(34)), CONCATENATE(CHAR(34),"CamB",CHAR(34))),"}"), ""),IF(VLOOKUP(D260,DM_fish!C:X,20, FALSE)&gt;0, CONCATENATE(",{",CHAR(34),"target",CHAR(34),":",CHAR(34),VLOOKUP(D260,DM_fish!C:X,19, FALSE),CHAR(34),",", CHAR(34), "excitation",CHAR(34), ":", VLOOKUP(D260,DM_fish!C:X,20, FALSE), ",",  CHAR(34), "camera",CHAR(34), ":", IF(VALUE(VLOOKUP(D260,DM_fish!C:X,20, FALSE))&lt;VALUE(VLOOKUP(V260,imaging_filters!A:K,11, FALSE)), CONCATENATE(CHAR(34),"CamA",CHAR(34)), CONCATENATE(CHAR(34),"CamB",CHAR(34))),"}"), ""),IF(VLOOKUP(D260,DM_fish!C:X,22, FALSE)&gt;0, CONCATENATE(",{",CHAR(34),"target",CHAR(34),":",CHAR(34),VLOOKUP(D260,DM_fish!C:X,21, FALSE),CHAR(34),",", CHAR(34), "excitation",CHAR(34), ":", VLOOKUP(D260,DM_fish!C:X,22, FALSE), ",",  CHAR(34), "camera",CHAR(34), ":", IF(VALUE(VLOOKUP(D260,DM_fish!C:X,22, FALSE))&lt;VALUE(VLOOKUP(V260,imaging_filters!A:K,11, FALSE)), CONCATENATE(CHAR(34),"CamA",CHAR(34)), CONCATENATE(CHAR(34),"CamB",CHAR(34))),"}"), "")), "]"), "")</f>
        <v/>
      </c>
      <c r="X260" s="12" t="str">
        <f ca="1">IFERROR(
CONCATENATE("[", CONCATENATE(IF(VLOOKUP(C260,DM_fish!C:X,14, FALSE)&gt;0, CONCATENATE("{",CHAR(34),"target",CHAR(34),":",CHAR(34),VLOOKUP(C260,DM_fish!C:X,13, FALSE),CHAR(34),",", CHAR(34), "excitation",CHAR(34), ":", VLOOKUP(C260,DM_fish!C:X,14, FALSE), ",",  CHAR(34), "camera",CHAR(34), ":", IF(VALUE(VLOOKUP(C260,DM_fish!C:X,14, FALSE))&lt;VALUE(VLOOKUP(V260,imaging_filters!A:K,11, FALSE)), CONCATENATE(CHAR(34),"CamA",CHAR(34)), CONCATENATE(CHAR(34),"CamB",CHAR(34))),"}"), ""),IF(VLOOKUP(C260,DM_fish!C:X,16, FALSE)&gt;0, CONCATENATE(",{",CHAR(34),"target",CHAR(34),":",CHAR(34),VLOOKUP(C260,DM_fish!C:X,15, FALSE),CHAR(34),",", CHAR(34), "excitation",CHAR(34), ":", VLOOKUP(C260,DM_fish!C:X,16, FALSE), ",",  CHAR(34), "camera",CHAR(34), ":", IF(VALUE(VLOOKUP(C260,DM_fish!C:X,16, FALSE))&lt;VALUE(VLOOKUP(V260,imaging_filters!A:K,11, FALSE)), CONCATENATE(CHAR(34),"CamA",CHAR(34)), CONCATENATE(CHAR(34),"CamB",CHAR(34))),"}"), ""),IF(VLOOKUP(C260,DM_fish!C:X,18, FALSE)&gt;0, CONCATENATE(",{",CHAR(34),"target",CHAR(34),":",CHAR(34),VLOOKUP(C260,DM_fish!C:X,17, FALSE),CHAR(34),",", CHAR(34), "excitation",CHAR(34), ":", VLOOKUP(C260,DM_fish!C:X,18, FALSE), ",",  CHAR(34), "camera",CHAR(34), ":", IF(VALUE(VLOOKUP(C260,DM_fish!C:X,18, FALSE))&lt;VALUE(VLOOKUP(V260,imaging_filters!A:K,11, FALSE)), CONCATENATE(CHAR(34),"CamA",CHAR(34)), CONCATENATE(CHAR(34),"CamB",CHAR(34))),"}"), ""),IF(VLOOKUP(C260,DM_fish!C:X,20, FALSE)&gt;0, CONCATENATE(",{",CHAR(34),"target",CHAR(34),":",CHAR(34),VLOOKUP(C260,DM_fish!C:X,19, FALSE),CHAR(34),",", CHAR(34), "excitation",CHAR(34), ":", VLOOKUP(C260,DM_fish!C:X,20, FALSE), ",",  CHAR(34), "camera",CHAR(34), ":", IF(VALUE(VLOOKUP(C260,DM_fish!C:X,20, FALSE))&lt;VALUE(VLOOKUP(V260,imaging_filters!A:K,11, FALSE)), CONCATENATE(CHAR(34),"CamA",CHAR(34)), CONCATENATE(CHAR(34),"CamB",CHAR(34))),"}"), ""),IF(VLOOKUP(C260,DM_fish!C:X,22, FALSE)&gt;0, CONCATENATE(",{",CHAR(34),"target",CHAR(34),":",CHAR(34),VLOOKUP(C260,DM_fish!C:X,21, FALSE),CHAR(34),",", CHAR(34), "excitation",CHAR(34), ":", VLOOKUP(C260,DM_fish!C:X,22, FALSE), ",",  CHAR(34), "camera",CHAR(34), ":", IF(VALUE(VLOOKUP(C260,DM_fish!C:X,22, FALSE))&lt;VALUE(VLOOKUP(V260,imaging_filters!A:K,11, FALSE)), CONCATENATE(CHAR(34),"CamA",CHAR(34)), CONCATENATE(CHAR(34),"CamB",CHAR(34))),"}"), "")), "]"), "")</f>
        <v/>
      </c>
      <c r="Y260" s="11" t="str">
        <f ca="1">IFERROR(
CONCATENATE( "[",
IF(VLOOKUP(E260,Injections!B:F,3, FALSE)&gt;0, CONCATENATE( "{",CHAR(34),"target",CHAR(34),":",CHAR(34),VLOOKUP(E260,Injections!B:F,2, FALSE),CHAR(34),",", CHAR(34), "excitation",CHAR(34), ":", VLOOKUP(E260,Injections!B:F,3, FALSE), ",",  CHAR(34), "camera",CHAR(34), ":",
IF(VALUE(VLOOKUP(E260,Injections!B:F,3, FALSE))&lt;VALUE(VLOOKUP(V260,imaging_filters!A:C,2, FALSE)), CONCATENATE(CHAR(34),"CamA",CHAR(34)), CONCATENATE(CHAR(34),"CamB",CHAR(34))),"}"), ""),
IF(VLOOKUP(E260,Injections!B:F,5, FALSE)&gt;0, CONCATENATE(",{",CHAR(34),"target",CHAR(34),":",CHAR(34),VLOOKUP(E260,Injections!B:F,4, FALSE),CHAR(34),",", CHAR(34), "excitation",CHAR(34), ":", VLOOKUP(E260,Injections!B:F,5, FALSE), ",",  CHAR(34), "camera",CHAR(34), ":",
IF(VALUE(VLOOKUP(E260,Injections!B:F,5, FALSE))&lt;VALUE(VLOOKUP(V260,imaging_filters!A:C,2, FALSE)), CONCATENATE(CHAR(34),"CamA",CHAR(34)), CONCATENATE(CHAR(34),"CamB",CHAR(34))),"}"), ""),
 "]"), "[]")</f>
        <v>[]</v>
      </c>
      <c r="Z260" s="11" t="str">
        <f ca="1">IFERROR(
CONCATENATE( "[",
IF(VLOOKUP(F260,Injections!H:L,3, FALSE)&gt;0, CONCATENATE( "{",CHAR(34),"target",CHAR(34),":",CHAR(34),VLOOKUP(F260,Injections!H:L,2, FALSE),CHAR(34),",", CHAR(34), "excitation",CHAR(34), ":", VLOOKUP(F260,Injections!H:L,3, FALSE), ",",  CHAR(34), "camera",CHAR(34), ":",
IF(VALUE(VLOOKUP(F260,Injections!H:L,3, FALSE))&lt;VALUE(VLOOKUP(V260,imaging_filters!A:K,11, FALSE)), CONCATENATE(CHAR(34),"CamA",CHAR(34)), CONCATENATE(CHAR(34),"CamB",CHAR(34))),"}"), ""),
IF(VLOOKUP(F260,Injections!H:L,5, FALSE)&gt;0, CONCATENATE(",{",CHAR(34),"target",CHAR(34),":",CHAR(34),VLOOKUP(F260,Injections!H:L,4, FALSE),CHAR(34),",", CHAR(34), "excitation",CHAR(34), ":", VLOOKUP(F260,Injections!H:L,5, FALSE), ",",  CHAR(34), "camera",CHAR(34), ":",
IF(VALUE(VLOOKUP(F260,Injections!H:L,5, FALSE))&lt;VALUE(VLOOKUP(V260,imaging_filters!A:K,11, FALSE)), CONCATENATE(CHAR(34),"CamA",CHAR(34)), CONCATENATE(CHAR(34),"CamB",CHAR(34))),"}"), ""),
 "]"), "[]")</f>
        <v>[]</v>
      </c>
      <c r="AA260" s="11"/>
    </row>
    <row r="261" spans="1:28" ht="15.75" customHeight="1" x14ac:dyDescent="0.15">
      <c r="A261" s="7">
        <f t="shared" si="7"/>
        <v>45730</v>
      </c>
      <c r="B261" s="1"/>
      <c r="C261" s="1" t="s">
        <v>107</v>
      </c>
      <c r="D261" s="1" t="s">
        <v>39</v>
      </c>
      <c r="E261" s="1"/>
      <c r="F261" s="1" t="s">
        <v>64</v>
      </c>
      <c r="G261" s="8"/>
      <c r="H261" s="8"/>
      <c r="I261" s="8">
        <v>45729</v>
      </c>
      <c r="J261" s="1" t="s">
        <v>498</v>
      </c>
      <c r="K261" s="1" t="s">
        <v>357</v>
      </c>
      <c r="L261" s="19">
        <v>45730</v>
      </c>
      <c r="M261" s="8">
        <v>45730</v>
      </c>
      <c r="N261" s="9">
        <v>0.66666666666666663</v>
      </c>
      <c r="O261" s="9">
        <v>0.67361111111111116</v>
      </c>
      <c r="P261" s="9">
        <v>0.75</v>
      </c>
      <c r="Q261" s="1" t="s">
        <v>456</v>
      </c>
      <c r="R261" s="10" t="str">
        <f ca="1">IFERROR(__xludf.DUMMYFUNCTION("JOIN("","", SORT(UNIQUE(TOCOL({VLOOKUP(D261,DM_fish!A:B,2,FALSE),VLOOKUP(C261,DM_fish!A:B,2,FALSE), ARRAYFORMULA(VLOOKUP(SPLIT(E261, "", ""),Injections!B:G,6,FALSE)), ARRAYFORMULA(VLOOKUP(SPLIT(F261, "", ""),Injections!H:M,6,FALSE)), ARRAYFORMULA(VLOOKUP("&amp;"SPLIT(G261, "", ""),Injections!N:S,6,FALSE)), ARRAYFORMULA(VLOOKUP(SPLIT(H261, "", ""),Injections!T:Y,6,FALSE)) },3))))"),"csp,male #8 - best founder (40-50% transmission, multiple alleles, bright!!!),488,nuclei")</f>
        <v>csp,male #8 - best founder (40-50% transmission, multiple alleles, bright!!!),488,nuclei</v>
      </c>
      <c r="S261" s="10" t="str">
        <f ca="1">IFERROR(__xludf.DUMMYFUNCTION("IFERROR(JOIN("","", SPLIT(R261, "","", TRUE ,TRUE)), """")"),"csp,male #8 - best founder (40-50% transmission, multiple alleles, bright!!!),488,nuclei")</f>
        <v>csp,male #8 - best founder (40-50% transmission, multiple alleles, bright!!!),488,nuclei</v>
      </c>
      <c r="T261" s="1" t="s">
        <v>499</v>
      </c>
      <c r="U261" s="17">
        <v>494</v>
      </c>
      <c r="V261" s="1" t="s">
        <v>203</v>
      </c>
      <c r="W261" s="12" t="str">
        <f ca="1">IFERROR(CONCATENATE("[", CONCATENATE(IF(VLOOKUP(D261,DM_fish!C:X,14, FALSE)&gt;0, CONCATENATE("{",CHAR(34),"target",CHAR(34),":",CHAR(34),VLOOKUP(D261,DM_fish!C:X,13, FALSE),CHAR(34),",", CHAR(34), "excitation",CHAR(34), ":", VLOOKUP(D261,DM_fish!C:X,14, FALSE), ",",  CHAR(34), "camera",CHAR(34), ":", IF(VALUE(VLOOKUP(D261,DM_fish!C:X,14, FALSE))&lt;VALUE(VLOOKUP(V261,imaging_filters!A:K,11, FALSE)), CONCATENATE(CHAR(34),"CamA",CHAR(34)), CONCATENATE(CHAR(34),"CamB",CHAR(34))),"}"), ""),IF(VLOOKUP(D261,DM_fish!C:X,16, FALSE)&gt;0, CONCATENATE(",{",CHAR(34),"target",CHAR(34),":",CHAR(34),VLOOKUP(D261,DM_fish!C:X,15, FALSE),CHAR(34),",", CHAR(34), "excitation",CHAR(34), ":", VLOOKUP(D261,DM_fish!C:X,16, FALSE), ",",  CHAR(34), "camera",CHAR(34), ":", IF(VALUE(VLOOKUP(D261,DM_fish!C:X,16, FALSE))&lt;VALUE(VLOOKUP(V261,imaging_filters!A:K,11, FALSE)), CONCATENATE(CHAR(34),"CamA",CHAR(34)), CONCATENATE(CHAR(34),"CamB",CHAR(34))),"}"), ""),IF(VLOOKUP(D261,DM_fish!C:X,18, FALSE)&gt;0, CONCATENATE(",{",CHAR(34),"target",CHAR(34),":",CHAR(34),VLOOKUP(D261,DM_fish!C:X,17, FALSE),CHAR(34),",", CHAR(34), "excitation",CHAR(34), ":", VLOOKUP(D261,DM_fish!C:X,18, FALSE), ",",  CHAR(34), "camera",CHAR(34), ":", IF(VALUE(VLOOKUP(D261,DM_fish!C:X,18, FALSE))&lt;VALUE(VLOOKUP(V261,imaging_filters!A:K,11, FALSE)), CONCATENATE(CHAR(34),"CamA",CHAR(34)), CONCATENATE(CHAR(34),"CamB",CHAR(34))),"}"), ""),IF(VLOOKUP(D261,DM_fish!C:X,20, FALSE)&gt;0, CONCATENATE(",{",CHAR(34),"target",CHAR(34),":",CHAR(34),VLOOKUP(D261,DM_fish!C:X,19, FALSE),CHAR(34),",", CHAR(34), "excitation",CHAR(34), ":", VLOOKUP(D261,DM_fish!C:X,20, FALSE), ",",  CHAR(34), "camera",CHAR(34), ":", IF(VALUE(VLOOKUP(D261,DM_fish!C:X,20, FALSE))&lt;VALUE(VLOOKUP(V261,imaging_filters!A:K,11, FALSE)), CONCATENATE(CHAR(34),"CamA",CHAR(34)), CONCATENATE(CHAR(34),"CamB",CHAR(34))),"}"), ""),IF(VLOOKUP(D261,DM_fish!C:X,22, FALSE)&gt;0, CONCATENATE(",{",CHAR(34),"target",CHAR(34),":",CHAR(34),VLOOKUP(D261,DM_fish!C:X,21, FALSE),CHAR(34),",", CHAR(34), "excitation",CHAR(34), ":", VLOOKUP(D261,DM_fish!C:X,22, FALSE), ",",  CHAR(34), "camera",CHAR(34), ":", IF(VALUE(VLOOKUP(D261,DM_fish!C:X,22, FALSE))&lt;VALUE(VLOOKUP(V261,imaging_filters!A:K,11, FALSE)), CONCATENATE(CHAR(34),"CamA",CHAR(34)), CONCATENATE(CHAR(34),"CamB",CHAR(34))),"}"), "")), "]"), "")</f>
        <v/>
      </c>
      <c r="X261" s="12" t="str">
        <f ca="1">IFERROR(
CONCATENATE("[", CONCATENATE(IF(VLOOKUP(C261,DM_fish!C:X,14, FALSE)&gt;0, CONCATENATE("{",CHAR(34),"target",CHAR(34),":",CHAR(34),VLOOKUP(C261,DM_fish!C:X,13, FALSE),CHAR(34),",", CHAR(34), "excitation",CHAR(34), ":", VLOOKUP(C261,DM_fish!C:X,14, FALSE), ",",  CHAR(34), "camera",CHAR(34), ":", IF(VALUE(VLOOKUP(C261,DM_fish!C:X,14, FALSE))&lt;VALUE(VLOOKUP(V261,imaging_filters!A:K,11, FALSE)), CONCATENATE(CHAR(34),"CamA",CHAR(34)), CONCATENATE(CHAR(34),"CamB",CHAR(34))),"}"), ""),IF(VLOOKUP(C261,DM_fish!C:X,16, FALSE)&gt;0, CONCATENATE(",{",CHAR(34),"target",CHAR(34),":",CHAR(34),VLOOKUP(C261,DM_fish!C:X,15, FALSE),CHAR(34),",", CHAR(34), "excitation",CHAR(34), ":", VLOOKUP(C261,DM_fish!C:X,16, FALSE), ",",  CHAR(34), "camera",CHAR(34), ":", IF(VALUE(VLOOKUP(C261,DM_fish!C:X,16, FALSE))&lt;VALUE(VLOOKUP(V261,imaging_filters!A:K,11, FALSE)), CONCATENATE(CHAR(34),"CamA",CHAR(34)), CONCATENATE(CHAR(34),"CamB",CHAR(34))),"}"), ""),IF(VLOOKUP(C261,DM_fish!C:X,18, FALSE)&gt;0, CONCATENATE(",{",CHAR(34),"target",CHAR(34),":",CHAR(34),VLOOKUP(C261,DM_fish!C:X,17, FALSE),CHAR(34),",", CHAR(34), "excitation",CHAR(34), ":", VLOOKUP(C261,DM_fish!C:X,18, FALSE), ",",  CHAR(34), "camera",CHAR(34), ":", IF(VALUE(VLOOKUP(C261,DM_fish!C:X,18, FALSE))&lt;VALUE(VLOOKUP(V261,imaging_filters!A:K,11, FALSE)), CONCATENATE(CHAR(34),"CamA",CHAR(34)), CONCATENATE(CHAR(34),"CamB",CHAR(34))),"}"), ""),IF(VLOOKUP(C261,DM_fish!C:X,20, FALSE)&gt;0, CONCATENATE(",{",CHAR(34),"target",CHAR(34),":",CHAR(34),VLOOKUP(C261,DM_fish!C:X,19, FALSE),CHAR(34),",", CHAR(34), "excitation",CHAR(34), ":", VLOOKUP(C261,DM_fish!C:X,20, FALSE), ",",  CHAR(34), "camera",CHAR(34), ":", IF(VALUE(VLOOKUP(C261,DM_fish!C:X,20, FALSE))&lt;VALUE(VLOOKUP(V261,imaging_filters!A:K,11, FALSE)), CONCATENATE(CHAR(34),"CamA",CHAR(34)), CONCATENATE(CHAR(34),"CamB",CHAR(34))),"}"), ""),IF(VLOOKUP(C261,DM_fish!C:X,22, FALSE)&gt;0, CONCATENATE(",{",CHAR(34),"target",CHAR(34),":",CHAR(34),VLOOKUP(C261,DM_fish!C:X,21, FALSE),CHAR(34),",", CHAR(34), "excitation",CHAR(34), ":", VLOOKUP(C261,DM_fish!C:X,22, FALSE), ",",  CHAR(34), "camera",CHAR(34), ":", IF(VALUE(VLOOKUP(C261,DM_fish!C:X,22, FALSE))&lt;VALUE(VLOOKUP(V261,imaging_filters!A:K,11, FALSE)), CONCATENATE(CHAR(34),"CamA",CHAR(34)), CONCATENATE(CHAR(34),"CamB",CHAR(34))),"}"), "")), "]"), "")</f>
        <v/>
      </c>
      <c r="Y261" s="11" t="str">
        <f ca="1">IFERROR(
CONCATENATE( "[",
IF(VLOOKUP(E261,Injections!B:F,3, FALSE)&gt;0, CONCATENATE( "{",CHAR(34),"target",CHAR(34),":",CHAR(34),VLOOKUP(E261,Injections!B:F,2, FALSE),CHAR(34),",", CHAR(34), "excitation",CHAR(34), ":", VLOOKUP(E261,Injections!B:F,3, FALSE), ",",  CHAR(34), "camera",CHAR(34), ":",
IF(VALUE(VLOOKUP(E261,Injections!B:F,3, FALSE))&lt;VALUE(VLOOKUP(V261,imaging_filters!A:C,2, FALSE)), CONCATENATE(CHAR(34),"CamA",CHAR(34)), CONCATENATE(CHAR(34),"CamB",CHAR(34))),"}"), ""),
IF(VLOOKUP(E261,Injections!B:F,5, FALSE)&gt;0, CONCATENATE(",{",CHAR(34),"target",CHAR(34),":",CHAR(34),VLOOKUP(E261,Injections!B:F,4, FALSE),CHAR(34),",", CHAR(34), "excitation",CHAR(34), ":", VLOOKUP(E261,Injections!B:F,5, FALSE), ",",  CHAR(34), "camera",CHAR(34), ":",
IF(VALUE(VLOOKUP(E261,Injections!B:F,5, FALSE))&lt;VALUE(VLOOKUP(V261,imaging_filters!A:C,2, FALSE)), CONCATENATE(CHAR(34),"CamA",CHAR(34)), CONCATENATE(CHAR(34),"CamB",CHAR(34))),"}"), ""),
 "]"), "[]")</f>
        <v>[]</v>
      </c>
      <c r="Z261" s="11" t="str">
        <f ca="1">IFERROR(
CONCATENATE( "[",
IF(VLOOKUP(F261,Injections!H:L,3, FALSE)&gt;0, CONCATENATE( "{",CHAR(34),"target",CHAR(34),":",CHAR(34),VLOOKUP(F261,Injections!H:L,2, FALSE),CHAR(34),",", CHAR(34), "excitation",CHAR(34), ":", VLOOKUP(F261,Injections!H:L,3, FALSE), ",",  CHAR(34), "camera",CHAR(34), ":",
IF(VALUE(VLOOKUP(F261,Injections!H:L,3, FALSE))&lt;VALUE(VLOOKUP(V261,imaging_filters!A:K,11, FALSE)), CONCATENATE(CHAR(34),"CamA",CHAR(34)), CONCATENATE(CHAR(34),"CamB",CHAR(34))),"}"), ""),
IF(VLOOKUP(F261,Injections!H:L,5, FALSE)&gt;0, CONCATENATE(",{",CHAR(34),"target",CHAR(34),":",CHAR(34),VLOOKUP(F261,Injections!H:L,4, FALSE),CHAR(34),",", CHAR(34), "excitation",CHAR(34), ":", VLOOKUP(F261,Injections!H:L,5, FALSE), ",",  CHAR(34), "camera",CHAR(34), ":",
IF(VALUE(VLOOKUP(F261,Injections!H:L,5, FALSE))&lt;VALUE(VLOOKUP(V261,imaging_filters!A:K,11, FALSE)), CONCATENATE(CHAR(34),"CamA",CHAR(34)), CONCATENATE(CHAR(34),"CamB",CHAR(34))),"}"), ""),
 "]"), "[]")</f>
        <v>[{"target":"nuclei","excitation":560,"camera":"CamB"}]</v>
      </c>
      <c r="AA261" s="11"/>
    </row>
    <row r="262" spans="1:28" ht="15.75" customHeight="1" x14ac:dyDescent="0.15">
      <c r="A262" s="7">
        <f t="shared" si="7"/>
        <v>45730</v>
      </c>
      <c r="B262" s="1"/>
      <c r="C262" s="1" t="s">
        <v>107</v>
      </c>
      <c r="D262" s="1" t="s">
        <v>39</v>
      </c>
      <c r="E262" s="1"/>
      <c r="F262" s="1" t="s">
        <v>64</v>
      </c>
      <c r="G262" s="8"/>
      <c r="H262" s="8"/>
      <c r="I262" s="8">
        <v>45729</v>
      </c>
      <c r="J262" s="1" t="s">
        <v>498</v>
      </c>
      <c r="K262" s="1" t="s">
        <v>357</v>
      </c>
      <c r="L262" s="19">
        <v>45730</v>
      </c>
      <c r="M262" s="8">
        <v>45730</v>
      </c>
      <c r="N262" s="9">
        <v>0.66666666666666663</v>
      </c>
      <c r="O262" s="9">
        <v>0.75694444444444442</v>
      </c>
      <c r="P262" s="1" t="s">
        <v>500</v>
      </c>
      <c r="Q262" s="1" t="s">
        <v>456</v>
      </c>
      <c r="R262" s="10" t="str">
        <f ca="1">IFERROR(__xludf.DUMMYFUNCTION("JOIN("","", SORT(UNIQUE(TOCOL({VLOOKUP(D262,DM_fish!A:B,2,FALSE),VLOOKUP(C262,DM_fish!A:B,2,FALSE), ARRAYFORMULA(VLOOKUP(SPLIT(E262, "", ""),Injections!B:G,6,FALSE)), ARRAYFORMULA(VLOOKUP(SPLIT(F262, "", ""),Injections!H:M,6,FALSE)), ARRAYFORMULA(VLOOKUP("&amp;"SPLIT(G262, "", ""),Injections!N:S,6,FALSE)), ARRAYFORMULA(VLOOKUP(SPLIT(H262, "", ""),Injections!T:Y,6,FALSE)) },3))))"),"csp,male #8 - best founder (40-50% transmission, multiple alleles, bright!!!),488,nuclei")</f>
        <v>csp,male #8 - best founder (40-50% transmission, multiple alleles, bright!!!),488,nuclei</v>
      </c>
      <c r="S262" s="10" t="str">
        <f ca="1">IFERROR(__xludf.DUMMYFUNCTION("IFERROR(JOIN("","", SPLIT(R262, "","", TRUE ,TRUE)), """")"),"csp,male #8 - best founder (40-50% transmission, multiple alleles, bright!!!),488,nuclei")</f>
        <v>csp,male #8 - best founder (40-50% transmission, multiple alleles, bright!!!),488,nuclei</v>
      </c>
      <c r="T262" s="1" t="s">
        <v>501</v>
      </c>
      <c r="U262" s="17">
        <v>1028</v>
      </c>
      <c r="V262" s="1" t="s">
        <v>203</v>
      </c>
      <c r="W262" s="12" t="str">
        <f ca="1">IFERROR(CONCATENATE("[", CONCATENATE(IF(VLOOKUP(D262,DM_fish!C:X,14, FALSE)&gt;0, CONCATENATE("{",CHAR(34),"target",CHAR(34),":",CHAR(34),VLOOKUP(D262,DM_fish!C:X,13, FALSE),CHAR(34),",", CHAR(34), "excitation",CHAR(34), ":", VLOOKUP(D262,DM_fish!C:X,14, FALSE), ",",  CHAR(34), "camera",CHAR(34), ":", IF(VALUE(VLOOKUP(D262,DM_fish!C:X,14, FALSE))&lt;VALUE(VLOOKUP(V262,imaging_filters!A:K,11, FALSE)), CONCATENATE(CHAR(34),"CamA",CHAR(34)), CONCATENATE(CHAR(34),"CamB",CHAR(34))),"}"), ""),IF(VLOOKUP(D262,DM_fish!C:X,16, FALSE)&gt;0, CONCATENATE(",{",CHAR(34),"target",CHAR(34),":",CHAR(34),VLOOKUP(D262,DM_fish!C:X,15, FALSE),CHAR(34),",", CHAR(34), "excitation",CHAR(34), ":", VLOOKUP(D262,DM_fish!C:X,16, FALSE), ",",  CHAR(34), "camera",CHAR(34), ":", IF(VALUE(VLOOKUP(D262,DM_fish!C:X,16, FALSE))&lt;VALUE(VLOOKUP(V262,imaging_filters!A:K,11, FALSE)), CONCATENATE(CHAR(34),"CamA",CHAR(34)), CONCATENATE(CHAR(34),"CamB",CHAR(34))),"}"), ""),IF(VLOOKUP(D262,DM_fish!C:X,18, FALSE)&gt;0, CONCATENATE(",{",CHAR(34),"target",CHAR(34),":",CHAR(34),VLOOKUP(D262,DM_fish!C:X,17, FALSE),CHAR(34),",", CHAR(34), "excitation",CHAR(34), ":", VLOOKUP(D262,DM_fish!C:X,18, FALSE), ",",  CHAR(34), "camera",CHAR(34), ":", IF(VALUE(VLOOKUP(D262,DM_fish!C:X,18, FALSE))&lt;VALUE(VLOOKUP(V262,imaging_filters!A:K,11, FALSE)), CONCATENATE(CHAR(34),"CamA",CHAR(34)), CONCATENATE(CHAR(34),"CamB",CHAR(34))),"}"), ""),IF(VLOOKUP(D262,DM_fish!C:X,20, FALSE)&gt;0, CONCATENATE(",{",CHAR(34),"target",CHAR(34),":",CHAR(34),VLOOKUP(D262,DM_fish!C:X,19, FALSE),CHAR(34),",", CHAR(34), "excitation",CHAR(34), ":", VLOOKUP(D262,DM_fish!C:X,20, FALSE), ",",  CHAR(34), "camera",CHAR(34), ":", IF(VALUE(VLOOKUP(D262,DM_fish!C:X,20, FALSE))&lt;VALUE(VLOOKUP(V262,imaging_filters!A:K,11, FALSE)), CONCATENATE(CHAR(34),"CamA",CHAR(34)), CONCATENATE(CHAR(34),"CamB",CHAR(34))),"}"), ""),IF(VLOOKUP(D262,DM_fish!C:X,22, FALSE)&gt;0, CONCATENATE(",{",CHAR(34),"target",CHAR(34),":",CHAR(34),VLOOKUP(D262,DM_fish!C:X,21, FALSE),CHAR(34),",", CHAR(34), "excitation",CHAR(34), ":", VLOOKUP(D262,DM_fish!C:X,22, FALSE), ",",  CHAR(34), "camera",CHAR(34), ":", IF(VALUE(VLOOKUP(D262,DM_fish!C:X,22, FALSE))&lt;VALUE(VLOOKUP(V262,imaging_filters!A:K,11, FALSE)), CONCATENATE(CHAR(34),"CamA",CHAR(34)), CONCATENATE(CHAR(34),"CamB",CHAR(34))),"}"), "")), "]"), "")</f>
        <v/>
      </c>
      <c r="X262" s="12" t="str">
        <f ca="1">IFERROR(
CONCATENATE("[", CONCATENATE(IF(VLOOKUP(C262,DM_fish!C:X,14, FALSE)&gt;0, CONCATENATE("{",CHAR(34),"target",CHAR(34),":",CHAR(34),VLOOKUP(C262,DM_fish!C:X,13, FALSE),CHAR(34),",", CHAR(34), "excitation",CHAR(34), ":", VLOOKUP(C262,DM_fish!C:X,14, FALSE), ",",  CHAR(34), "camera",CHAR(34), ":", IF(VALUE(VLOOKUP(C262,DM_fish!C:X,14, FALSE))&lt;VALUE(VLOOKUP(V262,imaging_filters!A:K,11, FALSE)), CONCATENATE(CHAR(34),"CamA",CHAR(34)), CONCATENATE(CHAR(34),"CamB",CHAR(34))),"}"), ""),IF(VLOOKUP(C262,DM_fish!C:X,16, FALSE)&gt;0, CONCATENATE(",{",CHAR(34),"target",CHAR(34),":",CHAR(34),VLOOKUP(C262,DM_fish!C:X,15, FALSE),CHAR(34),",", CHAR(34), "excitation",CHAR(34), ":", VLOOKUP(C262,DM_fish!C:X,16, FALSE), ",",  CHAR(34), "camera",CHAR(34), ":", IF(VALUE(VLOOKUP(C262,DM_fish!C:X,16, FALSE))&lt;VALUE(VLOOKUP(V262,imaging_filters!A:K,11, FALSE)), CONCATENATE(CHAR(34),"CamA",CHAR(34)), CONCATENATE(CHAR(34),"CamB",CHAR(34))),"}"), ""),IF(VLOOKUP(C262,DM_fish!C:X,18, FALSE)&gt;0, CONCATENATE(",{",CHAR(34),"target",CHAR(34),":",CHAR(34),VLOOKUP(C262,DM_fish!C:X,17, FALSE),CHAR(34),",", CHAR(34), "excitation",CHAR(34), ":", VLOOKUP(C262,DM_fish!C:X,18, FALSE), ",",  CHAR(34), "camera",CHAR(34), ":", IF(VALUE(VLOOKUP(C262,DM_fish!C:X,18, FALSE))&lt;VALUE(VLOOKUP(V262,imaging_filters!A:K,11, FALSE)), CONCATENATE(CHAR(34),"CamA",CHAR(34)), CONCATENATE(CHAR(34),"CamB",CHAR(34))),"}"), ""),IF(VLOOKUP(C262,DM_fish!C:X,20, FALSE)&gt;0, CONCATENATE(",{",CHAR(34),"target",CHAR(34),":",CHAR(34),VLOOKUP(C262,DM_fish!C:X,19, FALSE),CHAR(34),",", CHAR(34), "excitation",CHAR(34), ":", VLOOKUP(C262,DM_fish!C:X,20, FALSE), ",",  CHAR(34), "camera",CHAR(34), ":", IF(VALUE(VLOOKUP(C262,DM_fish!C:X,20, FALSE))&lt;VALUE(VLOOKUP(V262,imaging_filters!A:K,11, FALSE)), CONCATENATE(CHAR(34),"CamA",CHAR(34)), CONCATENATE(CHAR(34),"CamB",CHAR(34))),"}"), ""),IF(VLOOKUP(C262,DM_fish!C:X,22, FALSE)&gt;0, CONCATENATE(",{",CHAR(34),"target",CHAR(34),":",CHAR(34),VLOOKUP(C262,DM_fish!C:X,21, FALSE),CHAR(34),",", CHAR(34), "excitation",CHAR(34), ":", VLOOKUP(C262,DM_fish!C:X,22, FALSE), ",",  CHAR(34), "camera",CHAR(34), ":", IF(VALUE(VLOOKUP(C262,DM_fish!C:X,22, FALSE))&lt;VALUE(VLOOKUP(V262,imaging_filters!A:K,11, FALSE)), CONCATENATE(CHAR(34),"CamA",CHAR(34)), CONCATENATE(CHAR(34),"CamB",CHAR(34))),"}"), "")), "]"), "")</f>
        <v/>
      </c>
      <c r="Y262" s="11" t="str">
        <f ca="1">IFERROR(
CONCATENATE( "[",
IF(VLOOKUP(E262,Injections!B:F,3, FALSE)&gt;0, CONCATENATE( "{",CHAR(34),"target",CHAR(34),":",CHAR(34),VLOOKUP(E262,Injections!B:F,2, FALSE),CHAR(34),",", CHAR(34), "excitation",CHAR(34), ":", VLOOKUP(E262,Injections!B:F,3, FALSE), ",",  CHAR(34), "camera",CHAR(34), ":",
IF(VALUE(VLOOKUP(E262,Injections!B:F,3, FALSE))&lt;VALUE(VLOOKUP(V262,imaging_filters!A:C,2, FALSE)), CONCATENATE(CHAR(34),"CamA",CHAR(34)), CONCATENATE(CHAR(34),"CamB",CHAR(34))),"}"), ""),
IF(VLOOKUP(E262,Injections!B:F,5, FALSE)&gt;0, CONCATENATE(",{",CHAR(34),"target",CHAR(34),":",CHAR(34),VLOOKUP(E262,Injections!B:F,4, FALSE),CHAR(34),",", CHAR(34), "excitation",CHAR(34), ":", VLOOKUP(E262,Injections!B:F,5, FALSE), ",",  CHAR(34), "camera",CHAR(34), ":",
IF(VALUE(VLOOKUP(E262,Injections!B:F,5, FALSE))&lt;VALUE(VLOOKUP(V262,imaging_filters!A:C,2, FALSE)), CONCATENATE(CHAR(34),"CamA",CHAR(34)), CONCATENATE(CHAR(34),"CamB",CHAR(34))),"}"), ""),
 "]"), "[]")</f>
        <v>[]</v>
      </c>
      <c r="Z262" s="11" t="str">
        <f ca="1">IFERROR(
CONCATENATE( "[",
IF(VLOOKUP(F262,Injections!H:L,3, FALSE)&gt;0, CONCATENATE( "{",CHAR(34),"target",CHAR(34),":",CHAR(34),VLOOKUP(F262,Injections!H:L,2, FALSE),CHAR(34),",", CHAR(34), "excitation",CHAR(34), ":", VLOOKUP(F262,Injections!H:L,3, FALSE), ",",  CHAR(34), "camera",CHAR(34), ":",
IF(VALUE(VLOOKUP(F262,Injections!H:L,3, FALSE))&lt;VALUE(VLOOKUP(V262,imaging_filters!A:K,11, FALSE)), CONCATENATE(CHAR(34),"CamA",CHAR(34)), CONCATENATE(CHAR(34),"CamB",CHAR(34))),"}"), ""),
IF(VLOOKUP(F262,Injections!H:L,5, FALSE)&gt;0, CONCATENATE(",{",CHAR(34),"target",CHAR(34),":",CHAR(34),VLOOKUP(F262,Injections!H:L,4, FALSE),CHAR(34),",", CHAR(34), "excitation",CHAR(34), ":", VLOOKUP(F262,Injections!H:L,5, FALSE), ",",  CHAR(34), "camera",CHAR(34), ":",
IF(VALUE(VLOOKUP(F262,Injections!H:L,5, FALSE))&lt;VALUE(VLOOKUP(V262,imaging_filters!A:K,11, FALSE)), CONCATENATE(CHAR(34),"CamA",CHAR(34)), CONCATENATE(CHAR(34),"CamB",CHAR(34))),"}"), ""),
 "]"), "[]")</f>
        <v>[{"target":"nuclei","excitation":560,"camera":"CamB"}]</v>
      </c>
      <c r="AA262" s="11"/>
    </row>
    <row r="263" spans="1:28" ht="15.75" customHeight="1" x14ac:dyDescent="0.15">
      <c r="A263" s="7">
        <f t="shared" si="7"/>
        <v>45729</v>
      </c>
      <c r="B263" s="1"/>
      <c r="C263" s="1" t="s">
        <v>253</v>
      </c>
      <c r="D263" s="1" t="s">
        <v>164</v>
      </c>
      <c r="E263" s="1"/>
      <c r="F263" s="1" t="s">
        <v>449</v>
      </c>
      <c r="G263" s="8"/>
      <c r="H263" s="8"/>
      <c r="I263" s="8">
        <v>45728</v>
      </c>
      <c r="J263" s="1" t="s">
        <v>502</v>
      </c>
      <c r="K263" s="1" t="s">
        <v>281</v>
      </c>
      <c r="L263" s="19">
        <v>45729</v>
      </c>
      <c r="M263" s="19">
        <v>45729</v>
      </c>
      <c r="N263" s="9">
        <v>0.65625</v>
      </c>
      <c r="O263" s="9">
        <v>0.66666666666666663</v>
      </c>
      <c r="P263" s="9">
        <v>0.74305555555555558</v>
      </c>
      <c r="Q263" s="1" t="s">
        <v>395</v>
      </c>
      <c r="R263" s="10" t="str">
        <f ca="1">IFERROR(__xludf.DUMMYFUNCTION("JOIN("","", SORT(UNIQUE(TOCOL({VLOOKUP(D263,DM_fish!A:B,2,FALSE),VLOOKUP(C263,DM_fish!A:B,2,FALSE), ARRAYFORMULA(VLOOKUP(SPLIT(E263, "", ""),Injections!B:G,6,FALSE)), ARRAYFORMULA(VLOOKUP(SPLIT(F263, "", ""),Injections!H:M,6,FALSE)), ARRAYFORMULA(VLOOKUP("&amp;"SPLIT(G263, "", ""),Injections!N:S,6,FALSE)), ARRAYFORMULA(VLOOKUP(SPLIT(H263, "", ""),Injections!T:Y,6,FALSE)) },3))))"),",csp,male #5 25%+ positive rate - currently best founder (but 2 alleles, one dim one bright(er)?,405,445")</f>
        <v>,csp,male #5 25%+ positive rate - currently best founder (but 2 alleles, one dim one bright(er)?,405,445</v>
      </c>
      <c r="S263" s="10" t="str">
        <f ca="1">IFERROR(__xludf.DUMMYFUNCTION("IFERROR(JOIN("","", SPLIT(R263, "","", TRUE ,TRUE)), """")"),"csp,male #5 25%+ positive rate - currently best founder (but 2 alleles, one dim one bright(er)?,405,445")</f>
        <v>csp,male #5 25%+ positive rate - currently best founder (but 2 alleles, one dim one bright(er)?,405,445</v>
      </c>
      <c r="T263" s="1" t="s">
        <v>503</v>
      </c>
      <c r="U263" s="1">
        <v>53</v>
      </c>
      <c r="V263" s="1" t="s">
        <v>280</v>
      </c>
      <c r="W263" s="12" t="str">
        <f ca="1">IFERROR(CONCATENATE("[", CONCATENATE(IF(VLOOKUP(D263,DM_fish!C:X,14, FALSE)&gt;0, CONCATENATE("{",CHAR(34),"target",CHAR(34),":",CHAR(34),VLOOKUP(D263,DM_fish!C:X,13, FALSE),CHAR(34),",", CHAR(34), "excitation",CHAR(34), ":", VLOOKUP(D263,DM_fish!C:X,14, FALSE), ",",  CHAR(34), "camera",CHAR(34), ":", IF(VALUE(VLOOKUP(D263,DM_fish!C:X,14, FALSE))&lt;VALUE(VLOOKUP(V263,imaging_filters!A:K,11, FALSE)), CONCATENATE(CHAR(34),"CamA",CHAR(34)), CONCATENATE(CHAR(34),"CamB",CHAR(34))),"}"), ""),IF(VLOOKUP(D263,DM_fish!C:X,16, FALSE)&gt;0, CONCATENATE(",{",CHAR(34),"target",CHAR(34),":",CHAR(34),VLOOKUP(D263,DM_fish!C:X,15, FALSE),CHAR(34),",", CHAR(34), "excitation",CHAR(34), ":", VLOOKUP(D263,DM_fish!C:X,16, FALSE), ",",  CHAR(34), "camera",CHAR(34), ":", IF(VALUE(VLOOKUP(D263,DM_fish!C:X,16, FALSE))&lt;VALUE(VLOOKUP(V263,imaging_filters!A:K,11, FALSE)), CONCATENATE(CHAR(34),"CamA",CHAR(34)), CONCATENATE(CHAR(34),"CamB",CHAR(34))),"}"), ""),IF(VLOOKUP(D263,DM_fish!C:X,18, FALSE)&gt;0, CONCATENATE(",{",CHAR(34),"target",CHAR(34),":",CHAR(34),VLOOKUP(D263,DM_fish!C:X,17, FALSE),CHAR(34),",", CHAR(34), "excitation",CHAR(34), ":", VLOOKUP(D263,DM_fish!C:X,18, FALSE), ",",  CHAR(34), "camera",CHAR(34), ":", IF(VALUE(VLOOKUP(D263,DM_fish!C:X,18, FALSE))&lt;VALUE(VLOOKUP(V263,imaging_filters!A:K,11, FALSE)), CONCATENATE(CHAR(34),"CamA",CHAR(34)), CONCATENATE(CHAR(34),"CamB",CHAR(34))),"}"), ""),IF(VLOOKUP(D263,DM_fish!C:X,20, FALSE)&gt;0, CONCATENATE(",{",CHAR(34),"target",CHAR(34),":",CHAR(34),VLOOKUP(D263,DM_fish!C:X,19, FALSE),CHAR(34),",", CHAR(34), "excitation",CHAR(34), ":", VLOOKUP(D263,DM_fish!C:X,20, FALSE), ",",  CHAR(34), "camera",CHAR(34), ":", IF(VALUE(VLOOKUP(D263,DM_fish!C:X,20, FALSE))&lt;VALUE(VLOOKUP(V263,imaging_filters!A:K,11, FALSE)), CONCATENATE(CHAR(34),"CamA",CHAR(34)), CONCATENATE(CHAR(34),"CamB",CHAR(34))),"}"), ""),IF(VLOOKUP(D263,DM_fish!C:X,22, FALSE)&gt;0, CONCATENATE(",{",CHAR(34),"target",CHAR(34),":",CHAR(34),VLOOKUP(D263,DM_fish!C:X,21, FALSE),CHAR(34),",", CHAR(34), "excitation",CHAR(34), ":", VLOOKUP(D263,DM_fish!C:X,22, FALSE), ",",  CHAR(34), "camera",CHAR(34), ":", IF(VALUE(VLOOKUP(D263,DM_fish!C:X,22, FALSE))&lt;VALUE(VLOOKUP(V263,imaging_filters!A:K,11, FALSE)), CONCATENATE(CHAR(34),"CamA",CHAR(34)), CONCATENATE(CHAR(34),"CamB",CHAR(34))),"}"), "")), "]"), "")</f>
        <v/>
      </c>
      <c r="X263" s="12" t="str">
        <f ca="1">IFERROR(
CONCATENATE("[", CONCATENATE(IF(VLOOKUP(C263,DM_fish!C:X,14, FALSE)&gt;0, CONCATENATE("{",CHAR(34),"target",CHAR(34),":",CHAR(34),VLOOKUP(C263,DM_fish!C:X,13, FALSE),CHAR(34),",", CHAR(34), "excitation",CHAR(34), ":", VLOOKUP(C263,DM_fish!C:X,14, FALSE), ",",  CHAR(34), "camera",CHAR(34), ":", IF(VALUE(VLOOKUP(C263,DM_fish!C:X,14, FALSE))&lt;VALUE(VLOOKUP(V263,imaging_filters!A:K,11, FALSE)), CONCATENATE(CHAR(34),"CamA",CHAR(34)), CONCATENATE(CHAR(34),"CamB",CHAR(34))),"}"), ""),IF(VLOOKUP(C263,DM_fish!C:X,16, FALSE)&gt;0, CONCATENATE(",{",CHAR(34),"target",CHAR(34),":",CHAR(34),VLOOKUP(C263,DM_fish!C:X,15, FALSE),CHAR(34),",", CHAR(34), "excitation",CHAR(34), ":", VLOOKUP(C263,DM_fish!C:X,16, FALSE), ",",  CHAR(34), "camera",CHAR(34), ":", IF(VALUE(VLOOKUP(C263,DM_fish!C:X,16, FALSE))&lt;VALUE(VLOOKUP(V263,imaging_filters!A:K,11, FALSE)), CONCATENATE(CHAR(34),"CamA",CHAR(34)), CONCATENATE(CHAR(34),"CamB",CHAR(34))),"}"), ""),IF(VLOOKUP(C263,DM_fish!C:X,18, FALSE)&gt;0, CONCATENATE(",{",CHAR(34),"target",CHAR(34),":",CHAR(34),VLOOKUP(C263,DM_fish!C:X,17, FALSE),CHAR(34),",", CHAR(34), "excitation",CHAR(34), ":", VLOOKUP(C263,DM_fish!C:X,18, FALSE), ",",  CHAR(34), "camera",CHAR(34), ":", IF(VALUE(VLOOKUP(C263,DM_fish!C:X,18, FALSE))&lt;VALUE(VLOOKUP(V263,imaging_filters!A:K,11, FALSE)), CONCATENATE(CHAR(34),"CamA",CHAR(34)), CONCATENATE(CHAR(34),"CamB",CHAR(34))),"}"), ""),IF(VLOOKUP(C263,DM_fish!C:X,20, FALSE)&gt;0, CONCATENATE(",{",CHAR(34),"target",CHAR(34),":",CHAR(34),VLOOKUP(C263,DM_fish!C:X,19, FALSE),CHAR(34),",", CHAR(34), "excitation",CHAR(34), ":", VLOOKUP(C263,DM_fish!C:X,20, FALSE), ",",  CHAR(34), "camera",CHAR(34), ":", IF(VALUE(VLOOKUP(C263,DM_fish!C:X,20, FALSE))&lt;VALUE(VLOOKUP(V263,imaging_filters!A:K,11, FALSE)), CONCATENATE(CHAR(34),"CamA",CHAR(34)), CONCATENATE(CHAR(34),"CamB",CHAR(34))),"}"), ""),IF(VLOOKUP(C263,DM_fish!C:X,22, FALSE)&gt;0, CONCATENATE(",{",CHAR(34),"target",CHAR(34),":",CHAR(34),VLOOKUP(C263,DM_fish!C:X,21, FALSE),CHAR(34),",", CHAR(34), "excitation",CHAR(34), ":", VLOOKUP(C263,DM_fish!C:X,22, FALSE), ",",  CHAR(34), "camera",CHAR(34), ":", IF(VALUE(VLOOKUP(C263,DM_fish!C:X,22, FALSE))&lt;VALUE(VLOOKUP(V263,imaging_filters!A:K,11, FALSE)), CONCATENATE(CHAR(34),"CamA",CHAR(34)), CONCATENATE(CHAR(34),"CamB",CHAR(34))),"}"), "")), "]"), "")</f>
        <v/>
      </c>
      <c r="Y263" s="11" t="str">
        <f ca="1">IFERROR(
CONCATENATE( "[",
IF(VLOOKUP(E263,Injections!B:F,3, FALSE)&gt;0, CONCATENATE( "{",CHAR(34),"target",CHAR(34),":",CHAR(34),VLOOKUP(E263,Injections!B:F,2, FALSE),CHAR(34),",", CHAR(34), "excitation",CHAR(34), ":", VLOOKUP(E263,Injections!B:F,3, FALSE), ",",  CHAR(34), "camera",CHAR(34), ":",
IF(VALUE(VLOOKUP(E263,Injections!B:F,3, FALSE))&lt;VALUE(VLOOKUP(V263,imaging_filters!A:C,2, FALSE)), CONCATENATE(CHAR(34),"CamA",CHAR(34)), CONCATENATE(CHAR(34),"CamB",CHAR(34))),"}"), ""),
IF(VLOOKUP(E263,Injections!B:F,5, FALSE)&gt;0, CONCATENATE(",{",CHAR(34),"target",CHAR(34),":",CHAR(34),VLOOKUP(E263,Injections!B:F,4, FALSE),CHAR(34),",", CHAR(34), "excitation",CHAR(34), ":", VLOOKUP(E263,Injections!B:F,5, FALSE), ",",  CHAR(34), "camera",CHAR(34), ":",
IF(VALUE(VLOOKUP(E263,Injections!B:F,5, FALSE))&lt;VALUE(VLOOKUP(V263,imaging_filters!A:C,2, FALSE)), CONCATENATE(CHAR(34),"CamA",CHAR(34)), CONCATENATE(CHAR(34),"CamB",CHAR(34))),"}"), ""),
 "]"), "[]")</f>
        <v>[]</v>
      </c>
      <c r="Z263" s="11" t="str">
        <f ca="1">IFERROR(
CONCATENATE( "[",
IF(VLOOKUP(F263,Injections!H:L,3, FALSE)&gt;0, CONCATENATE( "{",CHAR(34),"target",CHAR(34),":",CHAR(34),VLOOKUP(F263,Injections!H:L,2, FALSE),CHAR(34),",", CHAR(34), "excitation",CHAR(34), ":", VLOOKUP(F263,Injections!H:L,3, FALSE), ",",  CHAR(34), "camera",CHAR(34), ":",
IF(VALUE(VLOOKUP(F263,Injections!H:L,3, FALSE))&lt;VALUE(VLOOKUP(V263,imaging_filters!A:K,11, FALSE)), CONCATENATE(CHAR(34),"CamA",CHAR(34)), CONCATENATE(CHAR(34),"CamB",CHAR(34))),"}"), ""),
IF(VLOOKUP(F263,Injections!H:L,5, FALSE)&gt;0, CONCATENATE(",{",CHAR(34),"target",CHAR(34),":",CHAR(34),VLOOKUP(F263,Injections!H:L,4, FALSE),CHAR(34),",", CHAR(34), "excitation",CHAR(34), ":", VLOOKUP(F263,Injections!H:L,5, FALSE), ",",  CHAR(34), "camera",CHAR(34), ":",
IF(VALUE(VLOOKUP(F263,Injections!H:L,5, FALSE))&lt;VALUE(VLOOKUP(V263,imaging_filters!A:K,11, FALSE)), CONCATENATE(CHAR(34),"CamA",CHAR(34)), CONCATENATE(CHAR(34),"CamB",CHAR(34))),"}"), ""),
 "]"), "[]")</f>
        <v>[]</v>
      </c>
      <c r="AA263" s="11"/>
    </row>
    <row r="264" spans="1:28" ht="15.75" customHeight="1" x14ac:dyDescent="0.15">
      <c r="A264" s="7">
        <f t="shared" si="7"/>
        <v>45729</v>
      </c>
      <c r="B264" s="1"/>
      <c r="C264" s="1" t="s">
        <v>253</v>
      </c>
      <c r="D264" s="1" t="s">
        <v>164</v>
      </c>
      <c r="E264" s="1"/>
      <c r="F264" s="1" t="s">
        <v>449</v>
      </c>
      <c r="G264" s="8"/>
      <c r="H264" s="8"/>
      <c r="I264" s="8">
        <v>45728</v>
      </c>
      <c r="J264" s="1" t="s">
        <v>502</v>
      </c>
      <c r="K264" s="1" t="s">
        <v>504</v>
      </c>
      <c r="L264" s="19">
        <v>45729</v>
      </c>
      <c r="M264" s="19">
        <v>45729</v>
      </c>
      <c r="N264" s="9">
        <v>0.65625</v>
      </c>
      <c r="O264" s="9">
        <v>0.75</v>
      </c>
      <c r="P264" s="9">
        <v>0.79166666666666663</v>
      </c>
      <c r="Q264" s="1" t="s">
        <v>395</v>
      </c>
      <c r="R264" s="10" t="str">
        <f ca="1">IFERROR(__xludf.DUMMYFUNCTION("JOIN("","", SORT(UNIQUE(TOCOL({VLOOKUP(D264,DM_fish!A:B,2,FALSE),VLOOKUP(C264,DM_fish!A:B,2,FALSE), ARRAYFORMULA(VLOOKUP(SPLIT(E264, "", ""),Injections!B:G,6,FALSE)), ARRAYFORMULA(VLOOKUP(SPLIT(F264, "", ""),Injections!H:M,6,FALSE)), ARRAYFORMULA(VLOOKUP("&amp;"SPLIT(G264, "", ""),Injections!N:S,6,FALSE)), ARRAYFORMULA(VLOOKUP(SPLIT(H264, "", ""),Injections!T:Y,6,FALSE)) },3))))"),",csp,male #5 25%+ positive rate - currently best founder (but 2 alleles, one dim one bright(er)?,405,445")</f>
        <v>,csp,male #5 25%+ positive rate - currently best founder (but 2 alleles, one dim one bright(er)?,405,445</v>
      </c>
      <c r="S264" s="10" t="str">
        <f ca="1">IFERROR(__xludf.DUMMYFUNCTION("IFERROR(JOIN("","", SPLIT(R264, "","", TRUE ,TRUE)), """")"),"csp,male #5 25%+ positive rate - currently best founder (but 2 alleles, one dim one bright(er)?,405,445")</f>
        <v>csp,male #5 25%+ positive rate - currently best founder (but 2 alleles, one dim one bright(er)?,405,445</v>
      </c>
      <c r="T264" s="1" t="s">
        <v>505</v>
      </c>
      <c r="U264" s="1">
        <v>48</v>
      </c>
      <c r="V264" s="1" t="s">
        <v>280</v>
      </c>
      <c r="W264" s="12" t="str">
        <f ca="1">IFERROR(CONCATENATE("[", CONCATENATE(IF(VLOOKUP(D264,DM_fish!C:X,14, FALSE)&gt;0, CONCATENATE("{",CHAR(34),"target",CHAR(34),":",CHAR(34),VLOOKUP(D264,DM_fish!C:X,13, FALSE),CHAR(34),",", CHAR(34), "excitation",CHAR(34), ":", VLOOKUP(D264,DM_fish!C:X,14, FALSE), ",",  CHAR(34), "camera",CHAR(34), ":", IF(VALUE(VLOOKUP(D264,DM_fish!C:X,14, FALSE))&lt;VALUE(VLOOKUP(V264,imaging_filters!A:K,11, FALSE)), CONCATENATE(CHAR(34),"CamA",CHAR(34)), CONCATENATE(CHAR(34),"CamB",CHAR(34))),"}"), ""),IF(VLOOKUP(D264,DM_fish!C:X,16, FALSE)&gt;0, CONCATENATE(",{",CHAR(34),"target",CHAR(34),":",CHAR(34),VLOOKUP(D264,DM_fish!C:X,15, FALSE),CHAR(34),",", CHAR(34), "excitation",CHAR(34), ":", VLOOKUP(D264,DM_fish!C:X,16, FALSE), ",",  CHAR(34), "camera",CHAR(34), ":", IF(VALUE(VLOOKUP(D264,DM_fish!C:X,16, FALSE))&lt;VALUE(VLOOKUP(V264,imaging_filters!A:K,11, FALSE)), CONCATENATE(CHAR(34),"CamA",CHAR(34)), CONCATENATE(CHAR(34),"CamB",CHAR(34))),"}"), ""),IF(VLOOKUP(D264,DM_fish!C:X,18, FALSE)&gt;0, CONCATENATE(",{",CHAR(34),"target",CHAR(34),":",CHAR(34),VLOOKUP(D264,DM_fish!C:X,17, FALSE),CHAR(34),",", CHAR(34), "excitation",CHAR(34), ":", VLOOKUP(D264,DM_fish!C:X,18, FALSE), ",",  CHAR(34), "camera",CHAR(34), ":", IF(VALUE(VLOOKUP(D264,DM_fish!C:X,18, FALSE))&lt;VALUE(VLOOKUP(V264,imaging_filters!A:K,11, FALSE)), CONCATENATE(CHAR(34),"CamA",CHAR(34)), CONCATENATE(CHAR(34),"CamB",CHAR(34))),"}"), ""),IF(VLOOKUP(D264,DM_fish!C:X,20, FALSE)&gt;0, CONCATENATE(",{",CHAR(34),"target",CHAR(34),":",CHAR(34),VLOOKUP(D264,DM_fish!C:X,19, FALSE),CHAR(34),",", CHAR(34), "excitation",CHAR(34), ":", VLOOKUP(D264,DM_fish!C:X,20, FALSE), ",",  CHAR(34), "camera",CHAR(34), ":", IF(VALUE(VLOOKUP(D264,DM_fish!C:X,20, FALSE))&lt;VALUE(VLOOKUP(V264,imaging_filters!A:K,11, FALSE)), CONCATENATE(CHAR(34),"CamA",CHAR(34)), CONCATENATE(CHAR(34),"CamB",CHAR(34))),"}"), ""),IF(VLOOKUP(D264,DM_fish!C:X,22, FALSE)&gt;0, CONCATENATE(",{",CHAR(34),"target",CHAR(34),":",CHAR(34),VLOOKUP(D264,DM_fish!C:X,21, FALSE),CHAR(34),",", CHAR(34), "excitation",CHAR(34), ":", VLOOKUP(D264,DM_fish!C:X,22, FALSE), ",",  CHAR(34), "camera",CHAR(34), ":", IF(VALUE(VLOOKUP(D264,DM_fish!C:X,22, FALSE))&lt;VALUE(VLOOKUP(V264,imaging_filters!A:K,11, FALSE)), CONCATENATE(CHAR(34),"CamA",CHAR(34)), CONCATENATE(CHAR(34),"CamB",CHAR(34))),"}"), "")), "]"), "")</f>
        <v/>
      </c>
      <c r="X264" s="12" t="str">
        <f ca="1">IFERROR(
CONCATENATE("[", CONCATENATE(IF(VLOOKUP(C264,DM_fish!C:X,14, FALSE)&gt;0, CONCATENATE("{",CHAR(34),"target",CHAR(34),":",CHAR(34),VLOOKUP(C264,DM_fish!C:X,13, FALSE),CHAR(34),",", CHAR(34), "excitation",CHAR(34), ":", VLOOKUP(C264,DM_fish!C:X,14, FALSE), ",",  CHAR(34), "camera",CHAR(34), ":", IF(VALUE(VLOOKUP(C264,DM_fish!C:X,14, FALSE))&lt;VALUE(VLOOKUP(V264,imaging_filters!A:K,11, FALSE)), CONCATENATE(CHAR(34),"CamA",CHAR(34)), CONCATENATE(CHAR(34),"CamB",CHAR(34))),"}"), ""),IF(VLOOKUP(C264,DM_fish!C:X,16, FALSE)&gt;0, CONCATENATE(",{",CHAR(34),"target",CHAR(34),":",CHAR(34),VLOOKUP(C264,DM_fish!C:X,15, FALSE),CHAR(34),",", CHAR(34), "excitation",CHAR(34), ":", VLOOKUP(C264,DM_fish!C:X,16, FALSE), ",",  CHAR(34), "camera",CHAR(34), ":", IF(VALUE(VLOOKUP(C264,DM_fish!C:X,16, FALSE))&lt;VALUE(VLOOKUP(V264,imaging_filters!A:K,11, FALSE)), CONCATENATE(CHAR(34),"CamA",CHAR(34)), CONCATENATE(CHAR(34),"CamB",CHAR(34))),"}"), ""),IF(VLOOKUP(C264,DM_fish!C:X,18, FALSE)&gt;0, CONCATENATE(",{",CHAR(34),"target",CHAR(34),":",CHAR(34),VLOOKUP(C264,DM_fish!C:X,17, FALSE),CHAR(34),",", CHAR(34), "excitation",CHAR(34), ":", VLOOKUP(C264,DM_fish!C:X,18, FALSE), ",",  CHAR(34), "camera",CHAR(34), ":", IF(VALUE(VLOOKUP(C264,DM_fish!C:X,18, FALSE))&lt;VALUE(VLOOKUP(V264,imaging_filters!A:K,11, FALSE)), CONCATENATE(CHAR(34),"CamA",CHAR(34)), CONCATENATE(CHAR(34),"CamB",CHAR(34))),"}"), ""),IF(VLOOKUP(C264,DM_fish!C:X,20, FALSE)&gt;0, CONCATENATE(",{",CHAR(34),"target",CHAR(34),":",CHAR(34),VLOOKUP(C264,DM_fish!C:X,19, FALSE),CHAR(34),",", CHAR(34), "excitation",CHAR(34), ":", VLOOKUP(C264,DM_fish!C:X,20, FALSE), ",",  CHAR(34), "camera",CHAR(34), ":", IF(VALUE(VLOOKUP(C264,DM_fish!C:X,20, FALSE))&lt;VALUE(VLOOKUP(V264,imaging_filters!A:K,11, FALSE)), CONCATENATE(CHAR(34),"CamA",CHAR(34)), CONCATENATE(CHAR(34),"CamB",CHAR(34))),"}"), ""),IF(VLOOKUP(C264,DM_fish!C:X,22, FALSE)&gt;0, CONCATENATE(",{",CHAR(34),"target",CHAR(34),":",CHAR(34),VLOOKUP(C264,DM_fish!C:X,21, FALSE),CHAR(34),",", CHAR(34), "excitation",CHAR(34), ":", VLOOKUP(C264,DM_fish!C:X,22, FALSE), ",",  CHAR(34), "camera",CHAR(34), ":", IF(VALUE(VLOOKUP(C264,DM_fish!C:X,22, FALSE))&lt;VALUE(VLOOKUP(V264,imaging_filters!A:K,11, FALSE)), CONCATENATE(CHAR(34),"CamA",CHAR(34)), CONCATENATE(CHAR(34),"CamB",CHAR(34))),"}"), "")), "]"), "")</f>
        <v/>
      </c>
      <c r="Y264" s="11" t="str">
        <f ca="1">IFERROR(
CONCATENATE( "[",
IF(VLOOKUP(E264,Injections!B:F,3, FALSE)&gt;0, CONCATENATE( "{",CHAR(34),"target",CHAR(34),":",CHAR(34),VLOOKUP(E264,Injections!B:F,2, FALSE),CHAR(34),",", CHAR(34), "excitation",CHAR(34), ":", VLOOKUP(E264,Injections!B:F,3, FALSE), ",",  CHAR(34), "camera",CHAR(34), ":",
IF(VALUE(VLOOKUP(E264,Injections!B:F,3, FALSE))&lt;VALUE(VLOOKUP(V264,imaging_filters!A:C,2, FALSE)), CONCATENATE(CHAR(34),"CamA",CHAR(34)), CONCATENATE(CHAR(34),"CamB",CHAR(34))),"}"), ""),
IF(VLOOKUP(E264,Injections!B:F,5, FALSE)&gt;0, CONCATENATE(",{",CHAR(34),"target",CHAR(34),":",CHAR(34),VLOOKUP(E264,Injections!B:F,4, FALSE),CHAR(34),",", CHAR(34), "excitation",CHAR(34), ":", VLOOKUP(E264,Injections!B:F,5, FALSE), ",",  CHAR(34), "camera",CHAR(34), ":",
IF(VALUE(VLOOKUP(E264,Injections!B:F,5, FALSE))&lt;VALUE(VLOOKUP(V264,imaging_filters!A:C,2, FALSE)), CONCATENATE(CHAR(34),"CamA",CHAR(34)), CONCATENATE(CHAR(34),"CamB",CHAR(34))),"}"), ""),
 "]"), "[]")</f>
        <v>[]</v>
      </c>
      <c r="Z264" s="11" t="str">
        <f ca="1">IFERROR(
CONCATENATE( "[",
IF(VLOOKUP(F264,Injections!H:L,3, FALSE)&gt;0, CONCATENATE( "{",CHAR(34),"target",CHAR(34),":",CHAR(34),VLOOKUP(F264,Injections!H:L,2, FALSE),CHAR(34),",", CHAR(34), "excitation",CHAR(34), ":", VLOOKUP(F264,Injections!H:L,3, FALSE), ",",  CHAR(34), "camera",CHAR(34), ":",
IF(VALUE(VLOOKUP(F264,Injections!H:L,3, FALSE))&lt;VALUE(VLOOKUP(V264,imaging_filters!A:K,11, FALSE)), CONCATENATE(CHAR(34),"CamA",CHAR(34)), CONCATENATE(CHAR(34),"CamB",CHAR(34))),"}"), ""),
IF(VLOOKUP(F264,Injections!H:L,5, FALSE)&gt;0, CONCATENATE(",{",CHAR(34),"target",CHAR(34),":",CHAR(34),VLOOKUP(F264,Injections!H:L,4, FALSE),CHAR(34),",", CHAR(34), "excitation",CHAR(34), ":", VLOOKUP(F264,Injections!H:L,5, FALSE), ",",  CHAR(34), "camera",CHAR(34), ":",
IF(VALUE(VLOOKUP(F264,Injections!H:L,5, FALSE))&lt;VALUE(VLOOKUP(V264,imaging_filters!A:K,11, FALSE)), CONCATENATE(CHAR(34),"CamA",CHAR(34)), CONCATENATE(CHAR(34),"CamB",CHAR(34))),"}"), ""),
 "]"), "[]")</f>
        <v>[]</v>
      </c>
      <c r="AA264" s="11"/>
    </row>
    <row r="265" spans="1:28" ht="15.75" customHeight="1" x14ac:dyDescent="0.15">
      <c r="A265" s="7">
        <f t="shared" si="7"/>
        <v>45728</v>
      </c>
      <c r="B265" s="1"/>
      <c r="C265" s="1" t="s">
        <v>253</v>
      </c>
      <c r="D265" s="1" t="s">
        <v>253</v>
      </c>
      <c r="E265" s="1"/>
      <c r="F265" s="1" t="s">
        <v>64</v>
      </c>
      <c r="G265" s="8"/>
      <c r="H265" s="8"/>
      <c r="I265" s="8">
        <v>45726</v>
      </c>
      <c r="J265" s="1" t="s">
        <v>506</v>
      </c>
      <c r="K265" s="1" t="s">
        <v>246</v>
      </c>
      <c r="L265" s="19">
        <v>45727</v>
      </c>
      <c r="M265" s="8">
        <v>45728</v>
      </c>
      <c r="N265" s="9">
        <v>0.38541666666666669</v>
      </c>
      <c r="O265" s="9">
        <v>0.39583333333333331</v>
      </c>
      <c r="P265" s="9">
        <v>0.6875</v>
      </c>
      <c r="Q265" s="1" t="s">
        <v>366</v>
      </c>
      <c r="R265" s="10" t="str">
        <f ca="1">IFERROR(__xludf.DUMMYFUNCTION("JOIN("","", SORT(UNIQUE(TOCOL({VLOOKUP(D265,DM_fish!A:B,2,FALSE),VLOOKUP(C265,DM_fish!A:B,2,FALSE), ARRAYFORMULA(VLOOKUP(SPLIT(E265, "", ""),Injections!B:G,6,FALSE)), ARRAYFORMULA(VLOOKUP(SPLIT(F265, "", ""),Injections!H:M,6,FALSE)), ARRAYFORMULA(VLOOKUP("&amp;"SPLIT(G265, "", ""),Injections!N:S,6,FALSE)), ARRAYFORMULA(VLOOKUP(SPLIT(H265, "", ""),Injections!T:Y,6,FALSE)) },3))))"),"nuclei")</f>
        <v>nuclei</v>
      </c>
      <c r="S265" s="10" t="str">
        <f ca="1">IFERROR(__xludf.DUMMYFUNCTION("IFERROR(JOIN("","", SPLIT(R265, "","", TRUE ,TRUE)), """")"),"nuclei")</f>
        <v>nuclei</v>
      </c>
      <c r="T265" s="1" t="s">
        <v>507</v>
      </c>
      <c r="U265" s="17">
        <v>1167</v>
      </c>
      <c r="V265" s="1" t="s">
        <v>203</v>
      </c>
      <c r="W265" s="12" t="str">
        <f ca="1">IFERROR(CONCATENATE("[", CONCATENATE(IF(VLOOKUP(D265,DM_fish!C:X,14, FALSE)&gt;0, CONCATENATE("{",CHAR(34),"target",CHAR(34),":",CHAR(34),VLOOKUP(D265,DM_fish!C:X,13, FALSE),CHAR(34),",", CHAR(34), "excitation",CHAR(34), ":", VLOOKUP(D265,DM_fish!C:X,14, FALSE), ",",  CHAR(34), "camera",CHAR(34), ":", IF(VALUE(VLOOKUP(D265,DM_fish!C:X,14, FALSE))&lt;VALUE(VLOOKUP(V265,imaging_filters!A:K,11, FALSE)), CONCATENATE(CHAR(34),"CamA",CHAR(34)), CONCATENATE(CHAR(34),"CamB",CHAR(34))),"}"), ""),IF(VLOOKUP(D265,DM_fish!C:X,16, FALSE)&gt;0, CONCATENATE(",{",CHAR(34),"target",CHAR(34),":",CHAR(34),VLOOKUP(D265,DM_fish!C:X,15, FALSE),CHAR(34),",", CHAR(34), "excitation",CHAR(34), ":", VLOOKUP(D265,DM_fish!C:X,16, FALSE), ",",  CHAR(34), "camera",CHAR(34), ":", IF(VALUE(VLOOKUP(D265,DM_fish!C:X,16, FALSE))&lt;VALUE(VLOOKUP(V265,imaging_filters!A:K,11, FALSE)), CONCATENATE(CHAR(34),"CamA",CHAR(34)), CONCATENATE(CHAR(34),"CamB",CHAR(34))),"}"), ""),IF(VLOOKUP(D265,DM_fish!C:X,18, FALSE)&gt;0, CONCATENATE(",{",CHAR(34),"target",CHAR(34),":",CHAR(34),VLOOKUP(D265,DM_fish!C:X,17, FALSE),CHAR(34),",", CHAR(34), "excitation",CHAR(34), ":", VLOOKUP(D265,DM_fish!C:X,18, FALSE), ",",  CHAR(34), "camera",CHAR(34), ":", IF(VALUE(VLOOKUP(D265,DM_fish!C:X,18, FALSE))&lt;VALUE(VLOOKUP(V265,imaging_filters!A:K,11, FALSE)), CONCATENATE(CHAR(34),"CamA",CHAR(34)), CONCATENATE(CHAR(34),"CamB",CHAR(34))),"}"), ""),IF(VLOOKUP(D265,DM_fish!C:X,20, FALSE)&gt;0, CONCATENATE(",{",CHAR(34),"target",CHAR(34),":",CHAR(34),VLOOKUP(D265,DM_fish!C:X,19, FALSE),CHAR(34),",", CHAR(34), "excitation",CHAR(34), ":", VLOOKUP(D265,DM_fish!C:X,20, FALSE), ",",  CHAR(34), "camera",CHAR(34), ":", IF(VALUE(VLOOKUP(D265,DM_fish!C:X,20, FALSE))&lt;VALUE(VLOOKUP(V265,imaging_filters!A:K,11, FALSE)), CONCATENATE(CHAR(34),"CamA",CHAR(34)), CONCATENATE(CHAR(34),"CamB",CHAR(34))),"}"), ""),IF(VLOOKUP(D265,DM_fish!C:X,22, FALSE)&gt;0, CONCATENATE(",{",CHAR(34),"target",CHAR(34),":",CHAR(34),VLOOKUP(D265,DM_fish!C:X,21, FALSE),CHAR(34),",", CHAR(34), "excitation",CHAR(34), ":", VLOOKUP(D265,DM_fish!C:X,22, FALSE), ",",  CHAR(34), "camera",CHAR(34), ":", IF(VALUE(VLOOKUP(D265,DM_fish!C:X,22, FALSE))&lt;VALUE(VLOOKUP(V265,imaging_filters!A:K,11, FALSE)), CONCATENATE(CHAR(34),"CamA",CHAR(34)), CONCATENATE(CHAR(34),"CamB",CHAR(34))),"}"), "")), "]"), "")</f>
        <v/>
      </c>
      <c r="X265" s="12" t="str">
        <f ca="1">IFERROR(
CONCATENATE("[", CONCATENATE(IF(VLOOKUP(C265,DM_fish!C:X,14, FALSE)&gt;0, CONCATENATE("{",CHAR(34),"target",CHAR(34),":",CHAR(34),VLOOKUP(C265,DM_fish!C:X,13, FALSE),CHAR(34),",", CHAR(34), "excitation",CHAR(34), ":", VLOOKUP(C265,DM_fish!C:X,14, FALSE), ",",  CHAR(34), "camera",CHAR(34), ":", IF(VALUE(VLOOKUP(C265,DM_fish!C:X,14, FALSE))&lt;VALUE(VLOOKUP(V265,imaging_filters!A:K,11, FALSE)), CONCATENATE(CHAR(34),"CamA",CHAR(34)), CONCATENATE(CHAR(34),"CamB",CHAR(34))),"}"), ""),IF(VLOOKUP(C265,DM_fish!C:X,16, FALSE)&gt;0, CONCATENATE(",{",CHAR(34),"target",CHAR(34),":",CHAR(34),VLOOKUP(C265,DM_fish!C:X,15, FALSE),CHAR(34),",", CHAR(34), "excitation",CHAR(34), ":", VLOOKUP(C265,DM_fish!C:X,16, FALSE), ",",  CHAR(34), "camera",CHAR(34), ":", IF(VALUE(VLOOKUP(C265,DM_fish!C:X,16, FALSE))&lt;VALUE(VLOOKUP(V265,imaging_filters!A:K,11, FALSE)), CONCATENATE(CHAR(34),"CamA",CHAR(34)), CONCATENATE(CHAR(34),"CamB",CHAR(34))),"}"), ""),IF(VLOOKUP(C265,DM_fish!C:X,18, FALSE)&gt;0, CONCATENATE(",{",CHAR(34),"target",CHAR(34),":",CHAR(34),VLOOKUP(C265,DM_fish!C:X,17, FALSE),CHAR(34),",", CHAR(34), "excitation",CHAR(34), ":", VLOOKUP(C265,DM_fish!C:X,18, FALSE), ",",  CHAR(34), "camera",CHAR(34), ":", IF(VALUE(VLOOKUP(C265,DM_fish!C:X,18, FALSE))&lt;VALUE(VLOOKUP(V265,imaging_filters!A:K,11, FALSE)), CONCATENATE(CHAR(34),"CamA",CHAR(34)), CONCATENATE(CHAR(34),"CamB",CHAR(34))),"}"), ""),IF(VLOOKUP(C265,DM_fish!C:X,20, FALSE)&gt;0, CONCATENATE(",{",CHAR(34),"target",CHAR(34),":",CHAR(34),VLOOKUP(C265,DM_fish!C:X,19, FALSE),CHAR(34),",", CHAR(34), "excitation",CHAR(34), ":", VLOOKUP(C265,DM_fish!C:X,20, FALSE), ",",  CHAR(34), "camera",CHAR(34), ":", IF(VALUE(VLOOKUP(C265,DM_fish!C:X,20, FALSE))&lt;VALUE(VLOOKUP(V265,imaging_filters!A:K,11, FALSE)), CONCATENATE(CHAR(34),"CamA",CHAR(34)), CONCATENATE(CHAR(34),"CamB",CHAR(34))),"}"), ""),IF(VLOOKUP(C265,DM_fish!C:X,22, FALSE)&gt;0, CONCATENATE(",{",CHAR(34),"target",CHAR(34),":",CHAR(34),VLOOKUP(C265,DM_fish!C:X,21, FALSE),CHAR(34),",", CHAR(34), "excitation",CHAR(34), ":", VLOOKUP(C265,DM_fish!C:X,22, FALSE), ",",  CHAR(34), "camera",CHAR(34), ":", IF(VALUE(VLOOKUP(C265,DM_fish!C:X,22, FALSE))&lt;VALUE(VLOOKUP(V265,imaging_filters!A:K,11, FALSE)), CONCATENATE(CHAR(34),"CamA",CHAR(34)), CONCATENATE(CHAR(34),"CamB",CHAR(34))),"}"), "")), "]"), "")</f>
        <v/>
      </c>
      <c r="Y265" s="11" t="str">
        <f ca="1">IFERROR(
CONCATENATE( "[",
IF(VLOOKUP(E265,Injections!B:F,3, FALSE)&gt;0, CONCATENATE( "{",CHAR(34),"target",CHAR(34),":",CHAR(34),VLOOKUP(E265,Injections!B:F,2, FALSE),CHAR(34),",", CHAR(34), "excitation",CHAR(34), ":", VLOOKUP(E265,Injections!B:F,3, FALSE), ",",  CHAR(34), "camera",CHAR(34), ":",
IF(VALUE(VLOOKUP(E265,Injections!B:F,3, FALSE))&lt;VALUE(VLOOKUP(V265,imaging_filters!A:C,2, FALSE)), CONCATENATE(CHAR(34),"CamA",CHAR(34)), CONCATENATE(CHAR(34),"CamB",CHAR(34))),"}"), ""),
IF(VLOOKUP(E265,Injections!B:F,5, FALSE)&gt;0, CONCATENATE(",{",CHAR(34),"target",CHAR(34),":",CHAR(34),VLOOKUP(E265,Injections!B:F,4, FALSE),CHAR(34),",", CHAR(34), "excitation",CHAR(34), ":", VLOOKUP(E265,Injections!B:F,5, FALSE), ",",  CHAR(34), "camera",CHAR(34), ":",
IF(VALUE(VLOOKUP(E265,Injections!B:F,5, FALSE))&lt;VALUE(VLOOKUP(V265,imaging_filters!A:C,2, FALSE)), CONCATENATE(CHAR(34),"CamA",CHAR(34)), CONCATENATE(CHAR(34),"CamB",CHAR(34))),"}"), ""),
 "]"), "[]")</f>
        <v>[]</v>
      </c>
      <c r="Z265" s="11" t="str">
        <f ca="1">IFERROR(
CONCATENATE( "[",
IF(VLOOKUP(F265,Injections!H:L,3, FALSE)&gt;0, CONCATENATE( "{",CHAR(34),"target",CHAR(34),":",CHAR(34),VLOOKUP(F265,Injections!H:L,2, FALSE),CHAR(34),",", CHAR(34), "excitation",CHAR(34), ":", VLOOKUP(F265,Injections!H:L,3, FALSE), ",",  CHAR(34), "camera",CHAR(34), ":",
IF(VALUE(VLOOKUP(F265,Injections!H:L,3, FALSE))&lt;VALUE(VLOOKUP(V265,imaging_filters!A:K,11, FALSE)), CONCATENATE(CHAR(34),"CamA",CHAR(34)), CONCATENATE(CHAR(34),"CamB",CHAR(34))),"}"), ""),
IF(VLOOKUP(F265,Injections!H:L,5, FALSE)&gt;0, CONCATENATE(",{",CHAR(34),"target",CHAR(34),":",CHAR(34),VLOOKUP(F265,Injections!H:L,4, FALSE),CHAR(34),",", CHAR(34), "excitation",CHAR(34), ":", VLOOKUP(F265,Injections!H:L,5, FALSE), ",",  CHAR(34), "camera",CHAR(34), ":",
IF(VALUE(VLOOKUP(F265,Injections!H:L,5, FALSE))&lt;VALUE(VLOOKUP(V265,imaging_filters!A:K,11, FALSE)), CONCATENATE(CHAR(34),"CamA",CHAR(34)), CONCATENATE(CHAR(34),"CamB",CHAR(34))),"}"), ""),
 "]"), "[]")</f>
        <v>[{"target":"nuclei","excitation":560,"camera":"CamB"}]</v>
      </c>
      <c r="AA265" s="11"/>
    </row>
    <row r="266" spans="1:28" ht="15.75" customHeight="1" x14ac:dyDescent="0.15">
      <c r="A266" s="7">
        <f t="shared" si="7"/>
        <v>45728</v>
      </c>
      <c r="B266" s="1"/>
      <c r="C266" s="1" t="s">
        <v>253</v>
      </c>
      <c r="D266" s="1" t="s">
        <v>253</v>
      </c>
      <c r="E266" s="1" t="s">
        <v>508</v>
      </c>
      <c r="F266" s="1"/>
      <c r="G266" s="8"/>
      <c r="H266" s="8"/>
      <c r="I266" s="8">
        <v>45726</v>
      </c>
      <c r="J266" s="1" t="s">
        <v>509</v>
      </c>
      <c r="K266" s="1" t="s">
        <v>34</v>
      </c>
      <c r="L266" s="19">
        <v>45728</v>
      </c>
      <c r="M266" s="19">
        <v>45728</v>
      </c>
      <c r="N266" s="9">
        <v>0.69791666666666663</v>
      </c>
      <c r="P266" s="1" t="s">
        <v>510</v>
      </c>
      <c r="Q266" s="1"/>
      <c r="R266" s="10" t="str">
        <f ca="1">IFERROR(__xludf.DUMMYFUNCTION("JOIN("","", SORT(UNIQUE(TOCOL({VLOOKUP(D266,DM_fish!A:B,2,FALSE),VLOOKUP(C266,DM_fish!A:B,2,FALSE), ARRAYFORMULA(VLOOKUP(SPLIT(E266, "", ""),Injections!B:G,6,FALSE)), ARRAYFORMULA(VLOOKUP(SPLIT(F266, "", ""),Injections!H:M,6,FALSE)), ARRAYFORMULA(VLOOKUP("&amp;"SPLIT(G266, "", ""),Injections!N:S,6,FALSE)), ARRAYFORMULA(VLOOKUP(SPLIT(H266, "", ""),Injections!T:Y,6,FALSE)) },3))))"),"cytosol")</f>
        <v>cytosol</v>
      </c>
      <c r="S266" s="10" t="str">
        <f ca="1">IFERROR(__xludf.DUMMYFUNCTION("IFERROR(JOIN("","", SPLIT(R266, "","", TRUE ,TRUE)), """")"),"cytosol")</f>
        <v>cytosol</v>
      </c>
      <c r="T266" s="1"/>
      <c r="V266" s="1" t="s">
        <v>280</v>
      </c>
      <c r="W266" s="12" t="str">
        <f ca="1">IFERROR(CONCATENATE("[", CONCATENATE(IF(VLOOKUP(D266,DM_fish!C:X,14, FALSE)&gt;0, CONCATENATE("{",CHAR(34),"target",CHAR(34),":",CHAR(34),VLOOKUP(D266,DM_fish!C:X,13, FALSE),CHAR(34),",", CHAR(34), "excitation",CHAR(34), ":", VLOOKUP(D266,DM_fish!C:X,14, FALSE), ",",  CHAR(34), "camera",CHAR(34), ":", IF(VALUE(VLOOKUP(D266,DM_fish!C:X,14, FALSE))&lt;VALUE(VLOOKUP(V266,imaging_filters!A:K,11, FALSE)), CONCATENATE(CHAR(34),"CamA",CHAR(34)), CONCATENATE(CHAR(34),"CamB",CHAR(34))),"}"), ""),IF(VLOOKUP(D266,DM_fish!C:X,16, FALSE)&gt;0, CONCATENATE(",{",CHAR(34),"target",CHAR(34),":",CHAR(34),VLOOKUP(D266,DM_fish!C:X,15, FALSE),CHAR(34),",", CHAR(34), "excitation",CHAR(34), ":", VLOOKUP(D266,DM_fish!C:X,16, FALSE), ",",  CHAR(34), "camera",CHAR(34), ":", IF(VALUE(VLOOKUP(D266,DM_fish!C:X,16, FALSE))&lt;VALUE(VLOOKUP(V266,imaging_filters!A:K,11, FALSE)), CONCATENATE(CHAR(34),"CamA",CHAR(34)), CONCATENATE(CHAR(34),"CamB",CHAR(34))),"}"), ""),IF(VLOOKUP(D266,DM_fish!C:X,18, FALSE)&gt;0, CONCATENATE(",{",CHAR(34),"target",CHAR(34),":",CHAR(34),VLOOKUP(D266,DM_fish!C:X,17, FALSE),CHAR(34),",", CHAR(34), "excitation",CHAR(34), ":", VLOOKUP(D266,DM_fish!C:X,18, FALSE), ",",  CHAR(34), "camera",CHAR(34), ":", IF(VALUE(VLOOKUP(D266,DM_fish!C:X,18, FALSE))&lt;VALUE(VLOOKUP(V266,imaging_filters!A:K,11, FALSE)), CONCATENATE(CHAR(34),"CamA",CHAR(34)), CONCATENATE(CHAR(34),"CamB",CHAR(34))),"}"), ""),IF(VLOOKUP(D266,DM_fish!C:X,20, FALSE)&gt;0, CONCATENATE(",{",CHAR(34),"target",CHAR(34),":",CHAR(34),VLOOKUP(D266,DM_fish!C:X,19, FALSE),CHAR(34),",", CHAR(34), "excitation",CHAR(34), ":", VLOOKUP(D266,DM_fish!C:X,20, FALSE), ",",  CHAR(34), "camera",CHAR(34), ":", IF(VALUE(VLOOKUP(D266,DM_fish!C:X,20, FALSE))&lt;VALUE(VLOOKUP(V266,imaging_filters!A:K,11, FALSE)), CONCATENATE(CHAR(34),"CamA",CHAR(34)), CONCATENATE(CHAR(34),"CamB",CHAR(34))),"}"), ""),IF(VLOOKUP(D266,DM_fish!C:X,22, FALSE)&gt;0, CONCATENATE(",{",CHAR(34),"target",CHAR(34),":",CHAR(34),VLOOKUP(D266,DM_fish!C:X,21, FALSE),CHAR(34),",", CHAR(34), "excitation",CHAR(34), ":", VLOOKUP(D266,DM_fish!C:X,22, FALSE), ",",  CHAR(34), "camera",CHAR(34), ":", IF(VALUE(VLOOKUP(D266,DM_fish!C:X,22, FALSE))&lt;VALUE(VLOOKUP(V266,imaging_filters!A:K,11, FALSE)), CONCATENATE(CHAR(34),"CamA",CHAR(34)), CONCATENATE(CHAR(34),"CamB",CHAR(34))),"}"), "")), "]"), "")</f>
        <v/>
      </c>
      <c r="X266" s="12" t="str">
        <f ca="1">IFERROR(
CONCATENATE("[", CONCATENATE(IF(VLOOKUP(C266,DM_fish!C:X,14, FALSE)&gt;0, CONCATENATE("{",CHAR(34),"target",CHAR(34),":",CHAR(34),VLOOKUP(C266,DM_fish!C:X,13, FALSE),CHAR(34),",", CHAR(34), "excitation",CHAR(34), ":", VLOOKUP(C266,DM_fish!C:X,14, FALSE), ",",  CHAR(34), "camera",CHAR(34), ":", IF(VALUE(VLOOKUP(C266,DM_fish!C:X,14, FALSE))&lt;VALUE(VLOOKUP(V266,imaging_filters!A:K,11, FALSE)), CONCATENATE(CHAR(34),"CamA",CHAR(34)), CONCATENATE(CHAR(34),"CamB",CHAR(34))),"}"), ""),IF(VLOOKUP(C266,DM_fish!C:X,16, FALSE)&gt;0, CONCATENATE(",{",CHAR(34),"target",CHAR(34),":",CHAR(34),VLOOKUP(C266,DM_fish!C:X,15, FALSE),CHAR(34),",", CHAR(34), "excitation",CHAR(34), ":", VLOOKUP(C266,DM_fish!C:X,16, FALSE), ",",  CHAR(34), "camera",CHAR(34), ":", IF(VALUE(VLOOKUP(C266,DM_fish!C:X,16, FALSE))&lt;VALUE(VLOOKUP(V266,imaging_filters!A:K,11, FALSE)), CONCATENATE(CHAR(34),"CamA",CHAR(34)), CONCATENATE(CHAR(34),"CamB",CHAR(34))),"}"), ""),IF(VLOOKUP(C266,DM_fish!C:X,18, FALSE)&gt;0, CONCATENATE(",{",CHAR(34),"target",CHAR(34),":",CHAR(34),VLOOKUP(C266,DM_fish!C:X,17, FALSE),CHAR(34),",", CHAR(34), "excitation",CHAR(34), ":", VLOOKUP(C266,DM_fish!C:X,18, FALSE), ",",  CHAR(34), "camera",CHAR(34), ":", IF(VALUE(VLOOKUP(C266,DM_fish!C:X,18, FALSE))&lt;VALUE(VLOOKUP(V266,imaging_filters!A:K,11, FALSE)), CONCATENATE(CHAR(34),"CamA",CHAR(34)), CONCATENATE(CHAR(34),"CamB",CHAR(34))),"}"), ""),IF(VLOOKUP(C266,DM_fish!C:X,20, FALSE)&gt;0, CONCATENATE(",{",CHAR(34),"target",CHAR(34),":",CHAR(34),VLOOKUP(C266,DM_fish!C:X,19, FALSE),CHAR(34),",", CHAR(34), "excitation",CHAR(34), ":", VLOOKUP(C266,DM_fish!C:X,20, FALSE), ",",  CHAR(34), "camera",CHAR(34), ":", IF(VALUE(VLOOKUP(C266,DM_fish!C:X,20, FALSE))&lt;VALUE(VLOOKUP(V266,imaging_filters!A:K,11, FALSE)), CONCATENATE(CHAR(34),"CamA",CHAR(34)), CONCATENATE(CHAR(34),"CamB",CHAR(34))),"}"), ""),IF(VLOOKUP(C266,DM_fish!C:X,22, FALSE)&gt;0, CONCATENATE(",{",CHAR(34),"target",CHAR(34),":",CHAR(34),VLOOKUP(C266,DM_fish!C:X,21, FALSE),CHAR(34),",", CHAR(34), "excitation",CHAR(34), ":", VLOOKUP(C266,DM_fish!C:X,22, FALSE), ",",  CHAR(34), "camera",CHAR(34), ":", IF(VALUE(VLOOKUP(C266,DM_fish!C:X,22, FALSE))&lt;VALUE(VLOOKUP(V266,imaging_filters!A:K,11, FALSE)), CONCATENATE(CHAR(34),"CamA",CHAR(34)), CONCATENATE(CHAR(34),"CamB",CHAR(34))),"}"), "")), "]"), "")</f>
        <v/>
      </c>
      <c r="Y266" s="11" t="str">
        <f ca="1">IFERROR(
CONCATENATE( "[",
IF(VLOOKUP(E266,Injections!B:F,3, FALSE)&gt;0, CONCATENATE( "{",CHAR(34),"target",CHAR(34),":",CHAR(34),VLOOKUP(E266,Injections!B:F,2, FALSE),CHAR(34),",", CHAR(34), "excitation",CHAR(34), ":", VLOOKUP(E266,Injections!B:F,3, FALSE), ",",  CHAR(34), "camera",CHAR(34), ":",
IF(VALUE(VLOOKUP(E266,Injections!B:F,3, FALSE))&lt;VALUE(VLOOKUP(V266,imaging_filters!A:C,2, FALSE)), CONCATENATE(CHAR(34),"CamA",CHAR(34)), CONCATENATE(CHAR(34),"CamB",CHAR(34))),"}"), ""),
IF(VLOOKUP(E266,Injections!B:F,5, FALSE)&gt;0, CONCATENATE(",{",CHAR(34),"target",CHAR(34),":",CHAR(34),VLOOKUP(E266,Injections!B:F,4, FALSE),CHAR(34),",", CHAR(34), "excitation",CHAR(34), ":", VLOOKUP(E266,Injections!B:F,5, FALSE), ",",  CHAR(34), "camera",CHAR(34), ":",
IF(VALUE(VLOOKUP(E266,Injections!B:F,5, FALSE))&lt;VALUE(VLOOKUP(V266,imaging_filters!A:C,2, FALSE)), CONCATENATE(CHAR(34),"CamA",CHAR(34)), CONCATENATE(CHAR(34),"CamB",CHAR(34))),"}"), ""),
 "]"), "[]")</f>
        <v>[{"target":"cytosol","excitation":445,"camera":"CamA"},{"target":"cytosol","excitation":445,"camera":"CamA"}]</v>
      </c>
      <c r="Z266" s="11" t="str">
        <f ca="1">IFERROR(
CONCATENATE( "[",
IF(VLOOKUP(F266,Injections!H:L,3, FALSE)&gt;0, CONCATENATE( "{",CHAR(34),"target",CHAR(34),":",CHAR(34),VLOOKUP(F266,Injections!H:L,2, FALSE),CHAR(34),",", CHAR(34), "excitation",CHAR(34), ":", VLOOKUP(F266,Injections!H:L,3, FALSE), ",",  CHAR(34), "camera",CHAR(34), ":",
IF(VALUE(VLOOKUP(F266,Injections!H:L,3, FALSE))&lt;VALUE(VLOOKUP(V266,imaging_filters!A:K,11, FALSE)), CONCATENATE(CHAR(34),"CamA",CHAR(34)), CONCATENATE(CHAR(34),"CamB",CHAR(34))),"}"), ""),
IF(VLOOKUP(F266,Injections!H:L,5, FALSE)&gt;0, CONCATENATE(",{",CHAR(34),"target",CHAR(34),":",CHAR(34),VLOOKUP(F266,Injections!H:L,4, FALSE),CHAR(34),",", CHAR(34), "excitation",CHAR(34), ":", VLOOKUP(F266,Injections!H:L,5, FALSE), ",",  CHAR(34), "camera",CHAR(34), ":",
IF(VALUE(VLOOKUP(F266,Injections!H:L,5, FALSE))&lt;VALUE(VLOOKUP(V266,imaging_filters!A:K,11, FALSE)), CONCATENATE(CHAR(34),"CamA",CHAR(34)), CONCATENATE(CHAR(34),"CamB",CHAR(34))),"}"), ""),
 "]"), "[]")</f>
        <v>[]</v>
      </c>
      <c r="AA266" s="1" t="s">
        <v>511</v>
      </c>
    </row>
    <row r="267" spans="1:28" ht="15.75" customHeight="1" x14ac:dyDescent="0.15">
      <c r="A267" s="7">
        <f t="shared" si="7"/>
        <v>45728</v>
      </c>
      <c r="B267" s="1"/>
      <c r="C267" s="1" t="s">
        <v>253</v>
      </c>
      <c r="D267" s="1" t="s">
        <v>253</v>
      </c>
      <c r="E267" s="1" t="s">
        <v>508</v>
      </c>
      <c r="F267" s="1"/>
      <c r="G267" s="8"/>
      <c r="H267" s="8"/>
      <c r="I267" s="8">
        <v>45726</v>
      </c>
      <c r="J267" s="1" t="s">
        <v>509</v>
      </c>
      <c r="K267" s="1" t="s">
        <v>34</v>
      </c>
      <c r="L267" s="19">
        <v>45728</v>
      </c>
      <c r="M267" s="19">
        <v>45728</v>
      </c>
      <c r="N267" s="9">
        <v>0.69791666666666663</v>
      </c>
      <c r="P267" s="1" t="s">
        <v>510</v>
      </c>
      <c r="Q267" s="1"/>
      <c r="R267" s="10" t="str">
        <f ca="1">IFERROR(__xludf.DUMMYFUNCTION("JOIN("","", SORT(UNIQUE(TOCOL({VLOOKUP(D267,DM_fish!A:B,2,FALSE),VLOOKUP(C267,DM_fish!A:B,2,FALSE), ARRAYFORMULA(VLOOKUP(SPLIT(E267, "", ""),Injections!B:G,6,FALSE)), ARRAYFORMULA(VLOOKUP(SPLIT(F267, "", ""),Injections!H:M,6,FALSE)), ARRAYFORMULA(VLOOKUP("&amp;"SPLIT(G267, "", ""),Injections!N:S,6,FALSE)), ARRAYFORMULA(VLOOKUP(SPLIT(H267, "", ""),Injections!T:Y,6,FALSE)) },3))))"),"cytosol")</f>
        <v>cytosol</v>
      </c>
      <c r="S267" s="10" t="str">
        <f ca="1">IFERROR(__xludf.DUMMYFUNCTION("IFERROR(JOIN("","", SPLIT(R267, "","", TRUE ,TRUE)), """")"),"cytosol")</f>
        <v>cytosol</v>
      </c>
      <c r="T267" s="1"/>
      <c r="V267" s="1" t="s">
        <v>280</v>
      </c>
      <c r="W267" s="12" t="str">
        <f ca="1">IFERROR(CONCATENATE("[", CONCATENATE(IF(VLOOKUP(D267,DM_fish!C:X,14, FALSE)&gt;0, CONCATENATE("{",CHAR(34),"target",CHAR(34),":",CHAR(34),VLOOKUP(D267,DM_fish!C:X,13, FALSE),CHAR(34),",", CHAR(34), "excitation",CHAR(34), ":", VLOOKUP(D267,DM_fish!C:X,14, FALSE), ",",  CHAR(34), "camera",CHAR(34), ":", IF(VALUE(VLOOKUP(D267,DM_fish!C:X,14, FALSE))&lt;VALUE(VLOOKUP(V267,imaging_filters!A:K,11, FALSE)), CONCATENATE(CHAR(34),"CamA",CHAR(34)), CONCATENATE(CHAR(34),"CamB",CHAR(34))),"}"), ""),IF(VLOOKUP(D267,DM_fish!C:X,16, FALSE)&gt;0, CONCATENATE(",{",CHAR(34),"target",CHAR(34),":",CHAR(34),VLOOKUP(D267,DM_fish!C:X,15, FALSE),CHAR(34),",", CHAR(34), "excitation",CHAR(34), ":", VLOOKUP(D267,DM_fish!C:X,16, FALSE), ",",  CHAR(34), "camera",CHAR(34), ":", IF(VALUE(VLOOKUP(D267,DM_fish!C:X,16, FALSE))&lt;VALUE(VLOOKUP(V267,imaging_filters!A:K,11, FALSE)), CONCATENATE(CHAR(34),"CamA",CHAR(34)), CONCATENATE(CHAR(34),"CamB",CHAR(34))),"}"), ""),IF(VLOOKUP(D267,DM_fish!C:X,18, FALSE)&gt;0, CONCATENATE(",{",CHAR(34),"target",CHAR(34),":",CHAR(34),VLOOKUP(D267,DM_fish!C:X,17, FALSE),CHAR(34),",", CHAR(34), "excitation",CHAR(34), ":", VLOOKUP(D267,DM_fish!C:X,18, FALSE), ",",  CHAR(34), "camera",CHAR(34), ":", IF(VALUE(VLOOKUP(D267,DM_fish!C:X,18, FALSE))&lt;VALUE(VLOOKUP(V267,imaging_filters!A:K,11, FALSE)), CONCATENATE(CHAR(34),"CamA",CHAR(34)), CONCATENATE(CHAR(34),"CamB",CHAR(34))),"}"), ""),IF(VLOOKUP(D267,DM_fish!C:X,20, FALSE)&gt;0, CONCATENATE(",{",CHAR(34),"target",CHAR(34),":",CHAR(34),VLOOKUP(D267,DM_fish!C:X,19, FALSE),CHAR(34),",", CHAR(34), "excitation",CHAR(34), ":", VLOOKUP(D267,DM_fish!C:X,20, FALSE), ",",  CHAR(34), "camera",CHAR(34), ":", IF(VALUE(VLOOKUP(D267,DM_fish!C:X,20, FALSE))&lt;VALUE(VLOOKUP(V267,imaging_filters!A:K,11, FALSE)), CONCATENATE(CHAR(34),"CamA",CHAR(34)), CONCATENATE(CHAR(34),"CamB",CHAR(34))),"}"), ""),IF(VLOOKUP(D267,DM_fish!C:X,22, FALSE)&gt;0, CONCATENATE(",{",CHAR(34),"target",CHAR(34),":",CHAR(34),VLOOKUP(D267,DM_fish!C:X,21, FALSE),CHAR(34),",", CHAR(34), "excitation",CHAR(34), ":", VLOOKUP(D267,DM_fish!C:X,22, FALSE), ",",  CHAR(34), "camera",CHAR(34), ":", IF(VALUE(VLOOKUP(D267,DM_fish!C:X,22, FALSE))&lt;VALUE(VLOOKUP(V267,imaging_filters!A:K,11, FALSE)), CONCATENATE(CHAR(34),"CamA",CHAR(34)), CONCATENATE(CHAR(34),"CamB",CHAR(34))),"}"), "")), "]"), "")</f>
        <v/>
      </c>
      <c r="X267" s="12" t="str">
        <f ca="1">IFERROR(
CONCATENATE("[", CONCATENATE(IF(VLOOKUP(C267,DM_fish!C:X,14, FALSE)&gt;0, CONCATENATE("{",CHAR(34),"target",CHAR(34),":",CHAR(34),VLOOKUP(C267,DM_fish!C:X,13, FALSE),CHAR(34),",", CHAR(34), "excitation",CHAR(34), ":", VLOOKUP(C267,DM_fish!C:X,14, FALSE), ",",  CHAR(34), "camera",CHAR(34), ":", IF(VALUE(VLOOKUP(C267,DM_fish!C:X,14, FALSE))&lt;VALUE(VLOOKUP(V267,imaging_filters!A:K,11, FALSE)), CONCATENATE(CHAR(34),"CamA",CHAR(34)), CONCATENATE(CHAR(34),"CamB",CHAR(34))),"}"), ""),IF(VLOOKUP(C267,DM_fish!C:X,16, FALSE)&gt;0, CONCATENATE(",{",CHAR(34),"target",CHAR(34),":",CHAR(34),VLOOKUP(C267,DM_fish!C:X,15, FALSE),CHAR(34),",", CHAR(34), "excitation",CHAR(34), ":", VLOOKUP(C267,DM_fish!C:X,16, FALSE), ",",  CHAR(34), "camera",CHAR(34), ":", IF(VALUE(VLOOKUP(C267,DM_fish!C:X,16, FALSE))&lt;VALUE(VLOOKUP(V267,imaging_filters!A:K,11, FALSE)), CONCATENATE(CHAR(34),"CamA",CHAR(34)), CONCATENATE(CHAR(34),"CamB",CHAR(34))),"}"), ""),IF(VLOOKUP(C267,DM_fish!C:X,18, FALSE)&gt;0, CONCATENATE(",{",CHAR(34),"target",CHAR(34),":",CHAR(34),VLOOKUP(C267,DM_fish!C:X,17, FALSE),CHAR(34),",", CHAR(34), "excitation",CHAR(34), ":", VLOOKUP(C267,DM_fish!C:X,18, FALSE), ",",  CHAR(34), "camera",CHAR(34), ":", IF(VALUE(VLOOKUP(C267,DM_fish!C:X,18, FALSE))&lt;VALUE(VLOOKUP(V267,imaging_filters!A:K,11, FALSE)), CONCATENATE(CHAR(34),"CamA",CHAR(34)), CONCATENATE(CHAR(34),"CamB",CHAR(34))),"}"), ""),IF(VLOOKUP(C267,DM_fish!C:X,20, FALSE)&gt;0, CONCATENATE(",{",CHAR(34),"target",CHAR(34),":",CHAR(34),VLOOKUP(C267,DM_fish!C:X,19, FALSE),CHAR(34),",", CHAR(34), "excitation",CHAR(34), ":", VLOOKUP(C267,DM_fish!C:X,20, FALSE), ",",  CHAR(34), "camera",CHAR(34), ":", IF(VALUE(VLOOKUP(C267,DM_fish!C:X,20, FALSE))&lt;VALUE(VLOOKUP(V267,imaging_filters!A:K,11, FALSE)), CONCATENATE(CHAR(34),"CamA",CHAR(34)), CONCATENATE(CHAR(34),"CamB",CHAR(34))),"}"), ""),IF(VLOOKUP(C267,DM_fish!C:X,22, FALSE)&gt;0, CONCATENATE(",{",CHAR(34),"target",CHAR(34),":",CHAR(34),VLOOKUP(C267,DM_fish!C:X,21, FALSE),CHAR(34),",", CHAR(34), "excitation",CHAR(34), ":", VLOOKUP(C267,DM_fish!C:X,22, FALSE), ",",  CHAR(34), "camera",CHAR(34), ":", IF(VALUE(VLOOKUP(C267,DM_fish!C:X,22, FALSE))&lt;VALUE(VLOOKUP(V267,imaging_filters!A:K,11, FALSE)), CONCATENATE(CHAR(34),"CamA",CHAR(34)), CONCATENATE(CHAR(34),"CamB",CHAR(34))),"}"), "")), "]"), "")</f>
        <v/>
      </c>
      <c r="Y267" s="11" t="str">
        <f ca="1">IFERROR(
CONCATENATE( "[",
IF(VLOOKUP(E267,Injections!B:F,3, FALSE)&gt;0, CONCATENATE( "{",CHAR(34),"target",CHAR(34),":",CHAR(34),VLOOKUP(E267,Injections!B:F,2, FALSE),CHAR(34),",", CHAR(34), "excitation",CHAR(34), ":", VLOOKUP(E267,Injections!B:F,3, FALSE), ",",  CHAR(34), "camera",CHAR(34), ":",
IF(VALUE(VLOOKUP(E267,Injections!B:F,3, FALSE))&lt;VALUE(VLOOKUP(V267,imaging_filters!A:C,2, FALSE)), CONCATENATE(CHAR(34),"CamA",CHAR(34)), CONCATENATE(CHAR(34),"CamB",CHAR(34))),"}"), ""),
IF(VLOOKUP(E267,Injections!B:F,5, FALSE)&gt;0, CONCATENATE(",{",CHAR(34),"target",CHAR(34),":",CHAR(34),VLOOKUP(E267,Injections!B:F,4, FALSE),CHAR(34),",", CHAR(34), "excitation",CHAR(34), ":", VLOOKUP(E267,Injections!B:F,5, FALSE), ",",  CHAR(34), "camera",CHAR(34), ":",
IF(VALUE(VLOOKUP(E267,Injections!B:F,5, FALSE))&lt;VALUE(VLOOKUP(V267,imaging_filters!A:C,2, FALSE)), CONCATENATE(CHAR(34),"CamA",CHAR(34)), CONCATENATE(CHAR(34),"CamB",CHAR(34))),"}"), ""),
 "]"), "[]")</f>
        <v>[{"target":"cytosol","excitation":445,"camera":"CamA"},{"target":"cytosol","excitation":445,"camera":"CamA"}]</v>
      </c>
      <c r="Z267" s="11" t="str">
        <f ca="1">IFERROR(
CONCATENATE( "[",
IF(VLOOKUP(F267,Injections!H:L,3, FALSE)&gt;0, CONCATENATE( "{",CHAR(34),"target",CHAR(34),":",CHAR(34),VLOOKUP(F267,Injections!H:L,2, FALSE),CHAR(34),",", CHAR(34), "excitation",CHAR(34), ":", VLOOKUP(F267,Injections!H:L,3, FALSE), ",",  CHAR(34), "camera",CHAR(34), ":",
IF(VALUE(VLOOKUP(F267,Injections!H:L,3, FALSE))&lt;VALUE(VLOOKUP(V267,imaging_filters!A:K,11, FALSE)), CONCATENATE(CHAR(34),"CamA",CHAR(34)), CONCATENATE(CHAR(34),"CamB",CHAR(34))),"}"), ""),
IF(VLOOKUP(F267,Injections!H:L,5, FALSE)&gt;0, CONCATENATE(",{",CHAR(34),"target",CHAR(34),":",CHAR(34),VLOOKUP(F267,Injections!H:L,4, FALSE),CHAR(34),",", CHAR(34), "excitation",CHAR(34), ":", VLOOKUP(F267,Injections!H:L,5, FALSE), ",",  CHAR(34), "camera",CHAR(34), ":",
IF(VALUE(VLOOKUP(F267,Injections!H:L,5, FALSE))&lt;VALUE(VLOOKUP(V267,imaging_filters!A:K,11, FALSE)), CONCATENATE(CHAR(34),"CamA",CHAR(34)), CONCATENATE(CHAR(34),"CamB",CHAR(34))),"}"), ""),
 "]"), "[]")</f>
        <v>[]</v>
      </c>
      <c r="AA267" s="11"/>
    </row>
    <row r="268" spans="1:28" ht="15.75" customHeight="1" x14ac:dyDescent="0.15">
      <c r="A268" s="7">
        <f t="shared" si="7"/>
        <v>45728</v>
      </c>
      <c r="B268" s="1"/>
      <c r="C268" s="1" t="s">
        <v>253</v>
      </c>
      <c r="D268" s="1" t="s">
        <v>253</v>
      </c>
      <c r="E268" s="1"/>
      <c r="F268" s="1" t="s">
        <v>64</v>
      </c>
      <c r="G268" s="8"/>
      <c r="H268" s="8"/>
      <c r="I268" s="8">
        <v>45726</v>
      </c>
      <c r="J268" s="1" t="s">
        <v>512</v>
      </c>
      <c r="K268" s="1" t="s">
        <v>34</v>
      </c>
      <c r="L268" s="19">
        <v>45728</v>
      </c>
      <c r="M268" s="19">
        <v>45728</v>
      </c>
      <c r="N268" s="9">
        <v>0.75</v>
      </c>
      <c r="O268" s="9">
        <v>0.76041666666666663</v>
      </c>
      <c r="P268" s="9">
        <v>0.52847222222222223</v>
      </c>
      <c r="Q268" s="1" t="s">
        <v>513</v>
      </c>
      <c r="R268" s="10" t="str">
        <f ca="1">IFERROR(__xludf.DUMMYFUNCTION("JOIN("","", SORT(UNIQUE(TOCOL({VLOOKUP(D268,DM_fish!A:B,2,FALSE),VLOOKUP(C268,DM_fish!A:B,2,FALSE), ARRAYFORMULA(VLOOKUP(SPLIT(E268, "", ""),Injections!B:G,6,FALSE)), ARRAYFORMULA(VLOOKUP(SPLIT(F268, "", ""),Injections!H:M,6,FALSE)), ARRAYFORMULA(VLOOKUP("&amp;"SPLIT(G268, "", ""),Injections!N:S,6,FALSE)), ARRAYFORMULA(VLOOKUP(SPLIT(H268, "", ""),Injections!T:Y,6,FALSE)) },3))))"),"nuclei")</f>
        <v>nuclei</v>
      </c>
      <c r="S268" s="10" t="str">
        <f ca="1">IFERROR(__xludf.DUMMYFUNCTION("IFERROR(JOIN("","", SPLIT(R268, "","", TRUE ,TRUE)), """")"),"nuclei")</f>
        <v>nuclei</v>
      </c>
      <c r="T268" s="1" t="s">
        <v>514</v>
      </c>
      <c r="U268" s="17">
        <v>697</v>
      </c>
      <c r="V268" s="1" t="s">
        <v>203</v>
      </c>
      <c r="W268" s="12" t="str">
        <f ca="1">IFERROR(CONCATENATE("[", CONCATENATE(IF(VLOOKUP(D268,DM_fish!C:X,14, FALSE)&gt;0, CONCATENATE("{",CHAR(34),"target",CHAR(34),":",CHAR(34),VLOOKUP(D268,DM_fish!C:X,13, FALSE),CHAR(34),",", CHAR(34), "excitation",CHAR(34), ":", VLOOKUP(D268,DM_fish!C:X,14, FALSE), ",",  CHAR(34), "camera",CHAR(34), ":", IF(VALUE(VLOOKUP(D268,DM_fish!C:X,14, FALSE))&lt;VALUE(VLOOKUP(V268,imaging_filters!A:K,11, FALSE)), CONCATENATE(CHAR(34),"CamA",CHAR(34)), CONCATENATE(CHAR(34),"CamB",CHAR(34))),"}"), ""),IF(VLOOKUP(D268,DM_fish!C:X,16, FALSE)&gt;0, CONCATENATE(",{",CHAR(34),"target",CHAR(34),":",CHAR(34),VLOOKUP(D268,DM_fish!C:X,15, FALSE),CHAR(34),",", CHAR(34), "excitation",CHAR(34), ":", VLOOKUP(D268,DM_fish!C:X,16, FALSE), ",",  CHAR(34), "camera",CHAR(34), ":", IF(VALUE(VLOOKUP(D268,DM_fish!C:X,16, FALSE))&lt;VALUE(VLOOKUP(V268,imaging_filters!A:K,11, FALSE)), CONCATENATE(CHAR(34),"CamA",CHAR(34)), CONCATENATE(CHAR(34),"CamB",CHAR(34))),"}"), ""),IF(VLOOKUP(D268,DM_fish!C:X,18, FALSE)&gt;0, CONCATENATE(",{",CHAR(34),"target",CHAR(34),":",CHAR(34),VLOOKUP(D268,DM_fish!C:X,17, FALSE),CHAR(34),",", CHAR(34), "excitation",CHAR(34), ":", VLOOKUP(D268,DM_fish!C:X,18, FALSE), ",",  CHAR(34), "camera",CHAR(34), ":", IF(VALUE(VLOOKUP(D268,DM_fish!C:X,18, FALSE))&lt;VALUE(VLOOKUP(V268,imaging_filters!A:K,11, FALSE)), CONCATENATE(CHAR(34),"CamA",CHAR(34)), CONCATENATE(CHAR(34),"CamB",CHAR(34))),"}"), ""),IF(VLOOKUP(D268,DM_fish!C:X,20, FALSE)&gt;0, CONCATENATE(",{",CHAR(34),"target",CHAR(34),":",CHAR(34),VLOOKUP(D268,DM_fish!C:X,19, FALSE),CHAR(34),",", CHAR(34), "excitation",CHAR(34), ":", VLOOKUP(D268,DM_fish!C:X,20, FALSE), ",",  CHAR(34), "camera",CHAR(34), ":", IF(VALUE(VLOOKUP(D268,DM_fish!C:X,20, FALSE))&lt;VALUE(VLOOKUP(V268,imaging_filters!A:K,11, FALSE)), CONCATENATE(CHAR(34),"CamA",CHAR(34)), CONCATENATE(CHAR(34),"CamB",CHAR(34))),"}"), ""),IF(VLOOKUP(D268,DM_fish!C:X,22, FALSE)&gt;0, CONCATENATE(",{",CHAR(34),"target",CHAR(34),":",CHAR(34),VLOOKUP(D268,DM_fish!C:X,21, FALSE),CHAR(34),",", CHAR(34), "excitation",CHAR(34), ":", VLOOKUP(D268,DM_fish!C:X,22, FALSE), ",",  CHAR(34), "camera",CHAR(34), ":", IF(VALUE(VLOOKUP(D268,DM_fish!C:X,22, FALSE))&lt;VALUE(VLOOKUP(V268,imaging_filters!A:K,11, FALSE)), CONCATENATE(CHAR(34),"CamA",CHAR(34)), CONCATENATE(CHAR(34),"CamB",CHAR(34))),"}"), "")), "]"), "")</f>
        <v/>
      </c>
      <c r="X268" s="12" t="str">
        <f ca="1">IFERROR(
CONCATENATE("[", CONCATENATE(IF(VLOOKUP(C268,DM_fish!C:X,14, FALSE)&gt;0, CONCATENATE("{",CHAR(34),"target",CHAR(34),":",CHAR(34),VLOOKUP(C268,DM_fish!C:X,13, FALSE),CHAR(34),",", CHAR(34), "excitation",CHAR(34), ":", VLOOKUP(C268,DM_fish!C:X,14, FALSE), ",",  CHAR(34), "camera",CHAR(34), ":", IF(VALUE(VLOOKUP(C268,DM_fish!C:X,14, FALSE))&lt;VALUE(VLOOKUP(V268,imaging_filters!A:K,11, FALSE)), CONCATENATE(CHAR(34),"CamA",CHAR(34)), CONCATENATE(CHAR(34),"CamB",CHAR(34))),"}"), ""),IF(VLOOKUP(C268,DM_fish!C:X,16, FALSE)&gt;0, CONCATENATE(",{",CHAR(34),"target",CHAR(34),":",CHAR(34),VLOOKUP(C268,DM_fish!C:X,15, FALSE),CHAR(34),",", CHAR(34), "excitation",CHAR(34), ":", VLOOKUP(C268,DM_fish!C:X,16, FALSE), ",",  CHAR(34), "camera",CHAR(34), ":", IF(VALUE(VLOOKUP(C268,DM_fish!C:X,16, FALSE))&lt;VALUE(VLOOKUP(V268,imaging_filters!A:K,11, FALSE)), CONCATENATE(CHAR(34),"CamA",CHAR(34)), CONCATENATE(CHAR(34),"CamB",CHAR(34))),"}"), ""),IF(VLOOKUP(C268,DM_fish!C:X,18, FALSE)&gt;0, CONCATENATE(",{",CHAR(34),"target",CHAR(34),":",CHAR(34),VLOOKUP(C268,DM_fish!C:X,17, FALSE),CHAR(34),",", CHAR(34), "excitation",CHAR(34), ":", VLOOKUP(C268,DM_fish!C:X,18, FALSE), ",",  CHAR(34), "camera",CHAR(34), ":", IF(VALUE(VLOOKUP(C268,DM_fish!C:X,18, FALSE))&lt;VALUE(VLOOKUP(V268,imaging_filters!A:K,11, FALSE)), CONCATENATE(CHAR(34),"CamA",CHAR(34)), CONCATENATE(CHAR(34),"CamB",CHAR(34))),"}"), ""),IF(VLOOKUP(C268,DM_fish!C:X,20, FALSE)&gt;0, CONCATENATE(",{",CHAR(34),"target",CHAR(34),":",CHAR(34),VLOOKUP(C268,DM_fish!C:X,19, FALSE),CHAR(34),",", CHAR(34), "excitation",CHAR(34), ":", VLOOKUP(C268,DM_fish!C:X,20, FALSE), ",",  CHAR(34), "camera",CHAR(34), ":", IF(VALUE(VLOOKUP(C268,DM_fish!C:X,20, FALSE))&lt;VALUE(VLOOKUP(V268,imaging_filters!A:K,11, FALSE)), CONCATENATE(CHAR(34),"CamA",CHAR(34)), CONCATENATE(CHAR(34),"CamB",CHAR(34))),"}"), ""),IF(VLOOKUP(C268,DM_fish!C:X,22, FALSE)&gt;0, CONCATENATE(",{",CHAR(34),"target",CHAR(34),":",CHAR(34),VLOOKUP(C268,DM_fish!C:X,21, FALSE),CHAR(34),",", CHAR(34), "excitation",CHAR(34), ":", VLOOKUP(C268,DM_fish!C:X,22, FALSE), ",",  CHAR(34), "camera",CHAR(34), ":", IF(VALUE(VLOOKUP(C268,DM_fish!C:X,22, FALSE))&lt;VALUE(VLOOKUP(V268,imaging_filters!A:K,11, FALSE)), CONCATENATE(CHAR(34),"CamA",CHAR(34)), CONCATENATE(CHAR(34),"CamB",CHAR(34))),"}"), "")), "]"), "")</f>
        <v/>
      </c>
      <c r="Y268" s="11" t="str">
        <f ca="1">IFERROR(
CONCATENATE( "[",
IF(VLOOKUP(E268,Injections!B:F,3, FALSE)&gt;0, CONCATENATE( "{",CHAR(34),"target",CHAR(34),":",CHAR(34),VLOOKUP(E268,Injections!B:F,2, FALSE),CHAR(34),",", CHAR(34), "excitation",CHAR(34), ":", VLOOKUP(E268,Injections!B:F,3, FALSE), ",",  CHAR(34), "camera",CHAR(34), ":",
IF(VALUE(VLOOKUP(E268,Injections!B:F,3, FALSE))&lt;VALUE(VLOOKUP(V268,imaging_filters!A:C,2, FALSE)), CONCATENATE(CHAR(34),"CamA",CHAR(34)), CONCATENATE(CHAR(34),"CamB",CHAR(34))),"}"), ""),
IF(VLOOKUP(E268,Injections!B:F,5, FALSE)&gt;0, CONCATENATE(",{",CHAR(34),"target",CHAR(34),":",CHAR(34),VLOOKUP(E268,Injections!B:F,4, FALSE),CHAR(34),",", CHAR(34), "excitation",CHAR(34), ":", VLOOKUP(E268,Injections!B:F,5, FALSE), ",",  CHAR(34), "camera",CHAR(34), ":",
IF(VALUE(VLOOKUP(E268,Injections!B:F,5, FALSE))&lt;VALUE(VLOOKUP(V268,imaging_filters!A:C,2, FALSE)), CONCATENATE(CHAR(34),"CamA",CHAR(34)), CONCATENATE(CHAR(34),"CamB",CHAR(34))),"}"), ""),
 "]"), "[]")</f>
        <v>[]</v>
      </c>
      <c r="Z268" s="11" t="str">
        <f ca="1">IFERROR(
CONCATENATE( "[",
IF(VLOOKUP(F268,Injections!H:L,3, FALSE)&gt;0, CONCATENATE( "{",CHAR(34),"target",CHAR(34),":",CHAR(34),VLOOKUP(F268,Injections!H:L,2, FALSE),CHAR(34),",", CHAR(34), "excitation",CHAR(34), ":", VLOOKUP(F268,Injections!H:L,3, FALSE), ",",  CHAR(34), "camera",CHAR(34), ":",
IF(VALUE(VLOOKUP(F268,Injections!H:L,3, FALSE))&lt;VALUE(VLOOKUP(V268,imaging_filters!A:K,11, FALSE)), CONCATENATE(CHAR(34),"CamA",CHAR(34)), CONCATENATE(CHAR(34),"CamB",CHAR(34))),"}"), ""),
IF(VLOOKUP(F268,Injections!H:L,5, FALSE)&gt;0, CONCATENATE(",{",CHAR(34),"target",CHAR(34),":",CHAR(34),VLOOKUP(F268,Injections!H:L,4, FALSE),CHAR(34),",", CHAR(34), "excitation",CHAR(34), ":", VLOOKUP(F268,Injections!H:L,5, FALSE), ",",  CHAR(34), "camera",CHAR(34), ":",
IF(VALUE(VLOOKUP(F268,Injections!H:L,5, FALSE))&lt;VALUE(VLOOKUP(V268,imaging_filters!A:K,11, FALSE)), CONCATENATE(CHAR(34),"CamA",CHAR(34)), CONCATENATE(CHAR(34),"CamB",CHAR(34))),"}"), ""),
 "]"), "[]")</f>
        <v>[{"target":"nuclei","excitation":560,"camera":"CamB"}]</v>
      </c>
      <c r="AA268" s="11"/>
    </row>
    <row r="269" spans="1:28" ht="15.75" customHeight="1" x14ac:dyDescent="0.15">
      <c r="A269" s="7">
        <f t="shared" si="7"/>
        <v>45728</v>
      </c>
      <c r="B269" s="1"/>
      <c r="C269" s="1" t="s">
        <v>253</v>
      </c>
      <c r="D269" s="1" t="s">
        <v>253</v>
      </c>
      <c r="E269" s="1"/>
      <c r="F269" s="1" t="s">
        <v>64</v>
      </c>
      <c r="G269" s="8"/>
      <c r="H269" s="8"/>
      <c r="I269" s="8">
        <v>45726</v>
      </c>
      <c r="J269" s="1" t="s">
        <v>512</v>
      </c>
      <c r="K269" s="1" t="s">
        <v>34</v>
      </c>
      <c r="L269" s="19">
        <v>45728</v>
      </c>
      <c r="M269" s="19">
        <v>45728</v>
      </c>
      <c r="N269" s="9">
        <v>0.75</v>
      </c>
      <c r="O269" s="9">
        <v>0.54166666666666663</v>
      </c>
      <c r="P269" s="9">
        <v>0.64930555555555558</v>
      </c>
      <c r="Q269" s="1" t="s">
        <v>495</v>
      </c>
      <c r="R269" s="10" t="str">
        <f ca="1">IFERROR(__xludf.DUMMYFUNCTION("JOIN("","", SORT(UNIQUE(TOCOL({VLOOKUP(D269,DM_fish!A:B,2,FALSE),VLOOKUP(C269,DM_fish!A:B,2,FALSE), ARRAYFORMULA(VLOOKUP(SPLIT(E269, "", ""),Injections!B:G,6,FALSE)), ARRAYFORMULA(VLOOKUP(SPLIT(F269, "", ""),Injections!H:M,6,FALSE)), ARRAYFORMULA(VLOOKUP("&amp;"SPLIT(G269, "", ""),Injections!N:S,6,FALSE)), ARRAYFORMULA(VLOOKUP(SPLIT(H269, "", ""),Injections!T:Y,6,FALSE)) },3))))"),"nuclei")</f>
        <v>nuclei</v>
      </c>
      <c r="S269" s="10" t="str">
        <f ca="1">IFERROR(__xludf.DUMMYFUNCTION("IFERROR(JOIN("","", SPLIT(R269, "","", TRUE ,TRUE)), """")"),"nuclei")</f>
        <v>nuclei</v>
      </c>
      <c r="T269" s="1" t="s">
        <v>515</v>
      </c>
      <c r="U269" s="17">
        <v>391</v>
      </c>
      <c r="V269" s="1" t="s">
        <v>203</v>
      </c>
      <c r="W269" s="12" t="str">
        <f ca="1">IFERROR(CONCATENATE("[", CONCATENATE(IF(VLOOKUP(D269,DM_fish!C:X,14, FALSE)&gt;0, CONCATENATE("{",CHAR(34),"target",CHAR(34),":",CHAR(34),VLOOKUP(D269,DM_fish!C:X,13, FALSE),CHAR(34),",", CHAR(34), "excitation",CHAR(34), ":", VLOOKUP(D269,DM_fish!C:X,14, FALSE), ",",  CHAR(34), "camera",CHAR(34), ":", IF(VALUE(VLOOKUP(D269,DM_fish!C:X,14, FALSE))&lt;VALUE(VLOOKUP(V269,imaging_filters!A:K,11, FALSE)), CONCATENATE(CHAR(34),"CamA",CHAR(34)), CONCATENATE(CHAR(34),"CamB",CHAR(34))),"}"), ""),IF(VLOOKUP(D269,DM_fish!C:X,16, FALSE)&gt;0, CONCATENATE(",{",CHAR(34),"target",CHAR(34),":",CHAR(34),VLOOKUP(D269,DM_fish!C:X,15, FALSE),CHAR(34),",", CHAR(34), "excitation",CHAR(34), ":", VLOOKUP(D269,DM_fish!C:X,16, FALSE), ",",  CHAR(34), "camera",CHAR(34), ":", IF(VALUE(VLOOKUP(D269,DM_fish!C:X,16, FALSE))&lt;VALUE(VLOOKUP(V269,imaging_filters!A:K,11, FALSE)), CONCATENATE(CHAR(34),"CamA",CHAR(34)), CONCATENATE(CHAR(34),"CamB",CHAR(34))),"}"), ""),IF(VLOOKUP(D269,DM_fish!C:X,18, FALSE)&gt;0, CONCATENATE(",{",CHAR(34),"target",CHAR(34),":",CHAR(34),VLOOKUP(D269,DM_fish!C:X,17, FALSE),CHAR(34),",", CHAR(34), "excitation",CHAR(34), ":", VLOOKUP(D269,DM_fish!C:X,18, FALSE), ",",  CHAR(34), "camera",CHAR(34), ":", IF(VALUE(VLOOKUP(D269,DM_fish!C:X,18, FALSE))&lt;VALUE(VLOOKUP(V269,imaging_filters!A:K,11, FALSE)), CONCATENATE(CHAR(34),"CamA",CHAR(34)), CONCATENATE(CHAR(34),"CamB",CHAR(34))),"}"), ""),IF(VLOOKUP(D269,DM_fish!C:X,20, FALSE)&gt;0, CONCATENATE(",{",CHAR(34),"target",CHAR(34),":",CHAR(34),VLOOKUP(D269,DM_fish!C:X,19, FALSE),CHAR(34),",", CHAR(34), "excitation",CHAR(34), ":", VLOOKUP(D269,DM_fish!C:X,20, FALSE), ",",  CHAR(34), "camera",CHAR(34), ":", IF(VALUE(VLOOKUP(D269,DM_fish!C:X,20, FALSE))&lt;VALUE(VLOOKUP(V269,imaging_filters!A:K,11, FALSE)), CONCATENATE(CHAR(34),"CamA",CHAR(34)), CONCATENATE(CHAR(34),"CamB",CHAR(34))),"}"), ""),IF(VLOOKUP(D269,DM_fish!C:X,22, FALSE)&gt;0, CONCATENATE(",{",CHAR(34),"target",CHAR(34),":",CHAR(34),VLOOKUP(D269,DM_fish!C:X,21, FALSE),CHAR(34),",", CHAR(34), "excitation",CHAR(34), ":", VLOOKUP(D269,DM_fish!C:X,22, FALSE), ",",  CHAR(34), "camera",CHAR(34), ":", IF(VALUE(VLOOKUP(D269,DM_fish!C:X,22, FALSE))&lt;VALUE(VLOOKUP(V269,imaging_filters!A:K,11, FALSE)), CONCATENATE(CHAR(34),"CamA",CHAR(34)), CONCATENATE(CHAR(34),"CamB",CHAR(34))),"}"), "")), "]"), "")</f>
        <v/>
      </c>
      <c r="X269" s="12" t="str">
        <f ca="1">IFERROR(
CONCATENATE("[", CONCATENATE(IF(VLOOKUP(C269,DM_fish!C:X,14, FALSE)&gt;0, CONCATENATE("{",CHAR(34),"target",CHAR(34),":",CHAR(34),VLOOKUP(C269,DM_fish!C:X,13, FALSE),CHAR(34),",", CHAR(34), "excitation",CHAR(34), ":", VLOOKUP(C269,DM_fish!C:X,14, FALSE), ",",  CHAR(34), "camera",CHAR(34), ":", IF(VALUE(VLOOKUP(C269,DM_fish!C:X,14, FALSE))&lt;VALUE(VLOOKUP(V269,imaging_filters!A:K,11, FALSE)), CONCATENATE(CHAR(34),"CamA",CHAR(34)), CONCATENATE(CHAR(34),"CamB",CHAR(34))),"}"), ""),IF(VLOOKUP(C269,DM_fish!C:X,16, FALSE)&gt;0, CONCATENATE(",{",CHAR(34),"target",CHAR(34),":",CHAR(34),VLOOKUP(C269,DM_fish!C:X,15, FALSE),CHAR(34),",", CHAR(34), "excitation",CHAR(34), ":", VLOOKUP(C269,DM_fish!C:X,16, FALSE), ",",  CHAR(34), "camera",CHAR(34), ":", IF(VALUE(VLOOKUP(C269,DM_fish!C:X,16, FALSE))&lt;VALUE(VLOOKUP(V269,imaging_filters!A:K,11, FALSE)), CONCATENATE(CHAR(34),"CamA",CHAR(34)), CONCATENATE(CHAR(34),"CamB",CHAR(34))),"}"), ""),IF(VLOOKUP(C269,DM_fish!C:X,18, FALSE)&gt;0, CONCATENATE(",{",CHAR(34),"target",CHAR(34),":",CHAR(34),VLOOKUP(C269,DM_fish!C:X,17, FALSE),CHAR(34),",", CHAR(34), "excitation",CHAR(34), ":", VLOOKUP(C269,DM_fish!C:X,18, FALSE), ",",  CHAR(34), "camera",CHAR(34), ":", IF(VALUE(VLOOKUP(C269,DM_fish!C:X,18, FALSE))&lt;VALUE(VLOOKUP(V269,imaging_filters!A:K,11, FALSE)), CONCATENATE(CHAR(34),"CamA",CHAR(34)), CONCATENATE(CHAR(34),"CamB",CHAR(34))),"}"), ""),IF(VLOOKUP(C269,DM_fish!C:X,20, FALSE)&gt;0, CONCATENATE(",{",CHAR(34),"target",CHAR(34),":",CHAR(34),VLOOKUP(C269,DM_fish!C:X,19, FALSE),CHAR(34),",", CHAR(34), "excitation",CHAR(34), ":", VLOOKUP(C269,DM_fish!C:X,20, FALSE), ",",  CHAR(34), "camera",CHAR(34), ":", IF(VALUE(VLOOKUP(C269,DM_fish!C:X,20, FALSE))&lt;VALUE(VLOOKUP(V269,imaging_filters!A:K,11, FALSE)), CONCATENATE(CHAR(34),"CamA",CHAR(34)), CONCATENATE(CHAR(34),"CamB",CHAR(34))),"}"), ""),IF(VLOOKUP(C269,DM_fish!C:X,22, FALSE)&gt;0, CONCATENATE(",{",CHAR(34),"target",CHAR(34),":",CHAR(34),VLOOKUP(C269,DM_fish!C:X,21, FALSE),CHAR(34),",", CHAR(34), "excitation",CHAR(34), ":", VLOOKUP(C269,DM_fish!C:X,22, FALSE), ",",  CHAR(34), "camera",CHAR(34), ":", IF(VALUE(VLOOKUP(C269,DM_fish!C:X,22, FALSE))&lt;VALUE(VLOOKUP(V269,imaging_filters!A:K,11, FALSE)), CONCATENATE(CHAR(34),"CamA",CHAR(34)), CONCATENATE(CHAR(34),"CamB",CHAR(34))),"}"), "")), "]"), "")</f>
        <v/>
      </c>
      <c r="Y269" s="11" t="str">
        <f ca="1">IFERROR(
CONCATENATE( "[",
IF(VLOOKUP(E269,Injections!B:F,3, FALSE)&gt;0, CONCATENATE( "{",CHAR(34),"target",CHAR(34),":",CHAR(34),VLOOKUP(E269,Injections!B:F,2, FALSE),CHAR(34),",", CHAR(34), "excitation",CHAR(34), ":", VLOOKUP(E269,Injections!B:F,3, FALSE), ",",  CHAR(34), "camera",CHAR(34), ":",
IF(VALUE(VLOOKUP(E269,Injections!B:F,3, FALSE))&lt;VALUE(VLOOKUP(V269,imaging_filters!A:C,2, FALSE)), CONCATENATE(CHAR(34),"CamA",CHAR(34)), CONCATENATE(CHAR(34),"CamB",CHAR(34))),"}"), ""),
IF(VLOOKUP(E269,Injections!B:F,5, FALSE)&gt;0, CONCATENATE(",{",CHAR(34),"target",CHAR(34),":",CHAR(34),VLOOKUP(E269,Injections!B:F,4, FALSE),CHAR(34),",", CHAR(34), "excitation",CHAR(34), ":", VLOOKUP(E269,Injections!B:F,5, FALSE), ",",  CHAR(34), "camera",CHAR(34), ":",
IF(VALUE(VLOOKUP(E269,Injections!B:F,5, FALSE))&lt;VALUE(VLOOKUP(V269,imaging_filters!A:C,2, FALSE)), CONCATENATE(CHAR(34),"CamA",CHAR(34)), CONCATENATE(CHAR(34),"CamB",CHAR(34))),"}"), ""),
 "]"), "[]")</f>
        <v>[]</v>
      </c>
      <c r="Z269" s="11" t="str">
        <f ca="1">IFERROR(
CONCATENATE( "[",
IF(VLOOKUP(F269,Injections!H:L,3, FALSE)&gt;0, CONCATENATE( "{",CHAR(34),"target",CHAR(34),":",CHAR(34),VLOOKUP(F269,Injections!H:L,2, FALSE),CHAR(34),",", CHAR(34), "excitation",CHAR(34), ":", VLOOKUP(F269,Injections!H:L,3, FALSE), ",",  CHAR(34), "camera",CHAR(34), ":",
IF(VALUE(VLOOKUP(F269,Injections!H:L,3, FALSE))&lt;VALUE(VLOOKUP(V269,imaging_filters!A:K,11, FALSE)), CONCATENATE(CHAR(34),"CamA",CHAR(34)), CONCATENATE(CHAR(34),"CamB",CHAR(34))),"}"), ""),
IF(VLOOKUP(F269,Injections!H:L,5, FALSE)&gt;0, CONCATENATE(",{",CHAR(34),"target",CHAR(34),":",CHAR(34),VLOOKUP(F269,Injections!H:L,4, FALSE),CHAR(34),",", CHAR(34), "excitation",CHAR(34), ":", VLOOKUP(F269,Injections!H:L,5, FALSE), ",",  CHAR(34), "camera",CHAR(34), ":",
IF(VALUE(VLOOKUP(F269,Injections!H:L,5, FALSE))&lt;VALUE(VLOOKUP(V269,imaging_filters!A:K,11, FALSE)), CONCATENATE(CHAR(34),"CamA",CHAR(34)), CONCATENATE(CHAR(34),"CamB",CHAR(34))),"}"), ""),
 "]"), "[]")</f>
        <v>[{"target":"nuclei","excitation":560,"camera":"CamB"}]</v>
      </c>
      <c r="AA269" s="11"/>
    </row>
    <row r="270" spans="1:28" ht="15.75" customHeight="1" x14ac:dyDescent="0.15">
      <c r="A270" s="7">
        <f t="shared" si="7"/>
        <v>45727</v>
      </c>
      <c r="B270" s="1"/>
      <c r="C270" s="1" t="s">
        <v>253</v>
      </c>
      <c r="D270" s="1" t="s">
        <v>253</v>
      </c>
      <c r="E270" s="1"/>
      <c r="F270" s="1" t="s">
        <v>64</v>
      </c>
      <c r="G270" s="8"/>
      <c r="H270" s="8"/>
      <c r="I270" s="8">
        <v>45726</v>
      </c>
      <c r="J270" s="1" t="s">
        <v>516</v>
      </c>
      <c r="K270" s="1" t="s">
        <v>34</v>
      </c>
      <c r="L270" s="19">
        <v>45727</v>
      </c>
      <c r="M270" s="19">
        <v>45727</v>
      </c>
      <c r="N270" s="9">
        <v>0.45833333333333331</v>
      </c>
      <c r="O270" s="18">
        <v>0.47222222222222221</v>
      </c>
      <c r="P270" s="1" t="s">
        <v>517</v>
      </c>
      <c r="Q270" s="1" t="s">
        <v>495</v>
      </c>
      <c r="R270" s="10" t="str">
        <f ca="1">IFERROR(__xludf.DUMMYFUNCTION("JOIN("","", SORT(UNIQUE(TOCOL({VLOOKUP(D270,DM_fish!A:B,2,FALSE),VLOOKUP(C270,DM_fish!A:B,2,FALSE), ARRAYFORMULA(VLOOKUP(SPLIT(E270, "", ""),Injections!B:G,6,FALSE)), ARRAYFORMULA(VLOOKUP(SPLIT(F270, "", ""),Injections!H:M,6,FALSE)), ARRAYFORMULA(VLOOKUP("&amp;"SPLIT(G270, "", ""),Injections!N:S,6,FALSE)), ARRAYFORMULA(VLOOKUP(SPLIT(H270, "", ""),Injections!T:Y,6,FALSE)) },3))))"),"nuclei")</f>
        <v>nuclei</v>
      </c>
      <c r="S270" s="10" t="str">
        <f ca="1">IFERROR(__xludf.DUMMYFUNCTION("IFERROR(JOIN("","", SPLIT(R270, "","", TRUE ,TRUE)), """")"),"nuclei")</f>
        <v>nuclei</v>
      </c>
      <c r="T270" s="1" t="s">
        <v>518</v>
      </c>
      <c r="U270" s="17">
        <v>3154</v>
      </c>
      <c r="V270" s="1" t="s">
        <v>203</v>
      </c>
      <c r="W270" s="12" t="str">
        <f ca="1">IFERROR(CONCATENATE("[", CONCATENATE(IF(VLOOKUP(D270,DM_fish!C:X,14, FALSE)&gt;0, CONCATENATE("{",CHAR(34),"target",CHAR(34),":",CHAR(34),VLOOKUP(D270,DM_fish!C:X,13, FALSE),CHAR(34),",", CHAR(34), "excitation",CHAR(34), ":", VLOOKUP(D270,DM_fish!C:X,14, FALSE), ",",  CHAR(34), "camera",CHAR(34), ":", IF(VALUE(VLOOKUP(D270,DM_fish!C:X,14, FALSE))&lt;VALUE(VLOOKUP(V270,imaging_filters!A:K,11, FALSE)), CONCATENATE(CHAR(34),"CamA",CHAR(34)), CONCATENATE(CHAR(34),"CamB",CHAR(34))),"}"), ""),IF(VLOOKUP(D270,DM_fish!C:X,16, FALSE)&gt;0, CONCATENATE(",{",CHAR(34),"target",CHAR(34),":",CHAR(34),VLOOKUP(D270,DM_fish!C:X,15, FALSE),CHAR(34),",", CHAR(34), "excitation",CHAR(34), ":", VLOOKUP(D270,DM_fish!C:X,16, FALSE), ",",  CHAR(34), "camera",CHAR(34), ":", IF(VALUE(VLOOKUP(D270,DM_fish!C:X,16, FALSE))&lt;VALUE(VLOOKUP(V270,imaging_filters!A:K,11, FALSE)), CONCATENATE(CHAR(34),"CamA",CHAR(34)), CONCATENATE(CHAR(34),"CamB",CHAR(34))),"}"), ""),IF(VLOOKUP(D270,DM_fish!C:X,18, FALSE)&gt;0, CONCATENATE(",{",CHAR(34),"target",CHAR(34),":",CHAR(34),VLOOKUP(D270,DM_fish!C:X,17, FALSE),CHAR(34),",", CHAR(34), "excitation",CHAR(34), ":", VLOOKUP(D270,DM_fish!C:X,18, FALSE), ",",  CHAR(34), "camera",CHAR(34), ":", IF(VALUE(VLOOKUP(D270,DM_fish!C:X,18, FALSE))&lt;VALUE(VLOOKUP(V270,imaging_filters!A:K,11, FALSE)), CONCATENATE(CHAR(34),"CamA",CHAR(34)), CONCATENATE(CHAR(34),"CamB",CHAR(34))),"}"), ""),IF(VLOOKUP(D270,DM_fish!C:X,20, FALSE)&gt;0, CONCATENATE(",{",CHAR(34),"target",CHAR(34),":",CHAR(34),VLOOKUP(D270,DM_fish!C:X,19, FALSE),CHAR(34),",", CHAR(34), "excitation",CHAR(34), ":", VLOOKUP(D270,DM_fish!C:X,20, FALSE), ",",  CHAR(34), "camera",CHAR(34), ":", IF(VALUE(VLOOKUP(D270,DM_fish!C:X,20, FALSE))&lt;VALUE(VLOOKUP(V270,imaging_filters!A:K,11, FALSE)), CONCATENATE(CHAR(34),"CamA",CHAR(34)), CONCATENATE(CHAR(34),"CamB",CHAR(34))),"}"), ""),IF(VLOOKUP(D270,DM_fish!C:X,22, FALSE)&gt;0, CONCATENATE(",{",CHAR(34),"target",CHAR(34),":",CHAR(34),VLOOKUP(D270,DM_fish!C:X,21, FALSE),CHAR(34),",", CHAR(34), "excitation",CHAR(34), ":", VLOOKUP(D270,DM_fish!C:X,22, FALSE), ",",  CHAR(34), "camera",CHAR(34), ":", IF(VALUE(VLOOKUP(D270,DM_fish!C:X,22, FALSE))&lt;VALUE(VLOOKUP(V270,imaging_filters!A:K,11, FALSE)), CONCATENATE(CHAR(34),"CamA",CHAR(34)), CONCATENATE(CHAR(34),"CamB",CHAR(34))),"}"), "")), "]"), "")</f>
        <v/>
      </c>
      <c r="X270" s="12" t="str">
        <f ca="1">IFERROR(
CONCATENATE("[", CONCATENATE(IF(VLOOKUP(C270,DM_fish!C:X,14, FALSE)&gt;0, CONCATENATE("{",CHAR(34),"target",CHAR(34),":",CHAR(34),VLOOKUP(C270,DM_fish!C:X,13, FALSE),CHAR(34),",", CHAR(34), "excitation",CHAR(34), ":", VLOOKUP(C270,DM_fish!C:X,14, FALSE), ",",  CHAR(34), "camera",CHAR(34), ":", IF(VALUE(VLOOKUP(C270,DM_fish!C:X,14, FALSE))&lt;VALUE(VLOOKUP(V270,imaging_filters!A:K,11, FALSE)), CONCATENATE(CHAR(34),"CamA",CHAR(34)), CONCATENATE(CHAR(34),"CamB",CHAR(34))),"}"), ""),IF(VLOOKUP(C270,DM_fish!C:X,16, FALSE)&gt;0, CONCATENATE(",{",CHAR(34),"target",CHAR(34),":",CHAR(34),VLOOKUP(C270,DM_fish!C:X,15, FALSE),CHAR(34),",", CHAR(34), "excitation",CHAR(34), ":", VLOOKUP(C270,DM_fish!C:X,16, FALSE), ",",  CHAR(34), "camera",CHAR(34), ":", IF(VALUE(VLOOKUP(C270,DM_fish!C:X,16, FALSE))&lt;VALUE(VLOOKUP(V270,imaging_filters!A:K,11, FALSE)), CONCATENATE(CHAR(34),"CamA",CHAR(34)), CONCATENATE(CHAR(34),"CamB",CHAR(34))),"}"), ""),IF(VLOOKUP(C270,DM_fish!C:X,18, FALSE)&gt;0, CONCATENATE(",{",CHAR(34),"target",CHAR(34),":",CHAR(34),VLOOKUP(C270,DM_fish!C:X,17, FALSE),CHAR(34),",", CHAR(34), "excitation",CHAR(34), ":", VLOOKUP(C270,DM_fish!C:X,18, FALSE), ",",  CHAR(34), "camera",CHAR(34), ":", IF(VALUE(VLOOKUP(C270,DM_fish!C:X,18, FALSE))&lt;VALUE(VLOOKUP(V270,imaging_filters!A:K,11, FALSE)), CONCATENATE(CHAR(34),"CamA",CHAR(34)), CONCATENATE(CHAR(34),"CamB",CHAR(34))),"}"), ""),IF(VLOOKUP(C270,DM_fish!C:X,20, FALSE)&gt;0, CONCATENATE(",{",CHAR(34),"target",CHAR(34),":",CHAR(34),VLOOKUP(C270,DM_fish!C:X,19, FALSE),CHAR(34),",", CHAR(34), "excitation",CHAR(34), ":", VLOOKUP(C270,DM_fish!C:X,20, FALSE), ",",  CHAR(34), "camera",CHAR(34), ":", IF(VALUE(VLOOKUP(C270,DM_fish!C:X,20, FALSE))&lt;VALUE(VLOOKUP(V270,imaging_filters!A:K,11, FALSE)), CONCATENATE(CHAR(34),"CamA",CHAR(34)), CONCATENATE(CHAR(34),"CamB",CHAR(34))),"}"), ""),IF(VLOOKUP(C270,DM_fish!C:X,22, FALSE)&gt;0, CONCATENATE(",{",CHAR(34),"target",CHAR(34),":",CHAR(34),VLOOKUP(C270,DM_fish!C:X,21, FALSE),CHAR(34),",", CHAR(34), "excitation",CHAR(34), ":", VLOOKUP(C270,DM_fish!C:X,22, FALSE), ",",  CHAR(34), "camera",CHAR(34), ":", IF(VALUE(VLOOKUP(C270,DM_fish!C:X,22, FALSE))&lt;VALUE(VLOOKUP(V270,imaging_filters!A:K,11, FALSE)), CONCATENATE(CHAR(34),"CamA",CHAR(34)), CONCATENATE(CHAR(34),"CamB",CHAR(34))),"}"), "")), "]"), "")</f>
        <v/>
      </c>
      <c r="Y270" s="11" t="str">
        <f ca="1">IFERROR(
CONCATENATE( "[",
IF(VLOOKUP(E270,Injections!B:F,3, FALSE)&gt;0, CONCATENATE( "{",CHAR(34),"target",CHAR(34),":",CHAR(34),VLOOKUP(E270,Injections!B:F,2, FALSE),CHAR(34),",", CHAR(34), "excitation",CHAR(34), ":", VLOOKUP(E270,Injections!B:F,3, FALSE), ",",  CHAR(34), "camera",CHAR(34), ":",
IF(VALUE(VLOOKUP(E270,Injections!B:F,3, FALSE))&lt;VALUE(VLOOKUP(V270,imaging_filters!A:C,2, FALSE)), CONCATENATE(CHAR(34),"CamA",CHAR(34)), CONCATENATE(CHAR(34),"CamB",CHAR(34))),"}"), ""),
IF(VLOOKUP(E270,Injections!B:F,5, FALSE)&gt;0, CONCATENATE(",{",CHAR(34),"target",CHAR(34),":",CHAR(34),VLOOKUP(E270,Injections!B:F,4, FALSE),CHAR(34),",", CHAR(34), "excitation",CHAR(34), ":", VLOOKUP(E270,Injections!B:F,5, FALSE), ",",  CHAR(34), "camera",CHAR(34), ":",
IF(VALUE(VLOOKUP(E270,Injections!B:F,5, FALSE))&lt;VALUE(VLOOKUP(V270,imaging_filters!A:C,2, FALSE)), CONCATENATE(CHAR(34),"CamA",CHAR(34)), CONCATENATE(CHAR(34),"CamB",CHAR(34))),"}"), ""),
 "]"), "[]")</f>
        <v>[]</v>
      </c>
      <c r="Z270" s="11" t="str">
        <f ca="1">IFERROR(
CONCATENATE( "[",
IF(VLOOKUP(F270,Injections!H:L,3, FALSE)&gt;0, CONCATENATE( "{",CHAR(34),"target",CHAR(34),":",CHAR(34),VLOOKUP(F270,Injections!H:L,2, FALSE),CHAR(34),",", CHAR(34), "excitation",CHAR(34), ":", VLOOKUP(F270,Injections!H:L,3, FALSE), ",",  CHAR(34), "camera",CHAR(34), ":",
IF(VALUE(VLOOKUP(F270,Injections!H:L,3, FALSE))&lt;VALUE(VLOOKUP(V270,imaging_filters!A:K,11, FALSE)), CONCATENATE(CHAR(34),"CamA",CHAR(34)), CONCATENATE(CHAR(34),"CamB",CHAR(34))),"}"), ""),
IF(VLOOKUP(F270,Injections!H:L,5, FALSE)&gt;0, CONCATENATE(",{",CHAR(34),"target",CHAR(34),":",CHAR(34),VLOOKUP(F270,Injections!H:L,4, FALSE),CHAR(34),",", CHAR(34), "excitation",CHAR(34), ":", VLOOKUP(F270,Injections!H:L,5, FALSE), ",",  CHAR(34), "camera",CHAR(34), ":",
IF(VALUE(VLOOKUP(F270,Injections!H:L,5, FALSE))&lt;VALUE(VLOOKUP(V270,imaging_filters!A:K,11, FALSE)), CONCATENATE(CHAR(34),"CamA",CHAR(34)), CONCATENATE(CHAR(34),"CamB",CHAR(34))),"}"), ""),
 "]"), "[]")</f>
        <v>[{"target":"nuclei","excitation":560,"camera":"CamB"}]</v>
      </c>
      <c r="AA270" s="11"/>
    </row>
    <row r="271" spans="1:28" ht="15.75" customHeight="1" x14ac:dyDescent="0.15">
      <c r="A271" s="7">
        <f t="shared" si="7"/>
        <v>45727</v>
      </c>
      <c r="B271" s="1"/>
      <c r="C271" s="1" t="s">
        <v>253</v>
      </c>
      <c r="D271" s="1" t="s">
        <v>253</v>
      </c>
      <c r="E271" s="1"/>
      <c r="F271" s="1" t="s">
        <v>64</v>
      </c>
      <c r="G271" s="8"/>
      <c r="H271" s="8"/>
      <c r="I271" s="8">
        <v>45726</v>
      </c>
      <c r="J271" s="1" t="s">
        <v>516</v>
      </c>
      <c r="K271" s="1" t="s">
        <v>34</v>
      </c>
      <c r="L271" s="19">
        <v>45727</v>
      </c>
      <c r="M271" s="19">
        <v>45727</v>
      </c>
      <c r="N271" s="9">
        <v>0.45833333333333331</v>
      </c>
      <c r="O271" s="18">
        <v>0.47222222222222221</v>
      </c>
      <c r="P271" s="1" t="s">
        <v>517</v>
      </c>
      <c r="Q271" s="1" t="s">
        <v>495</v>
      </c>
      <c r="R271" s="10" t="str">
        <f ca="1">IFERROR(__xludf.DUMMYFUNCTION("JOIN("","", SORT(UNIQUE(TOCOL({VLOOKUP(D271,DM_fish!A:B,2,FALSE),VLOOKUP(C271,DM_fish!A:B,2,FALSE), ARRAYFORMULA(VLOOKUP(SPLIT(E271, "", ""),Injections!B:G,6,FALSE)), ARRAYFORMULA(VLOOKUP(SPLIT(F271, "", ""),Injections!H:M,6,FALSE)), ARRAYFORMULA(VLOOKUP("&amp;"SPLIT(G271, "", ""),Injections!N:S,6,FALSE)), ARRAYFORMULA(VLOOKUP(SPLIT(H271, "", ""),Injections!T:Y,6,FALSE)) },3))))"),"nuclei")</f>
        <v>nuclei</v>
      </c>
      <c r="S271" s="10" t="str">
        <f ca="1">IFERROR(__xludf.DUMMYFUNCTION("IFERROR(JOIN("","", SPLIT(R271, "","", TRUE ,TRUE)), """")"),"nuclei")</f>
        <v>nuclei</v>
      </c>
      <c r="T271" s="1" t="s">
        <v>519</v>
      </c>
      <c r="U271" s="17">
        <v>1925</v>
      </c>
      <c r="V271" s="1" t="s">
        <v>203</v>
      </c>
      <c r="W271" s="12" t="str">
        <f ca="1">IFERROR(CONCATENATE("[", CONCATENATE(IF(VLOOKUP(D271,DM_fish!C:X,14, FALSE)&gt;0, CONCATENATE("{",CHAR(34),"target",CHAR(34),":",CHAR(34),VLOOKUP(D271,DM_fish!C:X,13, FALSE),CHAR(34),",", CHAR(34), "excitation",CHAR(34), ":", VLOOKUP(D271,DM_fish!C:X,14, FALSE), ",",  CHAR(34), "camera",CHAR(34), ":", IF(VALUE(VLOOKUP(D271,DM_fish!C:X,14, FALSE))&lt;VALUE(VLOOKUP(V271,imaging_filters!A:K,11, FALSE)), CONCATENATE(CHAR(34),"CamA",CHAR(34)), CONCATENATE(CHAR(34),"CamB",CHAR(34))),"}"), ""),IF(VLOOKUP(D271,DM_fish!C:X,16, FALSE)&gt;0, CONCATENATE(",{",CHAR(34),"target",CHAR(34),":",CHAR(34),VLOOKUP(D271,DM_fish!C:X,15, FALSE),CHAR(34),",", CHAR(34), "excitation",CHAR(34), ":", VLOOKUP(D271,DM_fish!C:X,16, FALSE), ",",  CHAR(34), "camera",CHAR(34), ":", IF(VALUE(VLOOKUP(D271,DM_fish!C:X,16, FALSE))&lt;VALUE(VLOOKUP(V271,imaging_filters!A:K,11, FALSE)), CONCATENATE(CHAR(34),"CamA",CHAR(34)), CONCATENATE(CHAR(34),"CamB",CHAR(34))),"}"), ""),IF(VLOOKUP(D271,DM_fish!C:X,18, FALSE)&gt;0, CONCATENATE(",{",CHAR(34),"target",CHAR(34),":",CHAR(34),VLOOKUP(D271,DM_fish!C:X,17, FALSE),CHAR(34),",", CHAR(34), "excitation",CHAR(34), ":", VLOOKUP(D271,DM_fish!C:X,18, FALSE), ",",  CHAR(34), "camera",CHAR(34), ":", IF(VALUE(VLOOKUP(D271,DM_fish!C:X,18, FALSE))&lt;VALUE(VLOOKUP(V271,imaging_filters!A:K,11, FALSE)), CONCATENATE(CHAR(34),"CamA",CHAR(34)), CONCATENATE(CHAR(34),"CamB",CHAR(34))),"}"), ""),IF(VLOOKUP(D271,DM_fish!C:X,20, FALSE)&gt;0, CONCATENATE(",{",CHAR(34),"target",CHAR(34),":",CHAR(34),VLOOKUP(D271,DM_fish!C:X,19, FALSE),CHAR(34),",", CHAR(34), "excitation",CHAR(34), ":", VLOOKUP(D271,DM_fish!C:X,20, FALSE), ",",  CHAR(34), "camera",CHAR(34), ":", IF(VALUE(VLOOKUP(D271,DM_fish!C:X,20, FALSE))&lt;VALUE(VLOOKUP(V271,imaging_filters!A:K,11, FALSE)), CONCATENATE(CHAR(34),"CamA",CHAR(34)), CONCATENATE(CHAR(34),"CamB",CHAR(34))),"}"), ""),IF(VLOOKUP(D271,DM_fish!C:X,22, FALSE)&gt;0, CONCATENATE(",{",CHAR(34),"target",CHAR(34),":",CHAR(34),VLOOKUP(D271,DM_fish!C:X,21, FALSE),CHAR(34),",", CHAR(34), "excitation",CHAR(34), ":", VLOOKUP(D271,DM_fish!C:X,22, FALSE), ",",  CHAR(34), "camera",CHAR(34), ":", IF(VALUE(VLOOKUP(D271,DM_fish!C:X,22, FALSE))&lt;VALUE(VLOOKUP(V271,imaging_filters!A:K,11, FALSE)), CONCATENATE(CHAR(34),"CamA",CHAR(34)), CONCATENATE(CHAR(34),"CamB",CHAR(34))),"}"), "")), "]"), "")</f>
        <v/>
      </c>
      <c r="X271" s="12" t="str">
        <f ca="1">IFERROR(
CONCATENATE("[", CONCATENATE(IF(VLOOKUP(C271,DM_fish!C:X,14, FALSE)&gt;0, CONCATENATE("{",CHAR(34),"target",CHAR(34),":",CHAR(34),VLOOKUP(C271,DM_fish!C:X,13, FALSE),CHAR(34),",", CHAR(34), "excitation",CHAR(34), ":", VLOOKUP(C271,DM_fish!C:X,14, FALSE), ",",  CHAR(34), "camera",CHAR(34), ":", IF(VALUE(VLOOKUP(C271,DM_fish!C:X,14, FALSE))&lt;VALUE(VLOOKUP(V271,imaging_filters!A:K,11, FALSE)), CONCATENATE(CHAR(34),"CamA",CHAR(34)), CONCATENATE(CHAR(34),"CamB",CHAR(34))),"}"), ""),IF(VLOOKUP(C271,DM_fish!C:X,16, FALSE)&gt;0, CONCATENATE(",{",CHAR(34),"target",CHAR(34),":",CHAR(34),VLOOKUP(C271,DM_fish!C:X,15, FALSE),CHAR(34),",", CHAR(34), "excitation",CHAR(34), ":", VLOOKUP(C271,DM_fish!C:X,16, FALSE), ",",  CHAR(34), "camera",CHAR(34), ":", IF(VALUE(VLOOKUP(C271,DM_fish!C:X,16, FALSE))&lt;VALUE(VLOOKUP(V271,imaging_filters!A:K,11, FALSE)), CONCATENATE(CHAR(34),"CamA",CHAR(34)), CONCATENATE(CHAR(34),"CamB",CHAR(34))),"}"), ""),IF(VLOOKUP(C271,DM_fish!C:X,18, FALSE)&gt;0, CONCATENATE(",{",CHAR(34),"target",CHAR(34),":",CHAR(34),VLOOKUP(C271,DM_fish!C:X,17, FALSE),CHAR(34),",", CHAR(34), "excitation",CHAR(34), ":", VLOOKUP(C271,DM_fish!C:X,18, FALSE), ",",  CHAR(34), "camera",CHAR(34), ":", IF(VALUE(VLOOKUP(C271,DM_fish!C:X,18, FALSE))&lt;VALUE(VLOOKUP(V271,imaging_filters!A:K,11, FALSE)), CONCATENATE(CHAR(34),"CamA",CHAR(34)), CONCATENATE(CHAR(34),"CamB",CHAR(34))),"}"), ""),IF(VLOOKUP(C271,DM_fish!C:X,20, FALSE)&gt;0, CONCATENATE(",{",CHAR(34),"target",CHAR(34),":",CHAR(34),VLOOKUP(C271,DM_fish!C:X,19, FALSE),CHAR(34),",", CHAR(34), "excitation",CHAR(34), ":", VLOOKUP(C271,DM_fish!C:X,20, FALSE), ",",  CHAR(34), "camera",CHAR(34), ":", IF(VALUE(VLOOKUP(C271,DM_fish!C:X,20, FALSE))&lt;VALUE(VLOOKUP(V271,imaging_filters!A:K,11, FALSE)), CONCATENATE(CHAR(34),"CamA",CHAR(34)), CONCATENATE(CHAR(34),"CamB",CHAR(34))),"}"), ""),IF(VLOOKUP(C271,DM_fish!C:X,22, FALSE)&gt;0, CONCATENATE(",{",CHAR(34),"target",CHAR(34),":",CHAR(34),VLOOKUP(C271,DM_fish!C:X,21, FALSE),CHAR(34),",", CHAR(34), "excitation",CHAR(34), ":", VLOOKUP(C271,DM_fish!C:X,22, FALSE), ",",  CHAR(34), "camera",CHAR(34), ":", IF(VALUE(VLOOKUP(C271,DM_fish!C:X,22, FALSE))&lt;VALUE(VLOOKUP(V271,imaging_filters!A:K,11, FALSE)), CONCATENATE(CHAR(34),"CamA",CHAR(34)), CONCATENATE(CHAR(34),"CamB",CHAR(34))),"}"), "")), "]"), "")</f>
        <v/>
      </c>
      <c r="Y271" s="11" t="str">
        <f ca="1">IFERROR(
CONCATENATE( "[",
IF(VLOOKUP(E271,Injections!B:F,3, FALSE)&gt;0, CONCATENATE( "{",CHAR(34),"target",CHAR(34),":",CHAR(34),VLOOKUP(E271,Injections!B:F,2, FALSE),CHAR(34),",", CHAR(34), "excitation",CHAR(34), ":", VLOOKUP(E271,Injections!B:F,3, FALSE), ",",  CHAR(34), "camera",CHAR(34), ":",
IF(VALUE(VLOOKUP(E271,Injections!B:F,3, FALSE))&lt;VALUE(VLOOKUP(V271,imaging_filters!A:C,2, FALSE)), CONCATENATE(CHAR(34),"CamA",CHAR(34)), CONCATENATE(CHAR(34),"CamB",CHAR(34))),"}"), ""),
IF(VLOOKUP(E271,Injections!B:F,5, FALSE)&gt;0, CONCATENATE(",{",CHAR(34),"target",CHAR(34),":",CHAR(34),VLOOKUP(E271,Injections!B:F,4, FALSE),CHAR(34),",", CHAR(34), "excitation",CHAR(34), ":", VLOOKUP(E271,Injections!B:F,5, FALSE), ",",  CHAR(34), "camera",CHAR(34), ":",
IF(VALUE(VLOOKUP(E271,Injections!B:F,5, FALSE))&lt;VALUE(VLOOKUP(V271,imaging_filters!A:C,2, FALSE)), CONCATENATE(CHAR(34),"CamA",CHAR(34)), CONCATENATE(CHAR(34),"CamB",CHAR(34))),"}"), ""),
 "]"), "[]")</f>
        <v>[]</v>
      </c>
      <c r="Z271" s="11" t="str">
        <f ca="1">IFERROR(
CONCATENATE( "[",
IF(VLOOKUP(F271,Injections!H:L,3, FALSE)&gt;0, CONCATENATE( "{",CHAR(34),"target",CHAR(34),":",CHAR(34),VLOOKUP(F271,Injections!H:L,2, FALSE),CHAR(34),",", CHAR(34), "excitation",CHAR(34), ":", VLOOKUP(F271,Injections!H:L,3, FALSE), ",",  CHAR(34), "camera",CHAR(34), ":",
IF(VALUE(VLOOKUP(F271,Injections!H:L,3, FALSE))&lt;VALUE(VLOOKUP(V271,imaging_filters!A:K,11, FALSE)), CONCATENATE(CHAR(34),"CamA",CHAR(34)), CONCATENATE(CHAR(34),"CamB",CHAR(34))),"}"), ""),
IF(VLOOKUP(F271,Injections!H:L,5, FALSE)&gt;0, CONCATENATE(",{",CHAR(34),"target",CHAR(34),":",CHAR(34),VLOOKUP(F271,Injections!H:L,4, FALSE),CHAR(34),",", CHAR(34), "excitation",CHAR(34), ":", VLOOKUP(F271,Injections!H:L,5, FALSE), ",",  CHAR(34), "camera",CHAR(34), ":",
IF(VALUE(VLOOKUP(F271,Injections!H:L,5, FALSE))&lt;VALUE(VLOOKUP(V271,imaging_filters!A:K,11, FALSE)), CONCATENATE(CHAR(34),"CamA",CHAR(34)), CONCATENATE(CHAR(34),"CamB",CHAR(34))),"}"), ""),
 "]"), "[]")</f>
        <v>[{"target":"nuclei","excitation":560,"camera":"CamB"}]</v>
      </c>
      <c r="AA271" s="11"/>
    </row>
    <row r="272" spans="1:28" ht="15.75" customHeight="1" x14ac:dyDescent="0.15">
      <c r="A272" s="7">
        <f t="shared" si="7"/>
        <v>45726</v>
      </c>
      <c r="B272" s="1"/>
      <c r="C272" s="1" t="s">
        <v>253</v>
      </c>
      <c r="D272" s="1" t="s">
        <v>253</v>
      </c>
      <c r="E272" s="1"/>
      <c r="F272" s="1"/>
      <c r="G272" s="8"/>
      <c r="H272" s="8"/>
      <c r="I272" s="8">
        <v>45726</v>
      </c>
      <c r="J272" s="1" t="s">
        <v>520</v>
      </c>
      <c r="K272" s="1"/>
      <c r="L272" s="8">
        <v>45726</v>
      </c>
      <c r="M272" s="8">
        <v>45726</v>
      </c>
      <c r="N272" s="9">
        <v>0.54166666666666663</v>
      </c>
      <c r="O272" s="9">
        <v>0.54861111111111116</v>
      </c>
      <c r="P272" s="1" t="s">
        <v>521</v>
      </c>
      <c r="Q272" s="1"/>
      <c r="R272" s="10" t="str">
        <f ca="1">IFERROR(__xludf.DUMMYFUNCTION("JOIN("","", SORT(UNIQUE(TOCOL({VLOOKUP(D272,DM_fish!A:B,2,FALSE),VLOOKUP(C272,DM_fish!A:B,2,FALSE), ARRAYFORMULA(VLOOKUP(SPLIT(E272, "", ""),Injections!B:G,6,FALSE)), ARRAYFORMULA(VLOOKUP(SPLIT(F272, "", ""),Injections!H:M,6,FALSE)), ARRAYFORMULA(VLOOKUP("&amp;"SPLIT(G272, "", ""),Injections!N:S,6,FALSE)), ARRAYFORMULA(VLOOKUP(SPLIT(H272, "", ""),Injections!T:Y,6,FALSE)) },3))))"),"")</f>
        <v/>
      </c>
      <c r="S272" s="10" t="str">
        <f ca="1">IFERROR(__xludf.DUMMYFUNCTION("IFERROR(JOIN("","", SPLIT(R272, "","", TRUE ,TRUE)), """")"),"")</f>
        <v/>
      </c>
      <c r="T272" s="1" t="s">
        <v>522</v>
      </c>
      <c r="U272" s="1">
        <v>16000</v>
      </c>
      <c r="V272" s="1" t="s">
        <v>203</v>
      </c>
      <c r="W272" s="12" t="str">
        <f ca="1">IFERROR(CONCATENATE("[", CONCATENATE(IF(VLOOKUP(D272,DM_fish!C:X,14, FALSE)&gt;0, CONCATENATE("{",CHAR(34),"target",CHAR(34),":",CHAR(34),VLOOKUP(D272,DM_fish!C:X,13, FALSE),CHAR(34),",", CHAR(34), "excitation",CHAR(34), ":", VLOOKUP(D272,DM_fish!C:X,14, FALSE), ",",  CHAR(34), "camera",CHAR(34), ":", IF(VALUE(VLOOKUP(D272,DM_fish!C:X,14, FALSE))&lt;VALUE(VLOOKUP(V272,imaging_filters!A:K,11, FALSE)), CONCATENATE(CHAR(34),"CamA",CHAR(34)), CONCATENATE(CHAR(34),"CamB",CHAR(34))),"}"), ""),IF(VLOOKUP(D272,DM_fish!C:X,16, FALSE)&gt;0, CONCATENATE(",{",CHAR(34),"target",CHAR(34),":",CHAR(34),VLOOKUP(D272,DM_fish!C:X,15, FALSE),CHAR(34),",", CHAR(34), "excitation",CHAR(34), ":", VLOOKUP(D272,DM_fish!C:X,16, FALSE), ",",  CHAR(34), "camera",CHAR(34), ":", IF(VALUE(VLOOKUP(D272,DM_fish!C:X,16, FALSE))&lt;VALUE(VLOOKUP(V272,imaging_filters!A:K,11, FALSE)), CONCATENATE(CHAR(34),"CamA",CHAR(34)), CONCATENATE(CHAR(34),"CamB",CHAR(34))),"}"), ""),IF(VLOOKUP(D272,DM_fish!C:X,18, FALSE)&gt;0, CONCATENATE(",{",CHAR(34),"target",CHAR(34),":",CHAR(34),VLOOKUP(D272,DM_fish!C:X,17, FALSE),CHAR(34),",", CHAR(34), "excitation",CHAR(34), ":", VLOOKUP(D272,DM_fish!C:X,18, FALSE), ",",  CHAR(34), "camera",CHAR(34), ":", IF(VALUE(VLOOKUP(D272,DM_fish!C:X,18, FALSE))&lt;VALUE(VLOOKUP(V272,imaging_filters!A:K,11, FALSE)), CONCATENATE(CHAR(34),"CamA",CHAR(34)), CONCATENATE(CHAR(34),"CamB",CHAR(34))),"}"), ""),IF(VLOOKUP(D272,DM_fish!C:X,20, FALSE)&gt;0, CONCATENATE(",{",CHAR(34),"target",CHAR(34),":",CHAR(34),VLOOKUP(D272,DM_fish!C:X,19, FALSE),CHAR(34),",", CHAR(34), "excitation",CHAR(34), ":", VLOOKUP(D272,DM_fish!C:X,20, FALSE), ",",  CHAR(34), "camera",CHAR(34), ":", IF(VALUE(VLOOKUP(D272,DM_fish!C:X,20, FALSE))&lt;VALUE(VLOOKUP(V272,imaging_filters!A:K,11, FALSE)), CONCATENATE(CHAR(34),"CamA",CHAR(34)), CONCATENATE(CHAR(34),"CamB",CHAR(34))),"}"), ""),IF(VLOOKUP(D272,DM_fish!C:X,22, FALSE)&gt;0, CONCATENATE(",{",CHAR(34),"target",CHAR(34),":",CHAR(34),VLOOKUP(D272,DM_fish!C:X,21, FALSE),CHAR(34),",", CHAR(34), "excitation",CHAR(34), ":", VLOOKUP(D272,DM_fish!C:X,22, FALSE), ",",  CHAR(34), "camera",CHAR(34), ":", IF(VALUE(VLOOKUP(D272,DM_fish!C:X,22, FALSE))&lt;VALUE(VLOOKUP(V272,imaging_filters!A:K,11, FALSE)), CONCATENATE(CHAR(34),"CamA",CHAR(34)), CONCATENATE(CHAR(34),"CamB",CHAR(34))),"}"), "")), "]"), "")</f>
        <v/>
      </c>
      <c r="X272" s="12" t="str">
        <f ca="1">IFERROR(
CONCATENATE("[", CONCATENATE(IF(VLOOKUP(C272,DM_fish!C:X,14, FALSE)&gt;0, CONCATENATE("{",CHAR(34),"target",CHAR(34),":",CHAR(34),VLOOKUP(C272,DM_fish!C:X,13, FALSE),CHAR(34),",", CHAR(34), "excitation",CHAR(34), ":", VLOOKUP(C272,DM_fish!C:X,14, FALSE), ",",  CHAR(34), "camera",CHAR(34), ":", IF(VALUE(VLOOKUP(C272,DM_fish!C:X,14, FALSE))&lt;VALUE(VLOOKUP(V272,imaging_filters!A:K,11, FALSE)), CONCATENATE(CHAR(34),"CamA",CHAR(34)), CONCATENATE(CHAR(34),"CamB",CHAR(34))),"}"), ""),IF(VLOOKUP(C272,DM_fish!C:X,16, FALSE)&gt;0, CONCATENATE(",{",CHAR(34),"target",CHAR(34),":",CHAR(34),VLOOKUP(C272,DM_fish!C:X,15, FALSE),CHAR(34),",", CHAR(34), "excitation",CHAR(34), ":", VLOOKUP(C272,DM_fish!C:X,16, FALSE), ",",  CHAR(34), "camera",CHAR(34), ":", IF(VALUE(VLOOKUP(C272,DM_fish!C:X,16, FALSE))&lt;VALUE(VLOOKUP(V272,imaging_filters!A:K,11, FALSE)), CONCATENATE(CHAR(34),"CamA",CHAR(34)), CONCATENATE(CHAR(34),"CamB",CHAR(34))),"}"), ""),IF(VLOOKUP(C272,DM_fish!C:X,18, FALSE)&gt;0, CONCATENATE(",{",CHAR(34),"target",CHAR(34),":",CHAR(34),VLOOKUP(C272,DM_fish!C:X,17, FALSE),CHAR(34),",", CHAR(34), "excitation",CHAR(34), ":", VLOOKUP(C272,DM_fish!C:X,18, FALSE), ",",  CHAR(34), "camera",CHAR(34), ":", IF(VALUE(VLOOKUP(C272,DM_fish!C:X,18, FALSE))&lt;VALUE(VLOOKUP(V272,imaging_filters!A:K,11, FALSE)), CONCATENATE(CHAR(34),"CamA",CHAR(34)), CONCATENATE(CHAR(34),"CamB",CHAR(34))),"}"), ""),IF(VLOOKUP(C272,DM_fish!C:X,20, FALSE)&gt;0, CONCATENATE(",{",CHAR(34),"target",CHAR(34),":",CHAR(34),VLOOKUP(C272,DM_fish!C:X,19, FALSE),CHAR(34),",", CHAR(34), "excitation",CHAR(34), ":", VLOOKUP(C272,DM_fish!C:X,20, FALSE), ",",  CHAR(34), "camera",CHAR(34), ":", IF(VALUE(VLOOKUP(C272,DM_fish!C:X,20, FALSE))&lt;VALUE(VLOOKUP(V272,imaging_filters!A:K,11, FALSE)), CONCATENATE(CHAR(34),"CamA",CHAR(34)), CONCATENATE(CHAR(34),"CamB",CHAR(34))),"}"), ""),IF(VLOOKUP(C272,DM_fish!C:X,22, FALSE)&gt;0, CONCATENATE(",{",CHAR(34),"target",CHAR(34),":",CHAR(34),VLOOKUP(C272,DM_fish!C:X,21, FALSE),CHAR(34),",", CHAR(34), "excitation",CHAR(34), ":", VLOOKUP(C272,DM_fish!C:X,22, FALSE), ",",  CHAR(34), "camera",CHAR(34), ":", IF(VALUE(VLOOKUP(C272,DM_fish!C:X,22, FALSE))&lt;VALUE(VLOOKUP(V272,imaging_filters!A:K,11, FALSE)), CONCATENATE(CHAR(34),"CamA",CHAR(34)), CONCATENATE(CHAR(34),"CamB",CHAR(34))),"}"), "")), "]"), "")</f>
        <v/>
      </c>
      <c r="Y272" s="11" t="str">
        <f ca="1">IFERROR(
CONCATENATE( "[",
IF(VLOOKUP(E272,Injections!B:F,3, FALSE)&gt;0, CONCATENATE( "{",CHAR(34),"target",CHAR(34),":",CHAR(34),VLOOKUP(E272,Injections!B:F,2, FALSE),CHAR(34),",", CHAR(34), "excitation",CHAR(34), ":", VLOOKUP(E272,Injections!B:F,3, FALSE), ",",  CHAR(34), "camera",CHAR(34), ":",
IF(VALUE(VLOOKUP(E272,Injections!B:F,3, FALSE))&lt;VALUE(VLOOKUP(V272,imaging_filters!A:C,2, FALSE)), CONCATENATE(CHAR(34),"CamA",CHAR(34)), CONCATENATE(CHAR(34),"CamB",CHAR(34))),"}"), ""),
IF(VLOOKUP(E272,Injections!B:F,5, FALSE)&gt;0, CONCATENATE(",{",CHAR(34),"target",CHAR(34),":",CHAR(34),VLOOKUP(E272,Injections!B:F,4, FALSE),CHAR(34),",", CHAR(34), "excitation",CHAR(34), ":", VLOOKUP(E272,Injections!B:F,5, FALSE), ",",  CHAR(34), "camera",CHAR(34), ":",
IF(VALUE(VLOOKUP(E272,Injections!B:F,5, FALSE))&lt;VALUE(VLOOKUP(V272,imaging_filters!A:C,2, FALSE)), CONCATENATE(CHAR(34),"CamA",CHAR(34)), CONCATENATE(CHAR(34),"CamB",CHAR(34))),"}"), ""),
 "]"), "[]")</f>
        <v>[]</v>
      </c>
      <c r="Z272" s="11" t="str">
        <f ca="1">IFERROR(
CONCATENATE( "[",
IF(VLOOKUP(F272,Injections!H:L,3, FALSE)&gt;0, CONCATENATE( "{",CHAR(34),"target",CHAR(34),":",CHAR(34),VLOOKUP(F272,Injections!H:L,2, FALSE),CHAR(34),",", CHAR(34), "excitation",CHAR(34), ":", VLOOKUP(F272,Injections!H:L,3, FALSE), ",",  CHAR(34), "camera",CHAR(34), ":",
IF(VALUE(VLOOKUP(F272,Injections!H:L,3, FALSE))&lt;VALUE(VLOOKUP(V272,imaging_filters!A:K,11, FALSE)), CONCATENATE(CHAR(34),"CamA",CHAR(34)), CONCATENATE(CHAR(34),"CamB",CHAR(34))),"}"), ""),
IF(VLOOKUP(F272,Injections!H:L,5, FALSE)&gt;0, CONCATENATE(",{",CHAR(34),"target",CHAR(34),":",CHAR(34),VLOOKUP(F272,Injections!H:L,4, FALSE),CHAR(34),",", CHAR(34), "excitation",CHAR(34), ":", VLOOKUP(F272,Injections!H:L,5, FALSE), ",",  CHAR(34), "camera",CHAR(34), ":",
IF(VALUE(VLOOKUP(F272,Injections!H:L,5, FALSE))&lt;VALUE(VLOOKUP(V272,imaging_filters!A:K,11, FALSE)), CONCATENATE(CHAR(34),"CamA",CHAR(34)), CONCATENATE(CHAR(34),"CamB",CHAR(34))),"}"), ""),
 "]"), "[]")</f>
        <v>[]</v>
      </c>
      <c r="AA272" s="11" t="s">
        <v>523</v>
      </c>
      <c r="AB272" s="1" t="s">
        <v>524</v>
      </c>
    </row>
    <row r="273" spans="1:27" ht="15.75" customHeight="1" x14ac:dyDescent="0.15">
      <c r="A273" s="7">
        <f t="shared" si="7"/>
        <v>45723</v>
      </c>
      <c r="B273" s="1"/>
      <c r="C273" s="1" t="s">
        <v>253</v>
      </c>
      <c r="D273" s="1" t="s">
        <v>107</v>
      </c>
      <c r="E273" s="1"/>
      <c r="F273" s="1" t="s">
        <v>64</v>
      </c>
      <c r="G273" s="8"/>
      <c r="H273" s="8"/>
      <c r="I273" s="8"/>
      <c r="J273" s="15">
        <v>45723</v>
      </c>
      <c r="K273" s="1" t="s">
        <v>246</v>
      </c>
      <c r="M273" s="15">
        <v>45723</v>
      </c>
      <c r="N273" s="9">
        <v>0.72222222222222221</v>
      </c>
      <c r="O273" s="9">
        <v>0.73611111111111116</v>
      </c>
      <c r="P273" s="1" t="s">
        <v>525</v>
      </c>
      <c r="Q273" s="1" t="s">
        <v>423</v>
      </c>
      <c r="R273" s="10" t="str">
        <f ca="1">IFERROR(__xludf.DUMMYFUNCTION("JOIN("","", SORT(UNIQUE(TOCOL({VLOOKUP(D273,DM_fish!A:B,2,FALSE),VLOOKUP(C273,DM_fish!A:B,2,FALSE), ARRAYFORMULA(VLOOKUP(SPLIT(E273, "", ""),Injections!B:G,6,FALSE)), ARRAYFORMULA(VLOOKUP(SPLIT(F273, "", ""),Injections!H:M,6,FALSE)), ARRAYFORMULA(VLOOKUP("&amp;"SPLIT(G273, "", ""),Injections!N:S,6,FALSE)), ARRAYFORMULA(VLOOKUP(SPLIT(H273, "", ""),Injections!T:Y,6,FALSE)) },3))))"),"nuclei")</f>
        <v>nuclei</v>
      </c>
      <c r="S273" s="10" t="str">
        <f ca="1">IFERROR(__xludf.DUMMYFUNCTION("IFERROR(JOIN("","", SPLIT(R273, "","", TRUE ,TRUE)), """")"),"nuclei")</f>
        <v>nuclei</v>
      </c>
      <c r="T273" s="1" t="s">
        <v>526</v>
      </c>
      <c r="U273" s="17">
        <v>3512</v>
      </c>
      <c r="V273" s="1" t="s">
        <v>203</v>
      </c>
      <c r="W273" s="12" t="str">
        <f ca="1">IFERROR(CONCATENATE("[", CONCATENATE(IF(VLOOKUP(D273,DM_fish!C:X,14, FALSE)&gt;0, CONCATENATE("{",CHAR(34),"target",CHAR(34),":",CHAR(34),VLOOKUP(D273,DM_fish!C:X,13, FALSE),CHAR(34),",", CHAR(34), "excitation",CHAR(34), ":", VLOOKUP(D273,DM_fish!C:X,14, FALSE), ",",  CHAR(34), "camera",CHAR(34), ":", IF(VALUE(VLOOKUP(D273,DM_fish!C:X,14, FALSE))&lt;VALUE(VLOOKUP(V273,imaging_filters!A:K,11, FALSE)), CONCATENATE(CHAR(34),"CamA",CHAR(34)), CONCATENATE(CHAR(34),"CamB",CHAR(34))),"}"), ""),IF(VLOOKUP(D273,DM_fish!C:X,16, FALSE)&gt;0, CONCATENATE(",{",CHAR(34),"target",CHAR(34),":",CHAR(34),VLOOKUP(D273,DM_fish!C:X,15, FALSE),CHAR(34),",", CHAR(34), "excitation",CHAR(34), ":", VLOOKUP(D273,DM_fish!C:X,16, FALSE), ",",  CHAR(34), "camera",CHAR(34), ":", IF(VALUE(VLOOKUP(D273,DM_fish!C:X,16, FALSE))&lt;VALUE(VLOOKUP(V273,imaging_filters!A:K,11, FALSE)), CONCATENATE(CHAR(34),"CamA",CHAR(34)), CONCATENATE(CHAR(34),"CamB",CHAR(34))),"}"), ""),IF(VLOOKUP(D273,DM_fish!C:X,18, FALSE)&gt;0, CONCATENATE(",{",CHAR(34),"target",CHAR(34),":",CHAR(34),VLOOKUP(D273,DM_fish!C:X,17, FALSE),CHAR(34),",", CHAR(34), "excitation",CHAR(34), ":", VLOOKUP(D273,DM_fish!C:X,18, FALSE), ",",  CHAR(34), "camera",CHAR(34), ":", IF(VALUE(VLOOKUP(D273,DM_fish!C:X,18, FALSE))&lt;VALUE(VLOOKUP(V273,imaging_filters!A:K,11, FALSE)), CONCATENATE(CHAR(34),"CamA",CHAR(34)), CONCATENATE(CHAR(34),"CamB",CHAR(34))),"}"), ""),IF(VLOOKUP(D273,DM_fish!C:X,20, FALSE)&gt;0, CONCATENATE(",{",CHAR(34),"target",CHAR(34),":",CHAR(34),VLOOKUP(D273,DM_fish!C:X,19, FALSE),CHAR(34),",", CHAR(34), "excitation",CHAR(34), ":", VLOOKUP(D273,DM_fish!C:X,20, FALSE), ",",  CHAR(34), "camera",CHAR(34), ":", IF(VALUE(VLOOKUP(D273,DM_fish!C:X,20, FALSE))&lt;VALUE(VLOOKUP(V273,imaging_filters!A:K,11, FALSE)), CONCATENATE(CHAR(34),"CamA",CHAR(34)), CONCATENATE(CHAR(34),"CamB",CHAR(34))),"}"), ""),IF(VLOOKUP(D273,DM_fish!C:X,22, FALSE)&gt;0, CONCATENATE(",{",CHAR(34),"target",CHAR(34),":",CHAR(34),VLOOKUP(D273,DM_fish!C:X,21, FALSE),CHAR(34),",", CHAR(34), "excitation",CHAR(34), ":", VLOOKUP(D273,DM_fish!C:X,22, FALSE), ",",  CHAR(34), "camera",CHAR(34), ":", IF(VALUE(VLOOKUP(D273,DM_fish!C:X,22, FALSE))&lt;VALUE(VLOOKUP(V273,imaging_filters!A:K,11, FALSE)), CONCATENATE(CHAR(34),"CamA",CHAR(34)), CONCATENATE(CHAR(34),"CamB",CHAR(34))),"}"), "")), "]"), "")</f>
        <v/>
      </c>
      <c r="X273" s="12" t="str">
        <f ca="1">IFERROR(
CONCATENATE("[", CONCATENATE(IF(VLOOKUP(C273,DM_fish!C:X,14, FALSE)&gt;0, CONCATENATE("{",CHAR(34),"target",CHAR(34),":",CHAR(34),VLOOKUP(C273,DM_fish!C:X,13, FALSE),CHAR(34),",", CHAR(34), "excitation",CHAR(34), ":", VLOOKUP(C273,DM_fish!C:X,14, FALSE), ",",  CHAR(34), "camera",CHAR(34), ":", IF(VALUE(VLOOKUP(C273,DM_fish!C:X,14, FALSE))&lt;VALUE(VLOOKUP(V273,imaging_filters!A:K,11, FALSE)), CONCATENATE(CHAR(34),"CamA",CHAR(34)), CONCATENATE(CHAR(34),"CamB",CHAR(34))),"}"), ""),IF(VLOOKUP(C273,DM_fish!C:X,16, FALSE)&gt;0, CONCATENATE(",{",CHAR(34),"target",CHAR(34),":",CHAR(34),VLOOKUP(C273,DM_fish!C:X,15, FALSE),CHAR(34),",", CHAR(34), "excitation",CHAR(34), ":", VLOOKUP(C273,DM_fish!C:X,16, FALSE), ",",  CHAR(34), "camera",CHAR(34), ":", IF(VALUE(VLOOKUP(C273,DM_fish!C:X,16, FALSE))&lt;VALUE(VLOOKUP(V273,imaging_filters!A:K,11, FALSE)), CONCATENATE(CHAR(34),"CamA",CHAR(34)), CONCATENATE(CHAR(34),"CamB",CHAR(34))),"}"), ""),IF(VLOOKUP(C273,DM_fish!C:X,18, FALSE)&gt;0, CONCATENATE(",{",CHAR(34),"target",CHAR(34),":",CHAR(34),VLOOKUP(C273,DM_fish!C:X,17, FALSE),CHAR(34),",", CHAR(34), "excitation",CHAR(34), ":", VLOOKUP(C273,DM_fish!C:X,18, FALSE), ",",  CHAR(34), "camera",CHAR(34), ":", IF(VALUE(VLOOKUP(C273,DM_fish!C:X,18, FALSE))&lt;VALUE(VLOOKUP(V273,imaging_filters!A:K,11, FALSE)), CONCATENATE(CHAR(34),"CamA",CHAR(34)), CONCATENATE(CHAR(34),"CamB",CHAR(34))),"}"), ""),IF(VLOOKUP(C273,DM_fish!C:X,20, FALSE)&gt;0, CONCATENATE(",{",CHAR(34),"target",CHAR(34),":",CHAR(34),VLOOKUP(C273,DM_fish!C:X,19, FALSE),CHAR(34),",", CHAR(34), "excitation",CHAR(34), ":", VLOOKUP(C273,DM_fish!C:X,20, FALSE), ",",  CHAR(34), "camera",CHAR(34), ":", IF(VALUE(VLOOKUP(C273,DM_fish!C:X,20, FALSE))&lt;VALUE(VLOOKUP(V273,imaging_filters!A:K,11, FALSE)), CONCATENATE(CHAR(34),"CamA",CHAR(34)), CONCATENATE(CHAR(34),"CamB",CHAR(34))),"}"), ""),IF(VLOOKUP(C273,DM_fish!C:X,22, FALSE)&gt;0, CONCATENATE(",{",CHAR(34),"target",CHAR(34),":",CHAR(34),VLOOKUP(C273,DM_fish!C:X,21, FALSE),CHAR(34),",", CHAR(34), "excitation",CHAR(34), ":", VLOOKUP(C273,DM_fish!C:X,22, FALSE), ",",  CHAR(34), "camera",CHAR(34), ":", IF(VALUE(VLOOKUP(C273,DM_fish!C:X,22, FALSE))&lt;VALUE(VLOOKUP(V273,imaging_filters!A:K,11, FALSE)), CONCATENATE(CHAR(34),"CamA",CHAR(34)), CONCATENATE(CHAR(34),"CamB",CHAR(34))),"}"), "")), "]"), "")</f>
        <v/>
      </c>
      <c r="Y273" s="11" t="str">
        <f ca="1">IFERROR(
CONCATENATE( "[",
IF(VLOOKUP(E273,Injections!B:F,3, FALSE)&gt;0, CONCATENATE( "{",CHAR(34),"target",CHAR(34),":",CHAR(34),VLOOKUP(E273,Injections!B:F,2, FALSE),CHAR(34),",", CHAR(34), "excitation",CHAR(34), ":", VLOOKUP(E273,Injections!B:F,3, FALSE), ",",  CHAR(34), "camera",CHAR(34), ":",
IF(VALUE(VLOOKUP(E273,Injections!B:F,3, FALSE))&lt;VALUE(VLOOKUP(V273,imaging_filters!A:C,2, FALSE)), CONCATENATE(CHAR(34),"CamA",CHAR(34)), CONCATENATE(CHAR(34),"CamB",CHAR(34))),"}"), ""),
IF(VLOOKUP(E273,Injections!B:F,5, FALSE)&gt;0, CONCATENATE(",{",CHAR(34),"target",CHAR(34),":",CHAR(34),VLOOKUP(E273,Injections!B:F,4, FALSE),CHAR(34),",", CHAR(34), "excitation",CHAR(34), ":", VLOOKUP(E273,Injections!B:F,5, FALSE), ",",  CHAR(34), "camera",CHAR(34), ":",
IF(VALUE(VLOOKUP(E273,Injections!B:F,5, FALSE))&lt;VALUE(VLOOKUP(V273,imaging_filters!A:C,2, FALSE)), CONCATENATE(CHAR(34),"CamA",CHAR(34)), CONCATENATE(CHAR(34),"CamB",CHAR(34))),"}"), ""),
 "]"), "[]")</f>
        <v>[]</v>
      </c>
      <c r="Z273" s="11" t="str">
        <f ca="1">IFERROR(
CONCATENATE( "[",
IF(VLOOKUP(F273,Injections!H:L,3, FALSE)&gt;0, CONCATENATE( "{",CHAR(34),"target",CHAR(34),":",CHAR(34),VLOOKUP(F273,Injections!H:L,2, FALSE),CHAR(34),",", CHAR(34), "excitation",CHAR(34), ":", VLOOKUP(F273,Injections!H:L,3, FALSE), ",",  CHAR(34), "camera",CHAR(34), ":",
IF(VALUE(VLOOKUP(F273,Injections!H:L,3, FALSE))&lt;VALUE(VLOOKUP(V273,imaging_filters!A:K,11, FALSE)), CONCATENATE(CHAR(34),"CamA",CHAR(34)), CONCATENATE(CHAR(34),"CamB",CHAR(34))),"}"), ""),
IF(VLOOKUP(F273,Injections!H:L,5, FALSE)&gt;0, CONCATENATE(",{",CHAR(34),"target",CHAR(34),":",CHAR(34),VLOOKUP(F273,Injections!H:L,4, FALSE),CHAR(34),",", CHAR(34), "excitation",CHAR(34), ":", VLOOKUP(F273,Injections!H:L,5, FALSE), ",",  CHAR(34), "camera",CHAR(34), ":",
IF(VALUE(VLOOKUP(F273,Injections!H:L,5, FALSE))&lt;VALUE(VLOOKUP(V273,imaging_filters!A:K,11, FALSE)), CONCATENATE(CHAR(34),"CamA",CHAR(34)), CONCATENATE(CHAR(34),"CamB",CHAR(34))),"}"), ""),
 "]"), "[]")</f>
        <v>[{"target":"nuclei","excitation":560,"camera":"CamB"}]</v>
      </c>
      <c r="AA273" s="11" t="s">
        <v>527</v>
      </c>
    </row>
    <row r="274" spans="1:27" ht="15.75" customHeight="1" x14ac:dyDescent="0.15">
      <c r="A274" s="7">
        <f t="shared" si="7"/>
        <v>45722</v>
      </c>
      <c r="B274" s="1"/>
      <c r="C274" s="1" t="s">
        <v>253</v>
      </c>
      <c r="D274" s="1" t="s">
        <v>253</v>
      </c>
      <c r="E274" s="1"/>
      <c r="F274" s="1" t="s">
        <v>528</v>
      </c>
      <c r="G274" s="8"/>
      <c r="H274" s="8"/>
      <c r="I274" s="8">
        <v>45719</v>
      </c>
      <c r="J274" s="8">
        <v>45722</v>
      </c>
      <c r="K274" s="1" t="s">
        <v>357</v>
      </c>
      <c r="L274" s="15">
        <v>45720</v>
      </c>
      <c r="M274" s="8">
        <v>45722</v>
      </c>
      <c r="N274" s="9">
        <v>0.45833333333333331</v>
      </c>
      <c r="O274" s="9">
        <v>0.46527777777777779</v>
      </c>
      <c r="P274" s="9">
        <v>0.59027777777777779</v>
      </c>
      <c r="Q274" s="1" t="s">
        <v>529</v>
      </c>
      <c r="R274" s="10" t="str">
        <f ca="1">IFERROR(__xludf.DUMMYFUNCTION("JOIN("","", SORT(UNIQUE(TOCOL({VLOOKUP(D274,DM_fish!A:B,2,FALSE),VLOOKUP(C274,DM_fish!A:B,2,FALSE), ARRAYFORMULA(VLOOKUP(SPLIT(E274, "", ""),Injections!B:G,6,FALSE)), ARRAYFORMULA(VLOOKUP(SPLIT(F274, "", ""),Injections!H:M,6,FALSE)), ARRAYFORMULA(VLOOKUP("&amp;"SPLIT(G274, "", ""),Injections!N:S,6,FALSE)), ARRAYFORMULA(VLOOKUP(SPLIT(H274, "", ""),Injections!T:Y,6,FALSE)) },3))))"),"nuclei")</f>
        <v>nuclei</v>
      </c>
      <c r="S274" s="10" t="str">
        <f ca="1">IFERROR(__xludf.DUMMYFUNCTION("IFERROR(JOIN("","", SPLIT(R274, "","", TRUE ,TRUE)), """")"),"nuclei")</f>
        <v>nuclei</v>
      </c>
      <c r="T274" s="1" t="s">
        <v>530</v>
      </c>
      <c r="U274" s="17">
        <v>475</v>
      </c>
      <c r="V274" s="1" t="s">
        <v>203</v>
      </c>
      <c r="W274" s="12" t="str">
        <f ca="1">IFERROR(CONCATENATE("[", CONCATENATE(IF(VLOOKUP(D274,DM_fish!C:X,14, FALSE)&gt;0, CONCATENATE("{",CHAR(34),"target",CHAR(34),":",CHAR(34),VLOOKUP(D274,DM_fish!C:X,13, FALSE),CHAR(34),",", CHAR(34), "excitation",CHAR(34), ":", VLOOKUP(D274,DM_fish!C:X,14, FALSE), ",",  CHAR(34), "camera",CHAR(34), ":", IF(VALUE(VLOOKUP(D274,DM_fish!C:X,14, FALSE))&lt;VALUE(VLOOKUP(V274,imaging_filters!A:K,11, FALSE)), CONCATENATE(CHAR(34),"CamA",CHAR(34)), CONCATENATE(CHAR(34),"CamB",CHAR(34))),"}"), ""),IF(VLOOKUP(D274,DM_fish!C:X,16, FALSE)&gt;0, CONCATENATE(",{",CHAR(34),"target",CHAR(34),":",CHAR(34),VLOOKUP(D274,DM_fish!C:X,15, FALSE),CHAR(34),",", CHAR(34), "excitation",CHAR(34), ":", VLOOKUP(D274,DM_fish!C:X,16, FALSE), ",",  CHAR(34), "camera",CHAR(34), ":", IF(VALUE(VLOOKUP(D274,DM_fish!C:X,16, FALSE))&lt;VALUE(VLOOKUP(V274,imaging_filters!A:K,11, FALSE)), CONCATENATE(CHAR(34),"CamA",CHAR(34)), CONCATENATE(CHAR(34),"CamB",CHAR(34))),"}"), ""),IF(VLOOKUP(D274,DM_fish!C:X,18, FALSE)&gt;0, CONCATENATE(",{",CHAR(34),"target",CHAR(34),":",CHAR(34),VLOOKUP(D274,DM_fish!C:X,17, FALSE),CHAR(34),",", CHAR(34), "excitation",CHAR(34), ":", VLOOKUP(D274,DM_fish!C:X,18, FALSE), ",",  CHAR(34), "camera",CHAR(34), ":", IF(VALUE(VLOOKUP(D274,DM_fish!C:X,18, FALSE))&lt;VALUE(VLOOKUP(V274,imaging_filters!A:K,11, FALSE)), CONCATENATE(CHAR(34),"CamA",CHAR(34)), CONCATENATE(CHAR(34),"CamB",CHAR(34))),"}"), ""),IF(VLOOKUP(D274,DM_fish!C:X,20, FALSE)&gt;0, CONCATENATE(",{",CHAR(34),"target",CHAR(34),":",CHAR(34),VLOOKUP(D274,DM_fish!C:X,19, FALSE),CHAR(34),",", CHAR(34), "excitation",CHAR(34), ":", VLOOKUP(D274,DM_fish!C:X,20, FALSE), ",",  CHAR(34), "camera",CHAR(34), ":", IF(VALUE(VLOOKUP(D274,DM_fish!C:X,20, FALSE))&lt;VALUE(VLOOKUP(V274,imaging_filters!A:K,11, FALSE)), CONCATENATE(CHAR(34),"CamA",CHAR(34)), CONCATENATE(CHAR(34),"CamB",CHAR(34))),"}"), ""),IF(VLOOKUP(D274,DM_fish!C:X,22, FALSE)&gt;0, CONCATENATE(",{",CHAR(34),"target",CHAR(34),":",CHAR(34),VLOOKUP(D274,DM_fish!C:X,21, FALSE),CHAR(34),",", CHAR(34), "excitation",CHAR(34), ":", VLOOKUP(D274,DM_fish!C:X,22, FALSE), ",",  CHAR(34), "camera",CHAR(34), ":", IF(VALUE(VLOOKUP(D274,DM_fish!C:X,22, FALSE))&lt;VALUE(VLOOKUP(V274,imaging_filters!A:K,11, FALSE)), CONCATENATE(CHAR(34),"CamA",CHAR(34)), CONCATENATE(CHAR(34),"CamB",CHAR(34))),"}"), "")), "]"), "")</f>
        <v/>
      </c>
      <c r="X274" s="12" t="str">
        <f ca="1">IFERROR(
CONCATENATE("[", CONCATENATE(IF(VLOOKUP(C274,DM_fish!C:X,14, FALSE)&gt;0, CONCATENATE("{",CHAR(34),"target",CHAR(34),":",CHAR(34),VLOOKUP(C274,DM_fish!C:X,13, FALSE),CHAR(34),",", CHAR(34), "excitation",CHAR(34), ":", VLOOKUP(C274,DM_fish!C:X,14, FALSE), ",",  CHAR(34), "camera",CHAR(34), ":", IF(VALUE(VLOOKUP(C274,DM_fish!C:X,14, FALSE))&lt;VALUE(VLOOKUP(V274,imaging_filters!A:K,11, FALSE)), CONCATENATE(CHAR(34),"CamA",CHAR(34)), CONCATENATE(CHAR(34),"CamB",CHAR(34))),"}"), ""),IF(VLOOKUP(C274,DM_fish!C:X,16, FALSE)&gt;0, CONCATENATE(",{",CHAR(34),"target",CHAR(34),":",CHAR(34),VLOOKUP(C274,DM_fish!C:X,15, FALSE),CHAR(34),",", CHAR(34), "excitation",CHAR(34), ":", VLOOKUP(C274,DM_fish!C:X,16, FALSE), ",",  CHAR(34), "camera",CHAR(34), ":", IF(VALUE(VLOOKUP(C274,DM_fish!C:X,16, FALSE))&lt;VALUE(VLOOKUP(V274,imaging_filters!A:K,11, FALSE)), CONCATENATE(CHAR(34),"CamA",CHAR(34)), CONCATENATE(CHAR(34),"CamB",CHAR(34))),"}"), ""),IF(VLOOKUP(C274,DM_fish!C:X,18, FALSE)&gt;0, CONCATENATE(",{",CHAR(34),"target",CHAR(34),":",CHAR(34),VLOOKUP(C274,DM_fish!C:X,17, FALSE),CHAR(34),",", CHAR(34), "excitation",CHAR(34), ":", VLOOKUP(C274,DM_fish!C:X,18, FALSE), ",",  CHAR(34), "camera",CHAR(34), ":", IF(VALUE(VLOOKUP(C274,DM_fish!C:X,18, FALSE))&lt;VALUE(VLOOKUP(V274,imaging_filters!A:K,11, FALSE)), CONCATENATE(CHAR(34),"CamA",CHAR(34)), CONCATENATE(CHAR(34),"CamB",CHAR(34))),"}"), ""),IF(VLOOKUP(C274,DM_fish!C:X,20, FALSE)&gt;0, CONCATENATE(",{",CHAR(34),"target",CHAR(34),":",CHAR(34),VLOOKUP(C274,DM_fish!C:X,19, FALSE),CHAR(34),",", CHAR(34), "excitation",CHAR(34), ":", VLOOKUP(C274,DM_fish!C:X,20, FALSE), ",",  CHAR(34), "camera",CHAR(34), ":", IF(VALUE(VLOOKUP(C274,DM_fish!C:X,20, FALSE))&lt;VALUE(VLOOKUP(V274,imaging_filters!A:K,11, FALSE)), CONCATENATE(CHAR(34),"CamA",CHAR(34)), CONCATENATE(CHAR(34),"CamB",CHAR(34))),"}"), ""),IF(VLOOKUP(C274,DM_fish!C:X,22, FALSE)&gt;0, CONCATENATE(",{",CHAR(34),"target",CHAR(34),":",CHAR(34),VLOOKUP(C274,DM_fish!C:X,21, FALSE),CHAR(34),",", CHAR(34), "excitation",CHAR(34), ":", VLOOKUP(C274,DM_fish!C:X,22, FALSE), ",",  CHAR(34), "camera",CHAR(34), ":", IF(VALUE(VLOOKUP(C274,DM_fish!C:X,22, FALSE))&lt;VALUE(VLOOKUP(V274,imaging_filters!A:K,11, FALSE)), CONCATENATE(CHAR(34),"CamA",CHAR(34)), CONCATENATE(CHAR(34),"CamB",CHAR(34))),"}"), "")), "]"), "")</f>
        <v/>
      </c>
      <c r="Y274" s="11" t="str">
        <f ca="1">IFERROR(
CONCATENATE( "[",
IF(VLOOKUP(E274,Injections!B:F,3, FALSE)&gt;0, CONCATENATE( "{",CHAR(34),"target",CHAR(34),":",CHAR(34),VLOOKUP(E274,Injections!B:F,2, FALSE),CHAR(34),",", CHAR(34), "excitation",CHAR(34), ":", VLOOKUP(E274,Injections!B:F,3, FALSE), ",",  CHAR(34), "camera",CHAR(34), ":",
IF(VALUE(VLOOKUP(E274,Injections!B:F,3, FALSE))&lt;VALUE(VLOOKUP(V274,imaging_filters!A:C,2, FALSE)), CONCATENATE(CHAR(34),"CamA",CHAR(34)), CONCATENATE(CHAR(34),"CamB",CHAR(34))),"}"), ""),
IF(VLOOKUP(E274,Injections!B:F,5, FALSE)&gt;0, CONCATENATE(",{",CHAR(34),"target",CHAR(34),":",CHAR(34),VLOOKUP(E274,Injections!B:F,4, FALSE),CHAR(34),",", CHAR(34), "excitation",CHAR(34), ":", VLOOKUP(E274,Injections!B:F,5, FALSE), ",",  CHAR(34), "camera",CHAR(34), ":",
IF(VALUE(VLOOKUP(E274,Injections!B:F,5, FALSE))&lt;VALUE(VLOOKUP(V274,imaging_filters!A:C,2, FALSE)), CONCATENATE(CHAR(34),"CamA",CHAR(34)), CONCATENATE(CHAR(34),"CamB",CHAR(34))),"}"), ""),
 "]"), "[]")</f>
        <v>[]</v>
      </c>
      <c r="Z274" s="11" t="str">
        <f ca="1">IFERROR(
CONCATENATE( "[",
IF(VLOOKUP(F274,Injections!H:L,3, FALSE)&gt;0, CONCATENATE( "{",CHAR(34),"target",CHAR(34),":",CHAR(34),VLOOKUP(F274,Injections!H:L,2, FALSE),CHAR(34),",", CHAR(34), "excitation",CHAR(34), ":", VLOOKUP(F274,Injections!H:L,3, FALSE), ",",  CHAR(34), "camera",CHAR(34), ":",
IF(VALUE(VLOOKUP(F274,Injections!H:L,3, FALSE))&lt;VALUE(VLOOKUP(V274,imaging_filters!A:K,11, FALSE)), CONCATENATE(CHAR(34),"CamA",CHAR(34)), CONCATENATE(CHAR(34),"CamB",CHAR(34))),"}"), ""),
IF(VLOOKUP(F274,Injections!H:L,5, FALSE)&gt;0, CONCATENATE(",{",CHAR(34),"target",CHAR(34),":",CHAR(34),VLOOKUP(F274,Injections!H:L,4, FALSE),CHAR(34),",", CHAR(34), "excitation",CHAR(34), ":", VLOOKUP(F274,Injections!H:L,5, FALSE), ",",  CHAR(34), "camera",CHAR(34), ":",
IF(VALUE(VLOOKUP(F274,Injections!H:L,5, FALSE))&lt;VALUE(VLOOKUP(V274,imaging_filters!A:K,11, FALSE)), CONCATENATE(CHAR(34),"CamA",CHAR(34)), CONCATENATE(CHAR(34),"CamB",CHAR(34))),"}"), ""),
 "]"), "[]")</f>
        <v>[{"target":"nuclei","excitation":560,"camera":"CamB"}]</v>
      </c>
      <c r="AA274" s="11"/>
    </row>
    <row r="275" spans="1:27" ht="15.75" customHeight="1" x14ac:dyDescent="0.15">
      <c r="A275" s="7">
        <f t="shared" si="7"/>
        <v>45722</v>
      </c>
      <c r="B275" s="1"/>
      <c r="C275" s="1" t="s">
        <v>253</v>
      </c>
      <c r="D275" s="1" t="s">
        <v>253</v>
      </c>
      <c r="E275" s="1"/>
      <c r="F275" s="1" t="s">
        <v>528</v>
      </c>
      <c r="G275" s="8"/>
      <c r="H275" s="8"/>
      <c r="I275" s="8">
        <v>45719</v>
      </c>
      <c r="J275" s="8">
        <v>45722</v>
      </c>
      <c r="K275" s="1"/>
      <c r="L275" s="15">
        <v>45720</v>
      </c>
      <c r="M275" s="8">
        <v>45722</v>
      </c>
      <c r="N275" s="9">
        <v>0.45833333333333331</v>
      </c>
      <c r="O275" s="9">
        <v>0.59722222222222221</v>
      </c>
      <c r="P275" s="9">
        <v>0.63888888888888884</v>
      </c>
      <c r="Q275" s="1" t="s">
        <v>395</v>
      </c>
      <c r="R275" s="10" t="str">
        <f ca="1">IFERROR(__xludf.DUMMYFUNCTION("JOIN("","", SORT(UNIQUE(TOCOL({VLOOKUP(D275,DM_fish!A:B,2,FALSE),VLOOKUP(C275,DM_fish!A:B,2,FALSE), ARRAYFORMULA(VLOOKUP(SPLIT(E275, "", ""),Injections!B:G,6,FALSE)), ARRAYFORMULA(VLOOKUP(SPLIT(F275, "", ""),Injections!H:M,6,FALSE)), ARRAYFORMULA(VLOOKUP("&amp;"SPLIT(G275, "", ""),Injections!N:S,6,FALSE)), ARRAYFORMULA(VLOOKUP(SPLIT(H275, "", ""),Injections!T:Y,6,FALSE)) },3))))"),"nuclei")</f>
        <v>nuclei</v>
      </c>
      <c r="S275" s="10" t="str">
        <f ca="1">IFERROR(__xludf.DUMMYFUNCTION("IFERROR(JOIN("","", SPLIT(R275, "","", TRUE ,TRUE)), """")"),"nuclei")</f>
        <v>nuclei</v>
      </c>
      <c r="T275" s="1" t="s">
        <v>531</v>
      </c>
      <c r="U275" s="17">
        <v>154</v>
      </c>
      <c r="V275" s="1" t="s">
        <v>203</v>
      </c>
      <c r="W275" s="12" t="str">
        <f ca="1">IFERROR(CONCATENATE("[", CONCATENATE(IF(VLOOKUP(D275,DM_fish!C:X,14, FALSE)&gt;0, CONCATENATE("{",CHAR(34),"target",CHAR(34),":",CHAR(34),VLOOKUP(D275,DM_fish!C:X,13, FALSE),CHAR(34),",", CHAR(34), "excitation",CHAR(34), ":", VLOOKUP(D275,DM_fish!C:X,14, FALSE), ",",  CHAR(34), "camera",CHAR(34), ":", IF(VALUE(VLOOKUP(D275,DM_fish!C:X,14, FALSE))&lt;VALUE(VLOOKUP(V275,imaging_filters!A:K,11, FALSE)), CONCATENATE(CHAR(34),"CamA",CHAR(34)), CONCATENATE(CHAR(34),"CamB",CHAR(34))),"}"), ""),IF(VLOOKUP(D275,DM_fish!C:X,16, FALSE)&gt;0, CONCATENATE(",{",CHAR(34),"target",CHAR(34),":",CHAR(34),VLOOKUP(D275,DM_fish!C:X,15, FALSE),CHAR(34),",", CHAR(34), "excitation",CHAR(34), ":", VLOOKUP(D275,DM_fish!C:X,16, FALSE), ",",  CHAR(34), "camera",CHAR(34), ":", IF(VALUE(VLOOKUP(D275,DM_fish!C:X,16, FALSE))&lt;VALUE(VLOOKUP(V275,imaging_filters!A:K,11, FALSE)), CONCATENATE(CHAR(34),"CamA",CHAR(34)), CONCATENATE(CHAR(34),"CamB",CHAR(34))),"}"), ""),IF(VLOOKUP(D275,DM_fish!C:X,18, FALSE)&gt;0, CONCATENATE(",{",CHAR(34),"target",CHAR(34),":",CHAR(34),VLOOKUP(D275,DM_fish!C:X,17, FALSE),CHAR(34),",", CHAR(34), "excitation",CHAR(34), ":", VLOOKUP(D275,DM_fish!C:X,18, FALSE), ",",  CHAR(34), "camera",CHAR(34), ":", IF(VALUE(VLOOKUP(D275,DM_fish!C:X,18, FALSE))&lt;VALUE(VLOOKUP(V275,imaging_filters!A:K,11, FALSE)), CONCATENATE(CHAR(34),"CamA",CHAR(34)), CONCATENATE(CHAR(34),"CamB",CHAR(34))),"}"), ""),IF(VLOOKUP(D275,DM_fish!C:X,20, FALSE)&gt;0, CONCATENATE(",{",CHAR(34),"target",CHAR(34),":",CHAR(34),VLOOKUP(D275,DM_fish!C:X,19, FALSE),CHAR(34),",", CHAR(34), "excitation",CHAR(34), ":", VLOOKUP(D275,DM_fish!C:X,20, FALSE), ",",  CHAR(34), "camera",CHAR(34), ":", IF(VALUE(VLOOKUP(D275,DM_fish!C:X,20, FALSE))&lt;VALUE(VLOOKUP(V275,imaging_filters!A:K,11, FALSE)), CONCATENATE(CHAR(34),"CamA",CHAR(34)), CONCATENATE(CHAR(34),"CamB",CHAR(34))),"}"), ""),IF(VLOOKUP(D275,DM_fish!C:X,22, FALSE)&gt;0, CONCATENATE(",{",CHAR(34),"target",CHAR(34),":",CHAR(34),VLOOKUP(D275,DM_fish!C:X,21, FALSE),CHAR(34),",", CHAR(34), "excitation",CHAR(34), ":", VLOOKUP(D275,DM_fish!C:X,22, FALSE), ",",  CHAR(34), "camera",CHAR(34), ":", IF(VALUE(VLOOKUP(D275,DM_fish!C:X,22, FALSE))&lt;VALUE(VLOOKUP(V275,imaging_filters!A:K,11, FALSE)), CONCATENATE(CHAR(34),"CamA",CHAR(34)), CONCATENATE(CHAR(34),"CamB",CHAR(34))),"}"), "")), "]"), "")</f>
        <v/>
      </c>
      <c r="X275" s="12" t="str">
        <f ca="1">IFERROR(
CONCATENATE("[", CONCATENATE(IF(VLOOKUP(C275,DM_fish!C:X,14, FALSE)&gt;0, CONCATENATE("{",CHAR(34),"target",CHAR(34),":",CHAR(34),VLOOKUP(C275,DM_fish!C:X,13, FALSE),CHAR(34),",", CHAR(34), "excitation",CHAR(34), ":", VLOOKUP(C275,DM_fish!C:X,14, FALSE), ",",  CHAR(34), "camera",CHAR(34), ":", IF(VALUE(VLOOKUP(C275,DM_fish!C:X,14, FALSE))&lt;VALUE(VLOOKUP(V275,imaging_filters!A:K,11, FALSE)), CONCATENATE(CHAR(34),"CamA",CHAR(34)), CONCATENATE(CHAR(34),"CamB",CHAR(34))),"}"), ""),IF(VLOOKUP(C275,DM_fish!C:X,16, FALSE)&gt;0, CONCATENATE(",{",CHAR(34),"target",CHAR(34),":",CHAR(34),VLOOKUP(C275,DM_fish!C:X,15, FALSE),CHAR(34),",", CHAR(34), "excitation",CHAR(34), ":", VLOOKUP(C275,DM_fish!C:X,16, FALSE), ",",  CHAR(34), "camera",CHAR(34), ":", IF(VALUE(VLOOKUP(C275,DM_fish!C:X,16, FALSE))&lt;VALUE(VLOOKUP(V275,imaging_filters!A:K,11, FALSE)), CONCATENATE(CHAR(34),"CamA",CHAR(34)), CONCATENATE(CHAR(34),"CamB",CHAR(34))),"}"), ""),IF(VLOOKUP(C275,DM_fish!C:X,18, FALSE)&gt;0, CONCATENATE(",{",CHAR(34),"target",CHAR(34),":",CHAR(34),VLOOKUP(C275,DM_fish!C:X,17, FALSE),CHAR(34),",", CHAR(34), "excitation",CHAR(34), ":", VLOOKUP(C275,DM_fish!C:X,18, FALSE), ",",  CHAR(34), "camera",CHAR(34), ":", IF(VALUE(VLOOKUP(C275,DM_fish!C:X,18, FALSE))&lt;VALUE(VLOOKUP(V275,imaging_filters!A:K,11, FALSE)), CONCATENATE(CHAR(34),"CamA",CHAR(34)), CONCATENATE(CHAR(34),"CamB",CHAR(34))),"}"), ""),IF(VLOOKUP(C275,DM_fish!C:X,20, FALSE)&gt;0, CONCATENATE(",{",CHAR(34),"target",CHAR(34),":",CHAR(34),VLOOKUP(C275,DM_fish!C:X,19, FALSE),CHAR(34),",", CHAR(34), "excitation",CHAR(34), ":", VLOOKUP(C275,DM_fish!C:X,20, FALSE), ",",  CHAR(34), "camera",CHAR(34), ":", IF(VALUE(VLOOKUP(C275,DM_fish!C:X,20, FALSE))&lt;VALUE(VLOOKUP(V275,imaging_filters!A:K,11, FALSE)), CONCATENATE(CHAR(34),"CamA",CHAR(34)), CONCATENATE(CHAR(34),"CamB",CHAR(34))),"}"), ""),IF(VLOOKUP(C275,DM_fish!C:X,22, FALSE)&gt;0, CONCATENATE(",{",CHAR(34),"target",CHAR(34),":",CHAR(34),VLOOKUP(C275,DM_fish!C:X,21, FALSE),CHAR(34),",", CHAR(34), "excitation",CHAR(34), ":", VLOOKUP(C275,DM_fish!C:X,22, FALSE), ",",  CHAR(34), "camera",CHAR(34), ":", IF(VALUE(VLOOKUP(C275,DM_fish!C:X,22, FALSE))&lt;VALUE(VLOOKUP(V275,imaging_filters!A:K,11, FALSE)), CONCATENATE(CHAR(34),"CamA",CHAR(34)), CONCATENATE(CHAR(34),"CamB",CHAR(34))),"}"), "")), "]"), "")</f>
        <v/>
      </c>
      <c r="Y275" s="11" t="str">
        <f ca="1">IFERROR(
CONCATENATE( "[",
IF(VLOOKUP(E275,Injections!B:F,3, FALSE)&gt;0, CONCATENATE( "{",CHAR(34),"target",CHAR(34),":",CHAR(34),VLOOKUP(E275,Injections!B:F,2, FALSE),CHAR(34),",", CHAR(34), "excitation",CHAR(34), ":", VLOOKUP(E275,Injections!B:F,3, FALSE), ",",  CHAR(34), "camera",CHAR(34), ":",
IF(VALUE(VLOOKUP(E275,Injections!B:F,3, FALSE))&lt;VALUE(VLOOKUP(V275,imaging_filters!A:C,2, FALSE)), CONCATENATE(CHAR(34),"CamA",CHAR(34)), CONCATENATE(CHAR(34),"CamB",CHAR(34))),"}"), ""),
IF(VLOOKUP(E275,Injections!B:F,5, FALSE)&gt;0, CONCATENATE(",{",CHAR(34),"target",CHAR(34),":",CHAR(34),VLOOKUP(E275,Injections!B:F,4, FALSE),CHAR(34),",", CHAR(34), "excitation",CHAR(34), ":", VLOOKUP(E275,Injections!B:F,5, FALSE), ",",  CHAR(34), "camera",CHAR(34), ":",
IF(VALUE(VLOOKUP(E275,Injections!B:F,5, FALSE))&lt;VALUE(VLOOKUP(V275,imaging_filters!A:C,2, FALSE)), CONCATENATE(CHAR(34),"CamA",CHAR(34)), CONCATENATE(CHAR(34),"CamB",CHAR(34))),"}"), ""),
 "]"), "[]")</f>
        <v>[]</v>
      </c>
      <c r="Z275" s="11" t="str">
        <f ca="1">IFERROR(
CONCATENATE( "[",
IF(VLOOKUP(F275,Injections!H:L,3, FALSE)&gt;0, CONCATENATE( "{",CHAR(34),"target",CHAR(34),":",CHAR(34),VLOOKUP(F275,Injections!H:L,2, FALSE),CHAR(34),",", CHAR(34), "excitation",CHAR(34), ":", VLOOKUP(F275,Injections!H:L,3, FALSE), ",",  CHAR(34), "camera",CHAR(34), ":",
IF(VALUE(VLOOKUP(F275,Injections!H:L,3, FALSE))&lt;VALUE(VLOOKUP(V275,imaging_filters!A:K,11, FALSE)), CONCATENATE(CHAR(34),"CamA",CHAR(34)), CONCATENATE(CHAR(34),"CamB",CHAR(34))),"}"), ""),
IF(VLOOKUP(F275,Injections!H:L,5, FALSE)&gt;0, CONCATENATE(",{",CHAR(34),"target",CHAR(34),":",CHAR(34),VLOOKUP(F275,Injections!H:L,4, FALSE),CHAR(34),",", CHAR(34), "excitation",CHAR(34), ":", VLOOKUP(F275,Injections!H:L,5, FALSE), ",",  CHAR(34), "camera",CHAR(34), ":",
IF(VALUE(VLOOKUP(F275,Injections!H:L,5, FALSE))&lt;VALUE(VLOOKUP(V275,imaging_filters!A:K,11, FALSE)), CONCATENATE(CHAR(34),"CamA",CHAR(34)), CONCATENATE(CHAR(34),"CamB",CHAR(34))),"}"), ""),
 "]"), "[]")</f>
        <v>[{"target":"nuclei","excitation":560,"camera":"CamB"}]</v>
      </c>
      <c r="AA275" s="11"/>
    </row>
    <row r="276" spans="1:27" ht="15.75" customHeight="1" x14ac:dyDescent="0.15">
      <c r="A276" s="7">
        <f t="shared" si="7"/>
        <v>45722</v>
      </c>
      <c r="B276" s="1"/>
      <c r="C276" s="1" t="s">
        <v>107</v>
      </c>
      <c r="D276" s="1" t="s">
        <v>164</v>
      </c>
      <c r="E276" s="1"/>
      <c r="F276" s="1" t="s">
        <v>532</v>
      </c>
      <c r="G276" s="8"/>
      <c r="H276" s="8"/>
      <c r="I276" s="8">
        <v>45721</v>
      </c>
      <c r="J276" s="8">
        <v>45722</v>
      </c>
      <c r="K276" s="1"/>
      <c r="L276" s="15">
        <v>45722</v>
      </c>
      <c r="M276" s="8">
        <v>45722</v>
      </c>
      <c r="N276" s="9">
        <v>0.73958333333333337</v>
      </c>
      <c r="O276" s="9">
        <v>0.76041666666666663</v>
      </c>
      <c r="P276" s="1" t="s">
        <v>533</v>
      </c>
      <c r="Q276" s="1" t="s">
        <v>534</v>
      </c>
      <c r="R276" s="10" t="str">
        <f ca="1">IFERROR(__xludf.DUMMYFUNCTION("JOIN("","", SORT(UNIQUE(TOCOL({VLOOKUP(D276,DM_fish!A:B,2,FALSE),VLOOKUP(C276,DM_fish!A:B,2,FALSE), ARRAYFORMULA(VLOOKUP(SPLIT(E276, "", ""),Injections!B:G,6,FALSE)), ARRAYFORMULA(VLOOKUP(SPLIT(F276, "", ""),Injections!H:M,6,FALSE)), ARRAYFORMULA(VLOOKUP("&amp;"SPLIT(G276, "", ""),Injections!N:S,6,FALSE)), ARRAYFORMULA(VLOOKUP(SPLIT(H276, "", ""),Injections!T:Y,6,FALSE)) },3))))"),",csp,male #5 25%+ positive rate - currently best founder (but 2 alleles, one dim one bright(er)?,405,445,membrane")</f>
        <v>,csp,male #5 25%+ positive rate - currently best founder (but 2 alleles, one dim one bright(er)?,405,445,membrane</v>
      </c>
      <c r="S276" s="10" t="str">
        <f ca="1">IFERROR(__xludf.DUMMYFUNCTION("IFERROR(JOIN("","", SPLIT(R276, "","", TRUE ,TRUE)), """")"),"csp,male #5 25%+ positive rate - currently best founder (but 2 alleles, one dim one bright(er)?,405,445,membrane")</f>
        <v>csp,male #5 25%+ positive rate - currently best founder (but 2 alleles, one dim one bright(er)?,405,445,membrane</v>
      </c>
      <c r="T276" s="1" t="s">
        <v>535</v>
      </c>
      <c r="U276" s="1">
        <v>1260</v>
      </c>
      <c r="V276" s="1" t="s">
        <v>280</v>
      </c>
      <c r="W276" s="12" t="str">
        <f ca="1">IFERROR(CONCATENATE("[", CONCATENATE(IF(VLOOKUP(D276,DM_fish!C:X,14, FALSE)&gt;0, CONCATENATE("{",CHAR(34),"target",CHAR(34),":",CHAR(34),VLOOKUP(D276,DM_fish!C:X,13, FALSE),CHAR(34),",", CHAR(34), "excitation",CHAR(34), ":", VLOOKUP(D276,DM_fish!C:X,14, FALSE), ",",  CHAR(34), "camera",CHAR(34), ":", IF(VALUE(VLOOKUP(D276,DM_fish!C:X,14, FALSE))&lt;VALUE(VLOOKUP(V276,imaging_filters!A:K,11, FALSE)), CONCATENATE(CHAR(34),"CamA",CHAR(34)), CONCATENATE(CHAR(34),"CamB",CHAR(34))),"}"), ""),IF(VLOOKUP(D276,DM_fish!C:X,16, FALSE)&gt;0, CONCATENATE(",{",CHAR(34),"target",CHAR(34),":",CHAR(34),VLOOKUP(D276,DM_fish!C:X,15, FALSE),CHAR(34),",", CHAR(34), "excitation",CHAR(34), ":", VLOOKUP(D276,DM_fish!C:X,16, FALSE), ",",  CHAR(34), "camera",CHAR(34), ":", IF(VALUE(VLOOKUP(D276,DM_fish!C:X,16, FALSE))&lt;VALUE(VLOOKUP(V276,imaging_filters!A:K,11, FALSE)), CONCATENATE(CHAR(34),"CamA",CHAR(34)), CONCATENATE(CHAR(34),"CamB",CHAR(34))),"}"), ""),IF(VLOOKUP(D276,DM_fish!C:X,18, FALSE)&gt;0, CONCATENATE(",{",CHAR(34),"target",CHAR(34),":",CHAR(34),VLOOKUP(D276,DM_fish!C:X,17, FALSE),CHAR(34),",", CHAR(34), "excitation",CHAR(34), ":", VLOOKUP(D276,DM_fish!C:X,18, FALSE), ",",  CHAR(34), "camera",CHAR(34), ":", IF(VALUE(VLOOKUP(D276,DM_fish!C:X,18, FALSE))&lt;VALUE(VLOOKUP(V276,imaging_filters!A:K,11, FALSE)), CONCATENATE(CHAR(34),"CamA",CHAR(34)), CONCATENATE(CHAR(34),"CamB",CHAR(34))),"}"), ""),IF(VLOOKUP(D276,DM_fish!C:X,20, FALSE)&gt;0, CONCATENATE(",{",CHAR(34),"target",CHAR(34),":",CHAR(34),VLOOKUP(D276,DM_fish!C:X,19, FALSE),CHAR(34),",", CHAR(34), "excitation",CHAR(34), ":", VLOOKUP(D276,DM_fish!C:X,20, FALSE), ",",  CHAR(34), "camera",CHAR(34), ":", IF(VALUE(VLOOKUP(D276,DM_fish!C:X,20, FALSE))&lt;VALUE(VLOOKUP(V276,imaging_filters!A:K,11, FALSE)), CONCATENATE(CHAR(34),"CamA",CHAR(34)), CONCATENATE(CHAR(34),"CamB",CHAR(34))),"}"), ""),IF(VLOOKUP(D276,DM_fish!C:X,22, FALSE)&gt;0, CONCATENATE(",{",CHAR(34),"target",CHAR(34),":",CHAR(34),VLOOKUP(D276,DM_fish!C:X,21, FALSE),CHAR(34),",", CHAR(34), "excitation",CHAR(34), ":", VLOOKUP(D276,DM_fish!C:X,22, FALSE), ",",  CHAR(34), "camera",CHAR(34), ":", IF(VALUE(VLOOKUP(D276,DM_fish!C:X,22, FALSE))&lt;VALUE(VLOOKUP(V276,imaging_filters!A:K,11, FALSE)), CONCATENATE(CHAR(34),"CamA",CHAR(34)), CONCATENATE(CHAR(34),"CamB",CHAR(34))),"}"), "")), "]"), "")</f>
        <v/>
      </c>
      <c r="X276" s="12" t="str">
        <f ca="1">IFERROR(
CONCATENATE("[", CONCATENATE(IF(VLOOKUP(C276,DM_fish!C:X,14, FALSE)&gt;0, CONCATENATE("{",CHAR(34),"target",CHAR(34),":",CHAR(34),VLOOKUP(C276,DM_fish!C:X,13, FALSE),CHAR(34),",", CHAR(34), "excitation",CHAR(34), ":", VLOOKUP(C276,DM_fish!C:X,14, FALSE), ",",  CHAR(34), "camera",CHAR(34), ":", IF(VALUE(VLOOKUP(C276,DM_fish!C:X,14, FALSE))&lt;VALUE(VLOOKUP(V276,imaging_filters!A:K,11, FALSE)), CONCATENATE(CHAR(34),"CamA",CHAR(34)), CONCATENATE(CHAR(34),"CamB",CHAR(34))),"}"), ""),IF(VLOOKUP(C276,DM_fish!C:X,16, FALSE)&gt;0, CONCATENATE(",{",CHAR(34),"target",CHAR(34),":",CHAR(34),VLOOKUP(C276,DM_fish!C:X,15, FALSE),CHAR(34),",", CHAR(34), "excitation",CHAR(34), ":", VLOOKUP(C276,DM_fish!C:X,16, FALSE), ",",  CHAR(34), "camera",CHAR(34), ":", IF(VALUE(VLOOKUP(C276,DM_fish!C:X,16, FALSE))&lt;VALUE(VLOOKUP(V276,imaging_filters!A:K,11, FALSE)), CONCATENATE(CHAR(34),"CamA",CHAR(34)), CONCATENATE(CHAR(34),"CamB",CHAR(34))),"}"), ""),IF(VLOOKUP(C276,DM_fish!C:X,18, FALSE)&gt;0, CONCATENATE(",{",CHAR(34),"target",CHAR(34),":",CHAR(34),VLOOKUP(C276,DM_fish!C:X,17, FALSE),CHAR(34),",", CHAR(34), "excitation",CHAR(34), ":", VLOOKUP(C276,DM_fish!C:X,18, FALSE), ",",  CHAR(34), "camera",CHAR(34), ":", IF(VALUE(VLOOKUP(C276,DM_fish!C:X,18, FALSE))&lt;VALUE(VLOOKUP(V276,imaging_filters!A:K,11, FALSE)), CONCATENATE(CHAR(34),"CamA",CHAR(34)), CONCATENATE(CHAR(34),"CamB",CHAR(34))),"}"), ""),IF(VLOOKUP(C276,DM_fish!C:X,20, FALSE)&gt;0, CONCATENATE(",{",CHAR(34),"target",CHAR(34),":",CHAR(34),VLOOKUP(C276,DM_fish!C:X,19, FALSE),CHAR(34),",", CHAR(34), "excitation",CHAR(34), ":", VLOOKUP(C276,DM_fish!C:X,20, FALSE), ",",  CHAR(34), "camera",CHAR(34), ":", IF(VALUE(VLOOKUP(C276,DM_fish!C:X,20, FALSE))&lt;VALUE(VLOOKUP(V276,imaging_filters!A:K,11, FALSE)), CONCATENATE(CHAR(34),"CamA",CHAR(34)), CONCATENATE(CHAR(34),"CamB",CHAR(34))),"}"), ""),IF(VLOOKUP(C276,DM_fish!C:X,22, FALSE)&gt;0, CONCATENATE(",{",CHAR(34),"target",CHAR(34),":",CHAR(34),VLOOKUP(C276,DM_fish!C:X,21, FALSE),CHAR(34),",", CHAR(34), "excitation",CHAR(34), ":", VLOOKUP(C276,DM_fish!C:X,22, FALSE), ",",  CHAR(34), "camera",CHAR(34), ":", IF(VALUE(VLOOKUP(C276,DM_fish!C:X,22, FALSE))&lt;VALUE(VLOOKUP(V276,imaging_filters!A:K,11, FALSE)), CONCATENATE(CHAR(34),"CamA",CHAR(34)), CONCATENATE(CHAR(34),"CamB",CHAR(34))),"}"), "")), "]"), "")</f>
        <v/>
      </c>
      <c r="Y276" s="11" t="str">
        <f ca="1">IFERROR(
CONCATENATE( "[",
IF(VLOOKUP(E276,Injections!B:F,3, FALSE)&gt;0, CONCATENATE( "{",CHAR(34),"target",CHAR(34),":",CHAR(34),VLOOKUP(E276,Injections!B:F,2, FALSE),CHAR(34),",", CHAR(34), "excitation",CHAR(34), ":", VLOOKUP(E276,Injections!B:F,3, FALSE), ",",  CHAR(34), "camera",CHAR(34), ":",
IF(VALUE(VLOOKUP(E276,Injections!B:F,3, FALSE))&lt;VALUE(VLOOKUP(V276,imaging_filters!A:C,2, FALSE)), CONCATENATE(CHAR(34),"CamA",CHAR(34)), CONCATENATE(CHAR(34),"CamB",CHAR(34))),"}"), ""),
IF(VLOOKUP(E276,Injections!B:F,5, FALSE)&gt;0, CONCATENATE(",{",CHAR(34),"target",CHAR(34),":",CHAR(34),VLOOKUP(E276,Injections!B:F,4, FALSE),CHAR(34),",", CHAR(34), "excitation",CHAR(34), ":", VLOOKUP(E276,Injections!B:F,5, FALSE), ",",  CHAR(34), "camera",CHAR(34), ":",
IF(VALUE(VLOOKUP(E276,Injections!B:F,5, FALSE))&lt;VALUE(VLOOKUP(V276,imaging_filters!A:C,2, FALSE)), CONCATENATE(CHAR(34),"CamA",CHAR(34)), CONCATENATE(CHAR(34),"CamB",CHAR(34))),"}"), ""),
 "]"), "[]")</f>
        <v>[]</v>
      </c>
      <c r="Z276" s="11" t="str">
        <f ca="1">IFERROR(
CONCATENATE( "[",
IF(VLOOKUP(F276,Injections!H:L,3, FALSE)&gt;0, CONCATENATE( "{",CHAR(34),"target",CHAR(34),":",CHAR(34),VLOOKUP(F276,Injections!H:L,2, FALSE),CHAR(34),",", CHAR(34), "excitation",CHAR(34), ":", VLOOKUP(F276,Injections!H:L,3, FALSE), ",",  CHAR(34), "camera",CHAR(34), ":",
IF(VALUE(VLOOKUP(F276,Injections!H:L,3, FALSE))&lt;VALUE(VLOOKUP(V276,imaging_filters!A:K,11, FALSE)), CONCATENATE(CHAR(34),"CamA",CHAR(34)), CONCATENATE(CHAR(34),"CamB",CHAR(34))),"}"), ""),
IF(VLOOKUP(F276,Injections!H:L,5, FALSE)&gt;0, CONCATENATE(",{",CHAR(34),"target",CHAR(34),":",CHAR(34),VLOOKUP(F276,Injections!H:L,4, FALSE),CHAR(34),",", CHAR(34), "excitation",CHAR(34), ":", VLOOKUP(F276,Injections!H:L,5, FALSE), ",",  CHAR(34), "camera",CHAR(34), ":",
IF(VALUE(VLOOKUP(F276,Injections!H:L,5, FALSE))&lt;VALUE(VLOOKUP(V276,imaging_filters!A:K,11, FALSE)), CONCATENATE(CHAR(34),"CamA",CHAR(34)), CONCATENATE(CHAR(34),"CamB",CHAR(34))),"}"), ""),
 "]"), "[]")</f>
        <v>[]</v>
      </c>
      <c r="AA276" s="11" t="s">
        <v>536</v>
      </c>
    </row>
    <row r="277" spans="1:27" ht="15.75" customHeight="1" x14ac:dyDescent="0.15">
      <c r="A277" s="7">
        <f t="shared" si="7"/>
        <v>45721</v>
      </c>
      <c r="B277" s="1"/>
      <c r="C277" s="1" t="s">
        <v>253</v>
      </c>
      <c r="D277" s="1" t="s">
        <v>253</v>
      </c>
      <c r="E277" s="1"/>
      <c r="F277" s="1" t="s">
        <v>528</v>
      </c>
      <c r="G277" s="8"/>
      <c r="H277" s="8"/>
      <c r="I277" s="8">
        <v>45719</v>
      </c>
      <c r="J277" s="8">
        <v>45721</v>
      </c>
      <c r="K277" s="1" t="s">
        <v>246</v>
      </c>
      <c r="L277" s="15">
        <v>45720</v>
      </c>
      <c r="M277" s="8">
        <v>45721</v>
      </c>
      <c r="N277" s="9">
        <v>0.4375</v>
      </c>
      <c r="O277" s="9">
        <v>0.44444444444444442</v>
      </c>
      <c r="P277" s="9">
        <v>0.74305555555555558</v>
      </c>
      <c r="Q277" s="1" t="s">
        <v>423</v>
      </c>
      <c r="R277" s="10" t="str">
        <f ca="1">IFERROR(__xludf.DUMMYFUNCTION("JOIN("","", SORT(UNIQUE(TOCOL({VLOOKUP(D277,DM_fish!A:B,2,FALSE),VLOOKUP(C277,DM_fish!A:B,2,FALSE), ARRAYFORMULA(VLOOKUP(SPLIT(E277, "", ""),Injections!B:G,6,FALSE)), ARRAYFORMULA(VLOOKUP(SPLIT(F277, "", ""),Injections!H:M,6,FALSE)), ARRAYFORMULA(VLOOKUP("&amp;"SPLIT(G277, "", ""),Injections!N:S,6,FALSE)), ARRAYFORMULA(VLOOKUP(SPLIT(H277, "", ""),Injections!T:Y,6,FALSE)) },3))))"),"nuclei")</f>
        <v>nuclei</v>
      </c>
      <c r="S277" s="10" t="str">
        <f ca="1">IFERROR(__xludf.DUMMYFUNCTION("IFERROR(JOIN("","", SPLIT(R277, "","", TRUE ,TRUE)), """")"),"nuclei")</f>
        <v>nuclei</v>
      </c>
      <c r="T277" s="1" t="s">
        <v>537</v>
      </c>
      <c r="U277" s="17">
        <v>1331</v>
      </c>
      <c r="V277" s="1" t="s">
        <v>203</v>
      </c>
      <c r="W277" s="12" t="str">
        <f ca="1">IFERROR(CONCATENATE("[", CONCATENATE(IF(VLOOKUP(D277,DM_fish!C:X,14, FALSE)&gt;0, CONCATENATE("{",CHAR(34),"target",CHAR(34),":",CHAR(34),VLOOKUP(D277,DM_fish!C:X,13, FALSE),CHAR(34),",", CHAR(34), "excitation",CHAR(34), ":", VLOOKUP(D277,DM_fish!C:X,14, FALSE), ",",  CHAR(34), "camera",CHAR(34), ":", IF(VALUE(VLOOKUP(D277,DM_fish!C:X,14, FALSE))&lt;VALUE(VLOOKUP(V277,imaging_filters!A:K,11, FALSE)), CONCATENATE(CHAR(34),"CamA",CHAR(34)), CONCATENATE(CHAR(34),"CamB",CHAR(34))),"}"), ""),IF(VLOOKUP(D277,DM_fish!C:X,16, FALSE)&gt;0, CONCATENATE(",{",CHAR(34),"target",CHAR(34),":",CHAR(34),VLOOKUP(D277,DM_fish!C:X,15, FALSE),CHAR(34),",", CHAR(34), "excitation",CHAR(34), ":", VLOOKUP(D277,DM_fish!C:X,16, FALSE), ",",  CHAR(34), "camera",CHAR(34), ":", IF(VALUE(VLOOKUP(D277,DM_fish!C:X,16, FALSE))&lt;VALUE(VLOOKUP(V277,imaging_filters!A:K,11, FALSE)), CONCATENATE(CHAR(34),"CamA",CHAR(34)), CONCATENATE(CHAR(34),"CamB",CHAR(34))),"}"), ""),IF(VLOOKUP(D277,DM_fish!C:X,18, FALSE)&gt;0, CONCATENATE(",{",CHAR(34),"target",CHAR(34),":",CHAR(34),VLOOKUP(D277,DM_fish!C:X,17, FALSE),CHAR(34),",", CHAR(34), "excitation",CHAR(34), ":", VLOOKUP(D277,DM_fish!C:X,18, FALSE), ",",  CHAR(34), "camera",CHAR(34), ":", IF(VALUE(VLOOKUP(D277,DM_fish!C:X,18, FALSE))&lt;VALUE(VLOOKUP(V277,imaging_filters!A:K,11, FALSE)), CONCATENATE(CHAR(34),"CamA",CHAR(34)), CONCATENATE(CHAR(34),"CamB",CHAR(34))),"}"), ""),IF(VLOOKUP(D277,DM_fish!C:X,20, FALSE)&gt;0, CONCATENATE(",{",CHAR(34),"target",CHAR(34),":",CHAR(34),VLOOKUP(D277,DM_fish!C:X,19, FALSE),CHAR(34),",", CHAR(34), "excitation",CHAR(34), ":", VLOOKUP(D277,DM_fish!C:X,20, FALSE), ",",  CHAR(34), "camera",CHAR(34), ":", IF(VALUE(VLOOKUP(D277,DM_fish!C:X,20, FALSE))&lt;VALUE(VLOOKUP(V277,imaging_filters!A:K,11, FALSE)), CONCATENATE(CHAR(34),"CamA",CHAR(34)), CONCATENATE(CHAR(34),"CamB",CHAR(34))),"}"), ""),IF(VLOOKUP(D277,DM_fish!C:X,22, FALSE)&gt;0, CONCATENATE(",{",CHAR(34),"target",CHAR(34),":",CHAR(34),VLOOKUP(D277,DM_fish!C:X,21, FALSE),CHAR(34),",", CHAR(34), "excitation",CHAR(34), ":", VLOOKUP(D277,DM_fish!C:X,22, FALSE), ",",  CHAR(34), "camera",CHAR(34), ":", IF(VALUE(VLOOKUP(D277,DM_fish!C:X,22, FALSE))&lt;VALUE(VLOOKUP(V277,imaging_filters!A:K,11, FALSE)), CONCATENATE(CHAR(34),"CamA",CHAR(34)), CONCATENATE(CHAR(34),"CamB",CHAR(34))),"}"), "")), "]"), "")</f>
        <v/>
      </c>
      <c r="X277" s="12" t="str">
        <f ca="1">IFERROR(
CONCATENATE("[", CONCATENATE(IF(VLOOKUP(C277,DM_fish!C:X,14, FALSE)&gt;0, CONCATENATE("{",CHAR(34),"target",CHAR(34),":",CHAR(34),VLOOKUP(C277,DM_fish!C:X,13, FALSE),CHAR(34),",", CHAR(34), "excitation",CHAR(34), ":", VLOOKUP(C277,DM_fish!C:X,14, FALSE), ",",  CHAR(34), "camera",CHAR(34), ":", IF(VALUE(VLOOKUP(C277,DM_fish!C:X,14, FALSE))&lt;VALUE(VLOOKUP(V277,imaging_filters!A:K,11, FALSE)), CONCATENATE(CHAR(34),"CamA",CHAR(34)), CONCATENATE(CHAR(34),"CamB",CHAR(34))),"}"), ""),IF(VLOOKUP(C277,DM_fish!C:X,16, FALSE)&gt;0, CONCATENATE(",{",CHAR(34),"target",CHAR(34),":",CHAR(34),VLOOKUP(C277,DM_fish!C:X,15, FALSE),CHAR(34),",", CHAR(34), "excitation",CHAR(34), ":", VLOOKUP(C277,DM_fish!C:X,16, FALSE), ",",  CHAR(34), "camera",CHAR(34), ":", IF(VALUE(VLOOKUP(C277,DM_fish!C:X,16, FALSE))&lt;VALUE(VLOOKUP(V277,imaging_filters!A:K,11, FALSE)), CONCATENATE(CHAR(34),"CamA",CHAR(34)), CONCATENATE(CHAR(34),"CamB",CHAR(34))),"}"), ""),IF(VLOOKUP(C277,DM_fish!C:X,18, FALSE)&gt;0, CONCATENATE(",{",CHAR(34),"target",CHAR(34),":",CHAR(34),VLOOKUP(C277,DM_fish!C:X,17, FALSE),CHAR(34),",", CHAR(34), "excitation",CHAR(34), ":", VLOOKUP(C277,DM_fish!C:X,18, FALSE), ",",  CHAR(34), "camera",CHAR(34), ":", IF(VALUE(VLOOKUP(C277,DM_fish!C:X,18, FALSE))&lt;VALUE(VLOOKUP(V277,imaging_filters!A:K,11, FALSE)), CONCATENATE(CHAR(34),"CamA",CHAR(34)), CONCATENATE(CHAR(34),"CamB",CHAR(34))),"}"), ""),IF(VLOOKUP(C277,DM_fish!C:X,20, FALSE)&gt;0, CONCATENATE(",{",CHAR(34),"target",CHAR(34),":",CHAR(34),VLOOKUP(C277,DM_fish!C:X,19, FALSE),CHAR(34),",", CHAR(34), "excitation",CHAR(34), ":", VLOOKUP(C277,DM_fish!C:X,20, FALSE), ",",  CHAR(34), "camera",CHAR(34), ":", IF(VALUE(VLOOKUP(C277,DM_fish!C:X,20, FALSE))&lt;VALUE(VLOOKUP(V277,imaging_filters!A:K,11, FALSE)), CONCATENATE(CHAR(34),"CamA",CHAR(34)), CONCATENATE(CHAR(34),"CamB",CHAR(34))),"}"), ""),IF(VLOOKUP(C277,DM_fish!C:X,22, FALSE)&gt;0, CONCATENATE(",{",CHAR(34),"target",CHAR(34),":",CHAR(34),VLOOKUP(C277,DM_fish!C:X,21, FALSE),CHAR(34),",", CHAR(34), "excitation",CHAR(34), ":", VLOOKUP(C277,DM_fish!C:X,22, FALSE), ",",  CHAR(34), "camera",CHAR(34), ":", IF(VALUE(VLOOKUP(C277,DM_fish!C:X,22, FALSE))&lt;VALUE(VLOOKUP(V277,imaging_filters!A:K,11, FALSE)), CONCATENATE(CHAR(34),"CamA",CHAR(34)), CONCATENATE(CHAR(34),"CamB",CHAR(34))),"}"), "")), "]"), "")</f>
        <v/>
      </c>
      <c r="Y277" s="11" t="str">
        <f ca="1">IFERROR(
CONCATENATE( "[",
IF(VLOOKUP(E277,Injections!B:F,3, FALSE)&gt;0, CONCATENATE( "{",CHAR(34),"target",CHAR(34),":",CHAR(34),VLOOKUP(E277,Injections!B:F,2, FALSE),CHAR(34),",", CHAR(34), "excitation",CHAR(34), ":", VLOOKUP(E277,Injections!B:F,3, FALSE), ",",  CHAR(34), "camera",CHAR(34), ":",
IF(VALUE(VLOOKUP(E277,Injections!B:F,3, FALSE))&lt;VALUE(VLOOKUP(V277,imaging_filters!A:C,2, FALSE)), CONCATENATE(CHAR(34),"CamA",CHAR(34)), CONCATENATE(CHAR(34),"CamB",CHAR(34))),"}"), ""),
IF(VLOOKUP(E277,Injections!B:F,5, FALSE)&gt;0, CONCATENATE(",{",CHAR(34),"target",CHAR(34),":",CHAR(34),VLOOKUP(E277,Injections!B:F,4, FALSE),CHAR(34),",", CHAR(34), "excitation",CHAR(34), ":", VLOOKUP(E277,Injections!B:F,5, FALSE), ",",  CHAR(34), "camera",CHAR(34), ":",
IF(VALUE(VLOOKUP(E277,Injections!B:F,5, FALSE))&lt;VALUE(VLOOKUP(V277,imaging_filters!A:C,2, FALSE)), CONCATENATE(CHAR(34),"CamA",CHAR(34)), CONCATENATE(CHAR(34),"CamB",CHAR(34))),"}"), ""),
 "]"), "[]")</f>
        <v>[]</v>
      </c>
      <c r="Z277" s="11" t="str">
        <f ca="1">IFERROR(
CONCATENATE( "[",
IF(VLOOKUP(F277,Injections!H:L,3, FALSE)&gt;0, CONCATENATE( "{",CHAR(34),"target",CHAR(34),":",CHAR(34),VLOOKUP(F277,Injections!H:L,2, FALSE),CHAR(34),",", CHAR(34), "excitation",CHAR(34), ":", VLOOKUP(F277,Injections!H:L,3, FALSE), ",",  CHAR(34), "camera",CHAR(34), ":",
IF(VALUE(VLOOKUP(F277,Injections!H:L,3, FALSE))&lt;VALUE(VLOOKUP(V277,imaging_filters!A:K,11, FALSE)), CONCATENATE(CHAR(34),"CamA",CHAR(34)), CONCATENATE(CHAR(34),"CamB",CHAR(34))),"}"), ""),
IF(VLOOKUP(F277,Injections!H:L,5, FALSE)&gt;0, CONCATENATE(",{",CHAR(34),"target",CHAR(34),":",CHAR(34),VLOOKUP(F277,Injections!H:L,4, FALSE),CHAR(34),",", CHAR(34), "excitation",CHAR(34), ":", VLOOKUP(F277,Injections!H:L,5, FALSE), ",",  CHAR(34), "camera",CHAR(34), ":",
IF(VALUE(VLOOKUP(F277,Injections!H:L,5, FALSE))&lt;VALUE(VLOOKUP(V277,imaging_filters!A:K,11, FALSE)), CONCATENATE(CHAR(34),"CamA",CHAR(34)), CONCATENATE(CHAR(34),"CamB",CHAR(34))),"}"), ""),
 "]"), "[]")</f>
        <v>[{"target":"nuclei","excitation":560,"camera":"CamB"}]</v>
      </c>
      <c r="AA277" s="11"/>
    </row>
    <row r="278" spans="1:27" ht="15.75" customHeight="1" x14ac:dyDescent="0.15">
      <c r="A278" s="7">
        <f t="shared" si="7"/>
        <v>45721</v>
      </c>
      <c r="B278" s="1"/>
      <c r="C278" s="1" t="s">
        <v>253</v>
      </c>
      <c r="D278" s="1" t="s">
        <v>253</v>
      </c>
      <c r="E278" s="1"/>
      <c r="F278" s="1" t="s">
        <v>528</v>
      </c>
      <c r="G278" s="8"/>
      <c r="H278" s="8"/>
      <c r="I278" s="8">
        <v>45719</v>
      </c>
      <c r="J278" s="8">
        <v>45721</v>
      </c>
      <c r="K278" s="1" t="s">
        <v>357</v>
      </c>
      <c r="L278" s="15">
        <v>45720</v>
      </c>
      <c r="M278" s="8">
        <v>45721</v>
      </c>
      <c r="N278" s="9">
        <v>0.4375</v>
      </c>
      <c r="O278" s="1" t="s">
        <v>538</v>
      </c>
      <c r="Q278" s="1"/>
      <c r="R278" s="10" t="str">
        <f ca="1">IFERROR(__xludf.DUMMYFUNCTION("JOIN("","", SORT(UNIQUE(TOCOL({VLOOKUP(D278,DM_fish!A:B,2,FALSE),VLOOKUP(C278,DM_fish!A:B,2,FALSE), ARRAYFORMULA(VLOOKUP(SPLIT(E278, "", ""),Injections!B:G,6,FALSE)), ARRAYFORMULA(VLOOKUP(SPLIT(F278, "", ""),Injections!H:M,6,FALSE)), ARRAYFORMULA(VLOOKUP("&amp;"SPLIT(G278, "", ""),Injections!N:S,6,FALSE)), ARRAYFORMULA(VLOOKUP(SPLIT(H278, "", ""),Injections!T:Y,6,FALSE)) },3))))"),"nuclei")</f>
        <v>nuclei</v>
      </c>
      <c r="S278" s="10" t="str">
        <f ca="1">IFERROR(__xludf.DUMMYFUNCTION("IFERROR(JOIN("","", SPLIT(R278, "","", TRUE ,TRUE)), """")"),"nuclei")</f>
        <v>nuclei</v>
      </c>
      <c r="T278" s="1"/>
      <c r="U278" s="17"/>
      <c r="V278" s="1" t="s">
        <v>203</v>
      </c>
      <c r="W278" s="12" t="str">
        <f ca="1">IFERROR(CONCATENATE("[", CONCATENATE(IF(VLOOKUP(D278,DM_fish!C:X,14, FALSE)&gt;0, CONCATENATE("{",CHAR(34),"target",CHAR(34),":",CHAR(34),VLOOKUP(D278,DM_fish!C:X,13, FALSE),CHAR(34),",", CHAR(34), "excitation",CHAR(34), ":", VLOOKUP(D278,DM_fish!C:X,14, FALSE), ",",  CHAR(34), "camera",CHAR(34), ":", IF(VALUE(VLOOKUP(D278,DM_fish!C:X,14, FALSE))&lt;VALUE(VLOOKUP(V278,imaging_filters!A:K,11, FALSE)), CONCATENATE(CHAR(34),"CamA",CHAR(34)), CONCATENATE(CHAR(34),"CamB",CHAR(34))),"}"), ""),IF(VLOOKUP(D278,DM_fish!C:X,16, FALSE)&gt;0, CONCATENATE(",{",CHAR(34),"target",CHAR(34),":",CHAR(34),VLOOKUP(D278,DM_fish!C:X,15, FALSE),CHAR(34),",", CHAR(34), "excitation",CHAR(34), ":", VLOOKUP(D278,DM_fish!C:X,16, FALSE), ",",  CHAR(34), "camera",CHAR(34), ":", IF(VALUE(VLOOKUP(D278,DM_fish!C:X,16, FALSE))&lt;VALUE(VLOOKUP(V278,imaging_filters!A:K,11, FALSE)), CONCATENATE(CHAR(34),"CamA",CHAR(34)), CONCATENATE(CHAR(34),"CamB",CHAR(34))),"}"), ""),IF(VLOOKUP(D278,DM_fish!C:X,18, FALSE)&gt;0, CONCATENATE(",{",CHAR(34),"target",CHAR(34),":",CHAR(34),VLOOKUP(D278,DM_fish!C:X,17, FALSE),CHAR(34),",", CHAR(34), "excitation",CHAR(34), ":", VLOOKUP(D278,DM_fish!C:X,18, FALSE), ",",  CHAR(34), "camera",CHAR(34), ":", IF(VALUE(VLOOKUP(D278,DM_fish!C:X,18, FALSE))&lt;VALUE(VLOOKUP(V278,imaging_filters!A:K,11, FALSE)), CONCATENATE(CHAR(34),"CamA",CHAR(34)), CONCATENATE(CHAR(34),"CamB",CHAR(34))),"}"), ""),IF(VLOOKUP(D278,DM_fish!C:X,20, FALSE)&gt;0, CONCATENATE(",{",CHAR(34),"target",CHAR(34),":",CHAR(34),VLOOKUP(D278,DM_fish!C:X,19, FALSE),CHAR(34),",", CHAR(34), "excitation",CHAR(34), ":", VLOOKUP(D278,DM_fish!C:X,20, FALSE), ",",  CHAR(34), "camera",CHAR(34), ":", IF(VALUE(VLOOKUP(D278,DM_fish!C:X,20, FALSE))&lt;VALUE(VLOOKUP(V278,imaging_filters!A:K,11, FALSE)), CONCATENATE(CHAR(34),"CamA",CHAR(34)), CONCATENATE(CHAR(34),"CamB",CHAR(34))),"}"), ""),IF(VLOOKUP(D278,DM_fish!C:X,22, FALSE)&gt;0, CONCATENATE(",{",CHAR(34),"target",CHAR(34),":",CHAR(34),VLOOKUP(D278,DM_fish!C:X,21, FALSE),CHAR(34),",", CHAR(34), "excitation",CHAR(34), ":", VLOOKUP(D278,DM_fish!C:X,22, FALSE), ",",  CHAR(34), "camera",CHAR(34), ":", IF(VALUE(VLOOKUP(D278,DM_fish!C:X,22, FALSE))&lt;VALUE(VLOOKUP(V278,imaging_filters!A:K,11, FALSE)), CONCATENATE(CHAR(34),"CamA",CHAR(34)), CONCATENATE(CHAR(34),"CamB",CHAR(34))),"}"), "")), "]"), "")</f>
        <v/>
      </c>
      <c r="X278" s="12" t="str">
        <f ca="1">IFERROR(
CONCATENATE("[", CONCATENATE(IF(VLOOKUP(C278,DM_fish!C:X,14, FALSE)&gt;0, CONCATENATE("{",CHAR(34),"target",CHAR(34),":",CHAR(34),VLOOKUP(C278,DM_fish!C:X,13, FALSE),CHAR(34),",", CHAR(34), "excitation",CHAR(34), ":", VLOOKUP(C278,DM_fish!C:X,14, FALSE), ",",  CHAR(34), "camera",CHAR(34), ":", IF(VALUE(VLOOKUP(C278,DM_fish!C:X,14, FALSE))&lt;VALUE(VLOOKUP(V278,imaging_filters!A:K,11, FALSE)), CONCATENATE(CHAR(34),"CamA",CHAR(34)), CONCATENATE(CHAR(34),"CamB",CHAR(34))),"}"), ""),IF(VLOOKUP(C278,DM_fish!C:X,16, FALSE)&gt;0, CONCATENATE(",{",CHAR(34),"target",CHAR(34),":",CHAR(34),VLOOKUP(C278,DM_fish!C:X,15, FALSE),CHAR(34),",", CHAR(34), "excitation",CHAR(34), ":", VLOOKUP(C278,DM_fish!C:X,16, FALSE), ",",  CHAR(34), "camera",CHAR(34), ":", IF(VALUE(VLOOKUP(C278,DM_fish!C:X,16, FALSE))&lt;VALUE(VLOOKUP(V278,imaging_filters!A:K,11, FALSE)), CONCATENATE(CHAR(34),"CamA",CHAR(34)), CONCATENATE(CHAR(34),"CamB",CHAR(34))),"}"), ""),IF(VLOOKUP(C278,DM_fish!C:X,18, FALSE)&gt;0, CONCATENATE(",{",CHAR(34),"target",CHAR(34),":",CHAR(34),VLOOKUP(C278,DM_fish!C:X,17, FALSE),CHAR(34),",", CHAR(34), "excitation",CHAR(34), ":", VLOOKUP(C278,DM_fish!C:X,18, FALSE), ",",  CHAR(34), "camera",CHAR(34), ":", IF(VALUE(VLOOKUP(C278,DM_fish!C:X,18, FALSE))&lt;VALUE(VLOOKUP(V278,imaging_filters!A:K,11, FALSE)), CONCATENATE(CHAR(34),"CamA",CHAR(34)), CONCATENATE(CHAR(34),"CamB",CHAR(34))),"}"), ""),IF(VLOOKUP(C278,DM_fish!C:X,20, FALSE)&gt;0, CONCATENATE(",{",CHAR(34),"target",CHAR(34),":",CHAR(34),VLOOKUP(C278,DM_fish!C:X,19, FALSE),CHAR(34),",", CHAR(34), "excitation",CHAR(34), ":", VLOOKUP(C278,DM_fish!C:X,20, FALSE), ",",  CHAR(34), "camera",CHAR(34), ":", IF(VALUE(VLOOKUP(C278,DM_fish!C:X,20, FALSE))&lt;VALUE(VLOOKUP(V278,imaging_filters!A:K,11, FALSE)), CONCATENATE(CHAR(34),"CamA",CHAR(34)), CONCATENATE(CHAR(34),"CamB",CHAR(34))),"}"), ""),IF(VLOOKUP(C278,DM_fish!C:X,22, FALSE)&gt;0, CONCATENATE(",{",CHAR(34),"target",CHAR(34),":",CHAR(34),VLOOKUP(C278,DM_fish!C:X,21, FALSE),CHAR(34),",", CHAR(34), "excitation",CHAR(34), ":", VLOOKUP(C278,DM_fish!C:X,22, FALSE), ",",  CHAR(34), "camera",CHAR(34), ":", IF(VALUE(VLOOKUP(C278,DM_fish!C:X,22, FALSE))&lt;VALUE(VLOOKUP(V278,imaging_filters!A:K,11, FALSE)), CONCATENATE(CHAR(34),"CamA",CHAR(34)), CONCATENATE(CHAR(34),"CamB",CHAR(34))),"}"), "")), "]"), "")</f>
        <v/>
      </c>
      <c r="Y278" s="11" t="str">
        <f ca="1">IFERROR(
CONCATENATE( "[",
IF(VLOOKUP(E278,Injections!B:F,3, FALSE)&gt;0, CONCATENATE( "{",CHAR(34),"target",CHAR(34),":",CHAR(34),VLOOKUP(E278,Injections!B:F,2, FALSE),CHAR(34),",", CHAR(34), "excitation",CHAR(34), ":", VLOOKUP(E278,Injections!B:F,3, FALSE), ",",  CHAR(34), "camera",CHAR(34), ":",
IF(VALUE(VLOOKUP(E278,Injections!B:F,3, FALSE))&lt;VALUE(VLOOKUP(V278,imaging_filters!A:C,2, FALSE)), CONCATENATE(CHAR(34),"CamA",CHAR(34)), CONCATENATE(CHAR(34),"CamB",CHAR(34))),"}"), ""),
IF(VLOOKUP(E278,Injections!B:F,5, FALSE)&gt;0, CONCATENATE(",{",CHAR(34),"target",CHAR(34),":",CHAR(34),VLOOKUP(E278,Injections!B:F,4, FALSE),CHAR(34),",", CHAR(34), "excitation",CHAR(34), ":", VLOOKUP(E278,Injections!B:F,5, FALSE), ",",  CHAR(34), "camera",CHAR(34), ":",
IF(VALUE(VLOOKUP(E278,Injections!B:F,5, FALSE))&lt;VALUE(VLOOKUP(V278,imaging_filters!A:C,2, FALSE)), CONCATENATE(CHAR(34),"CamA",CHAR(34)), CONCATENATE(CHAR(34),"CamB",CHAR(34))),"}"), ""),
 "]"), "[]")</f>
        <v>[]</v>
      </c>
      <c r="Z278" s="11" t="str">
        <f ca="1">IFERROR(
CONCATENATE( "[",
IF(VLOOKUP(F278,Injections!H:L,3, FALSE)&gt;0, CONCATENATE( "{",CHAR(34),"target",CHAR(34),":",CHAR(34),VLOOKUP(F278,Injections!H:L,2, FALSE),CHAR(34),",", CHAR(34), "excitation",CHAR(34), ":", VLOOKUP(F278,Injections!H:L,3, FALSE), ",",  CHAR(34), "camera",CHAR(34), ":",
IF(VALUE(VLOOKUP(F278,Injections!H:L,3, FALSE))&lt;VALUE(VLOOKUP(V278,imaging_filters!A:K,11, FALSE)), CONCATENATE(CHAR(34),"CamA",CHAR(34)), CONCATENATE(CHAR(34),"CamB",CHAR(34))),"}"), ""),
IF(VLOOKUP(F278,Injections!H:L,5, FALSE)&gt;0, CONCATENATE(",{",CHAR(34),"target",CHAR(34),":",CHAR(34),VLOOKUP(F278,Injections!H:L,4, FALSE),CHAR(34),",", CHAR(34), "excitation",CHAR(34), ":", VLOOKUP(F278,Injections!H:L,5, FALSE), ",",  CHAR(34), "camera",CHAR(34), ":",
IF(VALUE(VLOOKUP(F278,Injections!H:L,5, FALSE))&lt;VALUE(VLOOKUP(V278,imaging_filters!A:K,11, FALSE)), CONCATENATE(CHAR(34),"CamA",CHAR(34)), CONCATENATE(CHAR(34),"CamB",CHAR(34))),"}"), ""),
 "]"), "[]")</f>
        <v>[{"target":"nuclei","excitation":560,"camera":"CamB"}]</v>
      </c>
      <c r="AA278" s="11"/>
    </row>
    <row r="279" spans="1:27" ht="15.75" customHeight="1" x14ac:dyDescent="0.15">
      <c r="A279" s="7">
        <f t="shared" si="7"/>
        <v>45721</v>
      </c>
      <c r="B279" s="1"/>
      <c r="C279" s="1" t="s">
        <v>253</v>
      </c>
      <c r="D279" s="1" t="s">
        <v>253</v>
      </c>
      <c r="E279" s="1"/>
      <c r="F279" s="1" t="s">
        <v>528</v>
      </c>
      <c r="G279" s="8"/>
      <c r="H279" s="8"/>
      <c r="I279" s="8">
        <v>45719</v>
      </c>
      <c r="J279" s="8">
        <v>45721</v>
      </c>
      <c r="K279" s="1" t="s">
        <v>31</v>
      </c>
      <c r="L279" s="15">
        <v>45720</v>
      </c>
      <c r="M279" s="8">
        <v>45721</v>
      </c>
      <c r="N279" s="9">
        <v>0.75</v>
      </c>
      <c r="O279" s="9">
        <v>0.75694444444444442</v>
      </c>
      <c r="P279" s="1" t="s">
        <v>539</v>
      </c>
      <c r="Q279" s="1" t="s">
        <v>540</v>
      </c>
      <c r="R279" s="10" t="str">
        <f ca="1">IFERROR(__xludf.DUMMYFUNCTION("JOIN("","", SORT(UNIQUE(TOCOL({VLOOKUP(D279,DM_fish!A:B,2,FALSE),VLOOKUP(C279,DM_fish!A:B,2,FALSE), ARRAYFORMULA(VLOOKUP(SPLIT(E279, "", ""),Injections!B:G,6,FALSE)), ARRAYFORMULA(VLOOKUP(SPLIT(F279, "", ""),Injections!H:M,6,FALSE)), ARRAYFORMULA(VLOOKUP("&amp;"SPLIT(G279, "", ""),Injections!N:S,6,FALSE)), ARRAYFORMULA(VLOOKUP(SPLIT(H279, "", ""),Injections!T:Y,6,FALSE)) },3))))"),"nuclei")</f>
        <v>nuclei</v>
      </c>
      <c r="S279" s="10" t="str">
        <f ca="1">IFERROR(__xludf.DUMMYFUNCTION("IFERROR(JOIN("","", SPLIT(R279, "","", TRUE ,TRUE)), """")"),"nuclei")</f>
        <v>nuclei</v>
      </c>
      <c r="T279" s="1" t="s">
        <v>541</v>
      </c>
      <c r="U279" s="17">
        <v>1402</v>
      </c>
      <c r="V279" s="1" t="s">
        <v>203</v>
      </c>
      <c r="W279" s="12" t="str">
        <f ca="1">IFERROR(CONCATENATE("[", CONCATENATE(IF(VLOOKUP(D279,DM_fish!C:X,14, FALSE)&gt;0, CONCATENATE("{",CHAR(34),"target",CHAR(34),":",CHAR(34),VLOOKUP(D279,DM_fish!C:X,13, FALSE),CHAR(34),",", CHAR(34), "excitation",CHAR(34), ":", VLOOKUP(D279,DM_fish!C:X,14, FALSE), ",",  CHAR(34), "camera",CHAR(34), ":", IF(VALUE(VLOOKUP(D279,DM_fish!C:X,14, FALSE))&lt;VALUE(VLOOKUP(V279,imaging_filters!A:K,11, FALSE)), CONCATENATE(CHAR(34),"CamA",CHAR(34)), CONCATENATE(CHAR(34),"CamB",CHAR(34))),"}"), ""),IF(VLOOKUP(D279,DM_fish!C:X,16, FALSE)&gt;0, CONCATENATE(",{",CHAR(34),"target",CHAR(34),":",CHAR(34),VLOOKUP(D279,DM_fish!C:X,15, FALSE),CHAR(34),",", CHAR(34), "excitation",CHAR(34), ":", VLOOKUP(D279,DM_fish!C:X,16, FALSE), ",",  CHAR(34), "camera",CHAR(34), ":", IF(VALUE(VLOOKUP(D279,DM_fish!C:X,16, FALSE))&lt;VALUE(VLOOKUP(V279,imaging_filters!A:K,11, FALSE)), CONCATENATE(CHAR(34),"CamA",CHAR(34)), CONCATENATE(CHAR(34),"CamB",CHAR(34))),"}"), ""),IF(VLOOKUP(D279,DM_fish!C:X,18, FALSE)&gt;0, CONCATENATE(",{",CHAR(34),"target",CHAR(34),":",CHAR(34),VLOOKUP(D279,DM_fish!C:X,17, FALSE),CHAR(34),",", CHAR(34), "excitation",CHAR(34), ":", VLOOKUP(D279,DM_fish!C:X,18, FALSE), ",",  CHAR(34), "camera",CHAR(34), ":", IF(VALUE(VLOOKUP(D279,DM_fish!C:X,18, FALSE))&lt;VALUE(VLOOKUP(V279,imaging_filters!A:K,11, FALSE)), CONCATENATE(CHAR(34),"CamA",CHAR(34)), CONCATENATE(CHAR(34),"CamB",CHAR(34))),"}"), ""),IF(VLOOKUP(D279,DM_fish!C:X,20, FALSE)&gt;0, CONCATENATE(",{",CHAR(34),"target",CHAR(34),":",CHAR(34),VLOOKUP(D279,DM_fish!C:X,19, FALSE),CHAR(34),",", CHAR(34), "excitation",CHAR(34), ":", VLOOKUP(D279,DM_fish!C:X,20, FALSE), ",",  CHAR(34), "camera",CHAR(34), ":", IF(VALUE(VLOOKUP(D279,DM_fish!C:X,20, FALSE))&lt;VALUE(VLOOKUP(V279,imaging_filters!A:K,11, FALSE)), CONCATENATE(CHAR(34),"CamA",CHAR(34)), CONCATENATE(CHAR(34),"CamB",CHAR(34))),"}"), ""),IF(VLOOKUP(D279,DM_fish!C:X,22, FALSE)&gt;0, CONCATENATE(",{",CHAR(34),"target",CHAR(34),":",CHAR(34),VLOOKUP(D279,DM_fish!C:X,21, FALSE),CHAR(34),",", CHAR(34), "excitation",CHAR(34), ":", VLOOKUP(D279,DM_fish!C:X,22, FALSE), ",",  CHAR(34), "camera",CHAR(34), ":", IF(VALUE(VLOOKUP(D279,DM_fish!C:X,22, FALSE))&lt;VALUE(VLOOKUP(V279,imaging_filters!A:K,11, FALSE)), CONCATENATE(CHAR(34),"CamA",CHAR(34)), CONCATENATE(CHAR(34),"CamB",CHAR(34))),"}"), "")), "]"), "")</f>
        <v/>
      </c>
      <c r="X279" s="12" t="str">
        <f ca="1">IFERROR(
CONCATENATE("[", CONCATENATE(IF(VLOOKUP(C279,DM_fish!C:X,14, FALSE)&gt;0, CONCATENATE("{",CHAR(34),"target",CHAR(34),":",CHAR(34),VLOOKUP(C279,DM_fish!C:X,13, FALSE),CHAR(34),",", CHAR(34), "excitation",CHAR(34), ":", VLOOKUP(C279,DM_fish!C:X,14, FALSE), ",",  CHAR(34), "camera",CHAR(34), ":", IF(VALUE(VLOOKUP(C279,DM_fish!C:X,14, FALSE))&lt;VALUE(VLOOKUP(V279,imaging_filters!A:K,11, FALSE)), CONCATENATE(CHAR(34),"CamA",CHAR(34)), CONCATENATE(CHAR(34),"CamB",CHAR(34))),"}"), ""),IF(VLOOKUP(C279,DM_fish!C:X,16, FALSE)&gt;0, CONCATENATE(",{",CHAR(34),"target",CHAR(34),":",CHAR(34),VLOOKUP(C279,DM_fish!C:X,15, FALSE),CHAR(34),",", CHAR(34), "excitation",CHAR(34), ":", VLOOKUP(C279,DM_fish!C:X,16, FALSE), ",",  CHAR(34), "camera",CHAR(34), ":", IF(VALUE(VLOOKUP(C279,DM_fish!C:X,16, FALSE))&lt;VALUE(VLOOKUP(V279,imaging_filters!A:K,11, FALSE)), CONCATENATE(CHAR(34),"CamA",CHAR(34)), CONCATENATE(CHAR(34),"CamB",CHAR(34))),"}"), ""),IF(VLOOKUP(C279,DM_fish!C:X,18, FALSE)&gt;0, CONCATENATE(",{",CHAR(34),"target",CHAR(34),":",CHAR(34),VLOOKUP(C279,DM_fish!C:X,17, FALSE),CHAR(34),",", CHAR(34), "excitation",CHAR(34), ":", VLOOKUP(C279,DM_fish!C:X,18, FALSE), ",",  CHAR(34), "camera",CHAR(34), ":", IF(VALUE(VLOOKUP(C279,DM_fish!C:X,18, FALSE))&lt;VALUE(VLOOKUP(V279,imaging_filters!A:K,11, FALSE)), CONCATENATE(CHAR(34),"CamA",CHAR(34)), CONCATENATE(CHAR(34),"CamB",CHAR(34))),"}"), ""),IF(VLOOKUP(C279,DM_fish!C:X,20, FALSE)&gt;0, CONCATENATE(",{",CHAR(34),"target",CHAR(34),":",CHAR(34),VLOOKUP(C279,DM_fish!C:X,19, FALSE),CHAR(34),",", CHAR(34), "excitation",CHAR(34), ":", VLOOKUP(C279,DM_fish!C:X,20, FALSE), ",",  CHAR(34), "camera",CHAR(34), ":", IF(VALUE(VLOOKUP(C279,DM_fish!C:X,20, FALSE))&lt;VALUE(VLOOKUP(V279,imaging_filters!A:K,11, FALSE)), CONCATENATE(CHAR(34),"CamA",CHAR(34)), CONCATENATE(CHAR(34),"CamB",CHAR(34))),"}"), ""),IF(VLOOKUP(C279,DM_fish!C:X,22, FALSE)&gt;0, CONCATENATE(",{",CHAR(34),"target",CHAR(34),":",CHAR(34),VLOOKUP(C279,DM_fish!C:X,21, FALSE),CHAR(34),",", CHAR(34), "excitation",CHAR(34), ":", VLOOKUP(C279,DM_fish!C:X,22, FALSE), ",",  CHAR(34), "camera",CHAR(34), ":", IF(VALUE(VLOOKUP(C279,DM_fish!C:X,22, FALSE))&lt;VALUE(VLOOKUP(V279,imaging_filters!A:K,11, FALSE)), CONCATENATE(CHAR(34),"CamA",CHAR(34)), CONCATENATE(CHAR(34),"CamB",CHAR(34))),"}"), "")), "]"), "")</f>
        <v/>
      </c>
      <c r="Y279" s="11" t="str">
        <f ca="1">IFERROR(
CONCATENATE( "[",
IF(VLOOKUP(E279,Injections!B:F,3, FALSE)&gt;0, CONCATENATE( "{",CHAR(34),"target",CHAR(34),":",CHAR(34),VLOOKUP(E279,Injections!B:F,2, FALSE),CHAR(34),",", CHAR(34), "excitation",CHAR(34), ":", VLOOKUP(E279,Injections!B:F,3, FALSE), ",",  CHAR(34), "camera",CHAR(34), ":",
IF(VALUE(VLOOKUP(E279,Injections!B:F,3, FALSE))&lt;VALUE(VLOOKUP(V279,imaging_filters!A:C,2, FALSE)), CONCATENATE(CHAR(34),"CamA",CHAR(34)), CONCATENATE(CHAR(34),"CamB",CHAR(34))),"}"), ""),
IF(VLOOKUP(E279,Injections!B:F,5, FALSE)&gt;0, CONCATENATE(",{",CHAR(34),"target",CHAR(34),":",CHAR(34),VLOOKUP(E279,Injections!B:F,4, FALSE),CHAR(34),",", CHAR(34), "excitation",CHAR(34), ":", VLOOKUP(E279,Injections!B:F,5, FALSE), ",",  CHAR(34), "camera",CHAR(34), ":",
IF(VALUE(VLOOKUP(E279,Injections!B:F,5, FALSE))&lt;VALUE(VLOOKUP(V279,imaging_filters!A:C,2, FALSE)), CONCATENATE(CHAR(34),"CamA",CHAR(34)), CONCATENATE(CHAR(34),"CamB",CHAR(34))),"}"), ""),
 "]"), "[]")</f>
        <v>[]</v>
      </c>
      <c r="Z279" s="11" t="str">
        <f ca="1">IFERROR(
CONCATENATE( "[",
IF(VLOOKUP(F279,Injections!H:L,3, FALSE)&gt;0, CONCATENATE( "{",CHAR(34),"target",CHAR(34),":",CHAR(34),VLOOKUP(F279,Injections!H:L,2, FALSE),CHAR(34),",", CHAR(34), "excitation",CHAR(34), ":", VLOOKUP(F279,Injections!H:L,3, FALSE), ",",  CHAR(34), "camera",CHAR(34), ":",
IF(VALUE(VLOOKUP(F279,Injections!H:L,3, FALSE))&lt;VALUE(VLOOKUP(V279,imaging_filters!A:K,11, FALSE)), CONCATENATE(CHAR(34),"CamA",CHAR(34)), CONCATENATE(CHAR(34),"CamB",CHAR(34))),"}"), ""),
IF(VLOOKUP(F279,Injections!H:L,5, FALSE)&gt;0, CONCATENATE(",{",CHAR(34),"target",CHAR(34),":",CHAR(34),VLOOKUP(F279,Injections!H:L,4, FALSE),CHAR(34),",", CHAR(34), "excitation",CHAR(34), ":", VLOOKUP(F279,Injections!H:L,5, FALSE), ",",  CHAR(34), "camera",CHAR(34), ":",
IF(VALUE(VLOOKUP(F279,Injections!H:L,5, FALSE))&lt;VALUE(VLOOKUP(V279,imaging_filters!A:K,11, FALSE)), CONCATENATE(CHAR(34),"CamA",CHAR(34)), CONCATENATE(CHAR(34),"CamB",CHAR(34))),"}"), ""),
 "]"), "[]")</f>
        <v>[{"target":"nuclei","excitation":560,"camera":"CamB"}]</v>
      </c>
      <c r="AA279" s="11"/>
    </row>
    <row r="280" spans="1:27" ht="15.75" customHeight="1" x14ac:dyDescent="0.15">
      <c r="A280" s="7">
        <f t="shared" si="7"/>
        <v>45721</v>
      </c>
      <c r="B280" s="1"/>
      <c r="C280" s="1" t="s">
        <v>253</v>
      </c>
      <c r="D280" s="1" t="s">
        <v>253</v>
      </c>
      <c r="E280" s="1"/>
      <c r="F280" s="1" t="s">
        <v>528</v>
      </c>
      <c r="G280" s="8"/>
      <c r="H280" s="8"/>
      <c r="I280" s="8">
        <v>45719</v>
      </c>
      <c r="J280" s="8">
        <v>45721</v>
      </c>
      <c r="K280" s="1" t="s">
        <v>31</v>
      </c>
      <c r="L280" s="15">
        <v>45720</v>
      </c>
      <c r="M280" s="8">
        <v>45721</v>
      </c>
      <c r="N280" s="9">
        <v>0.75</v>
      </c>
      <c r="O280" s="9">
        <v>0.75694444444444442</v>
      </c>
      <c r="P280" s="1" t="s">
        <v>539</v>
      </c>
      <c r="Q280" s="1" t="s">
        <v>542</v>
      </c>
      <c r="R280" s="10" t="str">
        <f ca="1">IFERROR(__xludf.DUMMYFUNCTION("JOIN("","", SORT(UNIQUE(TOCOL({VLOOKUP(D280,DM_fish!A:B,2,FALSE),VLOOKUP(C280,DM_fish!A:B,2,FALSE), ARRAYFORMULA(VLOOKUP(SPLIT(E280, "", ""),Injections!B:G,6,FALSE)), ARRAYFORMULA(VLOOKUP(SPLIT(F280, "", ""),Injections!H:M,6,FALSE)), ARRAYFORMULA(VLOOKUP("&amp;"SPLIT(G280, "", ""),Injections!N:S,6,FALSE)), ARRAYFORMULA(VLOOKUP(SPLIT(H280, "", ""),Injections!T:Y,6,FALSE)) },3))))"),"nuclei")</f>
        <v>nuclei</v>
      </c>
      <c r="S280" s="10" t="str">
        <f ca="1">IFERROR(__xludf.DUMMYFUNCTION("IFERROR(JOIN("","", SPLIT(R280, "","", TRUE ,TRUE)), """")"),"nuclei")</f>
        <v>nuclei</v>
      </c>
      <c r="T280" s="1" t="s">
        <v>543</v>
      </c>
      <c r="U280" s="17">
        <v>1402</v>
      </c>
      <c r="V280" s="1" t="s">
        <v>203</v>
      </c>
      <c r="W280" s="12" t="str">
        <f ca="1">IFERROR(CONCATENATE("[", CONCATENATE(IF(VLOOKUP(D280,DM_fish!C:X,14, FALSE)&gt;0, CONCATENATE("{",CHAR(34),"target",CHAR(34),":",CHAR(34),VLOOKUP(D280,DM_fish!C:X,13, FALSE),CHAR(34),",", CHAR(34), "excitation",CHAR(34), ":", VLOOKUP(D280,DM_fish!C:X,14, FALSE), ",",  CHAR(34), "camera",CHAR(34), ":", IF(VALUE(VLOOKUP(D280,DM_fish!C:X,14, FALSE))&lt;VALUE(VLOOKUP(V280,imaging_filters!A:K,11, FALSE)), CONCATENATE(CHAR(34),"CamA",CHAR(34)), CONCATENATE(CHAR(34),"CamB",CHAR(34))),"}"), ""),IF(VLOOKUP(D280,DM_fish!C:X,16, FALSE)&gt;0, CONCATENATE(",{",CHAR(34),"target",CHAR(34),":",CHAR(34),VLOOKUP(D280,DM_fish!C:X,15, FALSE),CHAR(34),",", CHAR(34), "excitation",CHAR(34), ":", VLOOKUP(D280,DM_fish!C:X,16, FALSE), ",",  CHAR(34), "camera",CHAR(34), ":", IF(VALUE(VLOOKUP(D280,DM_fish!C:X,16, FALSE))&lt;VALUE(VLOOKUP(V280,imaging_filters!A:K,11, FALSE)), CONCATENATE(CHAR(34),"CamA",CHAR(34)), CONCATENATE(CHAR(34),"CamB",CHAR(34))),"}"), ""),IF(VLOOKUP(D280,DM_fish!C:X,18, FALSE)&gt;0, CONCATENATE(",{",CHAR(34),"target",CHAR(34),":",CHAR(34),VLOOKUP(D280,DM_fish!C:X,17, FALSE),CHAR(34),",", CHAR(34), "excitation",CHAR(34), ":", VLOOKUP(D280,DM_fish!C:X,18, FALSE), ",",  CHAR(34), "camera",CHAR(34), ":", IF(VALUE(VLOOKUP(D280,DM_fish!C:X,18, FALSE))&lt;VALUE(VLOOKUP(V280,imaging_filters!A:K,11, FALSE)), CONCATENATE(CHAR(34),"CamA",CHAR(34)), CONCATENATE(CHAR(34),"CamB",CHAR(34))),"}"), ""),IF(VLOOKUP(D280,DM_fish!C:X,20, FALSE)&gt;0, CONCATENATE(",{",CHAR(34),"target",CHAR(34),":",CHAR(34),VLOOKUP(D280,DM_fish!C:X,19, FALSE),CHAR(34),",", CHAR(34), "excitation",CHAR(34), ":", VLOOKUP(D280,DM_fish!C:X,20, FALSE), ",",  CHAR(34), "camera",CHAR(34), ":", IF(VALUE(VLOOKUP(D280,DM_fish!C:X,20, FALSE))&lt;VALUE(VLOOKUP(V280,imaging_filters!A:K,11, FALSE)), CONCATENATE(CHAR(34),"CamA",CHAR(34)), CONCATENATE(CHAR(34),"CamB",CHAR(34))),"}"), ""),IF(VLOOKUP(D280,DM_fish!C:X,22, FALSE)&gt;0, CONCATENATE(",{",CHAR(34),"target",CHAR(34),":",CHAR(34),VLOOKUP(D280,DM_fish!C:X,21, FALSE),CHAR(34),",", CHAR(34), "excitation",CHAR(34), ":", VLOOKUP(D280,DM_fish!C:X,22, FALSE), ",",  CHAR(34), "camera",CHAR(34), ":", IF(VALUE(VLOOKUP(D280,DM_fish!C:X,22, FALSE))&lt;VALUE(VLOOKUP(V280,imaging_filters!A:K,11, FALSE)), CONCATENATE(CHAR(34),"CamA",CHAR(34)), CONCATENATE(CHAR(34),"CamB",CHAR(34))),"}"), "")), "]"), "")</f>
        <v/>
      </c>
      <c r="X280" s="12" t="str">
        <f ca="1">IFERROR(
CONCATENATE("[", CONCATENATE(IF(VLOOKUP(C280,DM_fish!C:X,14, FALSE)&gt;0, CONCATENATE("{",CHAR(34),"target",CHAR(34),":",CHAR(34),VLOOKUP(C280,DM_fish!C:X,13, FALSE),CHAR(34),",", CHAR(34), "excitation",CHAR(34), ":", VLOOKUP(C280,DM_fish!C:X,14, FALSE), ",",  CHAR(34), "camera",CHAR(34), ":", IF(VALUE(VLOOKUP(C280,DM_fish!C:X,14, FALSE))&lt;VALUE(VLOOKUP(V280,imaging_filters!A:K,11, FALSE)), CONCATENATE(CHAR(34),"CamA",CHAR(34)), CONCATENATE(CHAR(34),"CamB",CHAR(34))),"}"), ""),IF(VLOOKUP(C280,DM_fish!C:X,16, FALSE)&gt;0, CONCATENATE(",{",CHAR(34),"target",CHAR(34),":",CHAR(34),VLOOKUP(C280,DM_fish!C:X,15, FALSE),CHAR(34),",", CHAR(34), "excitation",CHAR(34), ":", VLOOKUP(C280,DM_fish!C:X,16, FALSE), ",",  CHAR(34), "camera",CHAR(34), ":", IF(VALUE(VLOOKUP(C280,DM_fish!C:X,16, FALSE))&lt;VALUE(VLOOKUP(V280,imaging_filters!A:K,11, FALSE)), CONCATENATE(CHAR(34),"CamA",CHAR(34)), CONCATENATE(CHAR(34),"CamB",CHAR(34))),"}"), ""),IF(VLOOKUP(C280,DM_fish!C:X,18, FALSE)&gt;0, CONCATENATE(",{",CHAR(34),"target",CHAR(34),":",CHAR(34),VLOOKUP(C280,DM_fish!C:X,17, FALSE),CHAR(34),",", CHAR(34), "excitation",CHAR(34), ":", VLOOKUP(C280,DM_fish!C:X,18, FALSE), ",",  CHAR(34), "camera",CHAR(34), ":", IF(VALUE(VLOOKUP(C280,DM_fish!C:X,18, FALSE))&lt;VALUE(VLOOKUP(V280,imaging_filters!A:K,11, FALSE)), CONCATENATE(CHAR(34),"CamA",CHAR(34)), CONCATENATE(CHAR(34),"CamB",CHAR(34))),"}"), ""),IF(VLOOKUP(C280,DM_fish!C:X,20, FALSE)&gt;0, CONCATENATE(",{",CHAR(34),"target",CHAR(34),":",CHAR(34),VLOOKUP(C280,DM_fish!C:X,19, FALSE),CHAR(34),",", CHAR(34), "excitation",CHAR(34), ":", VLOOKUP(C280,DM_fish!C:X,20, FALSE), ",",  CHAR(34), "camera",CHAR(34), ":", IF(VALUE(VLOOKUP(C280,DM_fish!C:X,20, FALSE))&lt;VALUE(VLOOKUP(V280,imaging_filters!A:K,11, FALSE)), CONCATENATE(CHAR(34),"CamA",CHAR(34)), CONCATENATE(CHAR(34),"CamB",CHAR(34))),"}"), ""),IF(VLOOKUP(C280,DM_fish!C:X,22, FALSE)&gt;0, CONCATENATE(",{",CHAR(34),"target",CHAR(34),":",CHAR(34),VLOOKUP(C280,DM_fish!C:X,21, FALSE),CHAR(34),",", CHAR(34), "excitation",CHAR(34), ":", VLOOKUP(C280,DM_fish!C:X,22, FALSE), ",",  CHAR(34), "camera",CHAR(34), ":", IF(VALUE(VLOOKUP(C280,DM_fish!C:X,22, FALSE))&lt;VALUE(VLOOKUP(V280,imaging_filters!A:K,11, FALSE)), CONCATENATE(CHAR(34),"CamA",CHAR(34)), CONCATENATE(CHAR(34),"CamB",CHAR(34))),"}"), "")), "]"), "")</f>
        <v/>
      </c>
      <c r="Y280" s="11" t="str">
        <f ca="1">IFERROR(
CONCATENATE( "[",
IF(VLOOKUP(E280,Injections!B:F,3, FALSE)&gt;0, CONCATENATE( "{",CHAR(34),"target",CHAR(34),":",CHAR(34),VLOOKUP(E280,Injections!B:F,2, FALSE),CHAR(34),",", CHAR(34), "excitation",CHAR(34), ":", VLOOKUP(E280,Injections!B:F,3, FALSE), ",",  CHAR(34), "camera",CHAR(34), ":",
IF(VALUE(VLOOKUP(E280,Injections!B:F,3, FALSE))&lt;VALUE(VLOOKUP(V280,imaging_filters!A:C,2, FALSE)), CONCATENATE(CHAR(34),"CamA",CHAR(34)), CONCATENATE(CHAR(34),"CamB",CHAR(34))),"}"), ""),
IF(VLOOKUP(E280,Injections!B:F,5, FALSE)&gt;0, CONCATENATE(",{",CHAR(34),"target",CHAR(34),":",CHAR(34),VLOOKUP(E280,Injections!B:F,4, FALSE),CHAR(34),",", CHAR(34), "excitation",CHAR(34), ":", VLOOKUP(E280,Injections!B:F,5, FALSE), ",",  CHAR(34), "camera",CHAR(34), ":",
IF(VALUE(VLOOKUP(E280,Injections!B:F,5, FALSE))&lt;VALUE(VLOOKUP(V280,imaging_filters!A:C,2, FALSE)), CONCATENATE(CHAR(34),"CamA",CHAR(34)), CONCATENATE(CHAR(34),"CamB",CHAR(34))),"}"), ""),
 "]"), "[]")</f>
        <v>[]</v>
      </c>
      <c r="Z280" s="11" t="str">
        <f ca="1">IFERROR(
CONCATENATE( "[",
IF(VLOOKUP(F280,Injections!H:L,3, FALSE)&gt;0, CONCATENATE( "{",CHAR(34),"target",CHAR(34),":",CHAR(34),VLOOKUP(F280,Injections!H:L,2, FALSE),CHAR(34),",", CHAR(34), "excitation",CHAR(34), ":", VLOOKUP(F280,Injections!H:L,3, FALSE), ",",  CHAR(34), "camera",CHAR(34), ":",
IF(VALUE(VLOOKUP(F280,Injections!H:L,3, FALSE))&lt;VALUE(VLOOKUP(V280,imaging_filters!A:K,11, FALSE)), CONCATENATE(CHAR(34),"CamA",CHAR(34)), CONCATENATE(CHAR(34),"CamB",CHAR(34))),"}"), ""),
IF(VLOOKUP(F280,Injections!H:L,5, FALSE)&gt;0, CONCATENATE(",{",CHAR(34),"target",CHAR(34),":",CHAR(34),VLOOKUP(F280,Injections!H:L,4, FALSE),CHAR(34),",", CHAR(34), "excitation",CHAR(34), ":", VLOOKUP(F280,Injections!H:L,5, FALSE), ",",  CHAR(34), "camera",CHAR(34), ":",
IF(VALUE(VLOOKUP(F280,Injections!H:L,5, FALSE))&lt;VALUE(VLOOKUP(V280,imaging_filters!A:K,11, FALSE)), CONCATENATE(CHAR(34),"CamA",CHAR(34)), CONCATENATE(CHAR(34),"CamB",CHAR(34))),"}"), ""),
 "]"), "[]")</f>
        <v>[{"target":"nuclei","excitation":560,"camera":"CamB"}]</v>
      </c>
      <c r="AA280" s="11"/>
    </row>
    <row r="281" spans="1:27" ht="15.75" customHeight="1" x14ac:dyDescent="0.15">
      <c r="A281" s="7">
        <f t="shared" si="7"/>
        <v>45720</v>
      </c>
      <c r="B281" s="1"/>
      <c r="C281" s="1" t="s">
        <v>253</v>
      </c>
      <c r="D281" s="1" t="s">
        <v>253</v>
      </c>
      <c r="E281" s="1"/>
      <c r="F281" s="1" t="s">
        <v>528</v>
      </c>
      <c r="G281" s="8"/>
      <c r="H281" s="8"/>
      <c r="I281" s="8">
        <v>45719</v>
      </c>
      <c r="J281" s="8">
        <v>45720</v>
      </c>
      <c r="K281" s="1" t="s">
        <v>246</v>
      </c>
      <c r="L281" s="15">
        <v>45720</v>
      </c>
      <c r="M281" s="8">
        <v>45720</v>
      </c>
      <c r="N281" s="9">
        <v>0.56944444444444442</v>
      </c>
      <c r="O281" s="9">
        <v>0.58333333333333337</v>
      </c>
      <c r="P281" s="9">
        <v>0.64583333333333337</v>
      </c>
      <c r="Q281" s="1" t="s">
        <v>544</v>
      </c>
      <c r="R281" s="10" t="str">
        <f ca="1">IFERROR(__xludf.DUMMYFUNCTION("JOIN("","", SORT(UNIQUE(TOCOL({VLOOKUP(D281,DM_fish!A:B,2,FALSE),VLOOKUP(C281,DM_fish!A:B,2,FALSE), ARRAYFORMULA(VLOOKUP(SPLIT(E281, "", ""),Injections!B:G,6,FALSE)), ARRAYFORMULA(VLOOKUP(SPLIT(F281, "", ""),Injections!H:M,6,FALSE)), ARRAYFORMULA(VLOOKUP("&amp;"SPLIT(G281, "", ""),Injections!N:S,6,FALSE)), ARRAYFORMULA(VLOOKUP(SPLIT(H281, "", ""),Injections!T:Y,6,FALSE)) },3))))"),"nuclei")</f>
        <v>nuclei</v>
      </c>
      <c r="S281" s="10" t="str">
        <f ca="1">IFERROR(__xludf.DUMMYFUNCTION("IFERROR(JOIN("","", SPLIT(R281, "","", TRUE ,TRUE)), """")"),"nuclei")</f>
        <v>nuclei</v>
      </c>
      <c r="T281" s="1" t="s">
        <v>545</v>
      </c>
      <c r="U281" s="17">
        <v>353</v>
      </c>
      <c r="V281" s="1" t="s">
        <v>203</v>
      </c>
      <c r="W281" s="12" t="str">
        <f ca="1">IFERROR(CONCATENATE("[", CONCATENATE(IF(VLOOKUP(D281,DM_fish!C:X,14, FALSE)&gt;0, CONCATENATE("{",CHAR(34),"target",CHAR(34),":",CHAR(34),VLOOKUP(D281,DM_fish!C:X,13, FALSE),CHAR(34),",", CHAR(34), "excitation",CHAR(34), ":", VLOOKUP(D281,DM_fish!C:X,14, FALSE), ",",  CHAR(34), "camera",CHAR(34), ":", IF(VALUE(VLOOKUP(D281,DM_fish!C:X,14, FALSE))&lt;VALUE(VLOOKUP(V281,imaging_filters!A:K,11, FALSE)), CONCATENATE(CHAR(34),"CamA",CHAR(34)), CONCATENATE(CHAR(34),"CamB",CHAR(34))),"}"), ""),IF(VLOOKUP(D281,DM_fish!C:X,16, FALSE)&gt;0, CONCATENATE(",{",CHAR(34),"target",CHAR(34),":",CHAR(34),VLOOKUP(D281,DM_fish!C:X,15, FALSE),CHAR(34),",", CHAR(34), "excitation",CHAR(34), ":", VLOOKUP(D281,DM_fish!C:X,16, FALSE), ",",  CHAR(34), "camera",CHAR(34), ":", IF(VALUE(VLOOKUP(D281,DM_fish!C:X,16, FALSE))&lt;VALUE(VLOOKUP(V281,imaging_filters!A:K,11, FALSE)), CONCATENATE(CHAR(34),"CamA",CHAR(34)), CONCATENATE(CHAR(34),"CamB",CHAR(34))),"}"), ""),IF(VLOOKUP(D281,DM_fish!C:X,18, FALSE)&gt;0, CONCATENATE(",{",CHAR(34),"target",CHAR(34),":",CHAR(34),VLOOKUP(D281,DM_fish!C:X,17, FALSE),CHAR(34),",", CHAR(34), "excitation",CHAR(34), ":", VLOOKUP(D281,DM_fish!C:X,18, FALSE), ",",  CHAR(34), "camera",CHAR(34), ":", IF(VALUE(VLOOKUP(D281,DM_fish!C:X,18, FALSE))&lt;VALUE(VLOOKUP(V281,imaging_filters!A:K,11, FALSE)), CONCATENATE(CHAR(34),"CamA",CHAR(34)), CONCATENATE(CHAR(34),"CamB",CHAR(34))),"}"), ""),IF(VLOOKUP(D281,DM_fish!C:X,20, FALSE)&gt;0, CONCATENATE(",{",CHAR(34),"target",CHAR(34),":",CHAR(34),VLOOKUP(D281,DM_fish!C:X,19, FALSE),CHAR(34),",", CHAR(34), "excitation",CHAR(34), ":", VLOOKUP(D281,DM_fish!C:X,20, FALSE), ",",  CHAR(34), "camera",CHAR(34), ":", IF(VALUE(VLOOKUP(D281,DM_fish!C:X,20, FALSE))&lt;VALUE(VLOOKUP(V281,imaging_filters!A:K,11, FALSE)), CONCATENATE(CHAR(34),"CamA",CHAR(34)), CONCATENATE(CHAR(34),"CamB",CHAR(34))),"}"), ""),IF(VLOOKUP(D281,DM_fish!C:X,22, FALSE)&gt;0, CONCATENATE(",{",CHAR(34),"target",CHAR(34),":",CHAR(34),VLOOKUP(D281,DM_fish!C:X,21, FALSE),CHAR(34),",", CHAR(34), "excitation",CHAR(34), ":", VLOOKUP(D281,DM_fish!C:X,22, FALSE), ",",  CHAR(34), "camera",CHAR(34), ":", IF(VALUE(VLOOKUP(D281,DM_fish!C:X,22, FALSE))&lt;VALUE(VLOOKUP(V281,imaging_filters!A:K,11, FALSE)), CONCATENATE(CHAR(34),"CamA",CHAR(34)), CONCATENATE(CHAR(34),"CamB",CHAR(34))),"}"), "")), "]"), "")</f>
        <v/>
      </c>
      <c r="X281" s="12" t="str">
        <f ca="1">IFERROR(
CONCATENATE("[", CONCATENATE(IF(VLOOKUP(C281,DM_fish!C:X,14, FALSE)&gt;0, CONCATENATE("{",CHAR(34),"target",CHAR(34),":",CHAR(34),VLOOKUP(C281,DM_fish!C:X,13, FALSE),CHAR(34),",", CHAR(34), "excitation",CHAR(34), ":", VLOOKUP(C281,DM_fish!C:X,14, FALSE), ",",  CHAR(34), "camera",CHAR(34), ":", IF(VALUE(VLOOKUP(C281,DM_fish!C:X,14, FALSE))&lt;VALUE(VLOOKUP(V281,imaging_filters!A:K,11, FALSE)), CONCATENATE(CHAR(34),"CamA",CHAR(34)), CONCATENATE(CHAR(34),"CamB",CHAR(34))),"}"), ""),IF(VLOOKUP(C281,DM_fish!C:X,16, FALSE)&gt;0, CONCATENATE(",{",CHAR(34),"target",CHAR(34),":",CHAR(34),VLOOKUP(C281,DM_fish!C:X,15, FALSE),CHAR(34),",", CHAR(34), "excitation",CHAR(34), ":", VLOOKUP(C281,DM_fish!C:X,16, FALSE), ",",  CHAR(34), "camera",CHAR(34), ":", IF(VALUE(VLOOKUP(C281,DM_fish!C:X,16, FALSE))&lt;VALUE(VLOOKUP(V281,imaging_filters!A:K,11, FALSE)), CONCATENATE(CHAR(34),"CamA",CHAR(34)), CONCATENATE(CHAR(34),"CamB",CHAR(34))),"}"), ""),IF(VLOOKUP(C281,DM_fish!C:X,18, FALSE)&gt;0, CONCATENATE(",{",CHAR(34),"target",CHAR(34),":",CHAR(34),VLOOKUP(C281,DM_fish!C:X,17, FALSE),CHAR(34),",", CHAR(34), "excitation",CHAR(34), ":", VLOOKUP(C281,DM_fish!C:X,18, FALSE), ",",  CHAR(34), "camera",CHAR(34), ":", IF(VALUE(VLOOKUP(C281,DM_fish!C:X,18, FALSE))&lt;VALUE(VLOOKUP(V281,imaging_filters!A:K,11, FALSE)), CONCATENATE(CHAR(34),"CamA",CHAR(34)), CONCATENATE(CHAR(34),"CamB",CHAR(34))),"}"), ""),IF(VLOOKUP(C281,DM_fish!C:X,20, FALSE)&gt;0, CONCATENATE(",{",CHAR(34),"target",CHAR(34),":",CHAR(34),VLOOKUP(C281,DM_fish!C:X,19, FALSE),CHAR(34),",", CHAR(34), "excitation",CHAR(34), ":", VLOOKUP(C281,DM_fish!C:X,20, FALSE), ",",  CHAR(34), "camera",CHAR(34), ":", IF(VALUE(VLOOKUP(C281,DM_fish!C:X,20, FALSE))&lt;VALUE(VLOOKUP(V281,imaging_filters!A:K,11, FALSE)), CONCATENATE(CHAR(34),"CamA",CHAR(34)), CONCATENATE(CHAR(34),"CamB",CHAR(34))),"}"), ""),IF(VLOOKUP(C281,DM_fish!C:X,22, FALSE)&gt;0, CONCATENATE(",{",CHAR(34),"target",CHAR(34),":",CHAR(34),VLOOKUP(C281,DM_fish!C:X,21, FALSE),CHAR(34),",", CHAR(34), "excitation",CHAR(34), ":", VLOOKUP(C281,DM_fish!C:X,22, FALSE), ",",  CHAR(34), "camera",CHAR(34), ":", IF(VALUE(VLOOKUP(C281,DM_fish!C:X,22, FALSE))&lt;VALUE(VLOOKUP(V281,imaging_filters!A:K,11, FALSE)), CONCATENATE(CHAR(34),"CamA",CHAR(34)), CONCATENATE(CHAR(34),"CamB",CHAR(34))),"}"), "")), "]"), "")</f>
        <v/>
      </c>
      <c r="Y281" s="11" t="str">
        <f ca="1">IFERROR(
CONCATENATE( "[",
IF(VLOOKUP(E281,Injections!B:F,3, FALSE)&gt;0, CONCATENATE( "{",CHAR(34),"target",CHAR(34),":",CHAR(34),VLOOKUP(E281,Injections!B:F,2, FALSE),CHAR(34),",", CHAR(34), "excitation",CHAR(34), ":", VLOOKUP(E281,Injections!B:F,3, FALSE), ",",  CHAR(34), "camera",CHAR(34), ":",
IF(VALUE(VLOOKUP(E281,Injections!B:F,3, FALSE))&lt;VALUE(VLOOKUP(V281,imaging_filters!A:C,2, FALSE)), CONCATENATE(CHAR(34),"CamA",CHAR(34)), CONCATENATE(CHAR(34),"CamB",CHAR(34))),"}"), ""),
IF(VLOOKUP(E281,Injections!B:F,5, FALSE)&gt;0, CONCATENATE(",{",CHAR(34),"target",CHAR(34),":",CHAR(34),VLOOKUP(E281,Injections!B:F,4, FALSE),CHAR(34),",", CHAR(34), "excitation",CHAR(34), ":", VLOOKUP(E281,Injections!B:F,5, FALSE), ",",  CHAR(34), "camera",CHAR(34), ":",
IF(VALUE(VLOOKUP(E281,Injections!B:F,5, FALSE))&lt;VALUE(VLOOKUP(V281,imaging_filters!A:C,2, FALSE)), CONCATENATE(CHAR(34),"CamA",CHAR(34)), CONCATENATE(CHAR(34),"CamB",CHAR(34))),"}"), ""),
 "]"), "[]")</f>
        <v>[]</v>
      </c>
      <c r="Z281" s="11" t="str">
        <f ca="1">IFERROR(
CONCATENATE( "[",
IF(VLOOKUP(F281,Injections!H:L,3, FALSE)&gt;0, CONCATENATE( "{",CHAR(34),"target",CHAR(34),":",CHAR(34),VLOOKUP(F281,Injections!H:L,2, FALSE),CHAR(34),",", CHAR(34), "excitation",CHAR(34), ":", VLOOKUP(F281,Injections!H:L,3, FALSE), ",",  CHAR(34), "camera",CHAR(34), ":",
IF(VALUE(VLOOKUP(F281,Injections!H:L,3, FALSE))&lt;VALUE(VLOOKUP(V281,imaging_filters!A:K,11, FALSE)), CONCATENATE(CHAR(34),"CamA",CHAR(34)), CONCATENATE(CHAR(34),"CamB",CHAR(34))),"}"), ""),
IF(VLOOKUP(F281,Injections!H:L,5, FALSE)&gt;0, CONCATENATE(",{",CHAR(34),"target",CHAR(34),":",CHAR(34),VLOOKUP(F281,Injections!H:L,4, FALSE),CHAR(34),",", CHAR(34), "excitation",CHAR(34), ":", VLOOKUP(F281,Injections!H:L,5, FALSE), ",",  CHAR(34), "camera",CHAR(34), ":",
IF(VALUE(VLOOKUP(F281,Injections!H:L,5, FALSE))&lt;VALUE(VLOOKUP(V281,imaging_filters!A:K,11, FALSE)), CONCATENATE(CHAR(34),"CamA",CHAR(34)), CONCATENATE(CHAR(34),"CamB",CHAR(34))),"}"), ""),
 "]"), "[]")</f>
        <v>[{"target":"nuclei","excitation":560,"camera":"CamB"}]</v>
      </c>
      <c r="AA281" s="11"/>
    </row>
    <row r="282" spans="1:27" ht="15.75" customHeight="1" x14ac:dyDescent="0.15">
      <c r="A282" s="7">
        <f t="shared" si="7"/>
        <v>45720</v>
      </c>
      <c r="B282" s="1"/>
      <c r="C282" s="1" t="s">
        <v>253</v>
      </c>
      <c r="D282" s="1" t="s">
        <v>253</v>
      </c>
      <c r="E282" s="1"/>
      <c r="F282" s="1" t="s">
        <v>528</v>
      </c>
      <c r="G282" s="8"/>
      <c r="H282" s="8"/>
      <c r="I282" s="8">
        <v>45719</v>
      </c>
      <c r="J282" s="8">
        <v>45720</v>
      </c>
      <c r="K282" s="1" t="s">
        <v>246</v>
      </c>
      <c r="L282" s="15">
        <v>45720</v>
      </c>
      <c r="M282" s="8">
        <v>45720</v>
      </c>
      <c r="N282" s="9">
        <v>0.64930555555555558</v>
      </c>
      <c r="O282" s="9">
        <v>0.65625</v>
      </c>
      <c r="P282" s="1" t="s">
        <v>546</v>
      </c>
      <c r="Q282" s="1" t="s">
        <v>547</v>
      </c>
      <c r="R282" s="10" t="str">
        <f ca="1">IFERROR(__xludf.DUMMYFUNCTION("JOIN("","", SORT(UNIQUE(TOCOL({VLOOKUP(D282,DM_fish!A:B,2,FALSE),VLOOKUP(C282,DM_fish!A:B,2,FALSE), ARRAYFORMULA(VLOOKUP(SPLIT(E282, "", ""),Injections!B:G,6,FALSE)), ARRAYFORMULA(VLOOKUP(SPLIT(F282, "", ""),Injections!H:M,6,FALSE)), ARRAYFORMULA(VLOOKUP("&amp;"SPLIT(G282, "", ""),Injections!N:S,6,FALSE)), ARRAYFORMULA(VLOOKUP(SPLIT(H282, "", ""),Injections!T:Y,6,FALSE)) },3))))"),"nuclei")</f>
        <v>nuclei</v>
      </c>
      <c r="S282" s="10" t="str">
        <f ca="1">IFERROR(__xludf.DUMMYFUNCTION("IFERROR(JOIN("","", SPLIT(R282, "","", TRUE ,TRUE)), """")"),"nuclei")</f>
        <v>nuclei</v>
      </c>
      <c r="T282" s="1" t="s">
        <v>548</v>
      </c>
      <c r="U282" s="17">
        <v>1792</v>
      </c>
      <c r="V282" s="1" t="s">
        <v>203</v>
      </c>
      <c r="W282" s="12" t="str">
        <f ca="1">IFERROR(CONCATENATE("[", CONCATENATE(IF(VLOOKUP(D282,DM_fish!C:X,14, FALSE)&gt;0, CONCATENATE("{",CHAR(34),"target",CHAR(34),":",CHAR(34),VLOOKUP(D282,DM_fish!C:X,13, FALSE),CHAR(34),",", CHAR(34), "excitation",CHAR(34), ":", VLOOKUP(D282,DM_fish!C:X,14, FALSE), ",",  CHAR(34), "camera",CHAR(34), ":", IF(VALUE(VLOOKUP(D282,DM_fish!C:X,14, FALSE))&lt;VALUE(VLOOKUP(V282,imaging_filters!A:K,11, FALSE)), CONCATENATE(CHAR(34),"CamA",CHAR(34)), CONCATENATE(CHAR(34),"CamB",CHAR(34))),"}"), ""),IF(VLOOKUP(D282,DM_fish!C:X,16, FALSE)&gt;0, CONCATENATE(",{",CHAR(34),"target",CHAR(34),":",CHAR(34),VLOOKUP(D282,DM_fish!C:X,15, FALSE),CHAR(34),",", CHAR(34), "excitation",CHAR(34), ":", VLOOKUP(D282,DM_fish!C:X,16, FALSE), ",",  CHAR(34), "camera",CHAR(34), ":", IF(VALUE(VLOOKUP(D282,DM_fish!C:X,16, FALSE))&lt;VALUE(VLOOKUP(V282,imaging_filters!A:K,11, FALSE)), CONCATENATE(CHAR(34),"CamA",CHAR(34)), CONCATENATE(CHAR(34),"CamB",CHAR(34))),"}"), ""),IF(VLOOKUP(D282,DM_fish!C:X,18, FALSE)&gt;0, CONCATENATE(",{",CHAR(34),"target",CHAR(34),":",CHAR(34),VLOOKUP(D282,DM_fish!C:X,17, FALSE),CHAR(34),",", CHAR(34), "excitation",CHAR(34), ":", VLOOKUP(D282,DM_fish!C:X,18, FALSE), ",",  CHAR(34), "camera",CHAR(34), ":", IF(VALUE(VLOOKUP(D282,DM_fish!C:X,18, FALSE))&lt;VALUE(VLOOKUP(V282,imaging_filters!A:K,11, FALSE)), CONCATENATE(CHAR(34),"CamA",CHAR(34)), CONCATENATE(CHAR(34),"CamB",CHAR(34))),"}"), ""),IF(VLOOKUP(D282,DM_fish!C:X,20, FALSE)&gt;0, CONCATENATE(",{",CHAR(34),"target",CHAR(34),":",CHAR(34),VLOOKUP(D282,DM_fish!C:X,19, FALSE),CHAR(34),",", CHAR(34), "excitation",CHAR(34), ":", VLOOKUP(D282,DM_fish!C:X,20, FALSE), ",",  CHAR(34), "camera",CHAR(34), ":", IF(VALUE(VLOOKUP(D282,DM_fish!C:X,20, FALSE))&lt;VALUE(VLOOKUP(V282,imaging_filters!A:K,11, FALSE)), CONCATENATE(CHAR(34),"CamA",CHAR(34)), CONCATENATE(CHAR(34),"CamB",CHAR(34))),"}"), ""),IF(VLOOKUP(D282,DM_fish!C:X,22, FALSE)&gt;0, CONCATENATE(",{",CHAR(34),"target",CHAR(34),":",CHAR(34),VLOOKUP(D282,DM_fish!C:X,21, FALSE),CHAR(34),",", CHAR(34), "excitation",CHAR(34), ":", VLOOKUP(D282,DM_fish!C:X,22, FALSE), ",",  CHAR(34), "camera",CHAR(34), ":", IF(VALUE(VLOOKUP(D282,DM_fish!C:X,22, FALSE))&lt;VALUE(VLOOKUP(V282,imaging_filters!A:K,11, FALSE)), CONCATENATE(CHAR(34),"CamA",CHAR(34)), CONCATENATE(CHAR(34),"CamB",CHAR(34))),"}"), "")), "]"), "")</f>
        <v/>
      </c>
      <c r="X282" s="12" t="str">
        <f ca="1">IFERROR(
CONCATENATE("[", CONCATENATE(IF(VLOOKUP(C282,DM_fish!C:X,14, FALSE)&gt;0, CONCATENATE("{",CHAR(34),"target",CHAR(34),":",CHAR(34),VLOOKUP(C282,DM_fish!C:X,13, FALSE),CHAR(34),",", CHAR(34), "excitation",CHAR(34), ":", VLOOKUP(C282,DM_fish!C:X,14, FALSE), ",",  CHAR(34), "camera",CHAR(34), ":", IF(VALUE(VLOOKUP(C282,DM_fish!C:X,14, FALSE))&lt;VALUE(VLOOKUP(V282,imaging_filters!A:K,11, FALSE)), CONCATENATE(CHAR(34),"CamA",CHAR(34)), CONCATENATE(CHAR(34),"CamB",CHAR(34))),"}"), ""),IF(VLOOKUP(C282,DM_fish!C:X,16, FALSE)&gt;0, CONCATENATE(",{",CHAR(34),"target",CHAR(34),":",CHAR(34),VLOOKUP(C282,DM_fish!C:X,15, FALSE),CHAR(34),",", CHAR(34), "excitation",CHAR(34), ":", VLOOKUP(C282,DM_fish!C:X,16, FALSE), ",",  CHAR(34), "camera",CHAR(34), ":", IF(VALUE(VLOOKUP(C282,DM_fish!C:X,16, FALSE))&lt;VALUE(VLOOKUP(V282,imaging_filters!A:K,11, FALSE)), CONCATENATE(CHAR(34),"CamA",CHAR(34)), CONCATENATE(CHAR(34),"CamB",CHAR(34))),"}"), ""),IF(VLOOKUP(C282,DM_fish!C:X,18, FALSE)&gt;0, CONCATENATE(",{",CHAR(34),"target",CHAR(34),":",CHAR(34),VLOOKUP(C282,DM_fish!C:X,17, FALSE),CHAR(34),",", CHAR(34), "excitation",CHAR(34), ":", VLOOKUP(C282,DM_fish!C:X,18, FALSE), ",",  CHAR(34), "camera",CHAR(34), ":", IF(VALUE(VLOOKUP(C282,DM_fish!C:X,18, FALSE))&lt;VALUE(VLOOKUP(V282,imaging_filters!A:K,11, FALSE)), CONCATENATE(CHAR(34),"CamA",CHAR(34)), CONCATENATE(CHAR(34),"CamB",CHAR(34))),"}"), ""),IF(VLOOKUP(C282,DM_fish!C:X,20, FALSE)&gt;0, CONCATENATE(",{",CHAR(34),"target",CHAR(34),":",CHAR(34),VLOOKUP(C282,DM_fish!C:X,19, FALSE),CHAR(34),",", CHAR(34), "excitation",CHAR(34), ":", VLOOKUP(C282,DM_fish!C:X,20, FALSE), ",",  CHAR(34), "camera",CHAR(34), ":", IF(VALUE(VLOOKUP(C282,DM_fish!C:X,20, FALSE))&lt;VALUE(VLOOKUP(V282,imaging_filters!A:K,11, FALSE)), CONCATENATE(CHAR(34),"CamA",CHAR(34)), CONCATENATE(CHAR(34),"CamB",CHAR(34))),"}"), ""),IF(VLOOKUP(C282,DM_fish!C:X,22, FALSE)&gt;0, CONCATENATE(",{",CHAR(34),"target",CHAR(34),":",CHAR(34),VLOOKUP(C282,DM_fish!C:X,21, FALSE),CHAR(34),",", CHAR(34), "excitation",CHAR(34), ":", VLOOKUP(C282,DM_fish!C:X,22, FALSE), ",",  CHAR(34), "camera",CHAR(34), ":", IF(VALUE(VLOOKUP(C282,DM_fish!C:X,22, FALSE))&lt;VALUE(VLOOKUP(V282,imaging_filters!A:K,11, FALSE)), CONCATENATE(CHAR(34),"CamA",CHAR(34)), CONCATENATE(CHAR(34),"CamB",CHAR(34))),"}"), "")), "]"), "")</f>
        <v/>
      </c>
      <c r="Y282" s="11" t="str">
        <f ca="1">IFERROR(
CONCATENATE( "[",
IF(VLOOKUP(E282,Injections!B:F,3, FALSE)&gt;0, CONCATENATE( "{",CHAR(34),"target",CHAR(34),":",CHAR(34),VLOOKUP(E282,Injections!B:F,2, FALSE),CHAR(34),",", CHAR(34), "excitation",CHAR(34), ":", VLOOKUP(E282,Injections!B:F,3, FALSE), ",",  CHAR(34), "camera",CHAR(34), ":",
IF(VALUE(VLOOKUP(E282,Injections!B:F,3, FALSE))&lt;VALUE(VLOOKUP(V282,imaging_filters!A:C,2, FALSE)), CONCATENATE(CHAR(34),"CamA",CHAR(34)), CONCATENATE(CHAR(34),"CamB",CHAR(34))),"}"), ""),
IF(VLOOKUP(E282,Injections!B:F,5, FALSE)&gt;0, CONCATENATE(",{",CHAR(34),"target",CHAR(34),":",CHAR(34),VLOOKUP(E282,Injections!B:F,4, FALSE),CHAR(34),",", CHAR(34), "excitation",CHAR(34), ":", VLOOKUP(E282,Injections!B:F,5, FALSE), ",",  CHAR(34), "camera",CHAR(34), ":",
IF(VALUE(VLOOKUP(E282,Injections!B:F,5, FALSE))&lt;VALUE(VLOOKUP(V282,imaging_filters!A:C,2, FALSE)), CONCATENATE(CHAR(34),"CamA",CHAR(34)), CONCATENATE(CHAR(34),"CamB",CHAR(34))),"}"), ""),
 "]"), "[]")</f>
        <v>[]</v>
      </c>
      <c r="Z282" s="11" t="str">
        <f ca="1">IFERROR(
CONCATENATE( "[",
IF(VLOOKUP(F282,Injections!H:L,3, FALSE)&gt;0, CONCATENATE( "{",CHAR(34),"target",CHAR(34),":",CHAR(34),VLOOKUP(F282,Injections!H:L,2, FALSE),CHAR(34),",", CHAR(34), "excitation",CHAR(34), ":", VLOOKUP(F282,Injections!H:L,3, FALSE), ",",  CHAR(34), "camera",CHAR(34), ":",
IF(VALUE(VLOOKUP(F282,Injections!H:L,3, FALSE))&lt;VALUE(VLOOKUP(V282,imaging_filters!A:K,11, FALSE)), CONCATENATE(CHAR(34),"CamA",CHAR(34)), CONCATENATE(CHAR(34),"CamB",CHAR(34))),"}"), ""),
IF(VLOOKUP(F282,Injections!H:L,5, FALSE)&gt;0, CONCATENATE(",{",CHAR(34),"target",CHAR(34),":",CHAR(34),VLOOKUP(F282,Injections!H:L,4, FALSE),CHAR(34),",", CHAR(34), "excitation",CHAR(34), ":", VLOOKUP(F282,Injections!H:L,5, FALSE), ",",  CHAR(34), "camera",CHAR(34), ":",
IF(VALUE(VLOOKUP(F282,Injections!H:L,5, FALSE))&lt;VALUE(VLOOKUP(V282,imaging_filters!A:K,11, FALSE)), CONCATENATE(CHAR(34),"CamA",CHAR(34)), CONCATENATE(CHAR(34),"CamB",CHAR(34))),"}"), ""),
 "]"), "[]")</f>
        <v>[{"target":"nuclei","excitation":560,"camera":"CamB"}]</v>
      </c>
      <c r="AA282" s="11" t="s">
        <v>549</v>
      </c>
    </row>
    <row r="283" spans="1:27" ht="15.75" customHeight="1" x14ac:dyDescent="0.15">
      <c r="A283" s="7">
        <f t="shared" si="7"/>
        <v>45719</v>
      </c>
      <c r="B283" s="1"/>
      <c r="C283" s="1" t="s">
        <v>107</v>
      </c>
      <c r="D283" s="1" t="s">
        <v>253</v>
      </c>
      <c r="F283" s="1" t="s">
        <v>550</v>
      </c>
      <c r="G283" s="8"/>
      <c r="H283" s="8"/>
      <c r="I283" s="8">
        <v>45716</v>
      </c>
      <c r="J283" s="15">
        <v>45719</v>
      </c>
      <c r="K283" s="1" t="s">
        <v>551</v>
      </c>
      <c r="L283" s="8">
        <v>45718</v>
      </c>
      <c r="M283" s="8">
        <v>45719</v>
      </c>
      <c r="N283" s="9">
        <v>0.4375</v>
      </c>
      <c r="O283" s="9">
        <v>0.45833333333333331</v>
      </c>
      <c r="P283" s="9">
        <v>0.73611111111111116</v>
      </c>
      <c r="Q283" s="1" t="s">
        <v>552</v>
      </c>
      <c r="R283" s="10" t="str">
        <f ca="1">IFERROR(__xludf.DUMMYFUNCTION("JOIN("","", SORT(UNIQUE(TOCOL({VLOOKUP(D283,DM_fish!A:B,2,FALSE),VLOOKUP(C283,DM_fish!A:B,2,FALSE), ARRAYFORMULA(VLOOKUP(SPLIT(E283, "", ""),Injections!B:G,6,FALSE)), ARRAYFORMULA(VLOOKUP(SPLIT(F283, "", ""),Injections!H:M,6,FALSE)), ARRAYFORMULA(VLOOKUP("&amp;"SPLIT(G283, "", ""),Injections!N:S,6,FALSE)), ARRAYFORMULA(VLOOKUP(SPLIT(H283, "", ""),Injections!T:Y,6,FALSE)) },3))))"),"nuclei")</f>
        <v>nuclei</v>
      </c>
      <c r="S283" s="10" t="str">
        <f ca="1">IFERROR(__xludf.DUMMYFUNCTION("IFERROR(JOIN("","", SPLIT(R283, "","", TRUE ,TRUE)), """")"),"nuclei")</f>
        <v>nuclei</v>
      </c>
      <c r="T283" s="1" t="s">
        <v>553</v>
      </c>
      <c r="U283" s="17">
        <v>1556</v>
      </c>
      <c r="V283" s="1" t="s">
        <v>203</v>
      </c>
      <c r="W283" s="12" t="str">
        <f ca="1">IFERROR(CONCATENATE("[", CONCATENATE(IF(VLOOKUP(D283,DM_fish!C:X,14, FALSE)&gt;0, CONCATENATE("{",CHAR(34),"target",CHAR(34),":",CHAR(34),VLOOKUP(D283,DM_fish!C:X,13, FALSE),CHAR(34),",", CHAR(34), "excitation",CHAR(34), ":", VLOOKUP(D283,DM_fish!C:X,14, FALSE), ",",  CHAR(34), "camera",CHAR(34), ":", IF(VALUE(VLOOKUP(D283,DM_fish!C:X,14, FALSE))&lt;VALUE(VLOOKUP(V283,imaging_filters!A:K,11, FALSE)), CONCATENATE(CHAR(34),"CamA",CHAR(34)), CONCATENATE(CHAR(34),"CamB",CHAR(34))),"}"), ""),IF(VLOOKUP(D283,DM_fish!C:X,16, FALSE)&gt;0, CONCATENATE(",{",CHAR(34),"target",CHAR(34),":",CHAR(34),VLOOKUP(D283,DM_fish!C:X,15, FALSE),CHAR(34),",", CHAR(34), "excitation",CHAR(34), ":", VLOOKUP(D283,DM_fish!C:X,16, FALSE), ",",  CHAR(34), "camera",CHAR(34), ":", IF(VALUE(VLOOKUP(D283,DM_fish!C:X,16, FALSE))&lt;VALUE(VLOOKUP(V283,imaging_filters!A:K,11, FALSE)), CONCATENATE(CHAR(34),"CamA",CHAR(34)), CONCATENATE(CHAR(34),"CamB",CHAR(34))),"}"), ""),IF(VLOOKUP(D283,DM_fish!C:X,18, FALSE)&gt;0, CONCATENATE(",{",CHAR(34),"target",CHAR(34),":",CHAR(34),VLOOKUP(D283,DM_fish!C:X,17, FALSE),CHAR(34),",", CHAR(34), "excitation",CHAR(34), ":", VLOOKUP(D283,DM_fish!C:X,18, FALSE), ",",  CHAR(34), "camera",CHAR(34), ":", IF(VALUE(VLOOKUP(D283,DM_fish!C:X,18, FALSE))&lt;VALUE(VLOOKUP(V283,imaging_filters!A:K,11, FALSE)), CONCATENATE(CHAR(34),"CamA",CHAR(34)), CONCATENATE(CHAR(34),"CamB",CHAR(34))),"}"), ""),IF(VLOOKUP(D283,DM_fish!C:X,20, FALSE)&gt;0, CONCATENATE(",{",CHAR(34),"target",CHAR(34),":",CHAR(34),VLOOKUP(D283,DM_fish!C:X,19, FALSE),CHAR(34),",", CHAR(34), "excitation",CHAR(34), ":", VLOOKUP(D283,DM_fish!C:X,20, FALSE), ",",  CHAR(34), "camera",CHAR(34), ":", IF(VALUE(VLOOKUP(D283,DM_fish!C:X,20, FALSE))&lt;VALUE(VLOOKUP(V283,imaging_filters!A:K,11, FALSE)), CONCATENATE(CHAR(34),"CamA",CHAR(34)), CONCATENATE(CHAR(34),"CamB",CHAR(34))),"}"), ""),IF(VLOOKUP(D283,DM_fish!C:X,22, FALSE)&gt;0, CONCATENATE(",{",CHAR(34),"target",CHAR(34),":",CHAR(34),VLOOKUP(D283,DM_fish!C:X,21, FALSE),CHAR(34),",", CHAR(34), "excitation",CHAR(34), ":", VLOOKUP(D283,DM_fish!C:X,22, FALSE), ",",  CHAR(34), "camera",CHAR(34), ":", IF(VALUE(VLOOKUP(D283,DM_fish!C:X,22, FALSE))&lt;VALUE(VLOOKUP(V283,imaging_filters!A:K,11, FALSE)), CONCATENATE(CHAR(34),"CamA",CHAR(34)), CONCATENATE(CHAR(34),"CamB",CHAR(34))),"}"), "")), "]"), "")</f>
        <v/>
      </c>
      <c r="X283" s="12" t="str">
        <f ca="1">IFERROR(
CONCATENATE("[", CONCATENATE(IF(VLOOKUP(C283,DM_fish!C:X,14, FALSE)&gt;0, CONCATENATE("{",CHAR(34),"target",CHAR(34),":",CHAR(34),VLOOKUP(C283,DM_fish!C:X,13, FALSE),CHAR(34),",", CHAR(34), "excitation",CHAR(34), ":", VLOOKUP(C283,DM_fish!C:X,14, FALSE), ",",  CHAR(34), "camera",CHAR(34), ":", IF(VALUE(VLOOKUP(C283,DM_fish!C:X,14, FALSE))&lt;VALUE(VLOOKUP(V283,imaging_filters!A:K,11, FALSE)), CONCATENATE(CHAR(34),"CamA",CHAR(34)), CONCATENATE(CHAR(34),"CamB",CHAR(34))),"}"), ""),IF(VLOOKUP(C283,DM_fish!C:X,16, FALSE)&gt;0, CONCATENATE(",{",CHAR(34),"target",CHAR(34),":",CHAR(34),VLOOKUP(C283,DM_fish!C:X,15, FALSE),CHAR(34),",", CHAR(34), "excitation",CHAR(34), ":", VLOOKUP(C283,DM_fish!C:X,16, FALSE), ",",  CHAR(34), "camera",CHAR(34), ":", IF(VALUE(VLOOKUP(C283,DM_fish!C:X,16, FALSE))&lt;VALUE(VLOOKUP(V283,imaging_filters!A:K,11, FALSE)), CONCATENATE(CHAR(34),"CamA",CHAR(34)), CONCATENATE(CHAR(34),"CamB",CHAR(34))),"}"), ""),IF(VLOOKUP(C283,DM_fish!C:X,18, FALSE)&gt;0, CONCATENATE(",{",CHAR(34),"target",CHAR(34),":",CHAR(34),VLOOKUP(C283,DM_fish!C:X,17, FALSE),CHAR(34),",", CHAR(34), "excitation",CHAR(34), ":", VLOOKUP(C283,DM_fish!C:X,18, FALSE), ",",  CHAR(34), "camera",CHAR(34), ":", IF(VALUE(VLOOKUP(C283,DM_fish!C:X,18, FALSE))&lt;VALUE(VLOOKUP(V283,imaging_filters!A:K,11, FALSE)), CONCATENATE(CHAR(34),"CamA",CHAR(34)), CONCATENATE(CHAR(34),"CamB",CHAR(34))),"}"), ""),IF(VLOOKUP(C283,DM_fish!C:X,20, FALSE)&gt;0, CONCATENATE(",{",CHAR(34),"target",CHAR(34),":",CHAR(34),VLOOKUP(C283,DM_fish!C:X,19, FALSE),CHAR(34),",", CHAR(34), "excitation",CHAR(34), ":", VLOOKUP(C283,DM_fish!C:X,20, FALSE), ",",  CHAR(34), "camera",CHAR(34), ":", IF(VALUE(VLOOKUP(C283,DM_fish!C:X,20, FALSE))&lt;VALUE(VLOOKUP(V283,imaging_filters!A:K,11, FALSE)), CONCATENATE(CHAR(34),"CamA",CHAR(34)), CONCATENATE(CHAR(34),"CamB",CHAR(34))),"}"), ""),IF(VLOOKUP(C283,DM_fish!C:X,22, FALSE)&gt;0, CONCATENATE(",{",CHAR(34),"target",CHAR(34),":",CHAR(34),VLOOKUP(C283,DM_fish!C:X,21, FALSE),CHAR(34),",", CHAR(34), "excitation",CHAR(34), ":", VLOOKUP(C283,DM_fish!C:X,22, FALSE), ",",  CHAR(34), "camera",CHAR(34), ":", IF(VALUE(VLOOKUP(C283,DM_fish!C:X,22, FALSE))&lt;VALUE(VLOOKUP(V283,imaging_filters!A:K,11, FALSE)), CONCATENATE(CHAR(34),"CamA",CHAR(34)), CONCATENATE(CHAR(34),"CamB",CHAR(34))),"}"), "")), "]"), "")</f>
        <v/>
      </c>
      <c r="Y283" s="11" t="str">
        <f ca="1">IFERROR(
CONCATENATE( "[",
IF(VLOOKUP(E283,Injections!B:F,3, FALSE)&gt;0, CONCATENATE( "{",CHAR(34),"target",CHAR(34),":",CHAR(34),VLOOKUP(E283,Injections!B:F,2, FALSE),CHAR(34),",", CHAR(34), "excitation",CHAR(34), ":", VLOOKUP(E283,Injections!B:F,3, FALSE), ",",  CHAR(34), "camera",CHAR(34), ":",
IF(VALUE(VLOOKUP(E283,Injections!B:F,3, FALSE))&lt;VALUE(VLOOKUP(V283,imaging_filters!A:C,2, FALSE)), CONCATENATE(CHAR(34),"CamA",CHAR(34)), CONCATENATE(CHAR(34),"CamB",CHAR(34))),"}"), ""),
IF(VLOOKUP(E283,Injections!B:F,5, FALSE)&gt;0, CONCATENATE(",{",CHAR(34),"target",CHAR(34),":",CHAR(34),VLOOKUP(E283,Injections!B:F,4, FALSE),CHAR(34),",", CHAR(34), "excitation",CHAR(34), ":", VLOOKUP(E283,Injections!B:F,5, FALSE), ",",  CHAR(34), "camera",CHAR(34), ":",
IF(VALUE(VLOOKUP(E283,Injections!B:F,5, FALSE))&lt;VALUE(VLOOKUP(V283,imaging_filters!A:C,2, FALSE)), CONCATENATE(CHAR(34),"CamA",CHAR(34)), CONCATENATE(CHAR(34),"CamB",CHAR(34))),"}"), ""),
 "]"), "[]")</f>
        <v>[]</v>
      </c>
      <c r="Z283" s="11" t="str">
        <f ca="1">IFERROR(
CONCATENATE( "[",
IF(VLOOKUP(F283,Injections!H:L,3, FALSE)&gt;0, CONCATENATE( "{",CHAR(34),"target",CHAR(34),":",CHAR(34),VLOOKUP(F283,Injections!H:L,2, FALSE),CHAR(34),",", CHAR(34), "excitation",CHAR(34), ":", VLOOKUP(F283,Injections!H:L,3, FALSE), ",",  CHAR(34), "camera",CHAR(34), ":",
IF(VALUE(VLOOKUP(F283,Injections!H:L,3, FALSE))&lt;VALUE(VLOOKUP(V283,imaging_filters!A:K,11, FALSE)), CONCATENATE(CHAR(34),"CamA",CHAR(34)), CONCATENATE(CHAR(34),"CamB",CHAR(34))),"}"), ""),
IF(VLOOKUP(F283,Injections!H:L,5, FALSE)&gt;0, CONCATENATE(",{",CHAR(34),"target",CHAR(34),":",CHAR(34),VLOOKUP(F283,Injections!H:L,4, FALSE),CHAR(34),",", CHAR(34), "excitation",CHAR(34), ":", VLOOKUP(F283,Injections!H:L,5, FALSE), ",",  CHAR(34), "camera",CHAR(34), ":",
IF(VALUE(VLOOKUP(F283,Injections!H:L,5, FALSE))&lt;VALUE(VLOOKUP(V283,imaging_filters!A:K,11, FALSE)), CONCATENATE(CHAR(34),"CamA",CHAR(34)), CONCATENATE(CHAR(34),"CamB",CHAR(34))),"}"), ""),
 "]"), "[]")</f>
        <v>[]</v>
      </c>
      <c r="AA283" s="11"/>
    </row>
    <row r="284" spans="1:27" ht="15.75" customHeight="1" x14ac:dyDescent="0.15">
      <c r="A284" s="7">
        <f t="shared" si="7"/>
        <v>45719</v>
      </c>
      <c r="B284" s="1"/>
      <c r="C284" s="1" t="s">
        <v>107</v>
      </c>
      <c r="D284" s="1" t="s">
        <v>253</v>
      </c>
      <c r="F284" s="1" t="s">
        <v>550</v>
      </c>
      <c r="G284" s="8"/>
      <c r="H284" s="8"/>
      <c r="I284" s="8">
        <v>45716</v>
      </c>
      <c r="J284" s="15">
        <v>45719</v>
      </c>
      <c r="K284" s="1" t="s">
        <v>551</v>
      </c>
      <c r="L284" s="15">
        <v>45718</v>
      </c>
      <c r="M284" s="8">
        <v>45719</v>
      </c>
      <c r="N284" s="9">
        <v>0.74305555555555558</v>
      </c>
      <c r="O284" s="9">
        <v>0.75</v>
      </c>
      <c r="P284" s="1" t="s">
        <v>554</v>
      </c>
      <c r="Q284" s="1" t="s">
        <v>555</v>
      </c>
      <c r="R284" s="10" t="str">
        <f ca="1">IFERROR(__xludf.DUMMYFUNCTION("JOIN("","", SORT(UNIQUE(TOCOL({VLOOKUP(D284,DM_fish!A:B,2,FALSE),VLOOKUP(C284,DM_fish!A:B,2,FALSE), ARRAYFORMULA(VLOOKUP(SPLIT(E284, "", ""),Injections!B:G,6,FALSE)), ARRAYFORMULA(VLOOKUP(SPLIT(F284, "", ""),Injections!H:M,6,FALSE)), ARRAYFORMULA(VLOOKUP("&amp;"SPLIT(G284, "", ""),Injections!N:S,6,FALSE)), ARRAYFORMULA(VLOOKUP(SPLIT(H284, "", ""),Injections!T:Y,6,FALSE)) },3))))"),"nuclei")</f>
        <v>nuclei</v>
      </c>
      <c r="S284" s="10" t="str">
        <f ca="1">IFERROR(__xludf.DUMMYFUNCTION("IFERROR(JOIN("","", SPLIT(R284, "","", TRUE ,TRUE)), """")"),"nuclei")</f>
        <v>nuclei</v>
      </c>
      <c r="T284" s="1" t="s">
        <v>556</v>
      </c>
      <c r="U284" s="17">
        <v>2191</v>
      </c>
      <c r="V284" s="1" t="s">
        <v>203</v>
      </c>
      <c r="W284" s="12" t="str">
        <f ca="1">IFERROR(CONCATENATE("[", CONCATENATE(IF(VLOOKUP(D284,DM_fish!C:X,14, FALSE)&gt;0, CONCATENATE("{",CHAR(34),"target",CHAR(34),":",CHAR(34),VLOOKUP(D284,DM_fish!C:X,13, FALSE),CHAR(34),",", CHAR(34), "excitation",CHAR(34), ":", VLOOKUP(D284,DM_fish!C:X,14, FALSE), ",",  CHAR(34), "camera",CHAR(34), ":", IF(VALUE(VLOOKUP(D284,DM_fish!C:X,14, FALSE))&lt;VALUE(VLOOKUP(V284,imaging_filters!A:K,11, FALSE)), CONCATENATE(CHAR(34),"CamA",CHAR(34)), CONCATENATE(CHAR(34),"CamB",CHAR(34))),"}"), ""),IF(VLOOKUP(D284,DM_fish!C:X,16, FALSE)&gt;0, CONCATENATE(",{",CHAR(34),"target",CHAR(34),":",CHAR(34),VLOOKUP(D284,DM_fish!C:X,15, FALSE),CHAR(34),",", CHAR(34), "excitation",CHAR(34), ":", VLOOKUP(D284,DM_fish!C:X,16, FALSE), ",",  CHAR(34), "camera",CHAR(34), ":", IF(VALUE(VLOOKUP(D284,DM_fish!C:X,16, FALSE))&lt;VALUE(VLOOKUP(V284,imaging_filters!A:K,11, FALSE)), CONCATENATE(CHAR(34),"CamA",CHAR(34)), CONCATENATE(CHAR(34),"CamB",CHAR(34))),"}"), ""),IF(VLOOKUP(D284,DM_fish!C:X,18, FALSE)&gt;0, CONCATENATE(",{",CHAR(34),"target",CHAR(34),":",CHAR(34),VLOOKUP(D284,DM_fish!C:X,17, FALSE),CHAR(34),",", CHAR(34), "excitation",CHAR(34), ":", VLOOKUP(D284,DM_fish!C:X,18, FALSE), ",",  CHAR(34), "camera",CHAR(34), ":", IF(VALUE(VLOOKUP(D284,DM_fish!C:X,18, FALSE))&lt;VALUE(VLOOKUP(V284,imaging_filters!A:K,11, FALSE)), CONCATENATE(CHAR(34),"CamA",CHAR(34)), CONCATENATE(CHAR(34),"CamB",CHAR(34))),"}"), ""),IF(VLOOKUP(D284,DM_fish!C:X,20, FALSE)&gt;0, CONCATENATE(",{",CHAR(34),"target",CHAR(34),":",CHAR(34),VLOOKUP(D284,DM_fish!C:X,19, FALSE),CHAR(34),",", CHAR(34), "excitation",CHAR(34), ":", VLOOKUP(D284,DM_fish!C:X,20, FALSE), ",",  CHAR(34), "camera",CHAR(34), ":", IF(VALUE(VLOOKUP(D284,DM_fish!C:X,20, FALSE))&lt;VALUE(VLOOKUP(V284,imaging_filters!A:K,11, FALSE)), CONCATENATE(CHAR(34),"CamA",CHAR(34)), CONCATENATE(CHAR(34),"CamB",CHAR(34))),"}"), ""),IF(VLOOKUP(D284,DM_fish!C:X,22, FALSE)&gt;0, CONCATENATE(",{",CHAR(34),"target",CHAR(34),":",CHAR(34),VLOOKUP(D284,DM_fish!C:X,21, FALSE),CHAR(34),",", CHAR(34), "excitation",CHAR(34), ":", VLOOKUP(D284,DM_fish!C:X,22, FALSE), ",",  CHAR(34), "camera",CHAR(34), ":", IF(VALUE(VLOOKUP(D284,DM_fish!C:X,22, FALSE))&lt;VALUE(VLOOKUP(V284,imaging_filters!A:K,11, FALSE)), CONCATENATE(CHAR(34),"CamA",CHAR(34)), CONCATENATE(CHAR(34),"CamB",CHAR(34))),"}"), "")), "]"), "")</f>
        <v/>
      </c>
      <c r="X284" s="12" t="str">
        <f ca="1">IFERROR(
CONCATENATE("[", CONCATENATE(IF(VLOOKUP(C284,DM_fish!C:X,14, FALSE)&gt;0, CONCATENATE("{",CHAR(34),"target",CHAR(34),":",CHAR(34),VLOOKUP(C284,DM_fish!C:X,13, FALSE),CHAR(34),",", CHAR(34), "excitation",CHAR(34), ":", VLOOKUP(C284,DM_fish!C:X,14, FALSE), ",",  CHAR(34), "camera",CHAR(34), ":", IF(VALUE(VLOOKUP(C284,DM_fish!C:X,14, FALSE))&lt;VALUE(VLOOKUP(V284,imaging_filters!A:K,11, FALSE)), CONCATENATE(CHAR(34),"CamA",CHAR(34)), CONCATENATE(CHAR(34),"CamB",CHAR(34))),"}"), ""),IF(VLOOKUP(C284,DM_fish!C:X,16, FALSE)&gt;0, CONCATENATE(",{",CHAR(34),"target",CHAR(34),":",CHAR(34),VLOOKUP(C284,DM_fish!C:X,15, FALSE),CHAR(34),",", CHAR(34), "excitation",CHAR(34), ":", VLOOKUP(C284,DM_fish!C:X,16, FALSE), ",",  CHAR(34), "camera",CHAR(34), ":", IF(VALUE(VLOOKUP(C284,DM_fish!C:X,16, FALSE))&lt;VALUE(VLOOKUP(V284,imaging_filters!A:K,11, FALSE)), CONCATENATE(CHAR(34),"CamA",CHAR(34)), CONCATENATE(CHAR(34),"CamB",CHAR(34))),"}"), ""),IF(VLOOKUP(C284,DM_fish!C:X,18, FALSE)&gt;0, CONCATENATE(",{",CHAR(34),"target",CHAR(34),":",CHAR(34),VLOOKUP(C284,DM_fish!C:X,17, FALSE),CHAR(34),",", CHAR(34), "excitation",CHAR(34), ":", VLOOKUP(C284,DM_fish!C:X,18, FALSE), ",",  CHAR(34), "camera",CHAR(34), ":", IF(VALUE(VLOOKUP(C284,DM_fish!C:X,18, FALSE))&lt;VALUE(VLOOKUP(V284,imaging_filters!A:K,11, FALSE)), CONCATENATE(CHAR(34),"CamA",CHAR(34)), CONCATENATE(CHAR(34),"CamB",CHAR(34))),"}"), ""),IF(VLOOKUP(C284,DM_fish!C:X,20, FALSE)&gt;0, CONCATENATE(",{",CHAR(34),"target",CHAR(34),":",CHAR(34),VLOOKUP(C284,DM_fish!C:X,19, FALSE),CHAR(34),",", CHAR(34), "excitation",CHAR(34), ":", VLOOKUP(C284,DM_fish!C:X,20, FALSE), ",",  CHAR(34), "camera",CHAR(34), ":", IF(VALUE(VLOOKUP(C284,DM_fish!C:X,20, FALSE))&lt;VALUE(VLOOKUP(V284,imaging_filters!A:K,11, FALSE)), CONCATENATE(CHAR(34),"CamA",CHAR(34)), CONCATENATE(CHAR(34),"CamB",CHAR(34))),"}"), ""),IF(VLOOKUP(C284,DM_fish!C:X,22, FALSE)&gt;0, CONCATENATE(",{",CHAR(34),"target",CHAR(34),":",CHAR(34),VLOOKUP(C284,DM_fish!C:X,21, FALSE),CHAR(34),",", CHAR(34), "excitation",CHAR(34), ":", VLOOKUP(C284,DM_fish!C:X,22, FALSE), ",",  CHAR(34), "camera",CHAR(34), ":", IF(VALUE(VLOOKUP(C284,DM_fish!C:X,22, FALSE))&lt;VALUE(VLOOKUP(V284,imaging_filters!A:K,11, FALSE)), CONCATENATE(CHAR(34),"CamA",CHAR(34)), CONCATENATE(CHAR(34),"CamB",CHAR(34))),"}"), "")), "]"), "")</f>
        <v/>
      </c>
      <c r="Y284" s="11" t="str">
        <f ca="1">IFERROR(
CONCATENATE( "[",
IF(VLOOKUP(E284,Injections!B:F,3, FALSE)&gt;0, CONCATENATE( "{",CHAR(34),"target",CHAR(34),":",CHAR(34),VLOOKUP(E284,Injections!B:F,2, FALSE),CHAR(34),",", CHAR(34), "excitation",CHAR(34), ":", VLOOKUP(E284,Injections!B:F,3, FALSE), ",",  CHAR(34), "camera",CHAR(34), ":",
IF(VALUE(VLOOKUP(E284,Injections!B:F,3, FALSE))&lt;VALUE(VLOOKUP(V284,imaging_filters!A:C,2, FALSE)), CONCATENATE(CHAR(34),"CamA",CHAR(34)), CONCATENATE(CHAR(34),"CamB",CHAR(34))),"}"), ""),
IF(VLOOKUP(E284,Injections!B:F,5, FALSE)&gt;0, CONCATENATE(",{",CHAR(34),"target",CHAR(34),":",CHAR(34),VLOOKUP(E284,Injections!B:F,4, FALSE),CHAR(34),",", CHAR(34), "excitation",CHAR(34), ":", VLOOKUP(E284,Injections!B:F,5, FALSE), ",",  CHAR(34), "camera",CHAR(34), ":",
IF(VALUE(VLOOKUP(E284,Injections!B:F,5, FALSE))&lt;VALUE(VLOOKUP(V284,imaging_filters!A:C,2, FALSE)), CONCATENATE(CHAR(34),"CamA",CHAR(34)), CONCATENATE(CHAR(34),"CamB",CHAR(34))),"}"), ""),
 "]"), "[]")</f>
        <v>[]</v>
      </c>
      <c r="Z284" s="11" t="str">
        <f ca="1">IFERROR(
CONCATENATE( "[",
IF(VLOOKUP(F284,Injections!H:L,3, FALSE)&gt;0, CONCATENATE( "{",CHAR(34),"target",CHAR(34),":",CHAR(34),VLOOKUP(F284,Injections!H:L,2, FALSE),CHAR(34),",", CHAR(34), "excitation",CHAR(34), ":", VLOOKUP(F284,Injections!H:L,3, FALSE), ",",  CHAR(34), "camera",CHAR(34), ":",
IF(VALUE(VLOOKUP(F284,Injections!H:L,3, FALSE))&lt;VALUE(VLOOKUP(V284,imaging_filters!A:K,11, FALSE)), CONCATENATE(CHAR(34),"CamA",CHAR(34)), CONCATENATE(CHAR(34),"CamB",CHAR(34))),"}"), ""),
IF(VLOOKUP(F284,Injections!H:L,5, FALSE)&gt;0, CONCATENATE(",{",CHAR(34),"target",CHAR(34),":",CHAR(34),VLOOKUP(F284,Injections!H:L,4, FALSE),CHAR(34),",", CHAR(34), "excitation",CHAR(34), ":", VLOOKUP(F284,Injections!H:L,5, FALSE), ",",  CHAR(34), "camera",CHAR(34), ":",
IF(VALUE(VLOOKUP(F284,Injections!H:L,5, FALSE))&lt;VALUE(VLOOKUP(V284,imaging_filters!A:K,11, FALSE)), CONCATENATE(CHAR(34),"CamA",CHAR(34)), CONCATENATE(CHAR(34),"CamB",CHAR(34))),"}"), ""),
 "]"), "[]")</f>
        <v>[]</v>
      </c>
      <c r="AA284" s="11"/>
    </row>
    <row r="285" spans="1:27" ht="15.75" customHeight="1" x14ac:dyDescent="0.15">
      <c r="A285" s="7">
        <f t="shared" si="7"/>
        <v>45719</v>
      </c>
      <c r="B285" s="1"/>
      <c r="C285" s="1" t="s">
        <v>107</v>
      </c>
      <c r="D285" s="1" t="s">
        <v>253</v>
      </c>
      <c r="F285" s="1" t="s">
        <v>550</v>
      </c>
      <c r="G285" s="8"/>
      <c r="H285" s="8"/>
      <c r="I285" s="15">
        <v>45716</v>
      </c>
      <c r="J285" s="15">
        <v>45719</v>
      </c>
      <c r="K285" s="1" t="s">
        <v>551</v>
      </c>
      <c r="L285" s="15">
        <v>45718</v>
      </c>
      <c r="M285" s="8">
        <v>45719</v>
      </c>
      <c r="N285" s="9">
        <v>0.74305555555555558</v>
      </c>
      <c r="O285" s="9">
        <v>0.75</v>
      </c>
      <c r="P285" s="1" t="s">
        <v>554</v>
      </c>
      <c r="Q285" s="1" t="s">
        <v>557</v>
      </c>
      <c r="R285" s="10" t="str">
        <f ca="1">IFERROR(__xludf.DUMMYFUNCTION("JOIN("","", SORT(UNIQUE(TOCOL({VLOOKUP(D285,DM_fish!A:B,2,FALSE),VLOOKUP(C285,DM_fish!A:B,2,FALSE), ARRAYFORMULA(VLOOKUP(SPLIT(E285, "", ""),Injections!B:G,6,FALSE)), ARRAYFORMULA(VLOOKUP(SPLIT(F285, "", ""),Injections!H:M,6,FALSE)), ARRAYFORMULA(VLOOKUP("&amp;"SPLIT(G285, "", ""),Injections!N:S,6,FALSE)), ARRAYFORMULA(VLOOKUP(SPLIT(H285, "", ""),Injections!T:Y,6,FALSE)) },3))))"),"nuclei")</f>
        <v>nuclei</v>
      </c>
      <c r="S285" s="10" t="str">
        <f ca="1">IFERROR(__xludf.DUMMYFUNCTION("IFERROR(JOIN("","", SPLIT(R285, "","", TRUE ,TRUE)), """")"),"nuclei")</f>
        <v>nuclei</v>
      </c>
      <c r="T285" s="1" t="s">
        <v>558</v>
      </c>
      <c r="U285" s="17">
        <v>1178</v>
      </c>
      <c r="V285" s="1" t="s">
        <v>203</v>
      </c>
      <c r="W285" s="12" t="str">
        <f ca="1">IFERROR(CONCATENATE("[", CONCATENATE(IF(VLOOKUP(D285,DM_fish!C:X,14, FALSE)&gt;0, CONCATENATE("{",CHAR(34),"target",CHAR(34),":",CHAR(34),VLOOKUP(D285,DM_fish!C:X,13, FALSE),CHAR(34),",", CHAR(34), "excitation",CHAR(34), ":", VLOOKUP(D285,DM_fish!C:X,14, FALSE), ",",  CHAR(34), "camera",CHAR(34), ":", IF(VALUE(VLOOKUP(D285,DM_fish!C:X,14, FALSE))&lt;VALUE(VLOOKUP(V285,imaging_filters!A:K,11, FALSE)), CONCATENATE(CHAR(34),"CamA",CHAR(34)), CONCATENATE(CHAR(34),"CamB",CHAR(34))),"}"), ""),IF(VLOOKUP(D285,DM_fish!C:X,16, FALSE)&gt;0, CONCATENATE(",{",CHAR(34),"target",CHAR(34),":",CHAR(34),VLOOKUP(D285,DM_fish!C:X,15, FALSE),CHAR(34),",", CHAR(34), "excitation",CHAR(34), ":", VLOOKUP(D285,DM_fish!C:X,16, FALSE), ",",  CHAR(34), "camera",CHAR(34), ":", IF(VALUE(VLOOKUP(D285,DM_fish!C:X,16, FALSE))&lt;VALUE(VLOOKUP(V285,imaging_filters!A:K,11, FALSE)), CONCATENATE(CHAR(34),"CamA",CHAR(34)), CONCATENATE(CHAR(34),"CamB",CHAR(34))),"}"), ""),IF(VLOOKUP(D285,DM_fish!C:X,18, FALSE)&gt;0, CONCATENATE(",{",CHAR(34),"target",CHAR(34),":",CHAR(34),VLOOKUP(D285,DM_fish!C:X,17, FALSE),CHAR(34),",", CHAR(34), "excitation",CHAR(34), ":", VLOOKUP(D285,DM_fish!C:X,18, FALSE), ",",  CHAR(34), "camera",CHAR(34), ":", IF(VALUE(VLOOKUP(D285,DM_fish!C:X,18, FALSE))&lt;VALUE(VLOOKUP(V285,imaging_filters!A:K,11, FALSE)), CONCATENATE(CHAR(34),"CamA",CHAR(34)), CONCATENATE(CHAR(34),"CamB",CHAR(34))),"}"), ""),IF(VLOOKUP(D285,DM_fish!C:X,20, FALSE)&gt;0, CONCATENATE(",{",CHAR(34),"target",CHAR(34),":",CHAR(34),VLOOKUP(D285,DM_fish!C:X,19, FALSE),CHAR(34),",", CHAR(34), "excitation",CHAR(34), ":", VLOOKUP(D285,DM_fish!C:X,20, FALSE), ",",  CHAR(34), "camera",CHAR(34), ":", IF(VALUE(VLOOKUP(D285,DM_fish!C:X,20, FALSE))&lt;VALUE(VLOOKUP(V285,imaging_filters!A:K,11, FALSE)), CONCATENATE(CHAR(34),"CamA",CHAR(34)), CONCATENATE(CHAR(34),"CamB",CHAR(34))),"}"), ""),IF(VLOOKUP(D285,DM_fish!C:X,22, FALSE)&gt;0, CONCATENATE(",{",CHAR(34),"target",CHAR(34),":",CHAR(34),VLOOKUP(D285,DM_fish!C:X,21, FALSE),CHAR(34),",", CHAR(34), "excitation",CHAR(34), ":", VLOOKUP(D285,DM_fish!C:X,22, FALSE), ",",  CHAR(34), "camera",CHAR(34), ":", IF(VALUE(VLOOKUP(D285,DM_fish!C:X,22, FALSE))&lt;VALUE(VLOOKUP(V285,imaging_filters!A:K,11, FALSE)), CONCATENATE(CHAR(34),"CamA",CHAR(34)), CONCATENATE(CHAR(34),"CamB",CHAR(34))),"}"), "")), "]"), "")</f>
        <v/>
      </c>
      <c r="X285" s="12" t="str">
        <f ca="1">IFERROR(
CONCATENATE("[", CONCATENATE(IF(VLOOKUP(C285,DM_fish!C:X,14, FALSE)&gt;0, CONCATENATE("{",CHAR(34),"target",CHAR(34),":",CHAR(34),VLOOKUP(C285,DM_fish!C:X,13, FALSE),CHAR(34),",", CHAR(34), "excitation",CHAR(34), ":", VLOOKUP(C285,DM_fish!C:X,14, FALSE), ",",  CHAR(34), "camera",CHAR(34), ":", IF(VALUE(VLOOKUP(C285,DM_fish!C:X,14, FALSE))&lt;VALUE(VLOOKUP(V285,imaging_filters!A:K,11, FALSE)), CONCATENATE(CHAR(34),"CamA",CHAR(34)), CONCATENATE(CHAR(34),"CamB",CHAR(34))),"}"), ""),IF(VLOOKUP(C285,DM_fish!C:X,16, FALSE)&gt;0, CONCATENATE(",{",CHAR(34),"target",CHAR(34),":",CHAR(34),VLOOKUP(C285,DM_fish!C:X,15, FALSE),CHAR(34),",", CHAR(34), "excitation",CHAR(34), ":", VLOOKUP(C285,DM_fish!C:X,16, FALSE), ",",  CHAR(34), "camera",CHAR(34), ":", IF(VALUE(VLOOKUP(C285,DM_fish!C:X,16, FALSE))&lt;VALUE(VLOOKUP(V285,imaging_filters!A:K,11, FALSE)), CONCATENATE(CHAR(34),"CamA",CHAR(34)), CONCATENATE(CHAR(34),"CamB",CHAR(34))),"}"), ""),IF(VLOOKUP(C285,DM_fish!C:X,18, FALSE)&gt;0, CONCATENATE(",{",CHAR(34),"target",CHAR(34),":",CHAR(34),VLOOKUP(C285,DM_fish!C:X,17, FALSE),CHAR(34),",", CHAR(34), "excitation",CHAR(34), ":", VLOOKUP(C285,DM_fish!C:X,18, FALSE), ",",  CHAR(34), "camera",CHAR(34), ":", IF(VALUE(VLOOKUP(C285,DM_fish!C:X,18, FALSE))&lt;VALUE(VLOOKUP(V285,imaging_filters!A:K,11, FALSE)), CONCATENATE(CHAR(34),"CamA",CHAR(34)), CONCATENATE(CHAR(34),"CamB",CHAR(34))),"}"), ""),IF(VLOOKUP(C285,DM_fish!C:X,20, FALSE)&gt;0, CONCATENATE(",{",CHAR(34),"target",CHAR(34),":",CHAR(34),VLOOKUP(C285,DM_fish!C:X,19, FALSE),CHAR(34),",", CHAR(34), "excitation",CHAR(34), ":", VLOOKUP(C285,DM_fish!C:X,20, FALSE), ",",  CHAR(34), "camera",CHAR(34), ":", IF(VALUE(VLOOKUP(C285,DM_fish!C:X,20, FALSE))&lt;VALUE(VLOOKUP(V285,imaging_filters!A:K,11, FALSE)), CONCATENATE(CHAR(34),"CamA",CHAR(34)), CONCATENATE(CHAR(34),"CamB",CHAR(34))),"}"), ""),IF(VLOOKUP(C285,DM_fish!C:X,22, FALSE)&gt;0, CONCATENATE(",{",CHAR(34),"target",CHAR(34),":",CHAR(34),VLOOKUP(C285,DM_fish!C:X,21, FALSE),CHAR(34),",", CHAR(34), "excitation",CHAR(34), ":", VLOOKUP(C285,DM_fish!C:X,22, FALSE), ",",  CHAR(34), "camera",CHAR(34), ":", IF(VALUE(VLOOKUP(C285,DM_fish!C:X,22, FALSE))&lt;VALUE(VLOOKUP(V285,imaging_filters!A:K,11, FALSE)), CONCATENATE(CHAR(34),"CamA",CHAR(34)), CONCATENATE(CHAR(34),"CamB",CHAR(34))),"}"), "")), "]"), "")</f>
        <v/>
      </c>
      <c r="Y285" s="11" t="str">
        <f ca="1">IFERROR(
CONCATENATE( "[",
IF(VLOOKUP(E285,Injections!B:F,3, FALSE)&gt;0, CONCATENATE( "{",CHAR(34),"target",CHAR(34),":",CHAR(34),VLOOKUP(E285,Injections!B:F,2, FALSE),CHAR(34),",", CHAR(34), "excitation",CHAR(34), ":", VLOOKUP(E285,Injections!B:F,3, FALSE), ",",  CHAR(34), "camera",CHAR(34), ":",
IF(VALUE(VLOOKUP(E285,Injections!B:F,3, FALSE))&lt;VALUE(VLOOKUP(V285,imaging_filters!A:C,2, FALSE)), CONCATENATE(CHAR(34),"CamA",CHAR(34)), CONCATENATE(CHAR(34),"CamB",CHAR(34))),"}"), ""),
IF(VLOOKUP(E285,Injections!B:F,5, FALSE)&gt;0, CONCATENATE(",{",CHAR(34),"target",CHAR(34),":",CHAR(34),VLOOKUP(E285,Injections!B:F,4, FALSE),CHAR(34),",", CHAR(34), "excitation",CHAR(34), ":", VLOOKUP(E285,Injections!B:F,5, FALSE), ",",  CHAR(34), "camera",CHAR(34), ":",
IF(VALUE(VLOOKUP(E285,Injections!B:F,5, FALSE))&lt;VALUE(VLOOKUP(V285,imaging_filters!A:C,2, FALSE)), CONCATENATE(CHAR(34),"CamA",CHAR(34)), CONCATENATE(CHAR(34),"CamB",CHAR(34))),"}"), ""),
 "]"), "[]")</f>
        <v>[]</v>
      </c>
      <c r="Z285" s="11" t="str">
        <f ca="1">IFERROR(
CONCATENATE( "[",
IF(VLOOKUP(F285,Injections!H:L,3, FALSE)&gt;0, CONCATENATE( "{",CHAR(34),"target",CHAR(34),":",CHAR(34),VLOOKUP(F285,Injections!H:L,2, FALSE),CHAR(34),",", CHAR(34), "excitation",CHAR(34), ":", VLOOKUP(F285,Injections!H:L,3, FALSE), ",",  CHAR(34), "camera",CHAR(34), ":",
IF(VALUE(VLOOKUP(F285,Injections!H:L,3, FALSE))&lt;VALUE(VLOOKUP(V285,imaging_filters!A:K,11, FALSE)), CONCATENATE(CHAR(34),"CamA",CHAR(34)), CONCATENATE(CHAR(34),"CamB",CHAR(34))),"}"), ""),
IF(VLOOKUP(F285,Injections!H:L,5, FALSE)&gt;0, CONCATENATE(",{",CHAR(34),"target",CHAR(34),":",CHAR(34),VLOOKUP(F285,Injections!H:L,4, FALSE),CHAR(34),",", CHAR(34), "excitation",CHAR(34), ":", VLOOKUP(F285,Injections!H:L,5, FALSE), ",",  CHAR(34), "camera",CHAR(34), ":",
IF(VALUE(VLOOKUP(F285,Injections!H:L,5, FALSE))&lt;VALUE(VLOOKUP(V285,imaging_filters!A:K,11, FALSE)), CONCATENATE(CHAR(34),"CamA",CHAR(34)), CONCATENATE(CHAR(34),"CamB",CHAR(34))),"}"), ""),
 "]"), "[]")</f>
        <v>[]</v>
      </c>
      <c r="AA285" s="11"/>
    </row>
    <row r="286" spans="1:27" ht="15.75" customHeight="1" x14ac:dyDescent="0.15">
      <c r="A286" s="7">
        <f t="shared" si="7"/>
        <v>45716</v>
      </c>
      <c r="B286" s="1"/>
      <c r="C286" s="1" t="s">
        <v>107</v>
      </c>
      <c r="D286" s="1" t="s">
        <v>39</v>
      </c>
      <c r="F286" s="1" t="s">
        <v>550</v>
      </c>
      <c r="G286" s="8"/>
      <c r="H286" s="8"/>
      <c r="I286" s="8">
        <v>45714</v>
      </c>
      <c r="J286" s="1" t="s">
        <v>559</v>
      </c>
      <c r="K286" s="1" t="s">
        <v>34</v>
      </c>
      <c r="L286" s="19">
        <v>45716</v>
      </c>
      <c r="M286" s="8">
        <v>45716</v>
      </c>
      <c r="N286" s="9">
        <v>0.98958333333333337</v>
      </c>
      <c r="O286" s="9">
        <v>0.5</v>
      </c>
      <c r="P286" s="9">
        <v>0.66666666666666663</v>
      </c>
      <c r="Q286" s="1" t="s">
        <v>560</v>
      </c>
      <c r="R286" s="10" t="str">
        <f ca="1">IFERROR(__xludf.DUMMYFUNCTION("JOIN("","", SORT(UNIQUE(TOCOL({VLOOKUP(D286,DM_fish!A:B,2,FALSE),VLOOKUP(C286,DM_fish!A:B,2,FALSE), ARRAYFORMULA(VLOOKUP(SPLIT(E286, "", ""),Injections!B:G,6,FALSE)), ARRAYFORMULA(VLOOKUP(SPLIT(F286, "", ""),Injections!H:M,6,FALSE)), ARRAYFORMULA(VLOOKUP("&amp;"SPLIT(G286, "", ""),Injections!N:S,6,FALSE)), ARRAYFORMULA(VLOOKUP(SPLIT(H286, "", ""),Injections!T:Y,6,FALSE)) },3))))"),"csp,male #8 - best founder (40-50% transmission, multiple alleles, bright!!!),488,nuclei")</f>
        <v>csp,male #8 - best founder (40-50% transmission, multiple alleles, bright!!!),488,nuclei</v>
      </c>
      <c r="S286" s="10" t="str">
        <f ca="1">IFERROR(__xludf.DUMMYFUNCTION("IFERROR(JOIN("","", SPLIT(R286, "","", TRUE ,TRUE)), """")"),"csp,male #8 - best founder (40-50% transmission, multiple alleles, bright!!!),488,nuclei")</f>
        <v>csp,male #8 - best founder (40-50% transmission, multiple alleles, bright!!!),488,nuclei</v>
      </c>
      <c r="T286" s="1" t="s">
        <v>561</v>
      </c>
      <c r="U286" s="1">
        <v>895</v>
      </c>
      <c r="V286" s="1" t="s">
        <v>203</v>
      </c>
      <c r="W286" s="12" t="str">
        <f ca="1">IFERROR(CONCATENATE("[", CONCATENATE(IF(VLOOKUP(D286,DM_fish!C:X,14, FALSE)&gt;0, CONCATENATE("{",CHAR(34),"target",CHAR(34),":",CHAR(34),VLOOKUP(D286,DM_fish!C:X,13, FALSE),CHAR(34),",", CHAR(34), "excitation",CHAR(34), ":", VLOOKUP(D286,DM_fish!C:X,14, FALSE), ",",  CHAR(34), "camera",CHAR(34), ":", IF(VALUE(VLOOKUP(D286,DM_fish!C:X,14, FALSE))&lt;VALUE(VLOOKUP(V286,imaging_filters!A:K,11, FALSE)), CONCATENATE(CHAR(34),"CamA",CHAR(34)), CONCATENATE(CHAR(34),"CamB",CHAR(34))),"}"), ""),IF(VLOOKUP(D286,DM_fish!C:X,16, FALSE)&gt;0, CONCATENATE(",{",CHAR(34),"target",CHAR(34),":",CHAR(34),VLOOKUP(D286,DM_fish!C:X,15, FALSE),CHAR(34),",", CHAR(34), "excitation",CHAR(34), ":", VLOOKUP(D286,DM_fish!C:X,16, FALSE), ",",  CHAR(34), "camera",CHAR(34), ":", IF(VALUE(VLOOKUP(D286,DM_fish!C:X,16, FALSE))&lt;VALUE(VLOOKUP(V286,imaging_filters!A:K,11, FALSE)), CONCATENATE(CHAR(34),"CamA",CHAR(34)), CONCATENATE(CHAR(34),"CamB",CHAR(34))),"}"), ""),IF(VLOOKUP(D286,DM_fish!C:X,18, FALSE)&gt;0, CONCATENATE(",{",CHAR(34),"target",CHAR(34),":",CHAR(34),VLOOKUP(D286,DM_fish!C:X,17, FALSE),CHAR(34),",", CHAR(34), "excitation",CHAR(34), ":", VLOOKUP(D286,DM_fish!C:X,18, FALSE), ",",  CHAR(34), "camera",CHAR(34), ":", IF(VALUE(VLOOKUP(D286,DM_fish!C:X,18, FALSE))&lt;VALUE(VLOOKUP(V286,imaging_filters!A:K,11, FALSE)), CONCATENATE(CHAR(34),"CamA",CHAR(34)), CONCATENATE(CHAR(34),"CamB",CHAR(34))),"}"), ""),IF(VLOOKUP(D286,DM_fish!C:X,20, FALSE)&gt;0, CONCATENATE(",{",CHAR(34),"target",CHAR(34),":",CHAR(34),VLOOKUP(D286,DM_fish!C:X,19, FALSE),CHAR(34),",", CHAR(34), "excitation",CHAR(34), ":", VLOOKUP(D286,DM_fish!C:X,20, FALSE), ",",  CHAR(34), "camera",CHAR(34), ":", IF(VALUE(VLOOKUP(D286,DM_fish!C:X,20, FALSE))&lt;VALUE(VLOOKUP(V286,imaging_filters!A:K,11, FALSE)), CONCATENATE(CHAR(34),"CamA",CHAR(34)), CONCATENATE(CHAR(34),"CamB",CHAR(34))),"}"), ""),IF(VLOOKUP(D286,DM_fish!C:X,22, FALSE)&gt;0, CONCATENATE(",{",CHAR(34),"target",CHAR(34),":",CHAR(34),VLOOKUP(D286,DM_fish!C:X,21, FALSE),CHAR(34),",", CHAR(34), "excitation",CHAR(34), ":", VLOOKUP(D286,DM_fish!C:X,22, FALSE), ",",  CHAR(34), "camera",CHAR(34), ":", IF(VALUE(VLOOKUP(D286,DM_fish!C:X,22, FALSE))&lt;VALUE(VLOOKUP(V286,imaging_filters!A:K,11, FALSE)), CONCATENATE(CHAR(34),"CamA",CHAR(34)), CONCATENATE(CHAR(34),"CamB",CHAR(34))),"}"), "")), "]"), "")</f>
        <v/>
      </c>
      <c r="X286" s="12" t="str">
        <f ca="1">IFERROR(
CONCATENATE("[", CONCATENATE(IF(VLOOKUP(C286,DM_fish!C:X,14, FALSE)&gt;0, CONCATENATE("{",CHAR(34),"target",CHAR(34),":",CHAR(34),VLOOKUP(C286,DM_fish!C:X,13, FALSE),CHAR(34),",", CHAR(34), "excitation",CHAR(34), ":", VLOOKUP(C286,DM_fish!C:X,14, FALSE), ",",  CHAR(34), "camera",CHAR(34), ":", IF(VALUE(VLOOKUP(C286,DM_fish!C:X,14, FALSE))&lt;VALUE(VLOOKUP(V286,imaging_filters!A:K,11, FALSE)), CONCATENATE(CHAR(34),"CamA",CHAR(34)), CONCATENATE(CHAR(34),"CamB",CHAR(34))),"}"), ""),IF(VLOOKUP(C286,DM_fish!C:X,16, FALSE)&gt;0, CONCATENATE(",{",CHAR(34),"target",CHAR(34),":",CHAR(34),VLOOKUP(C286,DM_fish!C:X,15, FALSE),CHAR(34),",", CHAR(34), "excitation",CHAR(34), ":", VLOOKUP(C286,DM_fish!C:X,16, FALSE), ",",  CHAR(34), "camera",CHAR(34), ":", IF(VALUE(VLOOKUP(C286,DM_fish!C:X,16, FALSE))&lt;VALUE(VLOOKUP(V286,imaging_filters!A:K,11, FALSE)), CONCATENATE(CHAR(34),"CamA",CHAR(34)), CONCATENATE(CHAR(34),"CamB",CHAR(34))),"}"), ""),IF(VLOOKUP(C286,DM_fish!C:X,18, FALSE)&gt;0, CONCATENATE(",{",CHAR(34),"target",CHAR(34),":",CHAR(34),VLOOKUP(C286,DM_fish!C:X,17, FALSE),CHAR(34),",", CHAR(34), "excitation",CHAR(34), ":", VLOOKUP(C286,DM_fish!C:X,18, FALSE), ",",  CHAR(34), "camera",CHAR(34), ":", IF(VALUE(VLOOKUP(C286,DM_fish!C:X,18, FALSE))&lt;VALUE(VLOOKUP(V286,imaging_filters!A:K,11, FALSE)), CONCATENATE(CHAR(34),"CamA",CHAR(34)), CONCATENATE(CHAR(34),"CamB",CHAR(34))),"}"), ""),IF(VLOOKUP(C286,DM_fish!C:X,20, FALSE)&gt;0, CONCATENATE(",{",CHAR(34),"target",CHAR(34),":",CHAR(34),VLOOKUP(C286,DM_fish!C:X,19, FALSE),CHAR(34),",", CHAR(34), "excitation",CHAR(34), ":", VLOOKUP(C286,DM_fish!C:X,20, FALSE), ",",  CHAR(34), "camera",CHAR(34), ":", IF(VALUE(VLOOKUP(C286,DM_fish!C:X,20, FALSE))&lt;VALUE(VLOOKUP(V286,imaging_filters!A:K,11, FALSE)), CONCATENATE(CHAR(34),"CamA",CHAR(34)), CONCATENATE(CHAR(34),"CamB",CHAR(34))),"}"), ""),IF(VLOOKUP(C286,DM_fish!C:X,22, FALSE)&gt;0, CONCATENATE(",{",CHAR(34),"target",CHAR(34),":",CHAR(34),VLOOKUP(C286,DM_fish!C:X,21, FALSE),CHAR(34),",", CHAR(34), "excitation",CHAR(34), ":", VLOOKUP(C286,DM_fish!C:X,22, FALSE), ",",  CHAR(34), "camera",CHAR(34), ":", IF(VALUE(VLOOKUP(C286,DM_fish!C:X,22, FALSE))&lt;VALUE(VLOOKUP(V286,imaging_filters!A:K,11, FALSE)), CONCATENATE(CHAR(34),"CamA",CHAR(34)), CONCATENATE(CHAR(34),"CamB",CHAR(34))),"}"), "")), "]"), "")</f>
        <v/>
      </c>
      <c r="Y286" s="11" t="str">
        <f ca="1">IFERROR(
CONCATENATE( "[",
IF(VLOOKUP(E286,Injections!B:F,3, FALSE)&gt;0, CONCATENATE( "{",CHAR(34),"target",CHAR(34),":",CHAR(34),VLOOKUP(E286,Injections!B:F,2, FALSE),CHAR(34),",", CHAR(34), "excitation",CHAR(34), ":", VLOOKUP(E286,Injections!B:F,3, FALSE), ",",  CHAR(34), "camera",CHAR(34), ":",
IF(VALUE(VLOOKUP(E286,Injections!B:F,3, FALSE))&lt;VALUE(VLOOKUP(V286,imaging_filters!A:C,2, FALSE)), CONCATENATE(CHAR(34),"CamA",CHAR(34)), CONCATENATE(CHAR(34),"CamB",CHAR(34))),"}"), ""),
IF(VLOOKUP(E286,Injections!B:F,5, FALSE)&gt;0, CONCATENATE(",{",CHAR(34),"target",CHAR(34),":",CHAR(34),VLOOKUP(E286,Injections!B:F,4, FALSE),CHAR(34),",", CHAR(34), "excitation",CHAR(34), ":", VLOOKUP(E286,Injections!B:F,5, FALSE), ",",  CHAR(34), "camera",CHAR(34), ":",
IF(VALUE(VLOOKUP(E286,Injections!B:F,5, FALSE))&lt;VALUE(VLOOKUP(V286,imaging_filters!A:C,2, FALSE)), CONCATENATE(CHAR(34),"CamA",CHAR(34)), CONCATENATE(CHAR(34),"CamB",CHAR(34))),"}"), ""),
 "]"), "[]")</f>
        <v>[]</v>
      </c>
      <c r="Z286" s="11" t="str">
        <f ca="1">IFERROR(
CONCATENATE( "[",
IF(VLOOKUP(F286,Injections!H:L,3, FALSE)&gt;0, CONCATENATE( "{",CHAR(34),"target",CHAR(34),":",CHAR(34),VLOOKUP(F286,Injections!H:L,2, FALSE),CHAR(34),",", CHAR(34), "excitation",CHAR(34), ":", VLOOKUP(F286,Injections!H:L,3, FALSE), ",",  CHAR(34), "camera",CHAR(34), ":",
IF(VALUE(VLOOKUP(F286,Injections!H:L,3, FALSE))&lt;VALUE(VLOOKUP(V286,imaging_filters!A:K,11, FALSE)), CONCATENATE(CHAR(34),"CamA",CHAR(34)), CONCATENATE(CHAR(34),"CamB",CHAR(34))),"}"), ""),
IF(VLOOKUP(F286,Injections!H:L,5, FALSE)&gt;0, CONCATENATE(",{",CHAR(34),"target",CHAR(34),":",CHAR(34),VLOOKUP(F286,Injections!H:L,4, FALSE),CHAR(34),",", CHAR(34), "excitation",CHAR(34), ":", VLOOKUP(F286,Injections!H:L,5, FALSE), ",",  CHAR(34), "camera",CHAR(34), ":",
IF(VALUE(VLOOKUP(F286,Injections!H:L,5, FALSE))&lt;VALUE(VLOOKUP(V286,imaging_filters!A:K,11, FALSE)), CONCATENATE(CHAR(34),"CamA",CHAR(34)), CONCATENATE(CHAR(34),"CamB",CHAR(34))),"}"), ""),
 "]"), "[]")</f>
        <v>[]</v>
      </c>
      <c r="AA286" s="11"/>
    </row>
    <row r="287" spans="1:27" ht="15.75" customHeight="1" x14ac:dyDescent="0.15">
      <c r="A287" s="7">
        <f t="shared" si="7"/>
        <v>45716</v>
      </c>
      <c r="B287" s="1"/>
      <c r="C287" s="1" t="s">
        <v>107</v>
      </c>
      <c r="D287" s="1" t="s">
        <v>39</v>
      </c>
      <c r="F287" s="1" t="s">
        <v>550</v>
      </c>
      <c r="G287" s="8"/>
      <c r="H287" s="8"/>
      <c r="I287" s="8">
        <v>45714</v>
      </c>
      <c r="J287" s="1" t="s">
        <v>559</v>
      </c>
      <c r="K287" s="1" t="s">
        <v>34</v>
      </c>
      <c r="L287" s="19">
        <v>45716</v>
      </c>
      <c r="M287" s="8">
        <v>45716</v>
      </c>
      <c r="N287" s="9">
        <v>0.98958333333333337</v>
      </c>
      <c r="O287" s="9">
        <v>0.6875</v>
      </c>
      <c r="P287" s="9">
        <v>0.8125</v>
      </c>
      <c r="Q287" s="1" t="s">
        <v>560</v>
      </c>
      <c r="R287" s="10" t="str">
        <f ca="1">IFERROR(__xludf.DUMMYFUNCTION("JOIN("","", SORT(UNIQUE(TOCOL({VLOOKUP(D287,DM_fish!A:B,2,FALSE),VLOOKUP(C287,DM_fish!A:B,2,FALSE), ARRAYFORMULA(VLOOKUP(SPLIT(E287, "", ""),Injections!B:G,6,FALSE)), ARRAYFORMULA(VLOOKUP(SPLIT(F287, "", ""),Injections!H:M,6,FALSE)), ARRAYFORMULA(VLOOKUP("&amp;"SPLIT(G287, "", ""),Injections!N:S,6,FALSE)), ARRAYFORMULA(VLOOKUP(SPLIT(H287, "", ""),Injections!T:Y,6,FALSE)) },3))))"),"csp,male #8 - best founder (40-50% transmission, multiple alleles, bright!!!),488,nuclei")</f>
        <v>csp,male #8 - best founder (40-50% transmission, multiple alleles, bright!!!),488,nuclei</v>
      </c>
      <c r="S287" s="10" t="str">
        <f ca="1">IFERROR(__xludf.DUMMYFUNCTION("IFERROR(JOIN("","", SPLIT(R287, "","", TRUE ,TRUE)), """")"),"csp,male #8 - best founder (40-50% transmission, multiple alleles, bright!!!),488,nuclei")</f>
        <v>csp,male #8 - best founder (40-50% transmission, multiple alleles, bright!!!),488,nuclei</v>
      </c>
      <c r="T287" s="1" t="s">
        <v>562</v>
      </c>
      <c r="U287" s="1">
        <v>1096</v>
      </c>
      <c r="V287" s="1" t="s">
        <v>203</v>
      </c>
      <c r="W287" s="12" t="str">
        <f ca="1">IFERROR(CONCATENATE("[", CONCATENATE(IF(VLOOKUP(D287,DM_fish!C:X,14, FALSE)&gt;0, CONCATENATE("{",CHAR(34),"target",CHAR(34),":",CHAR(34),VLOOKUP(D287,DM_fish!C:X,13, FALSE),CHAR(34),",", CHAR(34), "excitation",CHAR(34), ":", VLOOKUP(D287,DM_fish!C:X,14, FALSE), ",",  CHAR(34), "camera",CHAR(34), ":", IF(VALUE(VLOOKUP(D287,DM_fish!C:X,14, FALSE))&lt;VALUE(VLOOKUP(V287,imaging_filters!A:K,11, FALSE)), CONCATENATE(CHAR(34),"CamA",CHAR(34)), CONCATENATE(CHAR(34),"CamB",CHAR(34))),"}"), ""),IF(VLOOKUP(D287,DM_fish!C:X,16, FALSE)&gt;0, CONCATENATE(",{",CHAR(34),"target",CHAR(34),":",CHAR(34),VLOOKUP(D287,DM_fish!C:X,15, FALSE),CHAR(34),",", CHAR(34), "excitation",CHAR(34), ":", VLOOKUP(D287,DM_fish!C:X,16, FALSE), ",",  CHAR(34), "camera",CHAR(34), ":", IF(VALUE(VLOOKUP(D287,DM_fish!C:X,16, FALSE))&lt;VALUE(VLOOKUP(V287,imaging_filters!A:K,11, FALSE)), CONCATENATE(CHAR(34),"CamA",CHAR(34)), CONCATENATE(CHAR(34),"CamB",CHAR(34))),"}"), ""),IF(VLOOKUP(D287,DM_fish!C:X,18, FALSE)&gt;0, CONCATENATE(",{",CHAR(34),"target",CHAR(34),":",CHAR(34),VLOOKUP(D287,DM_fish!C:X,17, FALSE),CHAR(34),",", CHAR(34), "excitation",CHAR(34), ":", VLOOKUP(D287,DM_fish!C:X,18, FALSE), ",",  CHAR(34), "camera",CHAR(34), ":", IF(VALUE(VLOOKUP(D287,DM_fish!C:X,18, FALSE))&lt;VALUE(VLOOKUP(V287,imaging_filters!A:K,11, FALSE)), CONCATENATE(CHAR(34),"CamA",CHAR(34)), CONCATENATE(CHAR(34),"CamB",CHAR(34))),"}"), ""),IF(VLOOKUP(D287,DM_fish!C:X,20, FALSE)&gt;0, CONCATENATE(",{",CHAR(34),"target",CHAR(34),":",CHAR(34),VLOOKUP(D287,DM_fish!C:X,19, FALSE),CHAR(34),",", CHAR(34), "excitation",CHAR(34), ":", VLOOKUP(D287,DM_fish!C:X,20, FALSE), ",",  CHAR(34), "camera",CHAR(34), ":", IF(VALUE(VLOOKUP(D287,DM_fish!C:X,20, FALSE))&lt;VALUE(VLOOKUP(V287,imaging_filters!A:K,11, FALSE)), CONCATENATE(CHAR(34),"CamA",CHAR(34)), CONCATENATE(CHAR(34),"CamB",CHAR(34))),"}"), ""),IF(VLOOKUP(D287,DM_fish!C:X,22, FALSE)&gt;0, CONCATENATE(",{",CHAR(34),"target",CHAR(34),":",CHAR(34),VLOOKUP(D287,DM_fish!C:X,21, FALSE),CHAR(34),",", CHAR(34), "excitation",CHAR(34), ":", VLOOKUP(D287,DM_fish!C:X,22, FALSE), ",",  CHAR(34), "camera",CHAR(34), ":", IF(VALUE(VLOOKUP(D287,DM_fish!C:X,22, FALSE))&lt;VALUE(VLOOKUP(V287,imaging_filters!A:K,11, FALSE)), CONCATENATE(CHAR(34),"CamA",CHAR(34)), CONCATENATE(CHAR(34),"CamB",CHAR(34))),"}"), "")), "]"), "")</f>
        <v/>
      </c>
      <c r="X287" s="12" t="str">
        <f ca="1">IFERROR(
CONCATENATE("[", CONCATENATE(IF(VLOOKUP(C287,DM_fish!C:X,14, FALSE)&gt;0, CONCATENATE("{",CHAR(34),"target",CHAR(34),":",CHAR(34),VLOOKUP(C287,DM_fish!C:X,13, FALSE),CHAR(34),",", CHAR(34), "excitation",CHAR(34), ":", VLOOKUP(C287,DM_fish!C:X,14, FALSE), ",",  CHAR(34), "camera",CHAR(34), ":", IF(VALUE(VLOOKUP(C287,DM_fish!C:X,14, FALSE))&lt;VALUE(VLOOKUP(V287,imaging_filters!A:K,11, FALSE)), CONCATENATE(CHAR(34),"CamA",CHAR(34)), CONCATENATE(CHAR(34),"CamB",CHAR(34))),"}"), ""),IF(VLOOKUP(C287,DM_fish!C:X,16, FALSE)&gt;0, CONCATENATE(",{",CHAR(34),"target",CHAR(34),":",CHAR(34),VLOOKUP(C287,DM_fish!C:X,15, FALSE),CHAR(34),",", CHAR(34), "excitation",CHAR(34), ":", VLOOKUP(C287,DM_fish!C:X,16, FALSE), ",",  CHAR(34), "camera",CHAR(34), ":", IF(VALUE(VLOOKUP(C287,DM_fish!C:X,16, FALSE))&lt;VALUE(VLOOKUP(V287,imaging_filters!A:K,11, FALSE)), CONCATENATE(CHAR(34),"CamA",CHAR(34)), CONCATENATE(CHAR(34),"CamB",CHAR(34))),"}"), ""),IF(VLOOKUP(C287,DM_fish!C:X,18, FALSE)&gt;0, CONCATENATE(",{",CHAR(34),"target",CHAR(34),":",CHAR(34),VLOOKUP(C287,DM_fish!C:X,17, FALSE),CHAR(34),",", CHAR(34), "excitation",CHAR(34), ":", VLOOKUP(C287,DM_fish!C:X,18, FALSE), ",",  CHAR(34), "camera",CHAR(34), ":", IF(VALUE(VLOOKUP(C287,DM_fish!C:X,18, FALSE))&lt;VALUE(VLOOKUP(V287,imaging_filters!A:K,11, FALSE)), CONCATENATE(CHAR(34),"CamA",CHAR(34)), CONCATENATE(CHAR(34),"CamB",CHAR(34))),"}"), ""),IF(VLOOKUP(C287,DM_fish!C:X,20, FALSE)&gt;0, CONCATENATE(",{",CHAR(34),"target",CHAR(34),":",CHAR(34),VLOOKUP(C287,DM_fish!C:X,19, FALSE),CHAR(34),",", CHAR(34), "excitation",CHAR(34), ":", VLOOKUP(C287,DM_fish!C:X,20, FALSE), ",",  CHAR(34), "camera",CHAR(34), ":", IF(VALUE(VLOOKUP(C287,DM_fish!C:X,20, FALSE))&lt;VALUE(VLOOKUP(V287,imaging_filters!A:K,11, FALSE)), CONCATENATE(CHAR(34),"CamA",CHAR(34)), CONCATENATE(CHAR(34),"CamB",CHAR(34))),"}"), ""),IF(VLOOKUP(C287,DM_fish!C:X,22, FALSE)&gt;0, CONCATENATE(",{",CHAR(34),"target",CHAR(34),":",CHAR(34),VLOOKUP(C287,DM_fish!C:X,21, FALSE),CHAR(34),",", CHAR(34), "excitation",CHAR(34), ":", VLOOKUP(C287,DM_fish!C:X,22, FALSE), ",",  CHAR(34), "camera",CHAR(34), ":", IF(VALUE(VLOOKUP(C287,DM_fish!C:X,22, FALSE))&lt;VALUE(VLOOKUP(V287,imaging_filters!A:K,11, FALSE)), CONCATENATE(CHAR(34),"CamA",CHAR(34)), CONCATENATE(CHAR(34),"CamB",CHAR(34))),"}"), "")), "]"), "")</f>
        <v/>
      </c>
      <c r="Y287" s="11" t="str">
        <f ca="1">IFERROR(
CONCATENATE( "[",
IF(VLOOKUP(E287,Injections!B:F,3, FALSE)&gt;0, CONCATENATE( "{",CHAR(34),"target",CHAR(34),":",CHAR(34),VLOOKUP(E287,Injections!B:F,2, FALSE),CHAR(34),",", CHAR(34), "excitation",CHAR(34), ":", VLOOKUP(E287,Injections!B:F,3, FALSE), ",",  CHAR(34), "camera",CHAR(34), ":",
IF(VALUE(VLOOKUP(E287,Injections!B:F,3, FALSE))&lt;VALUE(VLOOKUP(V287,imaging_filters!A:C,2, FALSE)), CONCATENATE(CHAR(34),"CamA",CHAR(34)), CONCATENATE(CHAR(34),"CamB",CHAR(34))),"}"), ""),
IF(VLOOKUP(E287,Injections!B:F,5, FALSE)&gt;0, CONCATENATE(",{",CHAR(34),"target",CHAR(34),":",CHAR(34),VLOOKUP(E287,Injections!B:F,4, FALSE),CHAR(34),",", CHAR(34), "excitation",CHAR(34), ":", VLOOKUP(E287,Injections!B:F,5, FALSE), ",",  CHAR(34), "camera",CHAR(34), ":",
IF(VALUE(VLOOKUP(E287,Injections!B:F,5, FALSE))&lt;VALUE(VLOOKUP(V287,imaging_filters!A:C,2, FALSE)), CONCATENATE(CHAR(34),"CamA",CHAR(34)), CONCATENATE(CHAR(34),"CamB",CHAR(34))),"}"), ""),
 "]"), "[]")</f>
        <v>[]</v>
      </c>
      <c r="Z287" s="11" t="str">
        <f ca="1">IFERROR(
CONCATENATE( "[",
IF(VLOOKUP(F287,Injections!H:L,3, FALSE)&gt;0, CONCATENATE( "{",CHAR(34),"target",CHAR(34),":",CHAR(34),VLOOKUP(F287,Injections!H:L,2, FALSE),CHAR(34),",", CHAR(34), "excitation",CHAR(34), ":", VLOOKUP(F287,Injections!H:L,3, FALSE), ",",  CHAR(34), "camera",CHAR(34), ":",
IF(VALUE(VLOOKUP(F287,Injections!H:L,3, FALSE))&lt;VALUE(VLOOKUP(V287,imaging_filters!A:K,11, FALSE)), CONCATENATE(CHAR(34),"CamA",CHAR(34)), CONCATENATE(CHAR(34),"CamB",CHAR(34))),"}"), ""),
IF(VLOOKUP(F287,Injections!H:L,5, FALSE)&gt;0, CONCATENATE(",{",CHAR(34),"target",CHAR(34),":",CHAR(34),VLOOKUP(F287,Injections!H:L,4, FALSE),CHAR(34),",", CHAR(34), "excitation",CHAR(34), ":", VLOOKUP(F287,Injections!H:L,5, FALSE), ",",  CHAR(34), "camera",CHAR(34), ":",
IF(VALUE(VLOOKUP(F287,Injections!H:L,5, FALSE))&lt;VALUE(VLOOKUP(V287,imaging_filters!A:K,11, FALSE)), CONCATENATE(CHAR(34),"CamA",CHAR(34)), CONCATENATE(CHAR(34),"CamB",CHAR(34))),"}"), ""),
 "]"), "[]")</f>
        <v>[]</v>
      </c>
      <c r="AA287" s="11"/>
    </row>
    <row r="288" spans="1:27" ht="15.75" customHeight="1" x14ac:dyDescent="0.15">
      <c r="A288" s="7">
        <f t="shared" si="7"/>
        <v>45715</v>
      </c>
      <c r="B288" s="1"/>
      <c r="C288" s="1" t="s">
        <v>107</v>
      </c>
      <c r="D288" s="1" t="s">
        <v>39</v>
      </c>
      <c r="F288" s="1" t="s">
        <v>550</v>
      </c>
      <c r="G288" s="8"/>
      <c r="H288" s="8"/>
      <c r="I288" s="8">
        <v>45714</v>
      </c>
      <c r="J288" s="1" t="s">
        <v>563</v>
      </c>
      <c r="K288" s="1" t="s">
        <v>564</v>
      </c>
      <c r="L288" s="19">
        <v>45715</v>
      </c>
      <c r="M288" s="8">
        <v>45715</v>
      </c>
      <c r="N288" s="9">
        <v>0.45833333333333331</v>
      </c>
      <c r="O288" s="9">
        <v>0.56944444444444442</v>
      </c>
      <c r="P288" s="9">
        <v>0.63194444444444442</v>
      </c>
      <c r="Q288" s="1" t="s">
        <v>395</v>
      </c>
      <c r="R288" s="10" t="str">
        <f ca="1">IFERROR(__xludf.DUMMYFUNCTION("JOIN("","", SORT(UNIQUE(TOCOL({VLOOKUP(D288,DM_fish!A:B,2,FALSE),VLOOKUP(C288,DM_fish!A:B,2,FALSE), ARRAYFORMULA(VLOOKUP(SPLIT(E288, "", ""),Injections!B:G,6,FALSE)), ARRAYFORMULA(VLOOKUP(SPLIT(F288, "", ""),Injections!H:M,6,FALSE)), ARRAYFORMULA(VLOOKUP("&amp;"SPLIT(G288, "", ""),Injections!N:S,6,FALSE)), ARRAYFORMULA(VLOOKUP(SPLIT(H288, "", ""),Injections!T:Y,6,FALSE)) },3))))"),"csp,male #8 - best founder (40-50% transmission, multiple alleles, bright!!!),488,nuclei")</f>
        <v>csp,male #8 - best founder (40-50% transmission, multiple alleles, bright!!!),488,nuclei</v>
      </c>
      <c r="S288" s="10" t="str">
        <f ca="1">IFERROR(__xludf.DUMMYFUNCTION("IFERROR(JOIN("","", SPLIT(R288, "","", TRUE ,TRUE)), """")"),"csp,male #8 - best founder (40-50% transmission, multiple alleles, bright!!!),488,nuclei")</f>
        <v>csp,male #8 - best founder (40-50% transmission, multiple alleles, bright!!!),488,nuclei</v>
      </c>
      <c r="T288" s="1" t="s">
        <v>565</v>
      </c>
      <c r="U288" s="1">
        <v>395</v>
      </c>
      <c r="V288" s="1" t="s">
        <v>203</v>
      </c>
      <c r="W288" s="12" t="str">
        <f ca="1">IFERROR(CONCATENATE("[", CONCATENATE(IF(VLOOKUP(D288,DM_fish!C:X,14, FALSE)&gt;0, CONCATENATE("{",CHAR(34),"target",CHAR(34),":",CHAR(34),VLOOKUP(D288,DM_fish!C:X,13, FALSE),CHAR(34),",", CHAR(34), "excitation",CHAR(34), ":", VLOOKUP(D288,DM_fish!C:X,14, FALSE), ",",  CHAR(34), "camera",CHAR(34), ":", IF(VALUE(VLOOKUP(D288,DM_fish!C:X,14, FALSE))&lt;VALUE(VLOOKUP(V288,imaging_filters!A:K,11, FALSE)), CONCATENATE(CHAR(34),"CamA",CHAR(34)), CONCATENATE(CHAR(34),"CamB",CHAR(34))),"}"), ""),IF(VLOOKUP(D288,DM_fish!C:X,16, FALSE)&gt;0, CONCATENATE(",{",CHAR(34),"target",CHAR(34),":",CHAR(34),VLOOKUP(D288,DM_fish!C:X,15, FALSE),CHAR(34),",", CHAR(34), "excitation",CHAR(34), ":", VLOOKUP(D288,DM_fish!C:X,16, FALSE), ",",  CHAR(34), "camera",CHAR(34), ":", IF(VALUE(VLOOKUP(D288,DM_fish!C:X,16, FALSE))&lt;VALUE(VLOOKUP(V288,imaging_filters!A:K,11, FALSE)), CONCATENATE(CHAR(34),"CamA",CHAR(34)), CONCATENATE(CHAR(34),"CamB",CHAR(34))),"}"), ""),IF(VLOOKUP(D288,DM_fish!C:X,18, FALSE)&gt;0, CONCATENATE(",{",CHAR(34),"target",CHAR(34),":",CHAR(34),VLOOKUP(D288,DM_fish!C:X,17, FALSE),CHAR(34),",", CHAR(34), "excitation",CHAR(34), ":", VLOOKUP(D288,DM_fish!C:X,18, FALSE), ",",  CHAR(34), "camera",CHAR(34), ":", IF(VALUE(VLOOKUP(D288,DM_fish!C:X,18, FALSE))&lt;VALUE(VLOOKUP(V288,imaging_filters!A:K,11, FALSE)), CONCATENATE(CHAR(34),"CamA",CHAR(34)), CONCATENATE(CHAR(34),"CamB",CHAR(34))),"}"), ""),IF(VLOOKUP(D288,DM_fish!C:X,20, FALSE)&gt;0, CONCATENATE(",{",CHAR(34),"target",CHAR(34),":",CHAR(34),VLOOKUP(D288,DM_fish!C:X,19, FALSE),CHAR(34),",", CHAR(34), "excitation",CHAR(34), ":", VLOOKUP(D288,DM_fish!C:X,20, FALSE), ",",  CHAR(34), "camera",CHAR(34), ":", IF(VALUE(VLOOKUP(D288,DM_fish!C:X,20, FALSE))&lt;VALUE(VLOOKUP(V288,imaging_filters!A:K,11, FALSE)), CONCATENATE(CHAR(34),"CamA",CHAR(34)), CONCATENATE(CHAR(34),"CamB",CHAR(34))),"}"), ""),IF(VLOOKUP(D288,DM_fish!C:X,22, FALSE)&gt;0, CONCATENATE(",{",CHAR(34),"target",CHAR(34),":",CHAR(34),VLOOKUP(D288,DM_fish!C:X,21, FALSE),CHAR(34),",", CHAR(34), "excitation",CHAR(34), ":", VLOOKUP(D288,DM_fish!C:X,22, FALSE), ",",  CHAR(34), "camera",CHAR(34), ":", IF(VALUE(VLOOKUP(D288,DM_fish!C:X,22, FALSE))&lt;VALUE(VLOOKUP(V288,imaging_filters!A:K,11, FALSE)), CONCATENATE(CHAR(34),"CamA",CHAR(34)), CONCATENATE(CHAR(34),"CamB",CHAR(34))),"}"), "")), "]"), "")</f>
        <v/>
      </c>
      <c r="X288" s="12" t="str">
        <f ca="1">IFERROR(
CONCATENATE("[", CONCATENATE(IF(VLOOKUP(C288,DM_fish!C:X,14, FALSE)&gt;0, CONCATENATE("{",CHAR(34),"target",CHAR(34),":",CHAR(34),VLOOKUP(C288,DM_fish!C:X,13, FALSE),CHAR(34),",", CHAR(34), "excitation",CHAR(34), ":", VLOOKUP(C288,DM_fish!C:X,14, FALSE), ",",  CHAR(34), "camera",CHAR(34), ":", IF(VALUE(VLOOKUP(C288,DM_fish!C:X,14, FALSE))&lt;VALUE(VLOOKUP(V288,imaging_filters!A:K,11, FALSE)), CONCATENATE(CHAR(34),"CamA",CHAR(34)), CONCATENATE(CHAR(34),"CamB",CHAR(34))),"}"), ""),IF(VLOOKUP(C288,DM_fish!C:X,16, FALSE)&gt;0, CONCATENATE(",{",CHAR(34),"target",CHAR(34),":",CHAR(34),VLOOKUP(C288,DM_fish!C:X,15, FALSE),CHAR(34),",", CHAR(34), "excitation",CHAR(34), ":", VLOOKUP(C288,DM_fish!C:X,16, FALSE), ",",  CHAR(34), "camera",CHAR(34), ":", IF(VALUE(VLOOKUP(C288,DM_fish!C:X,16, FALSE))&lt;VALUE(VLOOKUP(V288,imaging_filters!A:K,11, FALSE)), CONCATENATE(CHAR(34),"CamA",CHAR(34)), CONCATENATE(CHAR(34),"CamB",CHAR(34))),"}"), ""),IF(VLOOKUP(C288,DM_fish!C:X,18, FALSE)&gt;0, CONCATENATE(",{",CHAR(34),"target",CHAR(34),":",CHAR(34),VLOOKUP(C288,DM_fish!C:X,17, FALSE),CHAR(34),",", CHAR(34), "excitation",CHAR(34), ":", VLOOKUP(C288,DM_fish!C:X,18, FALSE), ",",  CHAR(34), "camera",CHAR(34), ":", IF(VALUE(VLOOKUP(C288,DM_fish!C:X,18, FALSE))&lt;VALUE(VLOOKUP(V288,imaging_filters!A:K,11, FALSE)), CONCATENATE(CHAR(34),"CamA",CHAR(34)), CONCATENATE(CHAR(34),"CamB",CHAR(34))),"}"), ""),IF(VLOOKUP(C288,DM_fish!C:X,20, FALSE)&gt;0, CONCATENATE(",{",CHAR(34),"target",CHAR(34),":",CHAR(34),VLOOKUP(C288,DM_fish!C:X,19, FALSE),CHAR(34),",", CHAR(34), "excitation",CHAR(34), ":", VLOOKUP(C288,DM_fish!C:X,20, FALSE), ",",  CHAR(34), "camera",CHAR(34), ":", IF(VALUE(VLOOKUP(C288,DM_fish!C:X,20, FALSE))&lt;VALUE(VLOOKUP(V288,imaging_filters!A:K,11, FALSE)), CONCATENATE(CHAR(34),"CamA",CHAR(34)), CONCATENATE(CHAR(34),"CamB",CHAR(34))),"}"), ""),IF(VLOOKUP(C288,DM_fish!C:X,22, FALSE)&gt;0, CONCATENATE(",{",CHAR(34),"target",CHAR(34),":",CHAR(34),VLOOKUP(C288,DM_fish!C:X,21, FALSE),CHAR(34),",", CHAR(34), "excitation",CHAR(34), ":", VLOOKUP(C288,DM_fish!C:X,22, FALSE), ",",  CHAR(34), "camera",CHAR(34), ":", IF(VALUE(VLOOKUP(C288,DM_fish!C:X,22, FALSE))&lt;VALUE(VLOOKUP(V288,imaging_filters!A:K,11, FALSE)), CONCATENATE(CHAR(34),"CamA",CHAR(34)), CONCATENATE(CHAR(34),"CamB",CHAR(34))),"}"), "")), "]"), "")</f>
        <v/>
      </c>
      <c r="Y288" s="11" t="str">
        <f ca="1">IFERROR(
CONCATENATE( "[",
IF(VLOOKUP(E288,Injections!B:F,3, FALSE)&gt;0, CONCATENATE( "{",CHAR(34),"target",CHAR(34),":",CHAR(34),VLOOKUP(E288,Injections!B:F,2, FALSE),CHAR(34),",", CHAR(34), "excitation",CHAR(34), ":", VLOOKUP(E288,Injections!B:F,3, FALSE), ",",  CHAR(34), "camera",CHAR(34), ":",
IF(VALUE(VLOOKUP(E288,Injections!B:F,3, FALSE))&lt;VALUE(VLOOKUP(V288,imaging_filters!A:C,2, FALSE)), CONCATENATE(CHAR(34),"CamA",CHAR(34)), CONCATENATE(CHAR(34),"CamB",CHAR(34))),"}"), ""),
IF(VLOOKUP(E288,Injections!B:F,5, FALSE)&gt;0, CONCATENATE(",{",CHAR(34),"target",CHAR(34),":",CHAR(34),VLOOKUP(E288,Injections!B:F,4, FALSE),CHAR(34),",", CHAR(34), "excitation",CHAR(34), ":", VLOOKUP(E288,Injections!B:F,5, FALSE), ",",  CHAR(34), "camera",CHAR(34), ":",
IF(VALUE(VLOOKUP(E288,Injections!B:F,5, FALSE))&lt;VALUE(VLOOKUP(V288,imaging_filters!A:C,2, FALSE)), CONCATENATE(CHAR(34),"CamA",CHAR(34)), CONCATENATE(CHAR(34),"CamB",CHAR(34))),"}"), ""),
 "]"), "[]")</f>
        <v>[]</v>
      </c>
      <c r="Z288" s="11" t="str">
        <f ca="1">IFERROR(
CONCATENATE( "[",
IF(VLOOKUP(F288,Injections!H:L,3, FALSE)&gt;0, CONCATENATE( "{",CHAR(34),"target",CHAR(34),":",CHAR(34),VLOOKUP(F288,Injections!H:L,2, FALSE),CHAR(34),",", CHAR(34), "excitation",CHAR(34), ":", VLOOKUP(F288,Injections!H:L,3, FALSE), ",",  CHAR(34), "camera",CHAR(34), ":",
IF(VALUE(VLOOKUP(F288,Injections!H:L,3, FALSE))&lt;VALUE(VLOOKUP(V288,imaging_filters!A:K,11, FALSE)), CONCATENATE(CHAR(34),"CamA",CHAR(34)), CONCATENATE(CHAR(34),"CamB",CHAR(34))),"}"), ""),
IF(VLOOKUP(F288,Injections!H:L,5, FALSE)&gt;0, CONCATENATE(",{",CHAR(34),"target",CHAR(34),":",CHAR(34),VLOOKUP(F288,Injections!H:L,4, FALSE),CHAR(34),",", CHAR(34), "excitation",CHAR(34), ":", VLOOKUP(F288,Injections!H:L,5, FALSE), ",",  CHAR(34), "camera",CHAR(34), ":",
IF(VALUE(VLOOKUP(F288,Injections!H:L,5, FALSE))&lt;VALUE(VLOOKUP(V288,imaging_filters!A:K,11, FALSE)), CONCATENATE(CHAR(34),"CamA",CHAR(34)), CONCATENATE(CHAR(34),"CamB",CHAR(34))),"}"), ""),
 "]"), "[]")</f>
        <v>[]</v>
      </c>
      <c r="AA288" s="11"/>
    </row>
    <row r="289" spans="1:27" ht="15.75" customHeight="1" x14ac:dyDescent="0.15">
      <c r="A289" s="7">
        <f t="shared" si="7"/>
        <v>45715</v>
      </c>
      <c r="B289" s="1"/>
      <c r="C289" s="1" t="s">
        <v>107</v>
      </c>
      <c r="D289" s="1" t="s">
        <v>39</v>
      </c>
      <c r="F289" s="1" t="s">
        <v>550</v>
      </c>
      <c r="G289" s="8"/>
      <c r="H289" s="8"/>
      <c r="I289" s="8">
        <v>45714</v>
      </c>
      <c r="J289" s="1" t="s">
        <v>563</v>
      </c>
      <c r="K289" s="1" t="s">
        <v>564</v>
      </c>
      <c r="L289" s="19">
        <v>45715</v>
      </c>
      <c r="M289" s="8">
        <v>45715</v>
      </c>
      <c r="N289" s="9">
        <v>0.45833333333333331</v>
      </c>
      <c r="O289" s="9">
        <v>0.46527777777777779</v>
      </c>
      <c r="P289" s="9">
        <v>0.5625</v>
      </c>
      <c r="Q289" s="1" t="s">
        <v>395</v>
      </c>
      <c r="R289" s="10" t="str">
        <f ca="1">IFERROR(__xludf.DUMMYFUNCTION("JOIN("","", SORT(UNIQUE(TOCOL({VLOOKUP(D289,DM_fish!A:B,2,FALSE),VLOOKUP(C289,DM_fish!A:B,2,FALSE), ARRAYFORMULA(VLOOKUP(SPLIT(E289, "", ""),Injections!B:G,6,FALSE)), ARRAYFORMULA(VLOOKUP(SPLIT(F289, "", ""),Injections!H:M,6,FALSE)), ARRAYFORMULA(VLOOKUP("&amp;"SPLIT(G289, "", ""),Injections!N:S,6,FALSE)), ARRAYFORMULA(VLOOKUP(SPLIT(H289, "", ""),Injections!T:Y,6,FALSE)) },3))))"),"csp,male #8 - best founder (40-50% transmission, multiple alleles, bright!!!),488,nuclei")</f>
        <v>csp,male #8 - best founder (40-50% transmission, multiple alleles, bright!!!),488,nuclei</v>
      </c>
      <c r="S289" s="10" t="str">
        <f ca="1">IFERROR(__xludf.DUMMYFUNCTION("IFERROR(JOIN("","", SPLIT(R289, "","", TRUE ,TRUE)), """")"),"csp,male #8 - best founder (40-50% transmission, multiple alleles, bright!!!),488,nuclei")</f>
        <v>csp,male #8 - best founder (40-50% transmission, multiple alleles, bright!!!),488,nuclei</v>
      </c>
      <c r="T289" s="1" t="s">
        <v>566</v>
      </c>
      <c r="U289" s="1">
        <v>586</v>
      </c>
      <c r="V289" s="1" t="s">
        <v>203</v>
      </c>
      <c r="W289" s="12" t="str">
        <f ca="1">IFERROR(CONCATENATE("[", CONCATENATE(IF(VLOOKUP(D289,DM_fish!C:X,14, FALSE)&gt;0, CONCATENATE("{",CHAR(34),"target",CHAR(34),":",CHAR(34),VLOOKUP(D289,DM_fish!C:X,13, FALSE),CHAR(34),",", CHAR(34), "excitation",CHAR(34), ":", VLOOKUP(D289,DM_fish!C:X,14, FALSE), ",",  CHAR(34), "camera",CHAR(34), ":", IF(VALUE(VLOOKUP(D289,DM_fish!C:X,14, FALSE))&lt;VALUE(VLOOKUP(V289,imaging_filters!A:K,11, FALSE)), CONCATENATE(CHAR(34),"CamA",CHAR(34)), CONCATENATE(CHAR(34),"CamB",CHAR(34))),"}"), ""),IF(VLOOKUP(D289,DM_fish!C:X,16, FALSE)&gt;0, CONCATENATE(",{",CHAR(34),"target",CHAR(34),":",CHAR(34),VLOOKUP(D289,DM_fish!C:X,15, FALSE),CHAR(34),",", CHAR(34), "excitation",CHAR(34), ":", VLOOKUP(D289,DM_fish!C:X,16, FALSE), ",",  CHAR(34), "camera",CHAR(34), ":", IF(VALUE(VLOOKUP(D289,DM_fish!C:X,16, FALSE))&lt;VALUE(VLOOKUP(V289,imaging_filters!A:K,11, FALSE)), CONCATENATE(CHAR(34),"CamA",CHAR(34)), CONCATENATE(CHAR(34),"CamB",CHAR(34))),"}"), ""),IF(VLOOKUP(D289,DM_fish!C:X,18, FALSE)&gt;0, CONCATENATE(",{",CHAR(34),"target",CHAR(34),":",CHAR(34),VLOOKUP(D289,DM_fish!C:X,17, FALSE),CHAR(34),",", CHAR(34), "excitation",CHAR(34), ":", VLOOKUP(D289,DM_fish!C:X,18, FALSE), ",",  CHAR(34), "camera",CHAR(34), ":", IF(VALUE(VLOOKUP(D289,DM_fish!C:X,18, FALSE))&lt;VALUE(VLOOKUP(V289,imaging_filters!A:K,11, FALSE)), CONCATENATE(CHAR(34),"CamA",CHAR(34)), CONCATENATE(CHAR(34),"CamB",CHAR(34))),"}"), ""),IF(VLOOKUP(D289,DM_fish!C:X,20, FALSE)&gt;0, CONCATENATE(",{",CHAR(34),"target",CHAR(34),":",CHAR(34),VLOOKUP(D289,DM_fish!C:X,19, FALSE),CHAR(34),",", CHAR(34), "excitation",CHAR(34), ":", VLOOKUP(D289,DM_fish!C:X,20, FALSE), ",",  CHAR(34), "camera",CHAR(34), ":", IF(VALUE(VLOOKUP(D289,DM_fish!C:X,20, FALSE))&lt;VALUE(VLOOKUP(V289,imaging_filters!A:K,11, FALSE)), CONCATENATE(CHAR(34),"CamA",CHAR(34)), CONCATENATE(CHAR(34),"CamB",CHAR(34))),"}"), ""),IF(VLOOKUP(D289,DM_fish!C:X,22, FALSE)&gt;0, CONCATENATE(",{",CHAR(34),"target",CHAR(34),":",CHAR(34),VLOOKUP(D289,DM_fish!C:X,21, FALSE),CHAR(34),",", CHAR(34), "excitation",CHAR(34), ":", VLOOKUP(D289,DM_fish!C:X,22, FALSE), ",",  CHAR(34), "camera",CHAR(34), ":", IF(VALUE(VLOOKUP(D289,DM_fish!C:X,22, FALSE))&lt;VALUE(VLOOKUP(V289,imaging_filters!A:K,11, FALSE)), CONCATENATE(CHAR(34),"CamA",CHAR(34)), CONCATENATE(CHAR(34),"CamB",CHAR(34))),"}"), "")), "]"), "")</f>
        <v/>
      </c>
      <c r="X289" s="12" t="str">
        <f ca="1">IFERROR(
CONCATENATE("[", CONCATENATE(IF(VLOOKUP(C289,DM_fish!C:X,14, FALSE)&gt;0, CONCATENATE("{",CHAR(34),"target",CHAR(34),":",CHAR(34),VLOOKUP(C289,DM_fish!C:X,13, FALSE),CHAR(34),",", CHAR(34), "excitation",CHAR(34), ":", VLOOKUP(C289,DM_fish!C:X,14, FALSE), ",",  CHAR(34), "camera",CHAR(34), ":", IF(VALUE(VLOOKUP(C289,DM_fish!C:X,14, FALSE))&lt;VALUE(VLOOKUP(V289,imaging_filters!A:K,11, FALSE)), CONCATENATE(CHAR(34),"CamA",CHAR(34)), CONCATENATE(CHAR(34),"CamB",CHAR(34))),"}"), ""),IF(VLOOKUP(C289,DM_fish!C:X,16, FALSE)&gt;0, CONCATENATE(",{",CHAR(34),"target",CHAR(34),":",CHAR(34),VLOOKUP(C289,DM_fish!C:X,15, FALSE),CHAR(34),",", CHAR(34), "excitation",CHAR(34), ":", VLOOKUP(C289,DM_fish!C:X,16, FALSE), ",",  CHAR(34), "camera",CHAR(34), ":", IF(VALUE(VLOOKUP(C289,DM_fish!C:X,16, FALSE))&lt;VALUE(VLOOKUP(V289,imaging_filters!A:K,11, FALSE)), CONCATENATE(CHAR(34),"CamA",CHAR(34)), CONCATENATE(CHAR(34),"CamB",CHAR(34))),"}"), ""),IF(VLOOKUP(C289,DM_fish!C:X,18, FALSE)&gt;0, CONCATENATE(",{",CHAR(34),"target",CHAR(34),":",CHAR(34),VLOOKUP(C289,DM_fish!C:X,17, FALSE),CHAR(34),",", CHAR(34), "excitation",CHAR(34), ":", VLOOKUP(C289,DM_fish!C:X,18, FALSE), ",",  CHAR(34), "camera",CHAR(34), ":", IF(VALUE(VLOOKUP(C289,DM_fish!C:X,18, FALSE))&lt;VALUE(VLOOKUP(V289,imaging_filters!A:K,11, FALSE)), CONCATENATE(CHAR(34),"CamA",CHAR(34)), CONCATENATE(CHAR(34),"CamB",CHAR(34))),"}"), ""),IF(VLOOKUP(C289,DM_fish!C:X,20, FALSE)&gt;0, CONCATENATE(",{",CHAR(34),"target",CHAR(34),":",CHAR(34),VLOOKUP(C289,DM_fish!C:X,19, FALSE),CHAR(34),",", CHAR(34), "excitation",CHAR(34), ":", VLOOKUP(C289,DM_fish!C:X,20, FALSE), ",",  CHAR(34), "camera",CHAR(34), ":", IF(VALUE(VLOOKUP(C289,DM_fish!C:X,20, FALSE))&lt;VALUE(VLOOKUP(V289,imaging_filters!A:K,11, FALSE)), CONCATENATE(CHAR(34),"CamA",CHAR(34)), CONCATENATE(CHAR(34),"CamB",CHAR(34))),"}"), ""),IF(VLOOKUP(C289,DM_fish!C:X,22, FALSE)&gt;0, CONCATENATE(",{",CHAR(34),"target",CHAR(34),":",CHAR(34),VLOOKUP(C289,DM_fish!C:X,21, FALSE),CHAR(34),",", CHAR(34), "excitation",CHAR(34), ":", VLOOKUP(C289,DM_fish!C:X,22, FALSE), ",",  CHAR(34), "camera",CHAR(34), ":", IF(VALUE(VLOOKUP(C289,DM_fish!C:X,22, FALSE))&lt;VALUE(VLOOKUP(V289,imaging_filters!A:K,11, FALSE)), CONCATENATE(CHAR(34),"CamA",CHAR(34)), CONCATENATE(CHAR(34),"CamB",CHAR(34))),"}"), "")), "]"), "")</f>
        <v/>
      </c>
      <c r="Y289" s="11" t="str">
        <f ca="1">IFERROR(
CONCATENATE( "[",
IF(VLOOKUP(E289,Injections!B:F,3, FALSE)&gt;0, CONCATENATE( "{",CHAR(34),"target",CHAR(34),":",CHAR(34),VLOOKUP(E289,Injections!B:F,2, FALSE),CHAR(34),",", CHAR(34), "excitation",CHAR(34), ":", VLOOKUP(E289,Injections!B:F,3, FALSE), ",",  CHAR(34), "camera",CHAR(34), ":",
IF(VALUE(VLOOKUP(E289,Injections!B:F,3, FALSE))&lt;VALUE(VLOOKUP(V289,imaging_filters!A:C,2, FALSE)), CONCATENATE(CHAR(34),"CamA",CHAR(34)), CONCATENATE(CHAR(34),"CamB",CHAR(34))),"}"), ""),
IF(VLOOKUP(E289,Injections!B:F,5, FALSE)&gt;0, CONCATENATE(",{",CHAR(34),"target",CHAR(34),":",CHAR(34),VLOOKUP(E289,Injections!B:F,4, FALSE),CHAR(34),",", CHAR(34), "excitation",CHAR(34), ":", VLOOKUP(E289,Injections!B:F,5, FALSE), ",",  CHAR(34), "camera",CHAR(34), ":",
IF(VALUE(VLOOKUP(E289,Injections!B:F,5, FALSE))&lt;VALUE(VLOOKUP(V289,imaging_filters!A:C,2, FALSE)), CONCATENATE(CHAR(34),"CamA",CHAR(34)), CONCATENATE(CHAR(34),"CamB",CHAR(34))),"}"), ""),
 "]"), "[]")</f>
        <v>[]</v>
      </c>
      <c r="Z289" s="11" t="str">
        <f ca="1">IFERROR(
CONCATENATE( "[",
IF(VLOOKUP(F289,Injections!H:L,3, FALSE)&gt;0, CONCATENATE( "{",CHAR(34),"target",CHAR(34),":",CHAR(34),VLOOKUP(F289,Injections!H:L,2, FALSE),CHAR(34),",", CHAR(34), "excitation",CHAR(34), ":", VLOOKUP(F289,Injections!H:L,3, FALSE), ",",  CHAR(34), "camera",CHAR(34), ":",
IF(VALUE(VLOOKUP(F289,Injections!H:L,3, FALSE))&lt;VALUE(VLOOKUP(V289,imaging_filters!A:K,11, FALSE)), CONCATENATE(CHAR(34),"CamA",CHAR(34)), CONCATENATE(CHAR(34),"CamB",CHAR(34))),"}"), ""),
IF(VLOOKUP(F289,Injections!H:L,5, FALSE)&gt;0, CONCATENATE(",{",CHAR(34),"target",CHAR(34),":",CHAR(34),VLOOKUP(F289,Injections!H:L,4, FALSE),CHAR(34),",", CHAR(34), "excitation",CHAR(34), ":", VLOOKUP(F289,Injections!H:L,5, FALSE), ",",  CHAR(34), "camera",CHAR(34), ":",
IF(VALUE(VLOOKUP(F289,Injections!H:L,5, FALSE))&lt;VALUE(VLOOKUP(V289,imaging_filters!A:K,11, FALSE)), CONCATENATE(CHAR(34),"CamA",CHAR(34)), CONCATENATE(CHAR(34),"CamB",CHAR(34))),"}"), ""),
 "]"), "[]")</f>
        <v>[]</v>
      </c>
      <c r="AA289" s="11"/>
    </row>
    <row r="290" spans="1:27" ht="15.75" customHeight="1" x14ac:dyDescent="0.15">
      <c r="A290" s="7">
        <f t="shared" si="7"/>
        <v>45715</v>
      </c>
      <c r="B290" s="1"/>
      <c r="C290" s="1" t="s">
        <v>107</v>
      </c>
      <c r="D290" s="1" t="s">
        <v>39</v>
      </c>
      <c r="F290" s="1" t="s">
        <v>550</v>
      </c>
      <c r="G290" s="8"/>
      <c r="H290" s="8"/>
      <c r="I290" s="8">
        <v>45714</v>
      </c>
      <c r="J290" s="1" t="s">
        <v>567</v>
      </c>
      <c r="K290" s="1" t="s">
        <v>551</v>
      </c>
      <c r="L290" s="19">
        <v>45715</v>
      </c>
      <c r="M290" s="8">
        <v>45715</v>
      </c>
      <c r="N290" s="9">
        <v>0.64583333333333337</v>
      </c>
      <c r="O290" s="9">
        <v>0.65277777777777779</v>
      </c>
      <c r="P290" s="9">
        <v>0.6875</v>
      </c>
      <c r="Q290" s="1" t="s">
        <v>456</v>
      </c>
      <c r="R290" s="10" t="str">
        <f ca="1">IFERROR(__xludf.DUMMYFUNCTION("JOIN("","", SORT(UNIQUE(TOCOL({VLOOKUP(D290,DM_fish!A:B,2,FALSE),VLOOKUP(C290,DM_fish!A:B,2,FALSE), ARRAYFORMULA(VLOOKUP(SPLIT(E290, "", ""),Injections!B:G,6,FALSE)), ARRAYFORMULA(VLOOKUP(SPLIT(F290, "", ""),Injections!H:M,6,FALSE)), ARRAYFORMULA(VLOOKUP("&amp;"SPLIT(G290, "", ""),Injections!N:S,6,FALSE)), ARRAYFORMULA(VLOOKUP(SPLIT(H290, "", ""),Injections!T:Y,6,FALSE)) },3))))"),"csp,male #8 - best founder (40-50% transmission, multiple alleles, bright!!!),488,nuclei")</f>
        <v>csp,male #8 - best founder (40-50% transmission, multiple alleles, bright!!!),488,nuclei</v>
      </c>
      <c r="S290" s="10" t="str">
        <f ca="1">IFERROR(__xludf.DUMMYFUNCTION("IFERROR(JOIN("","", SPLIT(R290, "","", TRUE ,TRUE)), """")"),"csp,male #8 - best founder (40-50% transmission, multiple alleles, bright!!!),488,nuclei")</f>
        <v>csp,male #8 - best founder (40-50% transmission, multiple alleles, bright!!!),488,nuclei</v>
      </c>
      <c r="T290" s="1" t="s">
        <v>568</v>
      </c>
      <c r="U290" s="1">
        <v>283</v>
      </c>
      <c r="V290" s="1" t="s">
        <v>203</v>
      </c>
      <c r="W290" s="12" t="str">
        <f ca="1">IFERROR(CONCATENATE("[", CONCATENATE(IF(VLOOKUP(D290,DM_fish!C:X,14, FALSE)&gt;0, CONCATENATE("{",CHAR(34),"target",CHAR(34),":",CHAR(34),VLOOKUP(D290,DM_fish!C:X,13, FALSE),CHAR(34),",", CHAR(34), "excitation",CHAR(34), ":", VLOOKUP(D290,DM_fish!C:X,14, FALSE), ",",  CHAR(34), "camera",CHAR(34), ":", IF(VALUE(VLOOKUP(D290,DM_fish!C:X,14, FALSE))&lt;VALUE(VLOOKUP(V290,imaging_filters!A:K,11, FALSE)), CONCATENATE(CHAR(34),"CamA",CHAR(34)), CONCATENATE(CHAR(34),"CamB",CHAR(34))),"}"), ""),IF(VLOOKUP(D290,DM_fish!C:X,16, FALSE)&gt;0, CONCATENATE(",{",CHAR(34),"target",CHAR(34),":",CHAR(34),VLOOKUP(D290,DM_fish!C:X,15, FALSE),CHAR(34),",", CHAR(34), "excitation",CHAR(34), ":", VLOOKUP(D290,DM_fish!C:X,16, FALSE), ",",  CHAR(34), "camera",CHAR(34), ":", IF(VALUE(VLOOKUP(D290,DM_fish!C:X,16, FALSE))&lt;VALUE(VLOOKUP(V290,imaging_filters!A:K,11, FALSE)), CONCATENATE(CHAR(34),"CamA",CHAR(34)), CONCATENATE(CHAR(34),"CamB",CHAR(34))),"}"), ""),IF(VLOOKUP(D290,DM_fish!C:X,18, FALSE)&gt;0, CONCATENATE(",{",CHAR(34),"target",CHAR(34),":",CHAR(34),VLOOKUP(D290,DM_fish!C:X,17, FALSE),CHAR(34),",", CHAR(34), "excitation",CHAR(34), ":", VLOOKUP(D290,DM_fish!C:X,18, FALSE), ",",  CHAR(34), "camera",CHAR(34), ":", IF(VALUE(VLOOKUP(D290,DM_fish!C:X,18, FALSE))&lt;VALUE(VLOOKUP(V290,imaging_filters!A:K,11, FALSE)), CONCATENATE(CHAR(34),"CamA",CHAR(34)), CONCATENATE(CHAR(34),"CamB",CHAR(34))),"}"), ""),IF(VLOOKUP(D290,DM_fish!C:X,20, FALSE)&gt;0, CONCATENATE(",{",CHAR(34),"target",CHAR(34),":",CHAR(34),VLOOKUP(D290,DM_fish!C:X,19, FALSE),CHAR(34),",", CHAR(34), "excitation",CHAR(34), ":", VLOOKUP(D290,DM_fish!C:X,20, FALSE), ",",  CHAR(34), "camera",CHAR(34), ":", IF(VALUE(VLOOKUP(D290,DM_fish!C:X,20, FALSE))&lt;VALUE(VLOOKUP(V290,imaging_filters!A:K,11, FALSE)), CONCATENATE(CHAR(34),"CamA",CHAR(34)), CONCATENATE(CHAR(34),"CamB",CHAR(34))),"}"), ""),IF(VLOOKUP(D290,DM_fish!C:X,22, FALSE)&gt;0, CONCATENATE(",{",CHAR(34),"target",CHAR(34),":",CHAR(34),VLOOKUP(D290,DM_fish!C:X,21, FALSE),CHAR(34),",", CHAR(34), "excitation",CHAR(34), ":", VLOOKUP(D290,DM_fish!C:X,22, FALSE), ",",  CHAR(34), "camera",CHAR(34), ":", IF(VALUE(VLOOKUP(D290,DM_fish!C:X,22, FALSE))&lt;VALUE(VLOOKUP(V290,imaging_filters!A:K,11, FALSE)), CONCATENATE(CHAR(34),"CamA",CHAR(34)), CONCATENATE(CHAR(34),"CamB",CHAR(34))),"}"), "")), "]"), "")</f>
        <v/>
      </c>
      <c r="X290" s="12" t="str">
        <f ca="1">IFERROR(
CONCATENATE("[", CONCATENATE(IF(VLOOKUP(C290,DM_fish!C:X,14, FALSE)&gt;0, CONCATENATE("{",CHAR(34),"target",CHAR(34),":",CHAR(34),VLOOKUP(C290,DM_fish!C:X,13, FALSE),CHAR(34),",", CHAR(34), "excitation",CHAR(34), ":", VLOOKUP(C290,DM_fish!C:X,14, FALSE), ",",  CHAR(34), "camera",CHAR(34), ":", IF(VALUE(VLOOKUP(C290,DM_fish!C:X,14, FALSE))&lt;VALUE(VLOOKUP(V290,imaging_filters!A:K,11, FALSE)), CONCATENATE(CHAR(34),"CamA",CHAR(34)), CONCATENATE(CHAR(34),"CamB",CHAR(34))),"}"), ""),IF(VLOOKUP(C290,DM_fish!C:X,16, FALSE)&gt;0, CONCATENATE(",{",CHAR(34),"target",CHAR(34),":",CHAR(34),VLOOKUP(C290,DM_fish!C:X,15, FALSE),CHAR(34),",", CHAR(34), "excitation",CHAR(34), ":", VLOOKUP(C290,DM_fish!C:X,16, FALSE), ",",  CHAR(34), "camera",CHAR(34), ":", IF(VALUE(VLOOKUP(C290,DM_fish!C:X,16, FALSE))&lt;VALUE(VLOOKUP(V290,imaging_filters!A:K,11, FALSE)), CONCATENATE(CHAR(34),"CamA",CHAR(34)), CONCATENATE(CHAR(34),"CamB",CHAR(34))),"}"), ""),IF(VLOOKUP(C290,DM_fish!C:X,18, FALSE)&gt;0, CONCATENATE(",{",CHAR(34),"target",CHAR(34),":",CHAR(34),VLOOKUP(C290,DM_fish!C:X,17, FALSE),CHAR(34),",", CHAR(34), "excitation",CHAR(34), ":", VLOOKUP(C290,DM_fish!C:X,18, FALSE), ",",  CHAR(34), "camera",CHAR(34), ":", IF(VALUE(VLOOKUP(C290,DM_fish!C:X,18, FALSE))&lt;VALUE(VLOOKUP(V290,imaging_filters!A:K,11, FALSE)), CONCATENATE(CHAR(34),"CamA",CHAR(34)), CONCATENATE(CHAR(34),"CamB",CHAR(34))),"}"), ""),IF(VLOOKUP(C290,DM_fish!C:X,20, FALSE)&gt;0, CONCATENATE(",{",CHAR(34),"target",CHAR(34),":",CHAR(34),VLOOKUP(C290,DM_fish!C:X,19, FALSE),CHAR(34),",", CHAR(34), "excitation",CHAR(34), ":", VLOOKUP(C290,DM_fish!C:X,20, FALSE), ",",  CHAR(34), "camera",CHAR(34), ":", IF(VALUE(VLOOKUP(C290,DM_fish!C:X,20, FALSE))&lt;VALUE(VLOOKUP(V290,imaging_filters!A:K,11, FALSE)), CONCATENATE(CHAR(34),"CamA",CHAR(34)), CONCATENATE(CHAR(34),"CamB",CHAR(34))),"}"), ""),IF(VLOOKUP(C290,DM_fish!C:X,22, FALSE)&gt;0, CONCATENATE(",{",CHAR(34),"target",CHAR(34),":",CHAR(34),VLOOKUP(C290,DM_fish!C:X,21, FALSE),CHAR(34),",", CHAR(34), "excitation",CHAR(34), ":", VLOOKUP(C290,DM_fish!C:X,22, FALSE), ",",  CHAR(34), "camera",CHAR(34), ":", IF(VALUE(VLOOKUP(C290,DM_fish!C:X,22, FALSE))&lt;VALUE(VLOOKUP(V290,imaging_filters!A:K,11, FALSE)), CONCATENATE(CHAR(34),"CamA",CHAR(34)), CONCATENATE(CHAR(34),"CamB",CHAR(34))),"}"), "")), "]"), "")</f>
        <v/>
      </c>
      <c r="Y290" s="11" t="str">
        <f ca="1">IFERROR(
CONCATENATE( "[",
IF(VLOOKUP(E290,Injections!B:F,3, FALSE)&gt;0, CONCATENATE( "{",CHAR(34),"target",CHAR(34),":",CHAR(34),VLOOKUP(E290,Injections!B:F,2, FALSE),CHAR(34),",", CHAR(34), "excitation",CHAR(34), ":", VLOOKUP(E290,Injections!B:F,3, FALSE), ",",  CHAR(34), "camera",CHAR(34), ":",
IF(VALUE(VLOOKUP(E290,Injections!B:F,3, FALSE))&lt;VALUE(VLOOKUP(V290,imaging_filters!A:C,2, FALSE)), CONCATENATE(CHAR(34),"CamA",CHAR(34)), CONCATENATE(CHAR(34),"CamB",CHAR(34))),"}"), ""),
IF(VLOOKUP(E290,Injections!B:F,5, FALSE)&gt;0, CONCATENATE(",{",CHAR(34),"target",CHAR(34),":",CHAR(34),VLOOKUP(E290,Injections!B:F,4, FALSE),CHAR(34),",", CHAR(34), "excitation",CHAR(34), ":", VLOOKUP(E290,Injections!B:F,5, FALSE), ",",  CHAR(34), "camera",CHAR(34), ":",
IF(VALUE(VLOOKUP(E290,Injections!B:F,5, FALSE))&lt;VALUE(VLOOKUP(V290,imaging_filters!A:C,2, FALSE)), CONCATENATE(CHAR(34),"CamA",CHAR(34)), CONCATENATE(CHAR(34),"CamB",CHAR(34))),"}"), ""),
 "]"), "[]")</f>
        <v>[]</v>
      </c>
      <c r="Z290" s="11" t="str">
        <f ca="1">IFERROR(
CONCATENATE( "[",
IF(VLOOKUP(F290,Injections!H:L,3, FALSE)&gt;0, CONCATENATE( "{",CHAR(34),"target",CHAR(34),":",CHAR(34),VLOOKUP(F290,Injections!H:L,2, FALSE),CHAR(34),",", CHAR(34), "excitation",CHAR(34), ":", VLOOKUP(F290,Injections!H:L,3, FALSE), ",",  CHAR(34), "camera",CHAR(34), ":",
IF(VALUE(VLOOKUP(F290,Injections!H:L,3, FALSE))&lt;VALUE(VLOOKUP(V290,imaging_filters!A:K,11, FALSE)), CONCATENATE(CHAR(34),"CamA",CHAR(34)), CONCATENATE(CHAR(34),"CamB",CHAR(34))),"}"), ""),
IF(VLOOKUP(F290,Injections!H:L,5, FALSE)&gt;0, CONCATENATE(",{",CHAR(34),"target",CHAR(34),":",CHAR(34),VLOOKUP(F290,Injections!H:L,4, FALSE),CHAR(34),",", CHAR(34), "excitation",CHAR(34), ":", VLOOKUP(F290,Injections!H:L,5, FALSE), ",",  CHAR(34), "camera",CHAR(34), ":",
IF(VALUE(VLOOKUP(F290,Injections!H:L,5, FALSE))&lt;VALUE(VLOOKUP(V290,imaging_filters!A:K,11, FALSE)), CONCATENATE(CHAR(34),"CamA",CHAR(34)), CONCATENATE(CHAR(34),"CamB",CHAR(34))),"}"), ""),
 "]"), "[]")</f>
        <v>[]</v>
      </c>
      <c r="AA290" s="11"/>
    </row>
    <row r="291" spans="1:27" ht="15.75" customHeight="1" x14ac:dyDescent="0.15">
      <c r="A291" s="7">
        <f t="shared" si="7"/>
        <v>45715</v>
      </c>
      <c r="B291" s="1"/>
      <c r="C291" s="1" t="s">
        <v>107</v>
      </c>
      <c r="D291" s="1" t="s">
        <v>39</v>
      </c>
      <c r="F291" s="1" t="s">
        <v>550</v>
      </c>
      <c r="G291" s="8"/>
      <c r="H291" s="8"/>
      <c r="I291" s="8">
        <v>45714</v>
      </c>
      <c r="J291" s="1" t="s">
        <v>567</v>
      </c>
      <c r="K291" s="1" t="s">
        <v>551</v>
      </c>
      <c r="L291" s="19">
        <v>45715</v>
      </c>
      <c r="M291" s="8">
        <v>45715</v>
      </c>
      <c r="N291" s="9">
        <v>0.64583333333333337</v>
      </c>
      <c r="O291" s="9">
        <v>0.69444444444444442</v>
      </c>
      <c r="P291" s="9">
        <v>0.72916666666666663</v>
      </c>
      <c r="Q291" s="1" t="s">
        <v>456</v>
      </c>
      <c r="R291" s="10" t="str">
        <f ca="1">IFERROR(__xludf.DUMMYFUNCTION("JOIN("","", SORT(UNIQUE(TOCOL({VLOOKUP(D291,DM_fish!A:B,2,FALSE),VLOOKUP(C291,DM_fish!A:B,2,FALSE), ARRAYFORMULA(VLOOKUP(SPLIT(E291, "", ""),Injections!B:G,6,FALSE)), ARRAYFORMULA(VLOOKUP(SPLIT(F291, "", ""),Injections!H:M,6,FALSE)), ARRAYFORMULA(VLOOKUP("&amp;"SPLIT(G291, "", ""),Injections!N:S,6,FALSE)), ARRAYFORMULA(VLOOKUP(SPLIT(H291, "", ""),Injections!T:Y,6,FALSE)) },3))))"),"csp,male #8 - best founder (40-50% transmission, multiple alleles, bright!!!),488,nuclei")</f>
        <v>csp,male #8 - best founder (40-50% transmission, multiple alleles, bright!!!),488,nuclei</v>
      </c>
      <c r="S291" s="10" t="str">
        <f ca="1">IFERROR(__xludf.DUMMYFUNCTION("IFERROR(JOIN("","", SPLIT(R291, "","", TRUE ,TRUE)), """")"),"csp,male #8 - best founder (40-50% transmission, multiple alleles, bright!!!),488,nuclei")</f>
        <v>csp,male #8 - best founder (40-50% transmission, multiple alleles, bright!!!),488,nuclei</v>
      </c>
      <c r="T291" s="1" t="s">
        <v>569</v>
      </c>
      <c r="U291" s="1">
        <v>189</v>
      </c>
      <c r="V291" s="1" t="s">
        <v>203</v>
      </c>
      <c r="W291" s="12" t="str">
        <f ca="1">IFERROR(CONCATENATE("[", CONCATENATE(IF(VLOOKUP(D291,DM_fish!C:X,14, FALSE)&gt;0, CONCATENATE("{",CHAR(34),"target",CHAR(34),":",CHAR(34),VLOOKUP(D291,DM_fish!C:X,13, FALSE),CHAR(34),",", CHAR(34), "excitation",CHAR(34), ":", VLOOKUP(D291,DM_fish!C:X,14, FALSE), ",",  CHAR(34), "camera",CHAR(34), ":", IF(VALUE(VLOOKUP(D291,DM_fish!C:X,14, FALSE))&lt;VALUE(VLOOKUP(V291,imaging_filters!A:K,11, FALSE)), CONCATENATE(CHAR(34),"CamA",CHAR(34)), CONCATENATE(CHAR(34),"CamB",CHAR(34))),"}"), ""),IF(VLOOKUP(D291,DM_fish!C:X,16, FALSE)&gt;0, CONCATENATE(",{",CHAR(34),"target",CHAR(34),":",CHAR(34),VLOOKUP(D291,DM_fish!C:X,15, FALSE),CHAR(34),",", CHAR(34), "excitation",CHAR(34), ":", VLOOKUP(D291,DM_fish!C:X,16, FALSE), ",",  CHAR(34), "camera",CHAR(34), ":", IF(VALUE(VLOOKUP(D291,DM_fish!C:X,16, FALSE))&lt;VALUE(VLOOKUP(V291,imaging_filters!A:K,11, FALSE)), CONCATENATE(CHAR(34),"CamA",CHAR(34)), CONCATENATE(CHAR(34),"CamB",CHAR(34))),"}"), ""),IF(VLOOKUP(D291,DM_fish!C:X,18, FALSE)&gt;0, CONCATENATE(",{",CHAR(34),"target",CHAR(34),":",CHAR(34),VLOOKUP(D291,DM_fish!C:X,17, FALSE),CHAR(34),",", CHAR(34), "excitation",CHAR(34), ":", VLOOKUP(D291,DM_fish!C:X,18, FALSE), ",",  CHAR(34), "camera",CHAR(34), ":", IF(VALUE(VLOOKUP(D291,DM_fish!C:X,18, FALSE))&lt;VALUE(VLOOKUP(V291,imaging_filters!A:K,11, FALSE)), CONCATENATE(CHAR(34),"CamA",CHAR(34)), CONCATENATE(CHAR(34),"CamB",CHAR(34))),"}"), ""),IF(VLOOKUP(D291,DM_fish!C:X,20, FALSE)&gt;0, CONCATENATE(",{",CHAR(34),"target",CHAR(34),":",CHAR(34),VLOOKUP(D291,DM_fish!C:X,19, FALSE),CHAR(34),",", CHAR(34), "excitation",CHAR(34), ":", VLOOKUP(D291,DM_fish!C:X,20, FALSE), ",",  CHAR(34), "camera",CHAR(34), ":", IF(VALUE(VLOOKUP(D291,DM_fish!C:X,20, FALSE))&lt;VALUE(VLOOKUP(V291,imaging_filters!A:K,11, FALSE)), CONCATENATE(CHAR(34),"CamA",CHAR(34)), CONCATENATE(CHAR(34),"CamB",CHAR(34))),"}"), ""),IF(VLOOKUP(D291,DM_fish!C:X,22, FALSE)&gt;0, CONCATENATE(",{",CHAR(34),"target",CHAR(34),":",CHAR(34),VLOOKUP(D291,DM_fish!C:X,21, FALSE),CHAR(34),",", CHAR(34), "excitation",CHAR(34), ":", VLOOKUP(D291,DM_fish!C:X,22, FALSE), ",",  CHAR(34), "camera",CHAR(34), ":", IF(VALUE(VLOOKUP(D291,DM_fish!C:X,22, FALSE))&lt;VALUE(VLOOKUP(V291,imaging_filters!A:K,11, FALSE)), CONCATENATE(CHAR(34),"CamA",CHAR(34)), CONCATENATE(CHAR(34),"CamB",CHAR(34))),"}"), "")), "]"), "")</f>
        <v/>
      </c>
      <c r="X291" s="12" t="str">
        <f ca="1">IFERROR(
CONCATENATE("[", CONCATENATE(IF(VLOOKUP(C291,DM_fish!C:X,14, FALSE)&gt;0, CONCATENATE("{",CHAR(34),"target",CHAR(34),":",CHAR(34),VLOOKUP(C291,DM_fish!C:X,13, FALSE),CHAR(34),",", CHAR(34), "excitation",CHAR(34), ":", VLOOKUP(C291,DM_fish!C:X,14, FALSE), ",",  CHAR(34), "camera",CHAR(34), ":", IF(VALUE(VLOOKUP(C291,DM_fish!C:X,14, FALSE))&lt;VALUE(VLOOKUP(V291,imaging_filters!A:K,11, FALSE)), CONCATENATE(CHAR(34),"CamA",CHAR(34)), CONCATENATE(CHAR(34),"CamB",CHAR(34))),"}"), ""),IF(VLOOKUP(C291,DM_fish!C:X,16, FALSE)&gt;0, CONCATENATE(",{",CHAR(34),"target",CHAR(34),":",CHAR(34),VLOOKUP(C291,DM_fish!C:X,15, FALSE),CHAR(34),",", CHAR(34), "excitation",CHAR(34), ":", VLOOKUP(C291,DM_fish!C:X,16, FALSE), ",",  CHAR(34), "camera",CHAR(34), ":", IF(VALUE(VLOOKUP(C291,DM_fish!C:X,16, FALSE))&lt;VALUE(VLOOKUP(V291,imaging_filters!A:K,11, FALSE)), CONCATENATE(CHAR(34),"CamA",CHAR(34)), CONCATENATE(CHAR(34),"CamB",CHAR(34))),"}"), ""),IF(VLOOKUP(C291,DM_fish!C:X,18, FALSE)&gt;0, CONCATENATE(",{",CHAR(34),"target",CHAR(34),":",CHAR(34),VLOOKUP(C291,DM_fish!C:X,17, FALSE),CHAR(34),",", CHAR(34), "excitation",CHAR(34), ":", VLOOKUP(C291,DM_fish!C:X,18, FALSE), ",",  CHAR(34), "camera",CHAR(34), ":", IF(VALUE(VLOOKUP(C291,DM_fish!C:X,18, FALSE))&lt;VALUE(VLOOKUP(V291,imaging_filters!A:K,11, FALSE)), CONCATENATE(CHAR(34),"CamA",CHAR(34)), CONCATENATE(CHAR(34),"CamB",CHAR(34))),"}"), ""),IF(VLOOKUP(C291,DM_fish!C:X,20, FALSE)&gt;0, CONCATENATE(",{",CHAR(34),"target",CHAR(34),":",CHAR(34),VLOOKUP(C291,DM_fish!C:X,19, FALSE),CHAR(34),",", CHAR(34), "excitation",CHAR(34), ":", VLOOKUP(C291,DM_fish!C:X,20, FALSE), ",",  CHAR(34), "camera",CHAR(34), ":", IF(VALUE(VLOOKUP(C291,DM_fish!C:X,20, FALSE))&lt;VALUE(VLOOKUP(V291,imaging_filters!A:K,11, FALSE)), CONCATENATE(CHAR(34),"CamA",CHAR(34)), CONCATENATE(CHAR(34),"CamB",CHAR(34))),"}"), ""),IF(VLOOKUP(C291,DM_fish!C:X,22, FALSE)&gt;0, CONCATENATE(",{",CHAR(34),"target",CHAR(34),":",CHAR(34),VLOOKUP(C291,DM_fish!C:X,21, FALSE),CHAR(34),",", CHAR(34), "excitation",CHAR(34), ":", VLOOKUP(C291,DM_fish!C:X,22, FALSE), ",",  CHAR(34), "camera",CHAR(34), ":", IF(VALUE(VLOOKUP(C291,DM_fish!C:X,22, FALSE))&lt;VALUE(VLOOKUP(V291,imaging_filters!A:K,11, FALSE)), CONCATENATE(CHAR(34),"CamA",CHAR(34)), CONCATENATE(CHAR(34),"CamB",CHAR(34))),"}"), "")), "]"), "")</f>
        <v/>
      </c>
      <c r="Y291" s="11" t="str">
        <f ca="1">IFERROR(
CONCATENATE( "[",
IF(VLOOKUP(E291,Injections!B:F,3, FALSE)&gt;0, CONCATENATE( "{",CHAR(34),"target",CHAR(34),":",CHAR(34),VLOOKUP(E291,Injections!B:F,2, FALSE),CHAR(34),",", CHAR(34), "excitation",CHAR(34), ":", VLOOKUP(E291,Injections!B:F,3, FALSE), ",",  CHAR(34), "camera",CHAR(34), ":",
IF(VALUE(VLOOKUP(E291,Injections!B:F,3, FALSE))&lt;VALUE(VLOOKUP(V291,imaging_filters!A:C,2, FALSE)), CONCATENATE(CHAR(34),"CamA",CHAR(34)), CONCATENATE(CHAR(34),"CamB",CHAR(34))),"}"), ""),
IF(VLOOKUP(E291,Injections!B:F,5, FALSE)&gt;0, CONCATENATE(",{",CHAR(34),"target",CHAR(34),":",CHAR(34),VLOOKUP(E291,Injections!B:F,4, FALSE),CHAR(34),",", CHAR(34), "excitation",CHAR(34), ":", VLOOKUP(E291,Injections!B:F,5, FALSE), ",",  CHAR(34), "camera",CHAR(34), ":",
IF(VALUE(VLOOKUP(E291,Injections!B:F,5, FALSE))&lt;VALUE(VLOOKUP(V291,imaging_filters!A:C,2, FALSE)), CONCATENATE(CHAR(34),"CamA",CHAR(34)), CONCATENATE(CHAR(34),"CamB",CHAR(34))),"}"), ""),
 "]"), "[]")</f>
        <v>[]</v>
      </c>
      <c r="Z291" s="11" t="str">
        <f ca="1">IFERROR(
CONCATENATE( "[",
IF(VLOOKUP(F291,Injections!H:L,3, FALSE)&gt;0, CONCATENATE( "{",CHAR(34),"target",CHAR(34),":",CHAR(34),VLOOKUP(F291,Injections!H:L,2, FALSE),CHAR(34),",", CHAR(34), "excitation",CHAR(34), ":", VLOOKUP(F291,Injections!H:L,3, FALSE), ",",  CHAR(34), "camera",CHAR(34), ":",
IF(VALUE(VLOOKUP(F291,Injections!H:L,3, FALSE))&lt;VALUE(VLOOKUP(V291,imaging_filters!A:K,11, FALSE)), CONCATENATE(CHAR(34),"CamA",CHAR(34)), CONCATENATE(CHAR(34),"CamB",CHAR(34))),"}"), ""),
IF(VLOOKUP(F291,Injections!H:L,5, FALSE)&gt;0, CONCATENATE(",{",CHAR(34),"target",CHAR(34),":",CHAR(34),VLOOKUP(F291,Injections!H:L,4, FALSE),CHAR(34),",", CHAR(34), "excitation",CHAR(34), ":", VLOOKUP(F291,Injections!H:L,5, FALSE), ",",  CHAR(34), "camera",CHAR(34), ":",
IF(VALUE(VLOOKUP(F291,Injections!H:L,5, FALSE))&lt;VALUE(VLOOKUP(V291,imaging_filters!A:K,11, FALSE)), CONCATENATE(CHAR(34),"CamA",CHAR(34)), CONCATENATE(CHAR(34),"CamB",CHAR(34))),"}"), ""),
 "]"), "[]")</f>
        <v>[]</v>
      </c>
      <c r="AA291" s="11"/>
    </row>
    <row r="292" spans="1:27" ht="15.75" customHeight="1" x14ac:dyDescent="0.15">
      <c r="A292" s="7">
        <f t="shared" si="7"/>
        <v>45715</v>
      </c>
      <c r="B292" s="1"/>
      <c r="C292" s="1" t="s">
        <v>107</v>
      </c>
      <c r="D292" s="1" t="s">
        <v>39</v>
      </c>
      <c r="F292" s="1" t="s">
        <v>550</v>
      </c>
      <c r="G292" s="8"/>
      <c r="H292" s="8"/>
      <c r="I292" s="8">
        <v>45714</v>
      </c>
      <c r="J292" s="1" t="s">
        <v>570</v>
      </c>
      <c r="K292" s="1" t="s">
        <v>571</v>
      </c>
      <c r="L292" s="19">
        <v>45715</v>
      </c>
      <c r="M292" s="8">
        <v>45715</v>
      </c>
      <c r="N292" s="9">
        <v>0.73611111111111116</v>
      </c>
      <c r="O292" s="9">
        <v>0.75</v>
      </c>
      <c r="P292" s="1" t="s">
        <v>572</v>
      </c>
      <c r="Q292" s="1" t="s">
        <v>560</v>
      </c>
      <c r="R292" s="10" t="str">
        <f ca="1">IFERROR(__xludf.DUMMYFUNCTION("JOIN("","", SORT(UNIQUE(TOCOL({VLOOKUP(D292,DM_fish!A:B,2,FALSE),VLOOKUP(C292,DM_fish!A:B,2,FALSE), ARRAYFORMULA(VLOOKUP(SPLIT(E292, "", ""),Injections!B:G,6,FALSE)), ARRAYFORMULA(VLOOKUP(SPLIT(F292, "", ""),Injections!H:M,6,FALSE)), ARRAYFORMULA(VLOOKUP("&amp;"SPLIT(G292, "", ""),Injections!N:S,6,FALSE)), ARRAYFORMULA(VLOOKUP(SPLIT(H292, "", ""),Injections!T:Y,6,FALSE)) },3))))"),"csp,male #8 - best founder (40-50% transmission, multiple alleles, bright!!!),488,nuclei")</f>
        <v>csp,male #8 - best founder (40-50% transmission, multiple alleles, bright!!!),488,nuclei</v>
      </c>
      <c r="S292" s="10" t="str">
        <f ca="1">IFERROR(__xludf.DUMMYFUNCTION("IFERROR(JOIN("","", SPLIT(R292, "","", TRUE ,TRUE)), """")"),"csp,male #8 - best founder (40-50% transmission, multiple alleles, bright!!!),488,nuclei")</f>
        <v>csp,male #8 - best founder (40-50% transmission, multiple alleles, bright!!!),488,nuclei</v>
      </c>
      <c r="T292" s="1" t="s">
        <v>573</v>
      </c>
      <c r="U292" s="1">
        <v>1874</v>
      </c>
      <c r="V292" s="1" t="s">
        <v>203</v>
      </c>
      <c r="W292" s="12" t="str">
        <f ca="1">IFERROR(CONCATENATE("[", CONCATENATE(IF(VLOOKUP(D292,DM_fish!C:X,14, FALSE)&gt;0, CONCATENATE("{",CHAR(34),"target",CHAR(34),":",CHAR(34),VLOOKUP(D292,DM_fish!C:X,13, FALSE),CHAR(34),",", CHAR(34), "excitation",CHAR(34), ":", VLOOKUP(D292,DM_fish!C:X,14, FALSE), ",",  CHAR(34), "camera",CHAR(34), ":", IF(VALUE(VLOOKUP(D292,DM_fish!C:X,14, FALSE))&lt;VALUE(VLOOKUP(V292,imaging_filters!A:K,11, FALSE)), CONCATENATE(CHAR(34),"CamA",CHAR(34)), CONCATENATE(CHAR(34),"CamB",CHAR(34))),"}"), ""),IF(VLOOKUP(D292,DM_fish!C:X,16, FALSE)&gt;0, CONCATENATE(",{",CHAR(34),"target",CHAR(34),":",CHAR(34),VLOOKUP(D292,DM_fish!C:X,15, FALSE),CHAR(34),",", CHAR(34), "excitation",CHAR(34), ":", VLOOKUP(D292,DM_fish!C:X,16, FALSE), ",",  CHAR(34), "camera",CHAR(34), ":", IF(VALUE(VLOOKUP(D292,DM_fish!C:X,16, FALSE))&lt;VALUE(VLOOKUP(V292,imaging_filters!A:K,11, FALSE)), CONCATENATE(CHAR(34),"CamA",CHAR(34)), CONCATENATE(CHAR(34),"CamB",CHAR(34))),"}"), ""),IF(VLOOKUP(D292,DM_fish!C:X,18, FALSE)&gt;0, CONCATENATE(",{",CHAR(34),"target",CHAR(34),":",CHAR(34),VLOOKUP(D292,DM_fish!C:X,17, FALSE),CHAR(34),",", CHAR(34), "excitation",CHAR(34), ":", VLOOKUP(D292,DM_fish!C:X,18, FALSE), ",",  CHAR(34), "camera",CHAR(34), ":", IF(VALUE(VLOOKUP(D292,DM_fish!C:X,18, FALSE))&lt;VALUE(VLOOKUP(V292,imaging_filters!A:K,11, FALSE)), CONCATENATE(CHAR(34),"CamA",CHAR(34)), CONCATENATE(CHAR(34),"CamB",CHAR(34))),"}"), ""),IF(VLOOKUP(D292,DM_fish!C:X,20, FALSE)&gt;0, CONCATENATE(",{",CHAR(34),"target",CHAR(34),":",CHAR(34),VLOOKUP(D292,DM_fish!C:X,19, FALSE),CHAR(34),",", CHAR(34), "excitation",CHAR(34), ":", VLOOKUP(D292,DM_fish!C:X,20, FALSE), ",",  CHAR(34), "camera",CHAR(34), ":", IF(VALUE(VLOOKUP(D292,DM_fish!C:X,20, FALSE))&lt;VALUE(VLOOKUP(V292,imaging_filters!A:K,11, FALSE)), CONCATENATE(CHAR(34),"CamA",CHAR(34)), CONCATENATE(CHAR(34),"CamB",CHAR(34))),"}"), ""),IF(VLOOKUP(D292,DM_fish!C:X,22, FALSE)&gt;0, CONCATENATE(",{",CHAR(34),"target",CHAR(34),":",CHAR(34),VLOOKUP(D292,DM_fish!C:X,21, FALSE),CHAR(34),",", CHAR(34), "excitation",CHAR(34), ":", VLOOKUP(D292,DM_fish!C:X,22, FALSE), ",",  CHAR(34), "camera",CHAR(34), ":", IF(VALUE(VLOOKUP(D292,DM_fish!C:X,22, FALSE))&lt;VALUE(VLOOKUP(V292,imaging_filters!A:K,11, FALSE)), CONCATENATE(CHAR(34),"CamA",CHAR(34)), CONCATENATE(CHAR(34),"CamB",CHAR(34))),"}"), "")), "]"), "")</f>
        <v/>
      </c>
      <c r="X292" s="12" t="str">
        <f ca="1">IFERROR(
CONCATENATE("[", CONCATENATE(IF(VLOOKUP(C292,DM_fish!C:X,14, FALSE)&gt;0, CONCATENATE("{",CHAR(34),"target",CHAR(34),":",CHAR(34),VLOOKUP(C292,DM_fish!C:X,13, FALSE),CHAR(34),",", CHAR(34), "excitation",CHAR(34), ":", VLOOKUP(C292,DM_fish!C:X,14, FALSE), ",",  CHAR(34), "camera",CHAR(34), ":", IF(VALUE(VLOOKUP(C292,DM_fish!C:X,14, FALSE))&lt;VALUE(VLOOKUP(V292,imaging_filters!A:K,11, FALSE)), CONCATENATE(CHAR(34),"CamA",CHAR(34)), CONCATENATE(CHAR(34),"CamB",CHAR(34))),"}"), ""),IF(VLOOKUP(C292,DM_fish!C:X,16, FALSE)&gt;0, CONCATENATE(",{",CHAR(34),"target",CHAR(34),":",CHAR(34),VLOOKUP(C292,DM_fish!C:X,15, FALSE),CHAR(34),",", CHAR(34), "excitation",CHAR(34), ":", VLOOKUP(C292,DM_fish!C:X,16, FALSE), ",",  CHAR(34), "camera",CHAR(34), ":", IF(VALUE(VLOOKUP(C292,DM_fish!C:X,16, FALSE))&lt;VALUE(VLOOKUP(V292,imaging_filters!A:K,11, FALSE)), CONCATENATE(CHAR(34),"CamA",CHAR(34)), CONCATENATE(CHAR(34),"CamB",CHAR(34))),"}"), ""),IF(VLOOKUP(C292,DM_fish!C:X,18, FALSE)&gt;0, CONCATENATE(",{",CHAR(34),"target",CHAR(34),":",CHAR(34),VLOOKUP(C292,DM_fish!C:X,17, FALSE),CHAR(34),",", CHAR(34), "excitation",CHAR(34), ":", VLOOKUP(C292,DM_fish!C:X,18, FALSE), ",",  CHAR(34), "camera",CHAR(34), ":", IF(VALUE(VLOOKUP(C292,DM_fish!C:X,18, FALSE))&lt;VALUE(VLOOKUP(V292,imaging_filters!A:K,11, FALSE)), CONCATENATE(CHAR(34),"CamA",CHAR(34)), CONCATENATE(CHAR(34),"CamB",CHAR(34))),"}"), ""),IF(VLOOKUP(C292,DM_fish!C:X,20, FALSE)&gt;0, CONCATENATE(",{",CHAR(34),"target",CHAR(34),":",CHAR(34),VLOOKUP(C292,DM_fish!C:X,19, FALSE),CHAR(34),",", CHAR(34), "excitation",CHAR(34), ":", VLOOKUP(C292,DM_fish!C:X,20, FALSE), ",",  CHAR(34), "camera",CHAR(34), ":", IF(VALUE(VLOOKUP(C292,DM_fish!C:X,20, FALSE))&lt;VALUE(VLOOKUP(V292,imaging_filters!A:K,11, FALSE)), CONCATENATE(CHAR(34),"CamA",CHAR(34)), CONCATENATE(CHAR(34),"CamB",CHAR(34))),"}"), ""),IF(VLOOKUP(C292,DM_fish!C:X,22, FALSE)&gt;0, CONCATENATE(",{",CHAR(34),"target",CHAR(34),":",CHAR(34),VLOOKUP(C292,DM_fish!C:X,21, FALSE),CHAR(34),",", CHAR(34), "excitation",CHAR(34), ":", VLOOKUP(C292,DM_fish!C:X,22, FALSE), ",",  CHAR(34), "camera",CHAR(34), ":", IF(VALUE(VLOOKUP(C292,DM_fish!C:X,22, FALSE))&lt;VALUE(VLOOKUP(V292,imaging_filters!A:K,11, FALSE)), CONCATENATE(CHAR(34),"CamA",CHAR(34)), CONCATENATE(CHAR(34),"CamB",CHAR(34))),"}"), "")), "]"), "")</f>
        <v/>
      </c>
      <c r="Y292" s="11" t="str">
        <f ca="1">IFERROR(
CONCATENATE( "[",
IF(VLOOKUP(E292,Injections!B:F,3, FALSE)&gt;0, CONCATENATE( "{",CHAR(34),"target",CHAR(34),":",CHAR(34),VLOOKUP(E292,Injections!B:F,2, FALSE),CHAR(34),",", CHAR(34), "excitation",CHAR(34), ":", VLOOKUP(E292,Injections!B:F,3, FALSE), ",",  CHAR(34), "camera",CHAR(34), ":",
IF(VALUE(VLOOKUP(E292,Injections!B:F,3, FALSE))&lt;VALUE(VLOOKUP(V292,imaging_filters!A:C,2, FALSE)), CONCATENATE(CHAR(34),"CamA",CHAR(34)), CONCATENATE(CHAR(34),"CamB",CHAR(34))),"}"), ""),
IF(VLOOKUP(E292,Injections!B:F,5, FALSE)&gt;0, CONCATENATE(",{",CHAR(34),"target",CHAR(34),":",CHAR(34),VLOOKUP(E292,Injections!B:F,4, FALSE),CHAR(34),",", CHAR(34), "excitation",CHAR(34), ":", VLOOKUP(E292,Injections!B:F,5, FALSE), ",",  CHAR(34), "camera",CHAR(34), ":",
IF(VALUE(VLOOKUP(E292,Injections!B:F,5, FALSE))&lt;VALUE(VLOOKUP(V292,imaging_filters!A:C,2, FALSE)), CONCATENATE(CHAR(34),"CamA",CHAR(34)), CONCATENATE(CHAR(34),"CamB",CHAR(34))),"}"), ""),
 "]"), "[]")</f>
        <v>[]</v>
      </c>
      <c r="Z292" s="11" t="str">
        <f ca="1">IFERROR(
CONCATENATE( "[",
IF(VLOOKUP(F292,Injections!H:L,3, FALSE)&gt;0, CONCATENATE( "{",CHAR(34),"target",CHAR(34),":",CHAR(34),VLOOKUP(F292,Injections!H:L,2, FALSE),CHAR(34),",", CHAR(34), "excitation",CHAR(34), ":", VLOOKUP(F292,Injections!H:L,3, FALSE), ",",  CHAR(34), "camera",CHAR(34), ":",
IF(VALUE(VLOOKUP(F292,Injections!H:L,3, FALSE))&lt;VALUE(VLOOKUP(V292,imaging_filters!A:K,11, FALSE)), CONCATENATE(CHAR(34),"CamA",CHAR(34)), CONCATENATE(CHAR(34),"CamB",CHAR(34))),"}"), ""),
IF(VLOOKUP(F292,Injections!H:L,5, FALSE)&gt;0, CONCATENATE(",{",CHAR(34),"target",CHAR(34),":",CHAR(34),VLOOKUP(F292,Injections!H:L,4, FALSE),CHAR(34),",", CHAR(34), "excitation",CHAR(34), ":", VLOOKUP(F292,Injections!H:L,5, FALSE), ",",  CHAR(34), "camera",CHAR(34), ":",
IF(VALUE(VLOOKUP(F292,Injections!H:L,5, FALSE))&lt;VALUE(VLOOKUP(V292,imaging_filters!A:K,11, FALSE)), CONCATENATE(CHAR(34),"CamA",CHAR(34)), CONCATENATE(CHAR(34),"CamB",CHAR(34))),"}"), ""),
 "]"), "[]")</f>
        <v>[]</v>
      </c>
      <c r="AA292" s="11"/>
    </row>
    <row r="293" spans="1:27" ht="15.75" customHeight="1" x14ac:dyDescent="0.15">
      <c r="A293" s="7">
        <f t="shared" si="7"/>
        <v>45715</v>
      </c>
      <c r="B293" s="1"/>
      <c r="C293" s="1" t="s">
        <v>107</v>
      </c>
      <c r="D293" s="1" t="s">
        <v>39</v>
      </c>
      <c r="F293" s="1" t="s">
        <v>550</v>
      </c>
      <c r="G293" s="8"/>
      <c r="H293" s="8"/>
      <c r="I293" s="8">
        <v>45714</v>
      </c>
      <c r="J293" s="1" t="s">
        <v>570</v>
      </c>
      <c r="K293" s="1" t="s">
        <v>571</v>
      </c>
      <c r="L293" s="19">
        <v>45715</v>
      </c>
      <c r="M293" s="8">
        <v>45715</v>
      </c>
      <c r="N293" s="9">
        <v>0.73611111111111116</v>
      </c>
      <c r="O293" s="9">
        <v>0.75</v>
      </c>
      <c r="P293" s="1" t="s">
        <v>572</v>
      </c>
      <c r="Q293" s="1" t="s">
        <v>560</v>
      </c>
      <c r="R293" s="10" t="str">
        <f ca="1">IFERROR(__xludf.DUMMYFUNCTION("JOIN("","", SORT(UNIQUE(TOCOL({VLOOKUP(D293,DM_fish!A:B,2,FALSE),VLOOKUP(C293,DM_fish!A:B,2,FALSE), ARRAYFORMULA(VLOOKUP(SPLIT(E293, "", ""),Injections!B:G,6,FALSE)), ARRAYFORMULA(VLOOKUP(SPLIT(F293, "", ""),Injections!H:M,6,FALSE)), ARRAYFORMULA(VLOOKUP("&amp;"SPLIT(G293, "", ""),Injections!N:S,6,FALSE)), ARRAYFORMULA(VLOOKUP(SPLIT(H293, "", ""),Injections!T:Y,6,FALSE)) },3))))"),"csp,male #8 - best founder (40-50% transmission, multiple alleles, bright!!!),488,nuclei")</f>
        <v>csp,male #8 - best founder (40-50% transmission, multiple alleles, bright!!!),488,nuclei</v>
      </c>
      <c r="S293" s="10" t="str">
        <f ca="1">IFERROR(__xludf.DUMMYFUNCTION("IFERROR(JOIN("","", SPLIT(R293, "","", TRUE ,TRUE)), """")"),"csp,male #8 - best founder (40-50% transmission, multiple alleles, bright!!!),488,nuclei")</f>
        <v>csp,male #8 - best founder (40-50% transmission, multiple alleles, bright!!!),488,nuclei</v>
      </c>
      <c r="T293" s="1" t="s">
        <v>574</v>
      </c>
      <c r="U293" s="1">
        <v>1403</v>
      </c>
      <c r="V293" s="1" t="s">
        <v>203</v>
      </c>
      <c r="W293" s="12" t="str">
        <f ca="1">IFERROR(CONCATENATE("[", CONCATENATE(IF(VLOOKUP(D293,DM_fish!C:X,14, FALSE)&gt;0, CONCATENATE("{",CHAR(34),"target",CHAR(34),":",CHAR(34),VLOOKUP(D293,DM_fish!C:X,13, FALSE),CHAR(34),",", CHAR(34), "excitation",CHAR(34), ":", VLOOKUP(D293,DM_fish!C:X,14, FALSE), ",",  CHAR(34), "camera",CHAR(34), ":", IF(VALUE(VLOOKUP(D293,DM_fish!C:X,14, FALSE))&lt;VALUE(VLOOKUP(V293,imaging_filters!A:K,11, FALSE)), CONCATENATE(CHAR(34),"CamA",CHAR(34)), CONCATENATE(CHAR(34),"CamB",CHAR(34))),"}"), ""),IF(VLOOKUP(D293,DM_fish!C:X,16, FALSE)&gt;0, CONCATENATE(",{",CHAR(34),"target",CHAR(34),":",CHAR(34),VLOOKUP(D293,DM_fish!C:X,15, FALSE),CHAR(34),",", CHAR(34), "excitation",CHAR(34), ":", VLOOKUP(D293,DM_fish!C:X,16, FALSE), ",",  CHAR(34), "camera",CHAR(34), ":", IF(VALUE(VLOOKUP(D293,DM_fish!C:X,16, FALSE))&lt;VALUE(VLOOKUP(V293,imaging_filters!A:K,11, FALSE)), CONCATENATE(CHAR(34),"CamA",CHAR(34)), CONCATENATE(CHAR(34),"CamB",CHAR(34))),"}"), ""),IF(VLOOKUP(D293,DM_fish!C:X,18, FALSE)&gt;0, CONCATENATE(",{",CHAR(34),"target",CHAR(34),":",CHAR(34),VLOOKUP(D293,DM_fish!C:X,17, FALSE),CHAR(34),",", CHAR(34), "excitation",CHAR(34), ":", VLOOKUP(D293,DM_fish!C:X,18, FALSE), ",",  CHAR(34), "camera",CHAR(34), ":", IF(VALUE(VLOOKUP(D293,DM_fish!C:X,18, FALSE))&lt;VALUE(VLOOKUP(V293,imaging_filters!A:K,11, FALSE)), CONCATENATE(CHAR(34),"CamA",CHAR(34)), CONCATENATE(CHAR(34),"CamB",CHAR(34))),"}"), ""),IF(VLOOKUP(D293,DM_fish!C:X,20, FALSE)&gt;0, CONCATENATE(",{",CHAR(34),"target",CHAR(34),":",CHAR(34),VLOOKUP(D293,DM_fish!C:X,19, FALSE),CHAR(34),",", CHAR(34), "excitation",CHAR(34), ":", VLOOKUP(D293,DM_fish!C:X,20, FALSE), ",",  CHAR(34), "camera",CHAR(34), ":", IF(VALUE(VLOOKUP(D293,DM_fish!C:X,20, FALSE))&lt;VALUE(VLOOKUP(V293,imaging_filters!A:K,11, FALSE)), CONCATENATE(CHAR(34),"CamA",CHAR(34)), CONCATENATE(CHAR(34),"CamB",CHAR(34))),"}"), ""),IF(VLOOKUP(D293,DM_fish!C:X,22, FALSE)&gt;0, CONCATENATE(",{",CHAR(34),"target",CHAR(34),":",CHAR(34),VLOOKUP(D293,DM_fish!C:X,21, FALSE),CHAR(34),",", CHAR(34), "excitation",CHAR(34), ":", VLOOKUP(D293,DM_fish!C:X,22, FALSE), ",",  CHAR(34), "camera",CHAR(34), ":", IF(VALUE(VLOOKUP(D293,DM_fish!C:X,22, FALSE))&lt;VALUE(VLOOKUP(V293,imaging_filters!A:K,11, FALSE)), CONCATENATE(CHAR(34),"CamA",CHAR(34)), CONCATENATE(CHAR(34),"CamB",CHAR(34))),"}"), "")), "]"), "")</f>
        <v/>
      </c>
      <c r="X293" s="12" t="str">
        <f ca="1">IFERROR(
CONCATENATE("[", CONCATENATE(IF(VLOOKUP(C293,DM_fish!C:X,14, FALSE)&gt;0, CONCATENATE("{",CHAR(34),"target",CHAR(34),":",CHAR(34),VLOOKUP(C293,DM_fish!C:X,13, FALSE),CHAR(34),",", CHAR(34), "excitation",CHAR(34), ":", VLOOKUP(C293,DM_fish!C:X,14, FALSE), ",",  CHAR(34), "camera",CHAR(34), ":", IF(VALUE(VLOOKUP(C293,DM_fish!C:X,14, FALSE))&lt;VALUE(VLOOKUP(V293,imaging_filters!A:K,11, FALSE)), CONCATENATE(CHAR(34),"CamA",CHAR(34)), CONCATENATE(CHAR(34),"CamB",CHAR(34))),"}"), ""),IF(VLOOKUP(C293,DM_fish!C:X,16, FALSE)&gt;0, CONCATENATE(",{",CHAR(34),"target",CHAR(34),":",CHAR(34),VLOOKUP(C293,DM_fish!C:X,15, FALSE),CHAR(34),",", CHAR(34), "excitation",CHAR(34), ":", VLOOKUP(C293,DM_fish!C:X,16, FALSE), ",",  CHAR(34), "camera",CHAR(34), ":", IF(VALUE(VLOOKUP(C293,DM_fish!C:X,16, FALSE))&lt;VALUE(VLOOKUP(V293,imaging_filters!A:K,11, FALSE)), CONCATENATE(CHAR(34),"CamA",CHAR(34)), CONCATENATE(CHAR(34),"CamB",CHAR(34))),"}"), ""),IF(VLOOKUP(C293,DM_fish!C:X,18, FALSE)&gt;0, CONCATENATE(",{",CHAR(34),"target",CHAR(34),":",CHAR(34),VLOOKUP(C293,DM_fish!C:X,17, FALSE),CHAR(34),",", CHAR(34), "excitation",CHAR(34), ":", VLOOKUP(C293,DM_fish!C:X,18, FALSE), ",",  CHAR(34), "camera",CHAR(34), ":", IF(VALUE(VLOOKUP(C293,DM_fish!C:X,18, FALSE))&lt;VALUE(VLOOKUP(V293,imaging_filters!A:K,11, FALSE)), CONCATENATE(CHAR(34),"CamA",CHAR(34)), CONCATENATE(CHAR(34),"CamB",CHAR(34))),"}"), ""),IF(VLOOKUP(C293,DM_fish!C:X,20, FALSE)&gt;0, CONCATENATE(",{",CHAR(34),"target",CHAR(34),":",CHAR(34),VLOOKUP(C293,DM_fish!C:X,19, FALSE),CHAR(34),",", CHAR(34), "excitation",CHAR(34), ":", VLOOKUP(C293,DM_fish!C:X,20, FALSE), ",",  CHAR(34), "camera",CHAR(34), ":", IF(VALUE(VLOOKUP(C293,DM_fish!C:X,20, FALSE))&lt;VALUE(VLOOKUP(V293,imaging_filters!A:K,11, FALSE)), CONCATENATE(CHAR(34),"CamA",CHAR(34)), CONCATENATE(CHAR(34),"CamB",CHAR(34))),"}"), ""),IF(VLOOKUP(C293,DM_fish!C:X,22, FALSE)&gt;0, CONCATENATE(",{",CHAR(34),"target",CHAR(34),":",CHAR(34),VLOOKUP(C293,DM_fish!C:X,21, FALSE),CHAR(34),",", CHAR(34), "excitation",CHAR(34), ":", VLOOKUP(C293,DM_fish!C:X,22, FALSE), ",",  CHAR(34), "camera",CHAR(34), ":", IF(VALUE(VLOOKUP(C293,DM_fish!C:X,22, FALSE))&lt;VALUE(VLOOKUP(V293,imaging_filters!A:K,11, FALSE)), CONCATENATE(CHAR(34),"CamA",CHAR(34)), CONCATENATE(CHAR(34),"CamB",CHAR(34))),"}"), "")), "]"), "")</f>
        <v/>
      </c>
      <c r="Y293" s="11" t="str">
        <f ca="1">IFERROR(
CONCATENATE( "[",
IF(VLOOKUP(E293,Injections!B:F,3, FALSE)&gt;0, CONCATENATE( "{",CHAR(34),"target",CHAR(34),":",CHAR(34),VLOOKUP(E293,Injections!B:F,2, FALSE),CHAR(34),",", CHAR(34), "excitation",CHAR(34), ":", VLOOKUP(E293,Injections!B:F,3, FALSE), ",",  CHAR(34), "camera",CHAR(34), ":",
IF(VALUE(VLOOKUP(E293,Injections!B:F,3, FALSE))&lt;VALUE(VLOOKUP(V293,imaging_filters!A:C,2, FALSE)), CONCATENATE(CHAR(34),"CamA",CHAR(34)), CONCATENATE(CHAR(34),"CamB",CHAR(34))),"}"), ""),
IF(VLOOKUP(E293,Injections!B:F,5, FALSE)&gt;0, CONCATENATE(",{",CHAR(34),"target",CHAR(34),":",CHAR(34),VLOOKUP(E293,Injections!B:F,4, FALSE),CHAR(34),",", CHAR(34), "excitation",CHAR(34), ":", VLOOKUP(E293,Injections!B:F,5, FALSE), ",",  CHAR(34), "camera",CHAR(34), ":",
IF(VALUE(VLOOKUP(E293,Injections!B:F,5, FALSE))&lt;VALUE(VLOOKUP(V293,imaging_filters!A:C,2, FALSE)), CONCATENATE(CHAR(34),"CamA",CHAR(34)), CONCATENATE(CHAR(34),"CamB",CHAR(34))),"}"), ""),
 "]"), "[]")</f>
        <v>[]</v>
      </c>
      <c r="Z293" s="11" t="str">
        <f ca="1">IFERROR(
CONCATENATE( "[",
IF(VLOOKUP(F293,Injections!H:L,3, FALSE)&gt;0, CONCATENATE( "{",CHAR(34),"target",CHAR(34),":",CHAR(34),VLOOKUP(F293,Injections!H:L,2, FALSE),CHAR(34),",", CHAR(34), "excitation",CHAR(34), ":", VLOOKUP(F293,Injections!H:L,3, FALSE), ",",  CHAR(34), "camera",CHAR(34), ":",
IF(VALUE(VLOOKUP(F293,Injections!H:L,3, FALSE))&lt;VALUE(VLOOKUP(V293,imaging_filters!A:K,11, FALSE)), CONCATENATE(CHAR(34),"CamA",CHAR(34)), CONCATENATE(CHAR(34),"CamB",CHAR(34))),"}"), ""),
IF(VLOOKUP(F293,Injections!H:L,5, FALSE)&gt;0, CONCATENATE(",{",CHAR(34),"target",CHAR(34),":",CHAR(34),VLOOKUP(F293,Injections!H:L,4, FALSE),CHAR(34),",", CHAR(34), "excitation",CHAR(34), ":", VLOOKUP(F293,Injections!H:L,5, FALSE), ",",  CHAR(34), "camera",CHAR(34), ":",
IF(VALUE(VLOOKUP(F293,Injections!H:L,5, FALSE))&lt;VALUE(VLOOKUP(V293,imaging_filters!A:K,11, FALSE)), CONCATENATE(CHAR(34),"CamA",CHAR(34)), CONCATENATE(CHAR(34),"CamB",CHAR(34))),"}"), ""),
 "]"), "[]")</f>
        <v>[]</v>
      </c>
      <c r="AA293" s="11"/>
    </row>
    <row r="294" spans="1:27" ht="15.75" customHeight="1" x14ac:dyDescent="0.15">
      <c r="A294" s="7">
        <f t="shared" si="7"/>
        <v>45714</v>
      </c>
      <c r="B294" s="1"/>
      <c r="C294" s="1" t="s">
        <v>107</v>
      </c>
      <c r="D294" s="1" t="s">
        <v>253</v>
      </c>
      <c r="F294" s="1" t="s">
        <v>550</v>
      </c>
      <c r="G294" s="8"/>
      <c r="H294" s="8"/>
      <c r="I294" s="8">
        <v>45712</v>
      </c>
      <c r="J294" s="1" t="s">
        <v>575</v>
      </c>
      <c r="K294" s="1" t="s">
        <v>564</v>
      </c>
      <c r="L294" s="19">
        <v>45714</v>
      </c>
      <c r="M294" s="8">
        <v>45714</v>
      </c>
      <c r="N294" s="9">
        <v>0.48958333333333331</v>
      </c>
      <c r="O294" s="9">
        <v>0.50694444444444442</v>
      </c>
      <c r="P294" s="9">
        <v>0.625</v>
      </c>
      <c r="Q294" s="1" t="s">
        <v>395</v>
      </c>
      <c r="R294" s="10" t="str">
        <f ca="1">IFERROR(__xludf.DUMMYFUNCTION("JOIN("","", SORT(UNIQUE(TOCOL({VLOOKUP(D294,DM_fish!A:B,2,FALSE),VLOOKUP(C294,DM_fish!A:B,2,FALSE), ARRAYFORMULA(VLOOKUP(SPLIT(E294, "", ""),Injections!B:G,6,FALSE)), ARRAYFORMULA(VLOOKUP(SPLIT(F294, "", ""),Injections!H:M,6,FALSE)), ARRAYFORMULA(VLOOKUP("&amp;"SPLIT(G294, "", ""),Injections!N:S,6,FALSE)), ARRAYFORMULA(VLOOKUP(SPLIT(H294, "", ""),Injections!T:Y,6,FALSE)) },3))))"),"nuclei")</f>
        <v>nuclei</v>
      </c>
      <c r="S294" s="10" t="str">
        <f ca="1">IFERROR(__xludf.DUMMYFUNCTION("IFERROR(JOIN("","", SPLIT(R294, "","", TRUE ,TRUE)), """")"),"nuclei")</f>
        <v>nuclei</v>
      </c>
      <c r="T294" s="1" t="s">
        <v>576</v>
      </c>
      <c r="U294" s="1">
        <v>730</v>
      </c>
      <c r="V294" s="1" t="s">
        <v>203</v>
      </c>
      <c r="W294" s="12" t="str">
        <f ca="1">IFERROR(CONCATENATE("[", CONCATENATE(IF(VLOOKUP(D294,DM_fish!C:X,14, FALSE)&gt;0, CONCATENATE("{",CHAR(34),"target",CHAR(34),":",CHAR(34),VLOOKUP(D294,DM_fish!C:X,13, FALSE),CHAR(34),",", CHAR(34), "excitation",CHAR(34), ":", VLOOKUP(D294,DM_fish!C:X,14, FALSE), ",",  CHAR(34), "camera",CHAR(34), ":", IF(VALUE(VLOOKUP(D294,DM_fish!C:X,14, FALSE))&lt;VALUE(VLOOKUP(V294,imaging_filters!A:K,11, FALSE)), CONCATENATE(CHAR(34),"CamA",CHAR(34)), CONCATENATE(CHAR(34),"CamB",CHAR(34))),"}"), ""),IF(VLOOKUP(D294,DM_fish!C:X,16, FALSE)&gt;0, CONCATENATE(",{",CHAR(34),"target",CHAR(34),":",CHAR(34),VLOOKUP(D294,DM_fish!C:X,15, FALSE),CHAR(34),",", CHAR(34), "excitation",CHAR(34), ":", VLOOKUP(D294,DM_fish!C:X,16, FALSE), ",",  CHAR(34), "camera",CHAR(34), ":", IF(VALUE(VLOOKUP(D294,DM_fish!C:X,16, FALSE))&lt;VALUE(VLOOKUP(V294,imaging_filters!A:K,11, FALSE)), CONCATENATE(CHAR(34),"CamA",CHAR(34)), CONCATENATE(CHAR(34),"CamB",CHAR(34))),"}"), ""),IF(VLOOKUP(D294,DM_fish!C:X,18, FALSE)&gt;0, CONCATENATE(",{",CHAR(34),"target",CHAR(34),":",CHAR(34),VLOOKUP(D294,DM_fish!C:X,17, FALSE),CHAR(34),",", CHAR(34), "excitation",CHAR(34), ":", VLOOKUP(D294,DM_fish!C:X,18, FALSE), ",",  CHAR(34), "camera",CHAR(34), ":", IF(VALUE(VLOOKUP(D294,DM_fish!C:X,18, FALSE))&lt;VALUE(VLOOKUP(V294,imaging_filters!A:K,11, FALSE)), CONCATENATE(CHAR(34),"CamA",CHAR(34)), CONCATENATE(CHAR(34),"CamB",CHAR(34))),"}"), ""),IF(VLOOKUP(D294,DM_fish!C:X,20, FALSE)&gt;0, CONCATENATE(",{",CHAR(34),"target",CHAR(34),":",CHAR(34),VLOOKUP(D294,DM_fish!C:X,19, FALSE),CHAR(34),",", CHAR(34), "excitation",CHAR(34), ":", VLOOKUP(D294,DM_fish!C:X,20, FALSE), ",",  CHAR(34), "camera",CHAR(34), ":", IF(VALUE(VLOOKUP(D294,DM_fish!C:X,20, FALSE))&lt;VALUE(VLOOKUP(V294,imaging_filters!A:K,11, FALSE)), CONCATENATE(CHAR(34),"CamA",CHAR(34)), CONCATENATE(CHAR(34),"CamB",CHAR(34))),"}"), ""),IF(VLOOKUP(D294,DM_fish!C:X,22, FALSE)&gt;0, CONCATENATE(",{",CHAR(34),"target",CHAR(34),":",CHAR(34),VLOOKUP(D294,DM_fish!C:X,21, FALSE),CHAR(34),",", CHAR(34), "excitation",CHAR(34), ":", VLOOKUP(D294,DM_fish!C:X,22, FALSE), ",",  CHAR(34), "camera",CHAR(34), ":", IF(VALUE(VLOOKUP(D294,DM_fish!C:X,22, FALSE))&lt;VALUE(VLOOKUP(V294,imaging_filters!A:K,11, FALSE)), CONCATENATE(CHAR(34),"CamA",CHAR(34)), CONCATENATE(CHAR(34),"CamB",CHAR(34))),"}"), "")), "]"), "")</f>
        <v/>
      </c>
      <c r="X294" s="12" t="str">
        <f ca="1">IFERROR(
CONCATENATE("[", CONCATENATE(IF(VLOOKUP(C294,DM_fish!C:X,14, FALSE)&gt;0, CONCATENATE("{",CHAR(34),"target",CHAR(34),":",CHAR(34),VLOOKUP(C294,DM_fish!C:X,13, FALSE),CHAR(34),",", CHAR(34), "excitation",CHAR(34), ":", VLOOKUP(C294,DM_fish!C:X,14, FALSE), ",",  CHAR(34), "camera",CHAR(34), ":", IF(VALUE(VLOOKUP(C294,DM_fish!C:X,14, FALSE))&lt;VALUE(VLOOKUP(V294,imaging_filters!A:K,11, FALSE)), CONCATENATE(CHAR(34),"CamA",CHAR(34)), CONCATENATE(CHAR(34),"CamB",CHAR(34))),"}"), ""),IF(VLOOKUP(C294,DM_fish!C:X,16, FALSE)&gt;0, CONCATENATE(",{",CHAR(34),"target",CHAR(34),":",CHAR(34),VLOOKUP(C294,DM_fish!C:X,15, FALSE),CHAR(34),",", CHAR(34), "excitation",CHAR(34), ":", VLOOKUP(C294,DM_fish!C:X,16, FALSE), ",",  CHAR(34), "camera",CHAR(34), ":", IF(VALUE(VLOOKUP(C294,DM_fish!C:X,16, FALSE))&lt;VALUE(VLOOKUP(V294,imaging_filters!A:K,11, FALSE)), CONCATENATE(CHAR(34),"CamA",CHAR(34)), CONCATENATE(CHAR(34),"CamB",CHAR(34))),"}"), ""),IF(VLOOKUP(C294,DM_fish!C:X,18, FALSE)&gt;0, CONCATENATE(",{",CHAR(34),"target",CHAR(34),":",CHAR(34),VLOOKUP(C294,DM_fish!C:X,17, FALSE),CHAR(34),",", CHAR(34), "excitation",CHAR(34), ":", VLOOKUP(C294,DM_fish!C:X,18, FALSE), ",",  CHAR(34), "camera",CHAR(34), ":", IF(VALUE(VLOOKUP(C294,DM_fish!C:X,18, FALSE))&lt;VALUE(VLOOKUP(V294,imaging_filters!A:K,11, FALSE)), CONCATENATE(CHAR(34),"CamA",CHAR(34)), CONCATENATE(CHAR(34),"CamB",CHAR(34))),"}"), ""),IF(VLOOKUP(C294,DM_fish!C:X,20, FALSE)&gt;0, CONCATENATE(",{",CHAR(34),"target",CHAR(34),":",CHAR(34),VLOOKUP(C294,DM_fish!C:X,19, FALSE),CHAR(34),",", CHAR(34), "excitation",CHAR(34), ":", VLOOKUP(C294,DM_fish!C:X,20, FALSE), ",",  CHAR(34), "camera",CHAR(34), ":", IF(VALUE(VLOOKUP(C294,DM_fish!C:X,20, FALSE))&lt;VALUE(VLOOKUP(V294,imaging_filters!A:K,11, FALSE)), CONCATENATE(CHAR(34),"CamA",CHAR(34)), CONCATENATE(CHAR(34),"CamB",CHAR(34))),"}"), ""),IF(VLOOKUP(C294,DM_fish!C:X,22, FALSE)&gt;0, CONCATENATE(",{",CHAR(34),"target",CHAR(34),":",CHAR(34),VLOOKUP(C294,DM_fish!C:X,21, FALSE),CHAR(34),",", CHAR(34), "excitation",CHAR(34), ":", VLOOKUP(C294,DM_fish!C:X,22, FALSE), ",",  CHAR(34), "camera",CHAR(34), ":", IF(VALUE(VLOOKUP(C294,DM_fish!C:X,22, FALSE))&lt;VALUE(VLOOKUP(V294,imaging_filters!A:K,11, FALSE)), CONCATENATE(CHAR(34),"CamA",CHAR(34)), CONCATENATE(CHAR(34),"CamB",CHAR(34))),"}"), "")), "]"), "")</f>
        <v/>
      </c>
      <c r="Y294" s="11" t="str">
        <f ca="1">IFERROR(
CONCATENATE( "[",
IF(VLOOKUP(E294,Injections!B:F,3, FALSE)&gt;0, CONCATENATE( "{",CHAR(34),"target",CHAR(34),":",CHAR(34),VLOOKUP(E294,Injections!B:F,2, FALSE),CHAR(34),",", CHAR(34), "excitation",CHAR(34), ":", VLOOKUP(E294,Injections!B:F,3, FALSE), ",",  CHAR(34), "camera",CHAR(34), ":",
IF(VALUE(VLOOKUP(E294,Injections!B:F,3, FALSE))&lt;VALUE(VLOOKUP(V294,imaging_filters!A:C,2, FALSE)), CONCATENATE(CHAR(34),"CamA",CHAR(34)), CONCATENATE(CHAR(34),"CamB",CHAR(34))),"}"), ""),
IF(VLOOKUP(E294,Injections!B:F,5, FALSE)&gt;0, CONCATENATE(",{",CHAR(34),"target",CHAR(34),":",CHAR(34),VLOOKUP(E294,Injections!B:F,4, FALSE),CHAR(34),",", CHAR(34), "excitation",CHAR(34), ":", VLOOKUP(E294,Injections!B:F,5, FALSE), ",",  CHAR(34), "camera",CHAR(34), ":",
IF(VALUE(VLOOKUP(E294,Injections!B:F,5, FALSE))&lt;VALUE(VLOOKUP(V294,imaging_filters!A:C,2, FALSE)), CONCATENATE(CHAR(34),"CamA",CHAR(34)), CONCATENATE(CHAR(34),"CamB",CHAR(34))),"}"), ""),
 "]"), "[]")</f>
        <v>[]</v>
      </c>
      <c r="Z294" s="11" t="str">
        <f ca="1">IFERROR(
CONCATENATE( "[",
IF(VLOOKUP(F294,Injections!H:L,3, FALSE)&gt;0, CONCATENATE( "{",CHAR(34),"target",CHAR(34),":",CHAR(34),VLOOKUP(F294,Injections!H:L,2, FALSE),CHAR(34),",", CHAR(34), "excitation",CHAR(34), ":", VLOOKUP(F294,Injections!H:L,3, FALSE), ",",  CHAR(34), "camera",CHAR(34), ":",
IF(VALUE(VLOOKUP(F294,Injections!H:L,3, FALSE))&lt;VALUE(VLOOKUP(V294,imaging_filters!A:K,11, FALSE)), CONCATENATE(CHAR(34),"CamA",CHAR(34)), CONCATENATE(CHAR(34),"CamB",CHAR(34))),"}"), ""),
IF(VLOOKUP(F294,Injections!H:L,5, FALSE)&gt;0, CONCATENATE(",{",CHAR(34),"target",CHAR(34),":",CHAR(34),VLOOKUP(F294,Injections!H:L,4, FALSE),CHAR(34),",", CHAR(34), "excitation",CHAR(34), ":", VLOOKUP(F294,Injections!H:L,5, FALSE), ",",  CHAR(34), "camera",CHAR(34), ":",
IF(VALUE(VLOOKUP(F294,Injections!H:L,5, FALSE))&lt;VALUE(VLOOKUP(V294,imaging_filters!A:K,11, FALSE)), CONCATENATE(CHAR(34),"CamA",CHAR(34)), CONCATENATE(CHAR(34),"CamB",CHAR(34))),"}"), ""),
 "]"), "[]")</f>
        <v>[]</v>
      </c>
      <c r="AA294" s="11" t="s">
        <v>577</v>
      </c>
    </row>
    <row r="295" spans="1:27" ht="15.75" customHeight="1" x14ac:dyDescent="0.15">
      <c r="A295" s="7">
        <f t="shared" si="7"/>
        <v>45714</v>
      </c>
      <c r="B295" s="1"/>
      <c r="C295" s="1" t="s">
        <v>107</v>
      </c>
      <c r="D295" s="1" t="s">
        <v>253</v>
      </c>
      <c r="F295" s="1" t="s">
        <v>550</v>
      </c>
      <c r="G295" s="8"/>
      <c r="H295" s="8"/>
      <c r="I295" s="8">
        <v>45712</v>
      </c>
      <c r="J295" s="1" t="s">
        <v>575</v>
      </c>
      <c r="K295" s="1" t="s">
        <v>564</v>
      </c>
      <c r="L295" s="19">
        <v>45714</v>
      </c>
      <c r="M295" s="8">
        <v>45714</v>
      </c>
      <c r="N295" s="9">
        <v>0.48958333333333331</v>
      </c>
      <c r="O295" s="9">
        <v>0.64583333333333337</v>
      </c>
      <c r="P295" s="9">
        <v>0.6875</v>
      </c>
      <c r="Q295" s="1" t="s">
        <v>395</v>
      </c>
      <c r="R295" s="10" t="str">
        <f ca="1">IFERROR(__xludf.DUMMYFUNCTION("JOIN("","", SORT(UNIQUE(TOCOL({VLOOKUP(D295,DM_fish!A:B,2,FALSE),VLOOKUP(C295,DM_fish!A:B,2,FALSE), ARRAYFORMULA(VLOOKUP(SPLIT(E295, "", ""),Injections!B:G,6,FALSE)), ARRAYFORMULA(VLOOKUP(SPLIT(F295, "", ""),Injections!H:M,6,FALSE)), ARRAYFORMULA(VLOOKUP("&amp;"SPLIT(G295, "", ""),Injections!N:S,6,FALSE)), ARRAYFORMULA(VLOOKUP(SPLIT(H295, "", ""),Injections!T:Y,6,FALSE)) },3))))"),"nuclei")</f>
        <v>nuclei</v>
      </c>
      <c r="S295" s="10" t="str">
        <f ca="1">IFERROR(__xludf.DUMMYFUNCTION("IFERROR(JOIN("","", SPLIT(R295, "","", TRUE ,TRUE)), """")"),"nuclei")</f>
        <v>nuclei</v>
      </c>
      <c r="T295" s="1" t="s">
        <v>578</v>
      </c>
      <c r="U295" s="1">
        <v>280</v>
      </c>
      <c r="V295" s="1" t="s">
        <v>203</v>
      </c>
      <c r="W295" s="12" t="str">
        <f ca="1">IFERROR(CONCATENATE("[", CONCATENATE(IF(VLOOKUP(D295,DM_fish!C:X,14, FALSE)&gt;0, CONCATENATE("{",CHAR(34),"target",CHAR(34),":",CHAR(34),VLOOKUP(D295,DM_fish!C:X,13, FALSE),CHAR(34),",", CHAR(34), "excitation",CHAR(34), ":", VLOOKUP(D295,DM_fish!C:X,14, FALSE), ",",  CHAR(34), "camera",CHAR(34), ":", IF(VALUE(VLOOKUP(D295,DM_fish!C:X,14, FALSE))&lt;VALUE(VLOOKUP(V295,imaging_filters!A:K,11, FALSE)), CONCATENATE(CHAR(34),"CamA",CHAR(34)), CONCATENATE(CHAR(34),"CamB",CHAR(34))),"}"), ""),IF(VLOOKUP(D295,DM_fish!C:X,16, FALSE)&gt;0, CONCATENATE(",{",CHAR(34),"target",CHAR(34),":",CHAR(34),VLOOKUP(D295,DM_fish!C:X,15, FALSE),CHAR(34),",", CHAR(34), "excitation",CHAR(34), ":", VLOOKUP(D295,DM_fish!C:X,16, FALSE), ",",  CHAR(34), "camera",CHAR(34), ":", IF(VALUE(VLOOKUP(D295,DM_fish!C:X,16, FALSE))&lt;VALUE(VLOOKUP(V295,imaging_filters!A:K,11, FALSE)), CONCATENATE(CHAR(34),"CamA",CHAR(34)), CONCATENATE(CHAR(34),"CamB",CHAR(34))),"}"), ""),IF(VLOOKUP(D295,DM_fish!C:X,18, FALSE)&gt;0, CONCATENATE(",{",CHAR(34),"target",CHAR(34),":",CHAR(34),VLOOKUP(D295,DM_fish!C:X,17, FALSE),CHAR(34),",", CHAR(34), "excitation",CHAR(34), ":", VLOOKUP(D295,DM_fish!C:X,18, FALSE), ",",  CHAR(34), "camera",CHAR(34), ":", IF(VALUE(VLOOKUP(D295,DM_fish!C:X,18, FALSE))&lt;VALUE(VLOOKUP(V295,imaging_filters!A:K,11, FALSE)), CONCATENATE(CHAR(34),"CamA",CHAR(34)), CONCATENATE(CHAR(34),"CamB",CHAR(34))),"}"), ""),IF(VLOOKUP(D295,DM_fish!C:X,20, FALSE)&gt;0, CONCATENATE(",{",CHAR(34),"target",CHAR(34),":",CHAR(34),VLOOKUP(D295,DM_fish!C:X,19, FALSE),CHAR(34),",", CHAR(34), "excitation",CHAR(34), ":", VLOOKUP(D295,DM_fish!C:X,20, FALSE), ",",  CHAR(34), "camera",CHAR(34), ":", IF(VALUE(VLOOKUP(D295,DM_fish!C:X,20, FALSE))&lt;VALUE(VLOOKUP(V295,imaging_filters!A:K,11, FALSE)), CONCATENATE(CHAR(34),"CamA",CHAR(34)), CONCATENATE(CHAR(34),"CamB",CHAR(34))),"}"), ""),IF(VLOOKUP(D295,DM_fish!C:X,22, FALSE)&gt;0, CONCATENATE(",{",CHAR(34),"target",CHAR(34),":",CHAR(34),VLOOKUP(D295,DM_fish!C:X,21, FALSE),CHAR(34),",", CHAR(34), "excitation",CHAR(34), ":", VLOOKUP(D295,DM_fish!C:X,22, FALSE), ",",  CHAR(34), "camera",CHAR(34), ":", IF(VALUE(VLOOKUP(D295,DM_fish!C:X,22, FALSE))&lt;VALUE(VLOOKUP(V295,imaging_filters!A:K,11, FALSE)), CONCATENATE(CHAR(34),"CamA",CHAR(34)), CONCATENATE(CHAR(34),"CamB",CHAR(34))),"}"), "")), "]"), "")</f>
        <v/>
      </c>
      <c r="X295" s="12" t="str">
        <f ca="1">IFERROR(
CONCATENATE("[", CONCATENATE(IF(VLOOKUP(C295,DM_fish!C:X,14, FALSE)&gt;0, CONCATENATE("{",CHAR(34),"target",CHAR(34),":",CHAR(34),VLOOKUP(C295,DM_fish!C:X,13, FALSE),CHAR(34),",", CHAR(34), "excitation",CHAR(34), ":", VLOOKUP(C295,DM_fish!C:X,14, FALSE), ",",  CHAR(34), "camera",CHAR(34), ":", IF(VALUE(VLOOKUP(C295,DM_fish!C:X,14, FALSE))&lt;VALUE(VLOOKUP(V295,imaging_filters!A:K,11, FALSE)), CONCATENATE(CHAR(34),"CamA",CHAR(34)), CONCATENATE(CHAR(34),"CamB",CHAR(34))),"}"), ""),IF(VLOOKUP(C295,DM_fish!C:X,16, FALSE)&gt;0, CONCATENATE(",{",CHAR(34),"target",CHAR(34),":",CHAR(34),VLOOKUP(C295,DM_fish!C:X,15, FALSE),CHAR(34),",", CHAR(34), "excitation",CHAR(34), ":", VLOOKUP(C295,DM_fish!C:X,16, FALSE), ",",  CHAR(34), "camera",CHAR(34), ":", IF(VALUE(VLOOKUP(C295,DM_fish!C:X,16, FALSE))&lt;VALUE(VLOOKUP(V295,imaging_filters!A:K,11, FALSE)), CONCATENATE(CHAR(34),"CamA",CHAR(34)), CONCATENATE(CHAR(34),"CamB",CHAR(34))),"}"), ""),IF(VLOOKUP(C295,DM_fish!C:X,18, FALSE)&gt;0, CONCATENATE(",{",CHAR(34),"target",CHAR(34),":",CHAR(34),VLOOKUP(C295,DM_fish!C:X,17, FALSE),CHAR(34),",", CHAR(34), "excitation",CHAR(34), ":", VLOOKUP(C295,DM_fish!C:X,18, FALSE), ",",  CHAR(34), "camera",CHAR(34), ":", IF(VALUE(VLOOKUP(C295,DM_fish!C:X,18, FALSE))&lt;VALUE(VLOOKUP(V295,imaging_filters!A:K,11, FALSE)), CONCATENATE(CHAR(34),"CamA",CHAR(34)), CONCATENATE(CHAR(34),"CamB",CHAR(34))),"}"), ""),IF(VLOOKUP(C295,DM_fish!C:X,20, FALSE)&gt;0, CONCATENATE(",{",CHAR(34),"target",CHAR(34),":",CHAR(34),VLOOKUP(C295,DM_fish!C:X,19, FALSE),CHAR(34),",", CHAR(34), "excitation",CHAR(34), ":", VLOOKUP(C295,DM_fish!C:X,20, FALSE), ",",  CHAR(34), "camera",CHAR(34), ":", IF(VALUE(VLOOKUP(C295,DM_fish!C:X,20, FALSE))&lt;VALUE(VLOOKUP(V295,imaging_filters!A:K,11, FALSE)), CONCATENATE(CHAR(34),"CamA",CHAR(34)), CONCATENATE(CHAR(34),"CamB",CHAR(34))),"}"), ""),IF(VLOOKUP(C295,DM_fish!C:X,22, FALSE)&gt;0, CONCATENATE(",{",CHAR(34),"target",CHAR(34),":",CHAR(34),VLOOKUP(C295,DM_fish!C:X,21, FALSE),CHAR(34),",", CHAR(34), "excitation",CHAR(34), ":", VLOOKUP(C295,DM_fish!C:X,22, FALSE), ",",  CHAR(34), "camera",CHAR(34), ":", IF(VALUE(VLOOKUP(C295,DM_fish!C:X,22, FALSE))&lt;VALUE(VLOOKUP(V295,imaging_filters!A:K,11, FALSE)), CONCATENATE(CHAR(34),"CamA",CHAR(34)), CONCATENATE(CHAR(34),"CamB",CHAR(34))),"}"), "")), "]"), "")</f>
        <v/>
      </c>
      <c r="Y295" s="11" t="str">
        <f ca="1">IFERROR(
CONCATENATE( "[",
IF(VLOOKUP(E295,Injections!B:F,3, FALSE)&gt;0, CONCATENATE( "{",CHAR(34),"target",CHAR(34),":",CHAR(34),VLOOKUP(E295,Injections!B:F,2, FALSE),CHAR(34),",", CHAR(34), "excitation",CHAR(34), ":", VLOOKUP(E295,Injections!B:F,3, FALSE), ",",  CHAR(34), "camera",CHAR(34), ":",
IF(VALUE(VLOOKUP(E295,Injections!B:F,3, FALSE))&lt;VALUE(VLOOKUP(V295,imaging_filters!A:C,2, FALSE)), CONCATENATE(CHAR(34),"CamA",CHAR(34)), CONCATENATE(CHAR(34),"CamB",CHAR(34))),"}"), ""),
IF(VLOOKUP(E295,Injections!B:F,5, FALSE)&gt;0, CONCATENATE(",{",CHAR(34),"target",CHAR(34),":",CHAR(34),VLOOKUP(E295,Injections!B:F,4, FALSE),CHAR(34),",", CHAR(34), "excitation",CHAR(34), ":", VLOOKUP(E295,Injections!B:F,5, FALSE), ",",  CHAR(34), "camera",CHAR(34), ":",
IF(VALUE(VLOOKUP(E295,Injections!B:F,5, FALSE))&lt;VALUE(VLOOKUP(V295,imaging_filters!A:C,2, FALSE)), CONCATENATE(CHAR(34),"CamA",CHAR(34)), CONCATENATE(CHAR(34),"CamB",CHAR(34))),"}"), ""),
 "]"), "[]")</f>
        <v>[]</v>
      </c>
      <c r="Z295" s="11" t="str">
        <f ca="1">IFERROR(
CONCATENATE( "[",
IF(VLOOKUP(F295,Injections!H:L,3, FALSE)&gt;0, CONCATENATE( "{",CHAR(34),"target",CHAR(34),":",CHAR(34),VLOOKUP(F295,Injections!H:L,2, FALSE),CHAR(34),",", CHAR(34), "excitation",CHAR(34), ":", VLOOKUP(F295,Injections!H:L,3, FALSE), ",",  CHAR(34), "camera",CHAR(34), ":",
IF(VALUE(VLOOKUP(F295,Injections!H:L,3, FALSE))&lt;VALUE(VLOOKUP(V295,imaging_filters!A:K,11, FALSE)), CONCATENATE(CHAR(34),"CamA",CHAR(34)), CONCATENATE(CHAR(34),"CamB",CHAR(34))),"}"), ""),
IF(VLOOKUP(F295,Injections!H:L,5, FALSE)&gt;0, CONCATENATE(",{",CHAR(34),"target",CHAR(34),":",CHAR(34),VLOOKUP(F295,Injections!H:L,4, FALSE),CHAR(34),",", CHAR(34), "excitation",CHAR(34), ":", VLOOKUP(F295,Injections!H:L,5, FALSE), ",",  CHAR(34), "camera",CHAR(34), ":",
IF(VALUE(VLOOKUP(F295,Injections!H:L,5, FALSE))&lt;VALUE(VLOOKUP(V295,imaging_filters!A:K,11, FALSE)), CONCATENATE(CHAR(34),"CamA",CHAR(34)), CONCATENATE(CHAR(34),"CamB",CHAR(34))),"}"), ""),
 "]"), "[]")</f>
        <v>[]</v>
      </c>
      <c r="AA295" s="11" t="s">
        <v>577</v>
      </c>
    </row>
    <row r="296" spans="1:27" ht="15.75" customHeight="1" x14ac:dyDescent="0.15">
      <c r="A296" s="7">
        <f t="shared" si="7"/>
        <v>45714</v>
      </c>
      <c r="B296" s="1"/>
      <c r="C296" s="1" t="s">
        <v>107</v>
      </c>
      <c r="D296" s="1" t="s">
        <v>253</v>
      </c>
      <c r="F296" s="1" t="s">
        <v>550</v>
      </c>
      <c r="G296" s="8"/>
      <c r="H296" s="8"/>
      <c r="I296" s="8">
        <v>45712</v>
      </c>
      <c r="J296" s="1" t="s">
        <v>579</v>
      </c>
      <c r="K296" s="1" t="s">
        <v>571</v>
      </c>
      <c r="L296" s="19">
        <v>45714</v>
      </c>
      <c r="M296" s="20">
        <v>45714</v>
      </c>
      <c r="N296" s="9">
        <v>0.69444444444444442</v>
      </c>
      <c r="O296" s="9">
        <v>0.70833333333333337</v>
      </c>
      <c r="P296" s="1" t="s">
        <v>580</v>
      </c>
      <c r="Q296" s="1" t="s">
        <v>560</v>
      </c>
      <c r="R296" s="10" t="str">
        <f ca="1">IFERROR(__xludf.DUMMYFUNCTION("JOIN("","", SORT(UNIQUE(TOCOL({VLOOKUP(D296,DM_fish!A:B,2,FALSE),VLOOKUP(C296,DM_fish!A:B,2,FALSE), ARRAYFORMULA(VLOOKUP(SPLIT(E296, "", ""),Injections!B:G,6,FALSE)), ARRAYFORMULA(VLOOKUP(SPLIT(F296, "", ""),Injections!H:M,6,FALSE)), ARRAYFORMULA(VLOOKUP("&amp;"SPLIT(G296, "", ""),Injections!N:S,6,FALSE)), ARRAYFORMULA(VLOOKUP(SPLIT(H296, "", ""),Injections!T:Y,6,FALSE)) },3))))"),"nuclei")</f>
        <v>nuclei</v>
      </c>
      <c r="S296" s="10" t="str">
        <f ca="1">IFERROR(__xludf.DUMMYFUNCTION("IFERROR(JOIN("","", SPLIT(R296, "","", TRUE ,TRUE)), """")"),"nuclei")</f>
        <v>nuclei</v>
      </c>
      <c r="T296" s="1" t="s">
        <v>581</v>
      </c>
      <c r="U296" s="1">
        <v>2355</v>
      </c>
      <c r="V296" s="1" t="s">
        <v>203</v>
      </c>
      <c r="W296" s="12" t="str">
        <f ca="1">IFERROR(CONCATENATE("[", CONCATENATE(IF(VLOOKUP(D296,DM_fish!C:X,14, FALSE)&gt;0, CONCATENATE("{",CHAR(34),"target",CHAR(34),":",CHAR(34),VLOOKUP(D296,DM_fish!C:X,13, FALSE),CHAR(34),",", CHAR(34), "excitation",CHAR(34), ":", VLOOKUP(D296,DM_fish!C:X,14, FALSE), ",",  CHAR(34), "camera",CHAR(34), ":", IF(VALUE(VLOOKUP(D296,DM_fish!C:X,14, FALSE))&lt;VALUE(VLOOKUP(V296,imaging_filters!A:K,11, FALSE)), CONCATENATE(CHAR(34),"CamA",CHAR(34)), CONCATENATE(CHAR(34),"CamB",CHAR(34))),"}"), ""),IF(VLOOKUP(D296,DM_fish!C:X,16, FALSE)&gt;0, CONCATENATE(",{",CHAR(34),"target",CHAR(34),":",CHAR(34),VLOOKUP(D296,DM_fish!C:X,15, FALSE),CHAR(34),",", CHAR(34), "excitation",CHAR(34), ":", VLOOKUP(D296,DM_fish!C:X,16, FALSE), ",",  CHAR(34), "camera",CHAR(34), ":", IF(VALUE(VLOOKUP(D296,DM_fish!C:X,16, FALSE))&lt;VALUE(VLOOKUP(V296,imaging_filters!A:K,11, FALSE)), CONCATENATE(CHAR(34),"CamA",CHAR(34)), CONCATENATE(CHAR(34),"CamB",CHAR(34))),"}"), ""),IF(VLOOKUP(D296,DM_fish!C:X,18, FALSE)&gt;0, CONCATENATE(",{",CHAR(34),"target",CHAR(34),":",CHAR(34),VLOOKUP(D296,DM_fish!C:X,17, FALSE),CHAR(34),",", CHAR(34), "excitation",CHAR(34), ":", VLOOKUP(D296,DM_fish!C:X,18, FALSE), ",",  CHAR(34), "camera",CHAR(34), ":", IF(VALUE(VLOOKUP(D296,DM_fish!C:X,18, FALSE))&lt;VALUE(VLOOKUP(V296,imaging_filters!A:K,11, FALSE)), CONCATENATE(CHAR(34),"CamA",CHAR(34)), CONCATENATE(CHAR(34),"CamB",CHAR(34))),"}"), ""),IF(VLOOKUP(D296,DM_fish!C:X,20, FALSE)&gt;0, CONCATENATE(",{",CHAR(34),"target",CHAR(34),":",CHAR(34),VLOOKUP(D296,DM_fish!C:X,19, FALSE),CHAR(34),",", CHAR(34), "excitation",CHAR(34), ":", VLOOKUP(D296,DM_fish!C:X,20, FALSE), ",",  CHAR(34), "camera",CHAR(34), ":", IF(VALUE(VLOOKUP(D296,DM_fish!C:X,20, FALSE))&lt;VALUE(VLOOKUP(V296,imaging_filters!A:K,11, FALSE)), CONCATENATE(CHAR(34),"CamA",CHAR(34)), CONCATENATE(CHAR(34),"CamB",CHAR(34))),"}"), ""),IF(VLOOKUP(D296,DM_fish!C:X,22, FALSE)&gt;0, CONCATENATE(",{",CHAR(34),"target",CHAR(34),":",CHAR(34),VLOOKUP(D296,DM_fish!C:X,21, FALSE),CHAR(34),",", CHAR(34), "excitation",CHAR(34), ":", VLOOKUP(D296,DM_fish!C:X,22, FALSE), ",",  CHAR(34), "camera",CHAR(34), ":", IF(VALUE(VLOOKUP(D296,DM_fish!C:X,22, FALSE))&lt;VALUE(VLOOKUP(V296,imaging_filters!A:K,11, FALSE)), CONCATENATE(CHAR(34),"CamA",CHAR(34)), CONCATENATE(CHAR(34),"CamB",CHAR(34))),"}"), "")), "]"), "")</f>
        <v/>
      </c>
      <c r="X296" s="12" t="str">
        <f ca="1">IFERROR(
CONCATENATE("[", CONCATENATE(IF(VLOOKUP(C296,DM_fish!C:X,14, FALSE)&gt;0, CONCATENATE("{",CHAR(34),"target",CHAR(34),":",CHAR(34),VLOOKUP(C296,DM_fish!C:X,13, FALSE),CHAR(34),",", CHAR(34), "excitation",CHAR(34), ":", VLOOKUP(C296,DM_fish!C:X,14, FALSE), ",",  CHAR(34), "camera",CHAR(34), ":", IF(VALUE(VLOOKUP(C296,DM_fish!C:X,14, FALSE))&lt;VALUE(VLOOKUP(V296,imaging_filters!A:K,11, FALSE)), CONCATENATE(CHAR(34),"CamA",CHAR(34)), CONCATENATE(CHAR(34),"CamB",CHAR(34))),"}"), ""),IF(VLOOKUP(C296,DM_fish!C:X,16, FALSE)&gt;0, CONCATENATE(",{",CHAR(34),"target",CHAR(34),":",CHAR(34),VLOOKUP(C296,DM_fish!C:X,15, FALSE),CHAR(34),",", CHAR(34), "excitation",CHAR(34), ":", VLOOKUP(C296,DM_fish!C:X,16, FALSE), ",",  CHAR(34), "camera",CHAR(34), ":", IF(VALUE(VLOOKUP(C296,DM_fish!C:X,16, FALSE))&lt;VALUE(VLOOKUP(V296,imaging_filters!A:K,11, FALSE)), CONCATENATE(CHAR(34),"CamA",CHAR(34)), CONCATENATE(CHAR(34),"CamB",CHAR(34))),"}"), ""),IF(VLOOKUP(C296,DM_fish!C:X,18, FALSE)&gt;0, CONCATENATE(",{",CHAR(34),"target",CHAR(34),":",CHAR(34),VLOOKUP(C296,DM_fish!C:X,17, FALSE),CHAR(34),",", CHAR(34), "excitation",CHAR(34), ":", VLOOKUP(C296,DM_fish!C:X,18, FALSE), ",",  CHAR(34), "camera",CHAR(34), ":", IF(VALUE(VLOOKUP(C296,DM_fish!C:X,18, FALSE))&lt;VALUE(VLOOKUP(V296,imaging_filters!A:K,11, FALSE)), CONCATENATE(CHAR(34),"CamA",CHAR(34)), CONCATENATE(CHAR(34),"CamB",CHAR(34))),"}"), ""),IF(VLOOKUP(C296,DM_fish!C:X,20, FALSE)&gt;0, CONCATENATE(",{",CHAR(34),"target",CHAR(34),":",CHAR(34),VLOOKUP(C296,DM_fish!C:X,19, FALSE),CHAR(34),",", CHAR(34), "excitation",CHAR(34), ":", VLOOKUP(C296,DM_fish!C:X,20, FALSE), ",",  CHAR(34), "camera",CHAR(34), ":", IF(VALUE(VLOOKUP(C296,DM_fish!C:X,20, FALSE))&lt;VALUE(VLOOKUP(V296,imaging_filters!A:K,11, FALSE)), CONCATENATE(CHAR(34),"CamA",CHAR(34)), CONCATENATE(CHAR(34),"CamB",CHAR(34))),"}"), ""),IF(VLOOKUP(C296,DM_fish!C:X,22, FALSE)&gt;0, CONCATENATE(",{",CHAR(34),"target",CHAR(34),":",CHAR(34),VLOOKUP(C296,DM_fish!C:X,21, FALSE),CHAR(34),",", CHAR(34), "excitation",CHAR(34), ":", VLOOKUP(C296,DM_fish!C:X,22, FALSE), ",",  CHAR(34), "camera",CHAR(34), ":", IF(VALUE(VLOOKUP(C296,DM_fish!C:X,22, FALSE))&lt;VALUE(VLOOKUP(V296,imaging_filters!A:K,11, FALSE)), CONCATENATE(CHAR(34),"CamA",CHAR(34)), CONCATENATE(CHAR(34),"CamB",CHAR(34))),"}"), "")), "]"), "")</f>
        <v/>
      </c>
      <c r="Y296" s="11" t="str">
        <f ca="1">IFERROR(
CONCATENATE( "[",
IF(VLOOKUP(E296,Injections!B:F,3, FALSE)&gt;0, CONCATENATE( "{",CHAR(34),"target",CHAR(34),":",CHAR(34),VLOOKUP(E296,Injections!B:F,2, FALSE),CHAR(34),",", CHAR(34), "excitation",CHAR(34), ":", VLOOKUP(E296,Injections!B:F,3, FALSE), ",",  CHAR(34), "camera",CHAR(34), ":",
IF(VALUE(VLOOKUP(E296,Injections!B:F,3, FALSE))&lt;VALUE(VLOOKUP(V296,imaging_filters!A:C,2, FALSE)), CONCATENATE(CHAR(34),"CamA",CHAR(34)), CONCATENATE(CHAR(34),"CamB",CHAR(34))),"}"), ""),
IF(VLOOKUP(E296,Injections!B:F,5, FALSE)&gt;0, CONCATENATE(",{",CHAR(34),"target",CHAR(34),":",CHAR(34),VLOOKUP(E296,Injections!B:F,4, FALSE),CHAR(34),",", CHAR(34), "excitation",CHAR(34), ":", VLOOKUP(E296,Injections!B:F,5, FALSE), ",",  CHAR(34), "camera",CHAR(34), ":",
IF(VALUE(VLOOKUP(E296,Injections!B:F,5, FALSE))&lt;VALUE(VLOOKUP(V296,imaging_filters!A:C,2, FALSE)), CONCATENATE(CHAR(34),"CamA",CHAR(34)), CONCATENATE(CHAR(34),"CamB",CHAR(34))),"}"), ""),
 "]"), "[]")</f>
        <v>[]</v>
      </c>
      <c r="Z296" s="11" t="str">
        <f ca="1">IFERROR(
CONCATENATE( "[",
IF(VLOOKUP(F296,Injections!H:L,3, FALSE)&gt;0, CONCATENATE( "{",CHAR(34),"target",CHAR(34),":",CHAR(34),VLOOKUP(F296,Injections!H:L,2, FALSE),CHAR(34),",", CHAR(34), "excitation",CHAR(34), ":", VLOOKUP(F296,Injections!H:L,3, FALSE), ",",  CHAR(34), "camera",CHAR(34), ":",
IF(VALUE(VLOOKUP(F296,Injections!H:L,3, FALSE))&lt;VALUE(VLOOKUP(V296,imaging_filters!A:K,11, FALSE)), CONCATENATE(CHAR(34),"CamA",CHAR(34)), CONCATENATE(CHAR(34),"CamB",CHAR(34))),"}"), ""),
IF(VLOOKUP(F296,Injections!H:L,5, FALSE)&gt;0, CONCATENATE(",{",CHAR(34),"target",CHAR(34),":",CHAR(34),VLOOKUP(F296,Injections!H:L,4, FALSE),CHAR(34),",", CHAR(34), "excitation",CHAR(34), ":", VLOOKUP(F296,Injections!H:L,5, FALSE), ",",  CHAR(34), "camera",CHAR(34), ":",
IF(VALUE(VLOOKUP(F296,Injections!H:L,5, FALSE))&lt;VALUE(VLOOKUP(V296,imaging_filters!A:K,11, FALSE)), CONCATENATE(CHAR(34),"CamA",CHAR(34)), CONCATENATE(CHAR(34),"CamB",CHAR(34))),"}"), ""),
 "]"), "[]")</f>
        <v>[]</v>
      </c>
      <c r="AA296" s="11" t="s">
        <v>582</v>
      </c>
    </row>
    <row r="297" spans="1:27" ht="15.75" customHeight="1" x14ac:dyDescent="0.15">
      <c r="A297" s="7">
        <f t="shared" si="7"/>
        <v>45714</v>
      </c>
      <c r="B297" s="1"/>
      <c r="C297" s="1" t="s">
        <v>107</v>
      </c>
      <c r="D297" s="1" t="s">
        <v>253</v>
      </c>
      <c r="F297" s="1" t="s">
        <v>550</v>
      </c>
      <c r="G297" s="8"/>
      <c r="H297" s="8"/>
      <c r="I297" s="8">
        <v>45712</v>
      </c>
      <c r="J297" s="1" t="s">
        <v>579</v>
      </c>
      <c r="K297" s="1" t="s">
        <v>571</v>
      </c>
      <c r="L297" s="19">
        <v>45714</v>
      </c>
      <c r="M297" s="20">
        <v>45714</v>
      </c>
      <c r="N297" s="9">
        <v>0.69444444444444442</v>
      </c>
      <c r="O297" s="9">
        <v>0.70833333333333337</v>
      </c>
      <c r="P297" s="1" t="s">
        <v>580</v>
      </c>
      <c r="Q297" s="1" t="s">
        <v>583</v>
      </c>
      <c r="R297" s="10" t="str">
        <f ca="1">IFERROR(__xludf.DUMMYFUNCTION("JOIN("","", SORT(UNIQUE(TOCOL({VLOOKUP(D297,DM_fish!A:B,2,FALSE),VLOOKUP(C297,DM_fish!A:B,2,FALSE), ARRAYFORMULA(VLOOKUP(SPLIT(E297, "", ""),Injections!B:G,6,FALSE)), ARRAYFORMULA(VLOOKUP(SPLIT(F297, "", ""),Injections!H:M,6,FALSE)), ARRAYFORMULA(VLOOKUP("&amp;"SPLIT(G297, "", ""),Injections!N:S,6,FALSE)), ARRAYFORMULA(VLOOKUP(SPLIT(H297, "", ""),Injections!T:Y,6,FALSE)) },3))))"),"nuclei")</f>
        <v>nuclei</v>
      </c>
      <c r="S297" s="10" t="str">
        <f ca="1">IFERROR(__xludf.DUMMYFUNCTION("IFERROR(JOIN("","", SPLIT(R297, "","", TRUE ,TRUE)), """")"),"nuclei")</f>
        <v>nuclei</v>
      </c>
      <c r="T297" s="1" t="s">
        <v>584</v>
      </c>
      <c r="U297" s="1">
        <v>873</v>
      </c>
      <c r="V297" s="1" t="s">
        <v>203</v>
      </c>
      <c r="W297" s="12" t="str">
        <f ca="1">IFERROR(CONCATENATE("[", CONCATENATE(IF(VLOOKUP(D297,DM_fish!C:X,14, FALSE)&gt;0, CONCATENATE("{",CHAR(34),"target",CHAR(34),":",CHAR(34),VLOOKUP(D297,DM_fish!C:X,13, FALSE),CHAR(34),",", CHAR(34), "excitation",CHAR(34), ":", VLOOKUP(D297,DM_fish!C:X,14, FALSE), ",",  CHAR(34), "camera",CHAR(34), ":", IF(VALUE(VLOOKUP(D297,DM_fish!C:X,14, FALSE))&lt;VALUE(VLOOKUP(V297,imaging_filters!A:K,11, FALSE)), CONCATENATE(CHAR(34),"CamA",CHAR(34)), CONCATENATE(CHAR(34),"CamB",CHAR(34))),"}"), ""),IF(VLOOKUP(D297,DM_fish!C:X,16, FALSE)&gt;0, CONCATENATE(",{",CHAR(34),"target",CHAR(34),":",CHAR(34),VLOOKUP(D297,DM_fish!C:X,15, FALSE),CHAR(34),",", CHAR(34), "excitation",CHAR(34), ":", VLOOKUP(D297,DM_fish!C:X,16, FALSE), ",",  CHAR(34), "camera",CHAR(34), ":", IF(VALUE(VLOOKUP(D297,DM_fish!C:X,16, FALSE))&lt;VALUE(VLOOKUP(V297,imaging_filters!A:K,11, FALSE)), CONCATENATE(CHAR(34),"CamA",CHAR(34)), CONCATENATE(CHAR(34),"CamB",CHAR(34))),"}"), ""),IF(VLOOKUP(D297,DM_fish!C:X,18, FALSE)&gt;0, CONCATENATE(",{",CHAR(34),"target",CHAR(34),":",CHAR(34),VLOOKUP(D297,DM_fish!C:X,17, FALSE),CHAR(34),",", CHAR(34), "excitation",CHAR(34), ":", VLOOKUP(D297,DM_fish!C:X,18, FALSE), ",",  CHAR(34), "camera",CHAR(34), ":", IF(VALUE(VLOOKUP(D297,DM_fish!C:X,18, FALSE))&lt;VALUE(VLOOKUP(V297,imaging_filters!A:K,11, FALSE)), CONCATENATE(CHAR(34),"CamA",CHAR(34)), CONCATENATE(CHAR(34),"CamB",CHAR(34))),"}"), ""),IF(VLOOKUP(D297,DM_fish!C:X,20, FALSE)&gt;0, CONCATENATE(",{",CHAR(34),"target",CHAR(34),":",CHAR(34),VLOOKUP(D297,DM_fish!C:X,19, FALSE),CHAR(34),",", CHAR(34), "excitation",CHAR(34), ":", VLOOKUP(D297,DM_fish!C:X,20, FALSE), ",",  CHAR(34), "camera",CHAR(34), ":", IF(VALUE(VLOOKUP(D297,DM_fish!C:X,20, FALSE))&lt;VALUE(VLOOKUP(V297,imaging_filters!A:K,11, FALSE)), CONCATENATE(CHAR(34),"CamA",CHAR(34)), CONCATENATE(CHAR(34),"CamB",CHAR(34))),"}"), ""),IF(VLOOKUP(D297,DM_fish!C:X,22, FALSE)&gt;0, CONCATENATE(",{",CHAR(34),"target",CHAR(34),":",CHAR(34),VLOOKUP(D297,DM_fish!C:X,21, FALSE),CHAR(34),",", CHAR(34), "excitation",CHAR(34), ":", VLOOKUP(D297,DM_fish!C:X,22, FALSE), ",",  CHAR(34), "camera",CHAR(34), ":", IF(VALUE(VLOOKUP(D297,DM_fish!C:X,22, FALSE))&lt;VALUE(VLOOKUP(V297,imaging_filters!A:K,11, FALSE)), CONCATENATE(CHAR(34),"CamA",CHAR(34)), CONCATENATE(CHAR(34),"CamB",CHAR(34))),"}"), "")), "]"), "")</f>
        <v/>
      </c>
      <c r="X297" s="12" t="str">
        <f ca="1">IFERROR(
CONCATENATE("[", CONCATENATE(IF(VLOOKUP(C297,DM_fish!C:X,14, FALSE)&gt;0, CONCATENATE("{",CHAR(34),"target",CHAR(34),":",CHAR(34),VLOOKUP(C297,DM_fish!C:X,13, FALSE),CHAR(34),",", CHAR(34), "excitation",CHAR(34), ":", VLOOKUP(C297,DM_fish!C:X,14, FALSE), ",",  CHAR(34), "camera",CHAR(34), ":", IF(VALUE(VLOOKUP(C297,DM_fish!C:X,14, FALSE))&lt;VALUE(VLOOKUP(V297,imaging_filters!A:K,11, FALSE)), CONCATENATE(CHAR(34),"CamA",CHAR(34)), CONCATENATE(CHAR(34),"CamB",CHAR(34))),"}"), ""),IF(VLOOKUP(C297,DM_fish!C:X,16, FALSE)&gt;0, CONCATENATE(",{",CHAR(34),"target",CHAR(34),":",CHAR(34),VLOOKUP(C297,DM_fish!C:X,15, FALSE),CHAR(34),",", CHAR(34), "excitation",CHAR(34), ":", VLOOKUP(C297,DM_fish!C:X,16, FALSE), ",",  CHAR(34), "camera",CHAR(34), ":", IF(VALUE(VLOOKUP(C297,DM_fish!C:X,16, FALSE))&lt;VALUE(VLOOKUP(V297,imaging_filters!A:K,11, FALSE)), CONCATENATE(CHAR(34),"CamA",CHAR(34)), CONCATENATE(CHAR(34),"CamB",CHAR(34))),"}"), ""),IF(VLOOKUP(C297,DM_fish!C:X,18, FALSE)&gt;0, CONCATENATE(",{",CHAR(34),"target",CHAR(34),":",CHAR(34),VLOOKUP(C297,DM_fish!C:X,17, FALSE),CHAR(34),",", CHAR(34), "excitation",CHAR(34), ":", VLOOKUP(C297,DM_fish!C:X,18, FALSE), ",",  CHAR(34), "camera",CHAR(34), ":", IF(VALUE(VLOOKUP(C297,DM_fish!C:X,18, FALSE))&lt;VALUE(VLOOKUP(V297,imaging_filters!A:K,11, FALSE)), CONCATENATE(CHAR(34),"CamA",CHAR(34)), CONCATENATE(CHAR(34),"CamB",CHAR(34))),"}"), ""),IF(VLOOKUP(C297,DM_fish!C:X,20, FALSE)&gt;0, CONCATENATE(",{",CHAR(34),"target",CHAR(34),":",CHAR(34),VLOOKUP(C297,DM_fish!C:X,19, FALSE),CHAR(34),",", CHAR(34), "excitation",CHAR(34), ":", VLOOKUP(C297,DM_fish!C:X,20, FALSE), ",",  CHAR(34), "camera",CHAR(34), ":", IF(VALUE(VLOOKUP(C297,DM_fish!C:X,20, FALSE))&lt;VALUE(VLOOKUP(V297,imaging_filters!A:K,11, FALSE)), CONCATENATE(CHAR(34),"CamA",CHAR(34)), CONCATENATE(CHAR(34),"CamB",CHAR(34))),"}"), ""),IF(VLOOKUP(C297,DM_fish!C:X,22, FALSE)&gt;0, CONCATENATE(",{",CHAR(34),"target",CHAR(34),":",CHAR(34),VLOOKUP(C297,DM_fish!C:X,21, FALSE),CHAR(34),",", CHAR(34), "excitation",CHAR(34), ":", VLOOKUP(C297,DM_fish!C:X,22, FALSE), ",",  CHAR(34), "camera",CHAR(34), ":", IF(VALUE(VLOOKUP(C297,DM_fish!C:X,22, FALSE))&lt;VALUE(VLOOKUP(V297,imaging_filters!A:K,11, FALSE)), CONCATENATE(CHAR(34),"CamA",CHAR(34)), CONCATENATE(CHAR(34),"CamB",CHAR(34))),"}"), "")), "]"), "")</f>
        <v/>
      </c>
      <c r="Y297" s="11" t="str">
        <f ca="1">IFERROR(
CONCATENATE( "[",
IF(VLOOKUP(E297,Injections!B:F,3, FALSE)&gt;0, CONCATENATE( "{",CHAR(34),"target",CHAR(34),":",CHAR(34),VLOOKUP(E297,Injections!B:F,2, FALSE),CHAR(34),",", CHAR(34), "excitation",CHAR(34), ":", VLOOKUP(E297,Injections!B:F,3, FALSE), ",",  CHAR(34), "camera",CHAR(34), ":",
IF(VALUE(VLOOKUP(E297,Injections!B:F,3, FALSE))&lt;VALUE(VLOOKUP(V297,imaging_filters!A:C,2, FALSE)), CONCATENATE(CHAR(34),"CamA",CHAR(34)), CONCATENATE(CHAR(34),"CamB",CHAR(34))),"}"), ""),
IF(VLOOKUP(E297,Injections!B:F,5, FALSE)&gt;0, CONCATENATE(",{",CHAR(34),"target",CHAR(34),":",CHAR(34),VLOOKUP(E297,Injections!B:F,4, FALSE),CHAR(34),",", CHAR(34), "excitation",CHAR(34), ":", VLOOKUP(E297,Injections!B:F,5, FALSE), ",",  CHAR(34), "camera",CHAR(34), ":",
IF(VALUE(VLOOKUP(E297,Injections!B:F,5, FALSE))&lt;VALUE(VLOOKUP(V297,imaging_filters!A:C,2, FALSE)), CONCATENATE(CHAR(34),"CamA",CHAR(34)), CONCATENATE(CHAR(34),"CamB",CHAR(34))),"}"), ""),
 "]"), "[]")</f>
        <v>[]</v>
      </c>
      <c r="Z297" s="11" t="str">
        <f ca="1">IFERROR(
CONCATENATE( "[",
IF(VLOOKUP(F297,Injections!H:L,3, FALSE)&gt;0, CONCATENATE( "{",CHAR(34),"target",CHAR(34),":",CHAR(34),VLOOKUP(F297,Injections!H:L,2, FALSE),CHAR(34),",", CHAR(34), "excitation",CHAR(34), ":", VLOOKUP(F297,Injections!H:L,3, FALSE), ",",  CHAR(34), "camera",CHAR(34), ":",
IF(VALUE(VLOOKUP(F297,Injections!H:L,3, FALSE))&lt;VALUE(VLOOKUP(V297,imaging_filters!A:K,11, FALSE)), CONCATENATE(CHAR(34),"CamA",CHAR(34)), CONCATENATE(CHAR(34),"CamB",CHAR(34))),"}"), ""),
IF(VLOOKUP(F297,Injections!H:L,5, FALSE)&gt;0, CONCATENATE(",{",CHAR(34),"target",CHAR(34),":",CHAR(34),VLOOKUP(F297,Injections!H:L,4, FALSE),CHAR(34),",", CHAR(34), "excitation",CHAR(34), ":", VLOOKUP(F297,Injections!H:L,5, FALSE), ",",  CHAR(34), "camera",CHAR(34), ":",
IF(VALUE(VLOOKUP(F297,Injections!H:L,5, FALSE))&lt;VALUE(VLOOKUP(V297,imaging_filters!A:K,11, FALSE)), CONCATENATE(CHAR(34),"CamA",CHAR(34)), CONCATENATE(CHAR(34),"CamB",CHAR(34))),"}"), ""),
 "]"), "[]")</f>
        <v>[]</v>
      </c>
      <c r="AA297" s="11" t="s">
        <v>585</v>
      </c>
    </row>
    <row r="298" spans="1:27" ht="15.75" customHeight="1" x14ac:dyDescent="0.15">
      <c r="A298" s="7">
        <f t="shared" si="7"/>
        <v>45713</v>
      </c>
      <c r="B298" s="1"/>
      <c r="C298" s="1" t="s">
        <v>107</v>
      </c>
      <c r="D298" s="1" t="s">
        <v>253</v>
      </c>
      <c r="F298" s="1" t="s">
        <v>550</v>
      </c>
      <c r="G298" s="8"/>
      <c r="H298" s="8"/>
      <c r="I298" s="8">
        <v>45712</v>
      </c>
      <c r="J298" s="1" t="s">
        <v>586</v>
      </c>
      <c r="K298" s="1" t="s">
        <v>564</v>
      </c>
      <c r="L298" s="19">
        <v>45713</v>
      </c>
      <c r="M298" s="8">
        <v>45713</v>
      </c>
      <c r="N298" s="9">
        <v>0.51388888888888884</v>
      </c>
      <c r="O298" s="9">
        <v>0.52083333333333337</v>
      </c>
      <c r="P298" s="9">
        <v>0.6875</v>
      </c>
      <c r="Q298" s="1" t="s">
        <v>560</v>
      </c>
      <c r="R298" s="10" t="str">
        <f ca="1">IFERROR(__xludf.DUMMYFUNCTION("JOIN("","", SORT(UNIQUE(TOCOL({VLOOKUP(D298,DM_fish!A:B,2,FALSE),VLOOKUP(C298,DM_fish!A:B,2,FALSE), ARRAYFORMULA(VLOOKUP(SPLIT(E298, "", ""),Injections!B:G,6,FALSE)), ARRAYFORMULA(VLOOKUP(SPLIT(F298, "", ""),Injections!H:M,6,FALSE)), ARRAYFORMULA(VLOOKUP("&amp;"SPLIT(G298, "", ""),Injections!N:S,6,FALSE)), ARRAYFORMULA(VLOOKUP(SPLIT(H298, "", ""),Injections!T:Y,6,FALSE)) },3))))"),"nuclei")</f>
        <v>nuclei</v>
      </c>
      <c r="S298" s="10" t="str">
        <f ca="1">IFERROR(__xludf.DUMMYFUNCTION("IFERROR(JOIN("","", SPLIT(R298, "","", TRUE ,TRUE)), """")"),"nuclei")</f>
        <v>nuclei</v>
      </c>
      <c r="T298" s="1" t="s">
        <v>587</v>
      </c>
      <c r="U298" s="1">
        <v>730</v>
      </c>
      <c r="V298" s="1" t="s">
        <v>203</v>
      </c>
      <c r="W298" s="12" t="str">
        <f ca="1">IFERROR(CONCATENATE("[", CONCATENATE(IF(VLOOKUP(D298,DM_fish!C:X,14, FALSE)&gt;0, CONCATENATE("{",CHAR(34),"target",CHAR(34),":",CHAR(34),VLOOKUP(D298,DM_fish!C:X,13, FALSE),CHAR(34),",", CHAR(34), "excitation",CHAR(34), ":", VLOOKUP(D298,DM_fish!C:X,14, FALSE), ",",  CHAR(34), "camera",CHAR(34), ":", IF(VALUE(VLOOKUP(D298,DM_fish!C:X,14, FALSE))&lt;VALUE(VLOOKUP(V298,imaging_filters!A:K,11, FALSE)), CONCATENATE(CHAR(34),"CamA",CHAR(34)), CONCATENATE(CHAR(34),"CamB",CHAR(34))),"}"), ""),IF(VLOOKUP(D298,DM_fish!C:X,16, FALSE)&gt;0, CONCATENATE(",{",CHAR(34),"target",CHAR(34),":",CHAR(34),VLOOKUP(D298,DM_fish!C:X,15, FALSE),CHAR(34),",", CHAR(34), "excitation",CHAR(34), ":", VLOOKUP(D298,DM_fish!C:X,16, FALSE), ",",  CHAR(34), "camera",CHAR(34), ":", IF(VALUE(VLOOKUP(D298,DM_fish!C:X,16, FALSE))&lt;VALUE(VLOOKUP(V298,imaging_filters!A:K,11, FALSE)), CONCATENATE(CHAR(34),"CamA",CHAR(34)), CONCATENATE(CHAR(34),"CamB",CHAR(34))),"}"), ""),IF(VLOOKUP(D298,DM_fish!C:X,18, FALSE)&gt;0, CONCATENATE(",{",CHAR(34),"target",CHAR(34),":",CHAR(34),VLOOKUP(D298,DM_fish!C:X,17, FALSE),CHAR(34),",", CHAR(34), "excitation",CHAR(34), ":", VLOOKUP(D298,DM_fish!C:X,18, FALSE), ",",  CHAR(34), "camera",CHAR(34), ":", IF(VALUE(VLOOKUP(D298,DM_fish!C:X,18, FALSE))&lt;VALUE(VLOOKUP(V298,imaging_filters!A:K,11, FALSE)), CONCATENATE(CHAR(34),"CamA",CHAR(34)), CONCATENATE(CHAR(34),"CamB",CHAR(34))),"}"), ""),IF(VLOOKUP(D298,DM_fish!C:X,20, FALSE)&gt;0, CONCATENATE(",{",CHAR(34),"target",CHAR(34),":",CHAR(34),VLOOKUP(D298,DM_fish!C:X,19, FALSE),CHAR(34),",", CHAR(34), "excitation",CHAR(34), ":", VLOOKUP(D298,DM_fish!C:X,20, FALSE), ",",  CHAR(34), "camera",CHAR(34), ":", IF(VALUE(VLOOKUP(D298,DM_fish!C:X,20, FALSE))&lt;VALUE(VLOOKUP(V298,imaging_filters!A:K,11, FALSE)), CONCATENATE(CHAR(34),"CamA",CHAR(34)), CONCATENATE(CHAR(34),"CamB",CHAR(34))),"}"), ""),IF(VLOOKUP(D298,DM_fish!C:X,22, FALSE)&gt;0, CONCATENATE(",{",CHAR(34),"target",CHAR(34),":",CHAR(34),VLOOKUP(D298,DM_fish!C:X,21, FALSE),CHAR(34),",", CHAR(34), "excitation",CHAR(34), ":", VLOOKUP(D298,DM_fish!C:X,22, FALSE), ",",  CHAR(34), "camera",CHAR(34), ":", IF(VALUE(VLOOKUP(D298,DM_fish!C:X,22, FALSE))&lt;VALUE(VLOOKUP(V298,imaging_filters!A:K,11, FALSE)), CONCATENATE(CHAR(34),"CamA",CHAR(34)), CONCATENATE(CHAR(34),"CamB",CHAR(34))),"}"), "")), "]"), "")</f>
        <v/>
      </c>
      <c r="X298" s="12" t="str">
        <f ca="1">IFERROR(
CONCATENATE("[", CONCATENATE(IF(VLOOKUP(C298,DM_fish!C:X,14, FALSE)&gt;0, CONCATENATE("{",CHAR(34),"target",CHAR(34),":",CHAR(34),VLOOKUP(C298,DM_fish!C:X,13, FALSE),CHAR(34),",", CHAR(34), "excitation",CHAR(34), ":", VLOOKUP(C298,DM_fish!C:X,14, FALSE), ",",  CHAR(34), "camera",CHAR(34), ":", IF(VALUE(VLOOKUP(C298,DM_fish!C:X,14, FALSE))&lt;VALUE(VLOOKUP(V298,imaging_filters!A:K,11, FALSE)), CONCATENATE(CHAR(34),"CamA",CHAR(34)), CONCATENATE(CHAR(34),"CamB",CHAR(34))),"}"), ""),IF(VLOOKUP(C298,DM_fish!C:X,16, FALSE)&gt;0, CONCATENATE(",{",CHAR(34),"target",CHAR(34),":",CHAR(34),VLOOKUP(C298,DM_fish!C:X,15, FALSE),CHAR(34),",", CHAR(34), "excitation",CHAR(34), ":", VLOOKUP(C298,DM_fish!C:X,16, FALSE), ",",  CHAR(34), "camera",CHAR(34), ":", IF(VALUE(VLOOKUP(C298,DM_fish!C:X,16, FALSE))&lt;VALUE(VLOOKUP(V298,imaging_filters!A:K,11, FALSE)), CONCATENATE(CHAR(34),"CamA",CHAR(34)), CONCATENATE(CHAR(34),"CamB",CHAR(34))),"}"), ""),IF(VLOOKUP(C298,DM_fish!C:X,18, FALSE)&gt;0, CONCATENATE(",{",CHAR(34),"target",CHAR(34),":",CHAR(34),VLOOKUP(C298,DM_fish!C:X,17, FALSE),CHAR(34),",", CHAR(34), "excitation",CHAR(34), ":", VLOOKUP(C298,DM_fish!C:X,18, FALSE), ",",  CHAR(34), "camera",CHAR(34), ":", IF(VALUE(VLOOKUP(C298,DM_fish!C:X,18, FALSE))&lt;VALUE(VLOOKUP(V298,imaging_filters!A:K,11, FALSE)), CONCATENATE(CHAR(34),"CamA",CHAR(34)), CONCATENATE(CHAR(34),"CamB",CHAR(34))),"}"), ""),IF(VLOOKUP(C298,DM_fish!C:X,20, FALSE)&gt;0, CONCATENATE(",{",CHAR(34),"target",CHAR(34),":",CHAR(34),VLOOKUP(C298,DM_fish!C:X,19, FALSE),CHAR(34),",", CHAR(34), "excitation",CHAR(34), ":", VLOOKUP(C298,DM_fish!C:X,20, FALSE), ",",  CHAR(34), "camera",CHAR(34), ":", IF(VALUE(VLOOKUP(C298,DM_fish!C:X,20, FALSE))&lt;VALUE(VLOOKUP(V298,imaging_filters!A:K,11, FALSE)), CONCATENATE(CHAR(34),"CamA",CHAR(34)), CONCATENATE(CHAR(34),"CamB",CHAR(34))),"}"), ""),IF(VLOOKUP(C298,DM_fish!C:X,22, FALSE)&gt;0, CONCATENATE(",{",CHAR(34),"target",CHAR(34),":",CHAR(34),VLOOKUP(C298,DM_fish!C:X,21, FALSE),CHAR(34),",", CHAR(34), "excitation",CHAR(34), ":", VLOOKUP(C298,DM_fish!C:X,22, FALSE), ",",  CHAR(34), "camera",CHAR(34), ":", IF(VALUE(VLOOKUP(C298,DM_fish!C:X,22, FALSE))&lt;VALUE(VLOOKUP(V298,imaging_filters!A:K,11, FALSE)), CONCATENATE(CHAR(34),"CamA",CHAR(34)), CONCATENATE(CHAR(34),"CamB",CHAR(34))),"}"), "")), "]"), "")</f>
        <v/>
      </c>
      <c r="Y298" s="11" t="str">
        <f ca="1">IFERROR(
CONCATENATE( "[",
IF(VLOOKUP(E298,Injections!B:F,3, FALSE)&gt;0, CONCATENATE( "{",CHAR(34),"target",CHAR(34),":",CHAR(34),VLOOKUP(E298,Injections!B:F,2, FALSE),CHAR(34),",", CHAR(34), "excitation",CHAR(34), ":", VLOOKUP(E298,Injections!B:F,3, FALSE), ",",  CHAR(34), "camera",CHAR(34), ":",
IF(VALUE(VLOOKUP(E298,Injections!B:F,3, FALSE))&lt;VALUE(VLOOKUP(V298,imaging_filters!A:C,2, FALSE)), CONCATENATE(CHAR(34),"CamA",CHAR(34)), CONCATENATE(CHAR(34),"CamB",CHAR(34))),"}"), ""),
IF(VLOOKUP(E298,Injections!B:F,5, FALSE)&gt;0, CONCATENATE(",{",CHAR(34),"target",CHAR(34),":",CHAR(34),VLOOKUP(E298,Injections!B:F,4, FALSE),CHAR(34),",", CHAR(34), "excitation",CHAR(34), ":", VLOOKUP(E298,Injections!B:F,5, FALSE), ",",  CHAR(34), "camera",CHAR(34), ":",
IF(VALUE(VLOOKUP(E298,Injections!B:F,5, FALSE))&lt;VALUE(VLOOKUP(V298,imaging_filters!A:C,2, FALSE)), CONCATENATE(CHAR(34),"CamA",CHAR(34)), CONCATENATE(CHAR(34),"CamB",CHAR(34))),"}"), ""),
 "]"), "[]")</f>
        <v>[]</v>
      </c>
      <c r="Z298" s="11" t="str">
        <f ca="1">IFERROR(
CONCATENATE( "[",
IF(VLOOKUP(F298,Injections!H:L,3, FALSE)&gt;0, CONCATENATE( "{",CHAR(34),"target",CHAR(34),":",CHAR(34),VLOOKUP(F298,Injections!H:L,2, FALSE),CHAR(34),",", CHAR(34), "excitation",CHAR(34), ":", VLOOKUP(F298,Injections!H:L,3, FALSE), ",",  CHAR(34), "camera",CHAR(34), ":",
IF(VALUE(VLOOKUP(F298,Injections!H:L,3, FALSE))&lt;VALUE(VLOOKUP(V298,imaging_filters!A:K,11, FALSE)), CONCATENATE(CHAR(34),"CamA",CHAR(34)), CONCATENATE(CHAR(34),"CamB",CHAR(34))),"}"), ""),
IF(VLOOKUP(F298,Injections!H:L,5, FALSE)&gt;0, CONCATENATE(",{",CHAR(34),"target",CHAR(34),":",CHAR(34),VLOOKUP(F298,Injections!H:L,4, FALSE),CHAR(34),",", CHAR(34), "excitation",CHAR(34), ":", VLOOKUP(F298,Injections!H:L,5, FALSE), ",",  CHAR(34), "camera",CHAR(34), ":",
IF(VALUE(VLOOKUP(F298,Injections!H:L,5, FALSE))&lt;VALUE(VLOOKUP(V298,imaging_filters!A:K,11, FALSE)), CONCATENATE(CHAR(34),"CamA",CHAR(34)), CONCATENATE(CHAR(34),"CamB",CHAR(34))),"}"), ""),
 "]"), "[]")</f>
        <v>[]</v>
      </c>
      <c r="AA298" s="11"/>
    </row>
    <row r="299" spans="1:27" ht="15.75" customHeight="1" x14ac:dyDescent="0.15">
      <c r="A299" s="7">
        <f t="shared" si="7"/>
        <v>45713</v>
      </c>
      <c r="B299" s="1"/>
      <c r="C299" s="1" t="s">
        <v>107</v>
      </c>
      <c r="D299" s="1" t="s">
        <v>253</v>
      </c>
      <c r="F299" s="1" t="s">
        <v>550</v>
      </c>
      <c r="G299" s="8"/>
      <c r="H299" s="8"/>
      <c r="I299" s="8">
        <v>45712</v>
      </c>
      <c r="J299" s="1" t="s">
        <v>586</v>
      </c>
      <c r="K299" s="1" t="s">
        <v>564</v>
      </c>
      <c r="L299" s="19">
        <v>45713</v>
      </c>
      <c r="M299" s="8">
        <v>45713</v>
      </c>
      <c r="N299" s="9">
        <v>0.51388888888888884</v>
      </c>
      <c r="O299" s="1" t="s">
        <v>588</v>
      </c>
      <c r="R299" s="10" t="str">
        <f ca="1">IFERROR(__xludf.DUMMYFUNCTION("JOIN("","", SORT(UNIQUE(TOCOL({VLOOKUP(D299,DM_fish!A:B,2,FALSE),VLOOKUP(C299,DM_fish!A:B,2,FALSE), ARRAYFORMULA(VLOOKUP(SPLIT(E299, "", ""),Injections!B:G,6,FALSE)), ARRAYFORMULA(VLOOKUP(SPLIT(F299, "", ""),Injections!H:M,6,FALSE)), ARRAYFORMULA(VLOOKUP("&amp;"SPLIT(G299, "", ""),Injections!N:S,6,FALSE)), ARRAYFORMULA(VLOOKUP(SPLIT(H299, "", ""),Injections!T:Y,6,FALSE)) },3))))"),"nuclei")</f>
        <v>nuclei</v>
      </c>
      <c r="S299" s="10" t="str">
        <f ca="1">IFERROR(__xludf.DUMMYFUNCTION("IFERROR(JOIN("","", SPLIT(R299, "","", TRUE ,TRUE)), """")"),"nuclei")</f>
        <v>nuclei</v>
      </c>
      <c r="T299" s="1"/>
      <c r="V299" s="1" t="s">
        <v>203</v>
      </c>
      <c r="W299" s="12" t="str">
        <f ca="1">IFERROR(CONCATENATE("[", CONCATENATE(IF(VLOOKUP(D299,DM_fish!C:X,14, FALSE)&gt;0, CONCATENATE("{",CHAR(34),"target",CHAR(34),":",CHAR(34),VLOOKUP(D299,DM_fish!C:X,13, FALSE),CHAR(34),",", CHAR(34), "excitation",CHAR(34), ":", VLOOKUP(D299,DM_fish!C:X,14, FALSE), ",",  CHAR(34), "camera",CHAR(34), ":", IF(VALUE(VLOOKUP(D299,DM_fish!C:X,14, FALSE))&lt;VALUE(VLOOKUP(V299,imaging_filters!A:K,11, FALSE)), CONCATENATE(CHAR(34),"CamA",CHAR(34)), CONCATENATE(CHAR(34),"CamB",CHAR(34))),"}"), ""),IF(VLOOKUP(D299,DM_fish!C:X,16, FALSE)&gt;0, CONCATENATE(",{",CHAR(34),"target",CHAR(34),":",CHAR(34),VLOOKUP(D299,DM_fish!C:X,15, FALSE),CHAR(34),",", CHAR(34), "excitation",CHAR(34), ":", VLOOKUP(D299,DM_fish!C:X,16, FALSE), ",",  CHAR(34), "camera",CHAR(34), ":", IF(VALUE(VLOOKUP(D299,DM_fish!C:X,16, FALSE))&lt;VALUE(VLOOKUP(V299,imaging_filters!A:K,11, FALSE)), CONCATENATE(CHAR(34),"CamA",CHAR(34)), CONCATENATE(CHAR(34),"CamB",CHAR(34))),"}"), ""),IF(VLOOKUP(D299,DM_fish!C:X,18, FALSE)&gt;0, CONCATENATE(",{",CHAR(34),"target",CHAR(34),":",CHAR(34),VLOOKUP(D299,DM_fish!C:X,17, FALSE),CHAR(34),",", CHAR(34), "excitation",CHAR(34), ":", VLOOKUP(D299,DM_fish!C:X,18, FALSE), ",",  CHAR(34), "camera",CHAR(34), ":", IF(VALUE(VLOOKUP(D299,DM_fish!C:X,18, FALSE))&lt;VALUE(VLOOKUP(V299,imaging_filters!A:K,11, FALSE)), CONCATENATE(CHAR(34),"CamA",CHAR(34)), CONCATENATE(CHAR(34),"CamB",CHAR(34))),"}"), ""),IF(VLOOKUP(D299,DM_fish!C:X,20, FALSE)&gt;0, CONCATENATE(",{",CHAR(34),"target",CHAR(34),":",CHAR(34),VLOOKUP(D299,DM_fish!C:X,19, FALSE),CHAR(34),",", CHAR(34), "excitation",CHAR(34), ":", VLOOKUP(D299,DM_fish!C:X,20, FALSE), ",",  CHAR(34), "camera",CHAR(34), ":", IF(VALUE(VLOOKUP(D299,DM_fish!C:X,20, FALSE))&lt;VALUE(VLOOKUP(V299,imaging_filters!A:K,11, FALSE)), CONCATENATE(CHAR(34),"CamA",CHAR(34)), CONCATENATE(CHAR(34),"CamB",CHAR(34))),"}"), ""),IF(VLOOKUP(D299,DM_fish!C:X,22, FALSE)&gt;0, CONCATENATE(",{",CHAR(34),"target",CHAR(34),":",CHAR(34),VLOOKUP(D299,DM_fish!C:X,21, FALSE),CHAR(34),",", CHAR(34), "excitation",CHAR(34), ":", VLOOKUP(D299,DM_fish!C:X,22, FALSE), ",",  CHAR(34), "camera",CHAR(34), ":", IF(VALUE(VLOOKUP(D299,DM_fish!C:X,22, FALSE))&lt;VALUE(VLOOKUP(V299,imaging_filters!A:K,11, FALSE)), CONCATENATE(CHAR(34),"CamA",CHAR(34)), CONCATENATE(CHAR(34),"CamB",CHAR(34))),"}"), "")), "]"), "")</f>
        <v/>
      </c>
      <c r="X299" s="12" t="str">
        <f ca="1">IFERROR(
CONCATENATE("[", CONCATENATE(IF(VLOOKUP(C299,DM_fish!C:X,14, FALSE)&gt;0, CONCATENATE("{",CHAR(34),"target",CHAR(34),":",CHAR(34),VLOOKUP(C299,DM_fish!C:X,13, FALSE),CHAR(34),",", CHAR(34), "excitation",CHAR(34), ":", VLOOKUP(C299,DM_fish!C:X,14, FALSE), ",",  CHAR(34), "camera",CHAR(34), ":", IF(VALUE(VLOOKUP(C299,DM_fish!C:X,14, FALSE))&lt;VALUE(VLOOKUP(V299,imaging_filters!A:K,11, FALSE)), CONCATENATE(CHAR(34),"CamA",CHAR(34)), CONCATENATE(CHAR(34),"CamB",CHAR(34))),"}"), ""),IF(VLOOKUP(C299,DM_fish!C:X,16, FALSE)&gt;0, CONCATENATE(",{",CHAR(34),"target",CHAR(34),":",CHAR(34),VLOOKUP(C299,DM_fish!C:X,15, FALSE),CHAR(34),",", CHAR(34), "excitation",CHAR(34), ":", VLOOKUP(C299,DM_fish!C:X,16, FALSE), ",",  CHAR(34), "camera",CHAR(34), ":", IF(VALUE(VLOOKUP(C299,DM_fish!C:X,16, FALSE))&lt;VALUE(VLOOKUP(V299,imaging_filters!A:K,11, FALSE)), CONCATENATE(CHAR(34),"CamA",CHAR(34)), CONCATENATE(CHAR(34),"CamB",CHAR(34))),"}"), ""),IF(VLOOKUP(C299,DM_fish!C:X,18, FALSE)&gt;0, CONCATENATE(",{",CHAR(34),"target",CHAR(34),":",CHAR(34),VLOOKUP(C299,DM_fish!C:X,17, FALSE),CHAR(34),",", CHAR(34), "excitation",CHAR(34), ":", VLOOKUP(C299,DM_fish!C:X,18, FALSE), ",",  CHAR(34), "camera",CHAR(34), ":", IF(VALUE(VLOOKUP(C299,DM_fish!C:X,18, FALSE))&lt;VALUE(VLOOKUP(V299,imaging_filters!A:K,11, FALSE)), CONCATENATE(CHAR(34),"CamA",CHAR(34)), CONCATENATE(CHAR(34),"CamB",CHAR(34))),"}"), ""),IF(VLOOKUP(C299,DM_fish!C:X,20, FALSE)&gt;0, CONCATENATE(",{",CHAR(34),"target",CHAR(34),":",CHAR(34),VLOOKUP(C299,DM_fish!C:X,19, FALSE),CHAR(34),",", CHAR(34), "excitation",CHAR(34), ":", VLOOKUP(C299,DM_fish!C:X,20, FALSE), ",",  CHAR(34), "camera",CHAR(34), ":", IF(VALUE(VLOOKUP(C299,DM_fish!C:X,20, FALSE))&lt;VALUE(VLOOKUP(V299,imaging_filters!A:K,11, FALSE)), CONCATENATE(CHAR(34),"CamA",CHAR(34)), CONCATENATE(CHAR(34),"CamB",CHAR(34))),"}"), ""),IF(VLOOKUP(C299,DM_fish!C:X,22, FALSE)&gt;0, CONCATENATE(",{",CHAR(34),"target",CHAR(34),":",CHAR(34),VLOOKUP(C299,DM_fish!C:X,21, FALSE),CHAR(34),",", CHAR(34), "excitation",CHAR(34), ":", VLOOKUP(C299,DM_fish!C:X,22, FALSE), ",",  CHAR(34), "camera",CHAR(34), ":", IF(VALUE(VLOOKUP(C299,DM_fish!C:X,22, FALSE))&lt;VALUE(VLOOKUP(V299,imaging_filters!A:K,11, FALSE)), CONCATENATE(CHAR(34),"CamA",CHAR(34)), CONCATENATE(CHAR(34),"CamB",CHAR(34))),"}"), "")), "]"), "")</f>
        <v/>
      </c>
      <c r="Y299" s="11" t="str">
        <f ca="1">IFERROR(
CONCATENATE( "[",
IF(VLOOKUP(E299,Injections!B:F,3, FALSE)&gt;0, CONCATENATE( "{",CHAR(34),"target",CHAR(34),":",CHAR(34),VLOOKUP(E299,Injections!B:F,2, FALSE),CHAR(34),",", CHAR(34), "excitation",CHAR(34), ":", VLOOKUP(E299,Injections!B:F,3, FALSE), ",",  CHAR(34), "camera",CHAR(34), ":",
IF(VALUE(VLOOKUP(E299,Injections!B:F,3, FALSE))&lt;VALUE(VLOOKUP(V299,imaging_filters!A:C,2, FALSE)), CONCATENATE(CHAR(34),"CamA",CHAR(34)), CONCATENATE(CHAR(34),"CamB",CHAR(34))),"}"), ""),
IF(VLOOKUP(E299,Injections!B:F,5, FALSE)&gt;0, CONCATENATE(",{",CHAR(34),"target",CHAR(34),":",CHAR(34),VLOOKUP(E299,Injections!B:F,4, FALSE),CHAR(34),",", CHAR(34), "excitation",CHAR(34), ":", VLOOKUP(E299,Injections!B:F,5, FALSE), ",",  CHAR(34), "camera",CHAR(34), ":",
IF(VALUE(VLOOKUP(E299,Injections!B:F,5, FALSE))&lt;VALUE(VLOOKUP(V299,imaging_filters!A:C,2, FALSE)), CONCATENATE(CHAR(34),"CamA",CHAR(34)), CONCATENATE(CHAR(34),"CamB",CHAR(34))),"}"), ""),
 "]"), "[]")</f>
        <v>[]</v>
      </c>
      <c r="Z299" s="11" t="str">
        <f ca="1">IFERROR(
CONCATENATE( "[",
IF(VLOOKUP(F299,Injections!H:L,3, FALSE)&gt;0, CONCATENATE( "{",CHAR(34),"target",CHAR(34),":",CHAR(34),VLOOKUP(F299,Injections!H:L,2, FALSE),CHAR(34),",", CHAR(34), "excitation",CHAR(34), ":", VLOOKUP(F299,Injections!H:L,3, FALSE), ",",  CHAR(34), "camera",CHAR(34), ":",
IF(VALUE(VLOOKUP(F299,Injections!H:L,3, FALSE))&lt;VALUE(VLOOKUP(V299,imaging_filters!A:K,11, FALSE)), CONCATENATE(CHAR(34),"CamA",CHAR(34)), CONCATENATE(CHAR(34),"CamB",CHAR(34))),"}"), ""),
IF(VLOOKUP(F299,Injections!H:L,5, FALSE)&gt;0, CONCATENATE(",{",CHAR(34),"target",CHAR(34),":",CHAR(34),VLOOKUP(F299,Injections!H:L,4, FALSE),CHAR(34),",", CHAR(34), "excitation",CHAR(34), ":", VLOOKUP(F299,Injections!H:L,5, FALSE), ",",  CHAR(34), "camera",CHAR(34), ":",
IF(VALUE(VLOOKUP(F299,Injections!H:L,5, FALSE))&lt;VALUE(VLOOKUP(V299,imaging_filters!A:K,11, FALSE)), CONCATENATE(CHAR(34),"CamA",CHAR(34)), CONCATENATE(CHAR(34),"CamB",CHAR(34))),"}"), ""),
 "]"), "[]")</f>
        <v>[]</v>
      </c>
      <c r="AA299" s="11"/>
    </row>
    <row r="300" spans="1:27" ht="15.75" customHeight="1" x14ac:dyDescent="0.15">
      <c r="A300" s="7">
        <f t="shared" si="7"/>
        <v>45713</v>
      </c>
      <c r="B300" s="1"/>
      <c r="C300" s="1" t="s">
        <v>107</v>
      </c>
      <c r="D300" s="1" t="s">
        <v>253</v>
      </c>
      <c r="F300" s="1" t="s">
        <v>550</v>
      </c>
      <c r="G300" s="8"/>
      <c r="H300" s="8"/>
      <c r="I300" s="8">
        <v>45712</v>
      </c>
      <c r="J300" s="1" t="s">
        <v>589</v>
      </c>
      <c r="K300" s="1" t="s">
        <v>571</v>
      </c>
      <c r="L300" s="19">
        <v>45713</v>
      </c>
      <c r="M300" s="8">
        <v>45713</v>
      </c>
      <c r="N300" s="9">
        <v>0.69444444444444442</v>
      </c>
      <c r="O300" s="9">
        <v>0.71875</v>
      </c>
      <c r="P300" s="1" t="s">
        <v>590</v>
      </c>
      <c r="Q300" s="1" t="s">
        <v>583</v>
      </c>
      <c r="R300" s="10" t="str">
        <f ca="1">IFERROR(__xludf.DUMMYFUNCTION("JOIN("","", SORT(UNIQUE(TOCOL({VLOOKUP(D300,DM_fish!A:B,2,FALSE),VLOOKUP(C300,DM_fish!A:B,2,FALSE), ARRAYFORMULA(VLOOKUP(SPLIT(E300, "", ""),Injections!B:G,6,FALSE)), ARRAYFORMULA(VLOOKUP(SPLIT(F300, "", ""),Injections!H:M,6,FALSE)), ARRAYFORMULA(VLOOKUP("&amp;"SPLIT(G300, "", ""),Injections!N:S,6,FALSE)), ARRAYFORMULA(VLOOKUP(SPLIT(H300, "", ""),Injections!T:Y,6,FALSE)) },3))))"),"nuclei")</f>
        <v>nuclei</v>
      </c>
      <c r="S300" s="10" t="str">
        <f ca="1">IFERROR(__xludf.DUMMYFUNCTION("IFERROR(JOIN("","", SPLIT(R300, "","", TRUE ,TRUE)), """")"),"nuclei")</f>
        <v>nuclei</v>
      </c>
      <c r="T300" s="1" t="s">
        <v>591</v>
      </c>
      <c r="U300" s="1">
        <v>2713</v>
      </c>
      <c r="V300" s="1" t="s">
        <v>203</v>
      </c>
      <c r="W300" s="12" t="str">
        <f ca="1">IFERROR(CONCATENATE("[", CONCATENATE(IF(VLOOKUP(D300,DM_fish!C:X,14, FALSE)&gt;0, CONCATENATE("{",CHAR(34),"target",CHAR(34),":",CHAR(34),VLOOKUP(D300,DM_fish!C:X,13, FALSE),CHAR(34),",", CHAR(34), "excitation",CHAR(34), ":", VLOOKUP(D300,DM_fish!C:X,14, FALSE), ",",  CHAR(34), "camera",CHAR(34), ":", IF(VALUE(VLOOKUP(D300,DM_fish!C:X,14, FALSE))&lt;VALUE(VLOOKUP(V300,imaging_filters!A:K,11, FALSE)), CONCATENATE(CHAR(34),"CamA",CHAR(34)), CONCATENATE(CHAR(34),"CamB",CHAR(34))),"}"), ""),IF(VLOOKUP(D300,DM_fish!C:X,16, FALSE)&gt;0, CONCATENATE(",{",CHAR(34),"target",CHAR(34),":",CHAR(34),VLOOKUP(D300,DM_fish!C:X,15, FALSE),CHAR(34),",", CHAR(34), "excitation",CHAR(34), ":", VLOOKUP(D300,DM_fish!C:X,16, FALSE), ",",  CHAR(34), "camera",CHAR(34), ":", IF(VALUE(VLOOKUP(D300,DM_fish!C:X,16, FALSE))&lt;VALUE(VLOOKUP(V300,imaging_filters!A:K,11, FALSE)), CONCATENATE(CHAR(34),"CamA",CHAR(34)), CONCATENATE(CHAR(34),"CamB",CHAR(34))),"}"), ""),IF(VLOOKUP(D300,DM_fish!C:X,18, FALSE)&gt;0, CONCATENATE(",{",CHAR(34),"target",CHAR(34),":",CHAR(34),VLOOKUP(D300,DM_fish!C:X,17, FALSE),CHAR(34),",", CHAR(34), "excitation",CHAR(34), ":", VLOOKUP(D300,DM_fish!C:X,18, FALSE), ",",  CHAR(34), "camera",CHAR(34), ":", IF(VALUE(VLOOKUP(D300,DM_fish!C:X,18, FALSE))&lt;VALUE(VLOOKUP(V300,imaging_filters!A:K,11, FALSE)), CONCATENATE(CHAR(34),"CamA",CHAR(34)), CONCATENATE(CHAR(34),"CamB",CHAR(34))),"}"), ""),IF(VLOOKUP(D300,DM_fish!C:X,20, FALSE)&gt;0, CONCATENATE(",{",CHAR(34),"target",CHAR(34),":",CHAR(34),VLOOKUP(D300,DM_fish!C:X,19, FALSE),CHAR(34),",", CHAR(34), "excitation",CHAR(34), ":", VLOOKUP(D300,DM_fish!C:X,20, FALSE), ",",  CHAR(34), "camera",CHAR(34), ":", IF(VALUE(VLOOKUP(D300,DM_fish!C:X,20, FALSE))&lt;VALUE(VLOOKUP(V300,imaging_filters!A:K,11, FALSE)), CONCATENATE(CHAR(34),"CamA",CHAR(34)), CONCATENATE(CHAR(34),"CamB",CHAR(34))),"}"), ""),IF(VLOOKUP(D300,DM_fish!C:X,22, FALSE)&gt;0, CONCATENATE(",{",CHAR(34),"target",CHAR(34),":",CHAR(34),VLOOKUP(D300,DM_fish!C:X,21, FALSE),CHAR(34),",", CHAR(34), "excitation",CHAR(34), ":", VLOOKUP(D300,DM_fish!C:X,22, FALSE), ",",  CHAR(34), "camera",CHAR(34), ":", IF(VALUE(VLOOKUP(D300,DM_fish!C:X,22, FALSE))&lt;VALUE(VLOOKUP(V300,imaging_filters!A:K,11, FALSE)), CONCATENATE(CHAR(34),"CamA",CHAR(34)), CONCATENATE(CHAR(34),"CamB",CHAR(34))),"}"), "")), "]"), "")</f>
        <v/>
      </c>
      <c r="X300" s="12" t="str">
        <f ca="1">IFERROR(
CONCATENATE("[", CONCATENATE(IF(VLOOKUP(C300,DM_fish!C:X,14, FALSE)&gt;0, CONCATENATE("{",CHAR(34),"target",CHAR(34),":",CHAR(34),VLOOKUP(C300,DM_fish!C:X,13, FALSE),CHAR(34),",", CHAR(34), "excitation",CHAR(34), ":", VLOOKUP(C300,DM_fish!C:X,14, FALSE), ",",  CHAR(34), "camera",CHAR(34), ":", IF(VALUE(VLOOKUP(C300,DM_fish!C:X,14, FALSE))&lt;VALUE(VLOOKUP(V300,imaging_filters!A:K,11, FALSE)), CONCATENATE(CHAR(34),"CamA",CHAR(34)), CONCATENATE(CHAR(34),"CamB",CHAR(34))),"}"), ""),IF(VLOOKUP(C300,DM_fish!C:X,16, FALSE)&gt;0, CONCATENATE(",{",CHAR(34),"target",CHAR(34),":",CHAR(34),VLOOKUP(C300,DM_fish!C:X,15, FALSE),CHAR(34),",", CHAR(34), "excitation",CHAR(34), ":", VLOOKUP(C300,DM_fish!C:X,16, FALSE), ",",  CHAR(34), "camera",CHAR(34), ":", IF(VALUE(VLOOKUP(C300,DM_fish!C:X,16, FALSE))&lt;VALUE(VLOOKUP(V300,imaging_filters!A:K,11, FALSE)), CONCATENATE(CHAR(34),"CamA",CHAR(34)), CONCATENATE(CHAR(34),"CamB",CHAR(34))),"}"), ""),IF(VLOOKUP(C300,DM_fish!C:X,18, FALSE)&gt;0, CONCATENATE(",{",CHAR(34),"target",CHAR(34),":",CHAR(34),VLOOKUP(C300,DM_fish!C:X,17, FALSE),CHAR(34),",", CHAR(34), "excitation",CHAR(34), ":", VLOOKUP(C300,DM_fish!C:X,18, FALSE), ",",  CHAR(34), "camera",CHAR(34), ":", IF(VALUE(VLOOKUP(C300,DM_fish!C:X,18, FALSE))&lt;VALUE(VLOOKUP(V300,imaging_filters!A:K,11, FALSE)), CONCATENATE(CHAR(34),"CamA",CHAR(34)), CONCATENATE(CHAR(34),"CamB",CHAR(34))),"}"), ""),IF(VLOOKUP(C300,DM_fish!C:X,20, FALSE)&gt;0, CONCATENATE(",{",CHAR(34),"target",CHAR(34),":",CHAR(34),VLOOKUP(C300,DM_fish!C:X,19, FALSE),CHAR(34),",", CHAR(34), "excitation",CHAR(34), ":", VLOOKUP(C300,DM_fish!C:X,20, FALSE), ",",  CHAR(34), "camera",CHAR(34), ":", IF(VALUE(VLOOKUP(C300,DM_fish!C:X,20, FALSE))&lt;VALUE(VLOOKUP(V300,imaging_filters!A:K,11, FALSE)), CONCATENATE(CHAR(34),"CamA",CHAR(34)), CONCATENATE(CHAR(34),"CamB",CHAR(34))),"}"), ""),IF(VLOOKUP(C300,DM_fish!C:X,22, FALSE)&gt;0, CONCATENATE(",{",CHAR(34),"target",CHAR(34),":",CHAR(34),VLOOKUP(C300,DM_fish!C:X,21, FALSE),CHAR(34),",", CHAR(34), "excitation",CHAR(34), ":", VLOOKUP(C300,DM_fish!C:X,22, FALSE), ",",  CHAR(34), "camera",CHAR(34), ":", IF(VALUE(VLOOKUP(C300,DM_fish!C:X,22, FALSE))&lt;VALUE(VLOOKUP(V300,imaging_filters!A:K,11, FALSE)), CONCATENATE(CHAR(34),"CamA",CHAR(34)), CONCATENATE(CHAR(34),"CamB",CHAR(34))),"}"), "")), "]"), "")</f>
        <v/>
      </c>
      <c r="Y300" s="11" t="str">
        <f ca="1">IFERROR(
CONCATENATE( "[",
IF(VLOOKUP(E300,Injections!B:F,3, FALSE)&gt;0, CONCATENATE( "{",CHAR(34),"target",CHAR(34),":",CHAR(34),VLOOKUP(E300,Injections!B:F,2, FALSE),CHAR(34),",", CHAR(34), "excitation",CHAR(34), ":", VLOOKUP(E300,Injections!B:F,3, FALSE), ",",  CHAR(34), "camera",CHAR(34), ":",
IF(VALUE(VLOOKUP(E300,Injections!B:F,3, FALSE))&lt;VALUE(VLOOKUP(V300,imaging_filters!A:C,2, FALSE)), CONCATENATE(CHAR(34),"CamA",CHAR(34)), CONCATENATE(CHAR(34),"CamB",CHAR(34))),"}"), ""),
IF(VLOOKUP(E300,Injections!B:F,5, FALSE)&gt;0, CONCATENATE(",{",CHAR(34),"target",CHAR(34),":",CHAR(34),VLOOKUP(E300,Injections!B:F,4, FALSE),CHAR(34),",", CHAR(34), "excitation",CHAR(34), ":", VLOOKUP(E300,Injections!B:F,5, FALSE), ",",  CHAR(34), "camera",CHAR(34), ":",
IF(VALUE(VLOOKUP(E300,Injections!B:F,5, FALSE))&lt;VALUE(VLOOKUP(V300,imaging_filters!A:C,2, FALSE)), CONCATENATE(CHAR(34),"CamA",CHAR(34)), CONCATENATE(CHAR(34),"CamB",CHAR(34))),"}"), ""),
 "]"), "[]")</f>
        <v>[]</v>
      </c>
      <c r="Z300" s="11" t="str">
        <f ca="1">IFERROR(
CONCATENATE( "[",
IF(VLOOKUP(F300,Injections!H:L,3, FALSE)&gt;0, CONCATENATE( "{",CHAR(34),"target",CHAR(34),":",CHAR(34),VLOOKUP(F300,Injections!H:L,2, FALSE),CHAR(34),",", CHAR(34), "excitation",CHAR(34), ":", VLOOKUP(F300,Injections!H:L,3, FALSE), ",",  CHAR(34), "camera",CHAR(34), ":",
IF(VALUE(VLOOKUP(F300,Injections!H:L,3, FALSE))&lt;VALUE(VLOOKUP(V300,imaging_filters!A:K,11, FALSE)), CONCATENATE(CHAR(34),"CamA",CHAR(34)), CONCATENATE(CHAR(34),"CamB",CHAR(34))),"}"), ""),
IF(VLOOKUP(F300,Injections!H:L,5, FALSE)&gt;0, CONCATENATE(",{",CHAR(34),"target",CHAR(34),":",CHAR(34),VLOOKUP(F300,Injections!H:L,4, FALSE),CHAR(34),",", CHAR(34), "excitation",CHAR(34), ":", VLOOKUP(F300,Injections!H:L,5, FALSE), ",",  CHAR(34), "camera",CHAR(34), ":",
IF(VALUE(VLOOKUP(F300,Injections!H:L,5, FALSE))&lt;VALUE(VLOOKUP(V300,imaging_filters!A:K,11, FALSE)), CONCATENATE(CHAR(34),"CamA",CHAR(34)), CONCATENATE(CHAR(34),"CamB",CHAR(34))),"}"), ""),
 "]"), "[]")</f>
        <v>[]</v>
      </c>
      <c r="AA300" s="11" t="s">
        <v>592</v>
      </c>
    </row>
    <row r="301" spans="1:27" ht="15.75" customHeight="1" x14ac:dyDescent="0.15">
      <c r="A301" s="7">
        <f t="shared" si="7"/>
        <v>45713</v>
      </c>
      <c r="B301" s="1"/>
      <c r="C301" s="1" t="s">
        <v>107</v>
      </c>
      <c r="D301" s="1" t="s">
        <v>253</v>
      </c>
      <c r="F301" s="1" t="s">
        <v>550</v>
      </c>
      <c r="G301" s="8"/>
      <c r="H301" s="8"/>
      <c r="I301" s="8">
        <v>45712</v>
      </c>
      <c r="J301" s="1" t="s">
        <v>589</v>
      </c>
      <c r="K301" s="1" t="s">
        <v>571</v>
      </c>
      <c r="L301" s="19">
        <v>45713</v>
      </c>
      <c r="M301" s="8">
        <v>45713</v>
      </c>
      <c r="N301" s="9">
        <v>0.69444444444444442</v>
      </c>
      <c r="O301" s="1" t="s">
        <v>588</v>
      </c>
      <c r="R301" s="10" t="str">
        <f ca="1">IFERROR(__xludf.DUMMYFUNCTION("JOIN("","", SORT(UNIQUE(TOCOL({VLOOKUP(D301,DM_fish!A:B,2,FALSE),VLOOKUP(C301,DM_fish!A:B,2,FALSE), ARRAYFORMULA(VLOOKUP(SPLIT(E301, "", ""),Injections!B:G,6,FALSE)), ARRAYFORMULA(VLOOKUP(SPLIT(F301, "", ""),Injections!H:M,6,FALSE)), ARRAYFORMULA(VLOOKUP("&amp;"SPLIT(G301, "", ""),Injections!N:S,6,FALSE)), ARRAYFORMULA(VLOOKUP(SPLIT(H301, "", ""),Injections!T:Y,6,FALSE)) },3))))"),"nuclei")</f>
        <v>nuclei</v>
      </c>
      <c r="S301" s="10" t="str">
        <f ca="1">IFERROR(__xludf.DUMMYFUNCTION("IFERROR(JOIN("","", SPLIT(R301, "","", TRUE ,TRUE)), """")"),"nuclei")</f>
        <v>nuclei</v>
      </c>
      <c r="T301" s="1"/>
      <c r="V301" s="1" t="s">
        <v>203</v>
      </c>
      <c r="W301" s="12" t="str">
        <f ca="1">IFERROR(CONCATENATE("[", CONCATENATE(IF(VLOOKUP(D301,DM_fish!C:X,14, FALSE)&gt;0, CONCATENATE("{",CHAR(34),"target",CHAR(34),":",CHAR(34),VLOOKUP(D301,DM_fish!C:X,13, FALSE),CHAR(34),",", CHAR(34), "excitation",CHAR(34), ":", VLOOKUP(D301,DM_fish!C:X,14, FALSE), ",",  CHAR(34), "camera",CHAR(34), ":", IF(VALUE(VLOOKUP(D301,DM_fish!C:X,14, FALSE))&lt;VALUE(VLOOKUP(V301,imaging_filters!A:K,11, FALSE)), CONCATENATE(CHAR(34),"CamA",CHAR(34)), CONCATENATE(CHAR(34),"CamB",CHAR(34))),"}"), ""),IF(VLOOKUP(D301,DM_fish!C:X,16, FALSE)&gt;0, CONCATENATE(",{",CHAR(34),"target",CHAR(34),":",CHAR(34),VLOOKUP(D301,DM_fish!C:X,15, FALSE),CHAR(34),",", CHAR(34), "excitation",CHAR(34), ":", VLOOKUP(D301,DM_fish!C:X,16, FALSE), ",",  CHAR(34), "camera",CHAR(34), ":", IF(VALUE(VLOOKUP(D301,DM_fish!C:X,16, FALSE))&lt;VALUE(VLOOKUP(V301,imaging_filters!A:K,11, FALSE)), CONCATENATE(CHAR(34),"CamA",CHAR(34)), CONCATENATE(CHAR(34),"CamB",CHAR(34))),"}"), ""),IF(VLOOKUP(D301,DM_fish!C:X,18, FALSE)&gt;0, CONCATENATE(",{",CHAR(34),"target",CHAR(34),":",CHAR(34),VLOOKUP(D301,DM_fish!C:X,17, FALSE),CHAR(34),",", CHAR(34), "excitation",CHAR(34), ":", VLOOKUP(D301,DM_fish!C:X,18, FALSE), ",",  CHAR(34), "camera",CHAR(34), ":", IF(VALUE(VLOOKUP(D301,DM_fish!C:X,18, FALSE))&lt;VALUE(VLOOKUP(V301,imaging_filters!A:K,11, FALSE)), CONCATENATE(CHAR(34),"CamA",CHAR(34)), CONCATENATE(CHAR(34),"CamB",CHAR(34))),"}"), ""),IF(VLOOKUP(D301,DM_fish!C:X,20, FALSE)&gt;0, CONCATENATE(",{",CHAR(34),"target",CHAR(34),":",CHAR(34),VLOOKUP(D301,DM_fish!C:X,19, FALSE),CHAR(34),",", CHAR(34), "excitation",CHAR(34), ":", VLOOKUP(D301,DM_fish!C:X,20, FALSE), ",",  CHAR(34), "camera",CHAR(34), ":", IF(VALUE(VLOOKUP(D301,DM_fish!C:X,20, FALSE))&lt;VALUE(VLOOKUP(V301,imaging_filters!A:K,11, FALSE)), CONCATENATE(CHAR(34),"CamA",CHAR(34)), CONCATENATE(CHAR(34),"CamB",CHAR(34))),"}"), ""),IF(VLOOKUP(D301,DM_fish!C:X,22, FALSE)&gt;0, CONCATENATE(",{",CHAR(34),"target",CHAR(34),":",CHAR(34),VLOOKUP(D301,DM_fish!C:X,21, FALSE),CHAR(34),",", CHAR(34), "excitation",CHAR(34), ":", VLOOKUP(D301,DM_fish!C:X,22, FALSE), ",",  CHAR(34), "camera",CHAR(34), ":", IF(VALUE(VLOOKUP(D301,DM_fish!C:X,22, FALSE))&lt;VALUE(VLOOKUP(V301,imaging_filters!A:K,11, FALSE)), CONCATENATE(CHAR(34),"CamA",CHAR(34)), CONCATENATE(CHAR(34),"CamB",CHAR(34))),"}"), "")), "]"), "")</f>
        <v/>
      </c>
      <c r="X301" s="12" t="str">
        <f ca="1">IFERROR(
CONCATENATE("[", CONCATENATE(IF(VLOOKUP(C301,DM_fish!C:X,14, FALSE)&gt;0, CONCATENATE("{",CHAR(34),"target",CHAR(34),":",CHAR(34),VLOOKUP(C301,DM_fish!C:X,13, FALSE),CHAR(34),",", CHAR(34), "excitation",CHAR(34), ":", VLOOKUP(C301,DM_fish!C:X,14, FALSE), ",",  CHAR(34), "camera",CHAR(34), ":", IF(VALUE(VLOOKUP(C301,DM_fish!C:X,14, FALSE))&lt;VALUE(VLOOKUP(V301,imaging_filters!A:K,11, FALSE)), CONCATENATE(CHAR(34),"CamA",CHAR(34)), CONCATENATE(CHAR(34),"CamB",CHAR(34))),"}"), ""),IF(VLOOKUP(C301,DM_fish!C:X,16, FALSE)&gt;0, CONCATENATE(",{",CHAR(34),"target",CHAR(34),":",CHAR(34),VLOOKUP(C301,DM_fish!C:X,15, FALSE),CHAR(34),",", CHAR(34), "excitation",CHAR(34), ":", VLOOKUP(C301,DM_fish!C:X,16, FALSE), ",",  CHAR(34), "camera",CHAR(34), ":", IF(VALUE(VLOOKUP(C301,DM_fish!C:X,16, FALSE))&lt;VALUE(VLOOKUP(V301,imaging_filters!A:K,11, FALSE)), CONCATENATE(CHAR(34),"CamA",CHAR(34)), CONCATENATE(CHAR(34),"CamB",CHAR(34))),"}"), ""),IF(VLOOKUP(C301,DM_fish!C:X,18, FALSE)&gt;0, CONCATENATE(",{",CHAR(34),"target",CHAR(34),":",CHAR(34),VLOOKUP(C301,DM_fish!C:X,17, FALSE),CHAR(34),",", CHAR(34), "excitation",CHAR(34), ":", VLOOKUP(C301,DM_fish!C:X,18, FALSE), ",",  CHAR(34), "camera",CHAR(34), ":", IF(VALUE(VLOOKUP(C301,DM_fish!C:X,18, FALSE))&lt;VALUE(VLOOKUP(V301,imaging_filters!A:K,11, FALSE)), CONCATENATE(CHAR(34),"CamA",CHAR(34)), CONCATENATE(CHAR(34),"CamB",CHAR(34))),"}"), ""),IF(VLOOKUP(C301,DM_fish!C:X,20, FALSE)&gt;0, CONCATENATE(",{",CHAR(34),"target",CHAR(34),":",CHAR(34),VLOOKUP(C301,DM_fish!C:X,19, FALSE),CHAR(34),",", CHAR(34), "excitation",CHAR(34), ":", VLOOKUP(C301,DM_fish!C:X,20, FALSE), ",",  CHAR(34), "camera",CHAR(34), ":", IF(VALUE(VLOOKUP(C301,DM_fish!C:X,20, FALSE))&lt;VALUE(VLOOKUP(V301,imaging_filters!A:K,11, FALSE)), CONCATENATE(CHAR(34),"CamA",CHAR(34)), CONCATENATE(CHAR(34),"CamB",CHAR(34))),"}"), ""),IF(VLOOKUP(C301,DM_fish!C:X,22, FALSE)&gt;0, CONCATENATE(",{",CHAR(34),"target",CHAR(34),":",CHAR(34),VLOOKUP(C301,DM_fish!C:X,21, FALSE),CHAR(34),",", CHAR(34), "excitation",CHAR(34), ":", VLOOKUP(C301,DM_fish!C:X,22, FALSE), ",",  CHAR(34), "camera",CHAR(34), ":", IF(VALUE(VLOOKUP(C301,DM_fish!C:X,22, FALSE))&lt;VALUE(VLOOKUP(V301,imaging_filters!A:K,11, FALSE)), CONCATENATE(CHAR(34),"CamA",CHAR(34)), CONCATENATE(CHAR(34),"CamB",CHAR(34))),"}"), "")), "]"), "")</f>
        <v/>
      </c>
      <c r="Y301" s="11" t="str">
        <f ca="1">IFERROR(
CONCATENATE( "[",
IF(VLOOKUP(E301,Injections!B:F,3, FALSE)&gt;0, CONCATENATE( "{",CHAR(34),"target",CHAR(34),":",CHAR(34),VLOOKUP(E301,Injections!B:F,2, FALSE),CHAR(34),",", CHAR(34), "excitation",CHAR(34), ":", VLOOKUP(E301,Injections!B:F,3, FALSE), ",",  CHAR(34), "camera",CHAR(34), ":",
IF(VALUE(VLOOKUP(E301,Injections!B:F,3, FALSE))&lt;VALUE(VLOOKUP(V301,imaging_filters!A:C,2, FALSE)), CONCATENATE(CHAR(34),"CamA",CHAR(34)), CONCATENATE(CHAR(34),"CamB",CHAR(34))),"}"), ""),
IF(VLOOKUP(E301,Injections!B:F,5, FALSE)&gt;0, CONCATENATE(",{",CHAR(34),"target",CHAR(34),":",CHAR(34),VLOOKUP(E301,Injections!B:F,4, FALSE),CHAR(34),",", CHAR(34), "excitation",CHAR(34), ":", VLOOKUP(E301,Injections!B:F,5, FALSE), ",",  CHAR(34), "camera",CHAR(34), ":",
IF(VALUE(VLOOKUP(E301,Injections!B:F,5, FALSE))&lt;VALUE(VLOOKUP(V301,imaging_filters!A:C,2, FALSE)), CONCATENATE(CHAR(34),"CamA",CHAR(34)), CONCATENATE(CHAR(34),"CamB",CHAR(34))),"}"), ""),
 "]"), "[]")</f>
        <v>[]</v>
      </c>
      <c r="Z301" s="11" t="str">
        <f ca="1">IFERROR(
CONCATENATE( "[",
IF(VLOOKUP(F301,Injections!H:L,3, FALSE)&gt;0, CONCATENATE( "{",CHAR(34),"target",CHAR(34),":",CHAR(34),VLOOKUP(F301,Injections!H:L,2, FALSE),CHAR(34),",", CHAR(34), "excitation",CHAR(34), ":", VLOOKUP(F301,Injections!H:L,3, FALSE), ",",  CHAR(34), "camera",CHAR(34), ":",
IF(VALUE(VLOOKUP(F301,Injections!H:L,3, FALSE))&lt;VALUE(VLOOKUP(V301,imaging_filters!A:K,11, FALSE)), CONCATENATE(CHAR(34),"CamA",CHAR(34)), CONCATENATE(CHAR(34),"CamB",CHAR(34))),"}"), ""),
IF(VLOOKUP(F301,Injections!H:L,5, FALSE)&gt;0, CONCATENATE(",{",CHAR(34),"target",CHAR(34),":",CHAR(34),VLOOKUP(F301,Injections!H:L,4, FALSE),CHAR(34),",", CHAR(34), "excitation",CHAR(34), ":", VLOOKUP(F301,Injections!H:L,5, FALSE), ",",  CHAR(34), "camera",CHAR(34), ":",
IF(VALUE(VLOOKUP(F301,Injections!H:L,5, FALSE))&lt;VALUE(VLOOKUP(V301,imaging_filters!A:K,11, FALSE)), CONCATENATE(CHAR(34),"CamA",CHAR(34)), CONCATENATE(CHAR(34),"CamB",CHAR(34))),"}"), ""),
 "]"), "[]")</f>
        <v>[]</v>
      </c>
      <c r="AA301" s="11"/>
    </row>
    <row r="302" spans="1:27" ht="15.75" customHeight="1" x14ac:dyDescent="0.15">
      <c r="A302" s="7">
        <f t="shared" si="7"/>
        <v>45709</v>
      </c>
      <c r="B302" s="1"/>
      <c r="C302" s="1" t="s">
        <v>253</v>
      </c>
      <c r="D302" s="1" t="s">
        <v>164</v>
      </c>
      <c r="F302" s="1" t="s">
        <v>593</v>
      </c>
      <c r="G302" s="8"/>
      <c r="H302" s="8"/>
      <c r="I302" s="8"/>
      <c r="K302" s="1" t="s">
        <v>357</v>
      </c>
      <c r="M302" s="8">
        <v>45709</v>
      </c>
      <c r="N302" s="9">
        <v>0.4375</v>
      </c>
      <c r="O302" s="9">
        <v>0.45833333333333331</v>
      </c>
      <c r="P302" s="9">
        <v>0.61111111111111116</v>
      </c>
      <c r="Q302" s="1" t="s">
        <v>338</v>
      </c>
      <c r="R302" s="10" t="str">
        <f ca="1">IFERROR(__xludf.DUMMYFUNCTION("JOIN("","", SORT(UNIQUE(TOCOL({VLOOKUP(D302,DM_fish!A:B,2,FALSE),VLOOKUP(C302,DM_fish!A:B,2,FALSE), ARRAYFORMULA(VLOOKUP(SPLIT(E302, "", ""),Injections!B:G,6,FALSE)), ARRAYFORMULA(VLOOKUP(SPLIT(F302, "", ""),Injections!H:M,6,FALSE)), ARRAYFORMULA(VLOOKUP("&amp;"SPLIT(G302, "", ""),Injections!N:S,6,FALSE)), ARRAYFORMULA(VLOOKUP(SPLIT(H302, "", ""),Injections!T:Y,6,FALSE)) },3))))"),",csp,male #5 25%+ positive rate - currently best founder (but 2 alleles, one dim one bright(er)?,405,445")</f>
        <v>,csp,male #5 25%+ positive rate - currently best founder (but 2 alleles, one dim one bright(er)?,405,445</v>
      </c>
      <c r="S302" s="10" t="str">
        <f ca="1">IFERROR(__xludf.DUMMYFUNCTION("IFERROR(JOIN("","", SPLIT(R302, "","", TRUE ,TRUE)), """")"),"csp,male #5 25%+ positive rate - currently best founder (but 2 alleles, one dim one bright(er)?,405,445")</f>
        <v>csp,male #5 25%+ positive rate - currently best founder (but 2 alleles, one dim one bright(er)?,405,445</v>
      </c>
      <c r="T302" s="1" t="s">
        <v>594</v>
      </c>
      <c r="V302" s="1" t="s">
        <v>280</v>
      </c>
      <c r="W302" s="12" t="str">
        <f ca="1">IFERROR(CONCATENATE("[", CONCATENATE(IF(VLOOKUP(D302,DM_fish!C:X,14, FALSE)&gt;0, CONCATENATE("{",CHAR(34),"target",CHAR(34),":",CHAR(34),VLOOKUP(D302,DM_fish!C:X,13, FALSE),CHAR(34),",", CHAR(34), "excitation",CHAR(34), ":", VLOOKUP(D302,DM_fish!C:X,14, FALSE), ",",  CHAR(34), "camera",CHAR(34), ":", IF(VALUE(VLOOKUP(D302,DM_fish!C:X,14, FALSE))&lt;VALUE(VLOOKUP(V302,imaging_filters!A:K,11, FALSE)), CONCATENATE(CHAR(34),"CamA",CHAR(34)), CONCATENATE(CHAR(34),"CamB",CHAR(34))),"}"), ""),IF(VLOOKUP(D302,DM_fish!C:X,16, FALSE)&gt;0, CONCATENATE(",{",CHAR(34),"target",CHAR(34),":",CHAR(34),VLOOKUP(D302,DM_fish!C:X,15, FALSE),CHAR(34),",", CHAR(34), "excitation",CHAR(34), ":", VLOOKUP(D302,DM_fish!C:X,16, FALSE), ",",  CHAR(34), "camera",CHAR(34), ":", IF(VALUE(VLOOKUP(D302,DM_fish!C:X,16, FALSE))&lt;VALUE(VLOOKUP(V302,imaging_filters!A:K,11, FALSE)), CONCATENATE(CHAR(34),"CamA",CHAR(34)), CONCATENATE(CHAR(34),"CamB",CHAR(34))),"}"), ""),IF(VLOOKUP(D302,DM_fish!C:X,18, FALSE)&gt;0, CONCATENATE(",{",CHAR(34),"target",CHAR(34),":",CHAR(34),VLOOKUP(D302,DM_fish!C:X,17, FALSE),CHAR(34),",", CHAR(34), "excitation",CHAR(34), ":", VLOOKUP(D302,DM_fish!C:X,18, FALSE), ",",  CHAR(34), "camera",CHAR(34), ":", IF(VALUE(VLOOKUP(D302,DM_fish!C:X,18, FALSE))&lt;VALUE(VLOOKUP(V302,imaging_filters!A:K,11, FALSE)), CONCATENATE(CHAR(34),"CamA",CHAR(34)), CONCATENATE(CHAR(34),"CamB",CHAR(34))),"}"), ""),IF(VLOOKUP(D302,DM_fish!C:X,20, FALSE)&gt;0, CONCATENATE(",{",CHAR(34),"target",CHAR(34),":",CHAR(34),VLOOKUP(D302,DM_fish!C:X,19, FALSE),CHAR(34),",", CHAR(34), "excitation",CHAR(34), ":", VLOOKUP(D302,DM_fish!C:X,20, FALSE), ",",  CHAR(34), "camera",CHAR(34), ":", IF(VALUE(VLOOKUP(D302,DM_fish!C:X,20, FALSE))&lt;VALUE(VLOOKUP(V302,imaging_filters!A:K,11, FALSE)), CONCATENATE(CHAR(34),"CamA",CHAR(34)), CONCATENATE(CHAR(34),"CamB",CHAR(34))),"}"), ""),IF(VLOOKUP(D302,DM_fish!C:X,22, FALSE)&gt;0, CONCATENATE(",{",CHAR(34),"target",CHAR(34),":",CHAR(34),VLOOKUP(D302,DM_fish!C:X,21, FALSE),CHAR(34),",", CHAR(34), "excitation",CHAR(34), ":", VLOOKUP(D302,DM_fish!C:X,22, FALSE), ",",  CHAR(34), "camera",CHAR(34), ":", IF(VALUE(VLOOKUP(D302,DM_fish!C:X,22, FALSE))&lt;VALUE(VLOOKUP(V302,imaging_filters!A:K,11, FALSE)), CONCATENATE(CHAR(34),"CamA",CHAR(34)), CONCATENATE(CHAR(34),"CamB",CHAR(34))),"}"), "")), "]"), "")</f>
        <v/>
      </c>
      <c r="X302" s="12" t="str">
        <f ca="1">IFERROR(
CONCATENATE("[", CONCATENATE(IF(VLOOKUP(C302,DM_fish!C:X,14, FALSE)&gt;0, CONCATENATE("{",CHAR(34),"target",CHAR(34),":",CHAR(34),VLOOKUP(C302,DM_fish!C:X,13, FALSE),CHAR(34),",", CHAR(34), "excitation",CHAR(34), ":", VLOOKUP(C302,DM_fish!C:X,14, FALSE), ",",  CHAR(34), "camera",CHAR(34), ":", IF(VALUE(VLOOKUP(C302,DM_fish!C:X,14, FALSE))&lt;VALUE(VLOOKUP(V302,imaging_filters!A:K,11, FALSE)), CONCATENATE(CHAR(34),"CamA",CHAR(34)), CONCATENATE(CHAR(34),"CamB",CHAR(34))),"}"), ""),IF(VLOOKUP(C302,DM_fish!C:X,16, FALSE)&gt;0, CONCATENATE(",{",CHAR(34),"target",CHAR(34),":",CHAR(34),VLOOKUP(C302,DM_fish!C:X,15, FALSE),CHAR(34),",", CHAR(34), "excitation",CHAR(34), ":", VLOOKUP(C302,DM_fish!C:X,16, FALSE), ",",  CHAR(34), "camera",CHAR(34), ":", IF(VALUE(VLOOKUP(C302,DM_fish!C:X,16, FALSE))&lt;VALUE(VLOOKUP(V302,imaging_filters!A:K,11, FALSE)), CONCATENATE(CHAR(34),"CamA",CHAR(34)), CONCATENATE(CHAR(34),"CamB",CHAR(34))),"}"), ""),IF(VLOOKUP(C302,DM_fish!C:X,18, FALSE)&gt;0, CONCATENATE(",{",CHAR(34),"target",CHAR(34),":",CHAR(34),VLOOKUP(C302,DM_fish!C:X,17, FALSE),CHAR(34),",", CHAR(34), "excitation",CHAR(34), ":", VLOOKUP(C302,DM_fish!C:X,18, FALSE), ",",  CHAR(34), "camera",CHAR(34), ":", IF(VALUE(VLOOKUP(C302,DM_fish!C:X,18, FALSE))&lt;VALUE(VLOOKUP(V302,imaging_filters!A:K,11, FALSE)), CONCATENATE(CHAR(34),"CamA",CHAR(34)), CONCATENATE(CHAR(34),"CamB",CHAR(34))),"}"), ""),IF(VLOOKUP(C302,DM_fish!C:X,20, FALSE)&gt;0, CONCATENATE(",{",CHAR(34),"target",CHAR(34),":",CHAR(34),VLOOKUP(C302,DM_fish!C:X,19, FALSE),CHAR(34),",", CHAR(34), "excitation",CHAR(34), ":", VLOOKUP(C302,DM_fish!C:X,20, FALSE), ",",  CHAR(34), "camera",CHAR(34), ":", IF(VALUE(VLOOKUP(C302,DM_fish!C:X,20, FALSE))&lt;VALUE(VLOOKUP(V302,imaging_filters!A:K,11, FALSE)), CONCATENATE(CHAR(34),"CamA",CHAR(34)), CONCATENATE(CHAR(34),"CamB",CHAR(34))),"}"), ""),IF(VLOOKUP(C302,DM_fish!C:X,22, FALSE)&gt;0, CONCATENATE(",{",CHAR(34),"target",CHAR(34),":",CHAR(34),VLOOKUP(C302,DM_fish!C:X,21, FALSE),CHAR(34),",", CHAR(34), "excitation",CHAR(34), ":", VLOOKUP(C302,DM_fish!C:X,22, FALSE), ",",  CHAR(34), "camera",CHAR(34), ":", IF(VALUE(VLOOKUP(C302,DM_fish!C:X,22, FALSE))&lt;VALUE(VLOOKUP(V302,imaging_filters!A:K,11, FALSE)), CONCATENATE(CHAR(34),"CamA",CHAR(34)), CONCATENATE(CHAR(34),"CamB",CHAR(34))),"}"), "")), "]"), "")</f>
        <v/>
      </c>
      <c r="Y302" s="11" t="str">
        <f ca="1">IFERROR(
CONCATENATE( "[",
IF(VLOOKUP(E302,Injections!B:F,3, FALSE)&gt;0, CONCATENATE( "{",CHAR(34),"target",CHAR(34),":",CHAR(34),VLOOKUP(E302,Injections!B:F,2, FALSE),CHAR(34),",", CHAR(34), "excitation",CHAR(34), ":", VLOOKUP(E302,Injections!B:F,3, FALSE), ",",  CHAR(34), "camera",CHAR(34), ":",
IF(VALUE(VLOOKUP(E302,Injections!B:F,3, FALSE))&lt;VALUE(VLOOKUP(V302,imaging_filters!A:C,2, FALSE)), CONCATENATE(CHAR(34),"CamA",CHAR(34)), CONCATENATE(CHAR(34),"CamB",CHAR(34))),"}"), ""),
IF(VLOOKUP(E302,Injections!B:F,5, FALSE)&gt;0, CONCATENATE(",{",CHAR(34),"target",CHAR(34),":",CHAR(34),VLOOKUP(E302,Injections!B:F,4, FALSE),CHAR(34),",", CHAR(34), "excitation",CHAR(34), ":", VLOOKUP(E302,Injections!B:F,5, FALSE), ",",  CHAR(34), "camera",CHAR(34), ":",
IF(VALUE(VLOOKUP(E302,Injections!B:F,5, FALSE))&lt;VALUE(VLOOKUP(V302,imaging_filters!A:C,2, FALSE)), CONCATENATE(CHAR(34),"CamA",CHAR(34)), CONCATENATE(CHAR(34),"CamB",CHAR(34))),"}"), ""),
 "]"), "[]")</f>
        <v>[]</v>
      </c>
      <c r="Z302" s="11" t="str">
        <f ca="1">IFERROR(
CONCATENATE( "[",
IF(VLOOKUP(F302,Injections!H:L,3, FALSE)&gt;0, CONCATENATE( "{",CHAR(34),"target",CHAR(34),":",CHAR(34),VLOOKUP(F302,Injections!H:L,2, FALSE),CHAR(34),",", CHAR(34), "excitation",CHAR(34), ":", VLOOKUP(F302,Injections!H:L,3, FALSE), ",",  CHAR(34), "camera",CHAR(34), ":",
IF(VALUE(VLOOKUP(F302,Injections!H:L,3, FALSE))&lt;VALUE(VLOOKUP(V302,imaging_filters!A:K,11, FALSE)), CONCATENATE(CHAR(34),"CamA",CHAR(34)), CONCATENATE(CHAR(34),"CamB",CHAR(34))),"}"), ""),
IF(VLOOKUP(F302,Injections!H:L,5, FALSE)&gt;0, CONCATENATE(",{",CHAR(34),"target",CHAR(34),":",CHAR(34),VLOOKUP(F302,Injections!H:L,4, FALSE),CHAR(34),",", CHAR(34), "excitation",CHAR(34), ":", VLOOKUP(F302,Injections!H:L,5, FALSE), ",",  CHAR(34), "camera",CHAR(34), ":",
IF(VALUE(VLOOKUP(F302,Injections!H:L,5, FALSE))&lt;VALUE(VLOOKUP(V302,imaging_filters!A:K,11, FALSE)), CONCATENATE(CHAR(34),"CamA",CHAR(34)), CONCATENATE(CHAR(34),"CamB",CHAR(34))),"}"), ""),
 "]"), "[]")</f>
        <v>[]</v>
      </c>
      <c r="AA302" s="11"/>
    </row>
    <row r="303" spans="1:27" ht="15.75" customHeight="1" x14ac:dyDescent="0.15">
      <c r="A303" s="7">
        <f t="shared" si="7"/>
        <v>45709</v>
      </c>
      <c r="B303" s="1"/>
      <c r="C303" s="1" t="s">
        <v>253</v>
      </c>
      <c r="D303" s="1" t="s">
        <v>164</v>
      </c>
      <c r="F303" s="1" t="s">
        <v>595</v>
      </c>
      <c r="G303" s="8"/>
      <c r="H303" s="8"/>
      <c r="I303" s="8"/>
      <c r="K303" s="1" t="s">
        <v>357</v>
      </c>
      <c r="M303" s="8">
        <v>45709</v>
      </c>
      <c r="N303" s="9">
        <v>0.4375</v>
      </c>
      <c r="O303" s="9">
        <v>0.61805555555555558</v>
      </c>
      <c r="P303" s="9">
        <v>0.73611111111111116</v>
      </c>
      <c r="Q303" s="1" t="s">
        <v>338</v>
      </c>
      <c r="R303" s="10" t="str">
        <f ca="1">IFERROR(__xludf.DUMMYFUNCTION("JOIN("","", SORT(UNIQUE(TOCOL({VLOOKUP(D303,DM_fish!A:B,2,FALSE),VLOOKUP(C303,DM_fish!A:B,2,FALSE), ARRAYFORMULA(VLOOKUP(SPLIT(E303, "", ""),Injections!B:G,6,FALSE)), ARRAYFORMULA(VLOOKUP(SPLIT(F303, "", ""),Injections!H:M,6,FALSE)), ARRAYFORMULA(VLOOKUP("&amp;"SPLIT(G303, "", ""),Injections!N:S,6,FALSE)), ARRAYFORMULA(VLOOKUP(SPLIT(H303, "", ""),Injections!T:Y,6,FALSE)) },3))))"),",csp,male #5 25%+ positive rate - currently best founder (but 2 alleles, one dim one bright(er)?,405,445")</f>
        <v>,csp,male #5 25%+ positive rate - currently best founder (but 2 alleles, one dim one bright(er)?,405,445</v>
      </c>
      <c r="S303" s="10" t="str">
        <f ca="1">IFERROR(__xludf.DUMMYFUNCTION("IFERROR(JOIN("","", SPLIT(R303, "","", TRUE ,TRUE)), """")"),"csp,male #5 25%+ positive rate - currently best founder (but 2 alleles, one dim one bright(er)?,405,445")</f>
        <v>csp,male #5 25%+ positive rate - currently best founder (but 2 alleles, one dim one bright(er)?,405,445</v>
      </c>
      <c r="T303" s="1" t="s">
        <v>596</v>
      </c>
      <c r="V303" s="1" t="s">
        <v>280</v>
      </c>
      <c r="W303" s="12" t="str">
        <f ca="1">IFERROR(CONCATENATE("[", CONCATENATE(IF(VLOOKUP(D303,DM_fish!C:X,14, FALSE)&gt;0, CONCATENATE("{",CHAR(34),"target",CHAR(34),":",CHAR(34),VLOOKUP(D303,DM_fish!C:X,13, FALSE),CHAR(34),",", CHAR(34), "excitation",CHAR(34), ":", VLOOKUP(D303,DM_fish!C:X,14, FALSE), ",",  CHAR(34), "camera",CHAR(34), ":", IF(VALUE(VLOOKUP(D303,DM_fish!C:X,14, FALSE))&lt;VALUE(VLOOKUP(V303,imaging_filters!A:K,11, FALSE)), CONCATENATE(CHAR(34),"CamA",CHAR(34)), CONCATENATE(CHAR(34),"CamB",CHAR(34))),"}"), ""),IF(VLOOKUP(D303,DM_fish!C:X,16, FALSE)&gt;0, CONCATENATE(",{",CHAR(34),"target",CHAR(34),":",CHAR(34),VLOOKUP(D303,DM_fish!C:X,15, FALSE),CHAR(34),",", CHAR(34), "excitation",CHAR(34), ":", VLOOKUP(D303,DM_fish!C:X,16, FALSE), ",",  CHAR(34), "camera",CHAR(34), ":", IF(VALUE(VLOOKUP(D303,DM_fish!C:X,16, FALSE))&lt;VALUE(VLOOKUP(V303,imaging_filters!A:K,11, FALSE)), CONCATENATE(CHAR(34),"CamA",CHAR(34)), CONCATENATE(CHAR(34),"CamB",CHAR(34))),"}"), ""),IF(VLOOKUP(D303,DM_fish!C:X,18, FALSE)&gt;0, CONCATENATE(",{",CHAR(34),"target",CHAR(34),":",CHAR(34),VLOOKUP(D303,DM_fish!C:X,17, FALSE),CHAR(34),",", CHAR(34), "excitation",CHAR(34), ":", VLOOKUP(D303,DM_fish!C:X,18, FALSE), ",",  CHAR(34), "camera",CHAR(34), ":", IF(VALUE(VLOOKUP(D303,DM_fish!C:X,18, FALSE))&lt;VALUE(VLOOKUP(V303,imaging_filters!A:K,11, FALSE)), CONCATENATE(CHAR(34),"CamA",CHAR(34)), CONCATENATE(CHAR(34),"CamB",CHAR(34))),"}"), ""),IF(VLOOKUP(D303,DM_fish!C:X,20, FALSE)&gt;0, CONCATENATE(",{",CHAR(34),"target",CHAR(34),":",CHAR(34),VLOOKUP(D303,DM_fish!C:X,19, FALSE),CHAR(34),",", CHAR(34), "excitation",CHAR(34), ":", VLOOKUP(D303,DM_fish!C:X,20, FALSE), ",",  CHAR(34), "camera",CHAR(34), ":", IF(VALUE(VLOOKUP(D303,DM_fish!C:X,20, FALSE))&lt;VALUE(VLOOKUP(V303,imaging_filters!A:K,11, FALSE)), CONCATENATE(CHAR(34),"CamA",CHAR(34)), CONCATENATE(CHAR(34),"CamB",CHAR(34))),"}"), ""),IF(VLOOKUP(D303,DM_fish!C:X,22, FALSE)&gt;0, CONCATENATE(",{",CHAR(34),"target",CHAR(34),":",CHAR(34),VLOOKUP(D303,DM_fish!C:X,21, FALSE),CHAR(34),",", CHAR(34), "excitation",CHAR(34), ":", VLOOKUP(D303,DM_fish!C:X,22, FALSE), ",",  CHAR(34), "camera",CHAR(34), ":", IF(VALUE(VLOOKUP(D303,DM_fish!C:X,22, FALSE))&lt;VALUE(VLOOKUP(V303,imaging_filters!A:K,11, FALSE)), CONCATENATE(CHAR(34),"CamA",CHAR(34)), CONCATENATE(CHAR(34),"CamB",CHAR(34))),"}"), "")), "]"), "")</f>
        <v/>
      </c>
      <c r="X303" s="12" t="str">
        <f ca="1">IFERROR(
CONCATENATE("[", CONCATENATE(IF(VLOOKUP(C303,DM_fish!C:X,14, FALSE)&gt;0, CONCATENATE("{",CHAR(34),"target",CHAR(34),":",CHAR(34),VLOOKUP(C303,DM_fish!C:X,13, FALSE),CHAR(34),",", CHAR(34), "excitation",CHAR(34), ":", VLOOKUP(C303,DM_fish!C:X,14, FALSE), ",",  CHAR(34), "camera",CHAR(34), ":", IF(VALUE(VLOOKUP(C303,DM_fish!C:X,14, FALSE))&lt;VALUE(VLOOKUP(V303,imaging_filters!A:K,11, FALSE)), CONCATENATE(CHAR(34),"CamA",CHAR(34)), CONCATENATE(CHAR(34),"CamB",CHAR(34))),"}"), ""),IF(VLOOKUP(C303,DM_fish!C:X,16, FALSE)&gt;0, CONCATENATE(",{",CHAR(34),"target",CHAR(34),":",CHAR(34),VLOOKUP(C303,DM_fish!C:X,15, FALSE),CHAR(34),",", CHAR(34), "excitation",CHAR(34), ":", VLOOKUP(C303,DM_fish!C:X,16, FALSE), ",",  CHAR(34), "camera",CHAR(34), ":", IF(VALUE(VLOOKUP(C303,DM_fish!C:X,16, FALSE))&lt;VALUE(VLOOKUP(V303,imaging_filters!A:K,11, FALSE)), CONCATENATE(CHAR(34),"CamA",CHAR(34)), CONCATENATE(CHAR(34),"CamB",CHAR(34))),"}"), ""),IF(VLOOKUP(C303,DM_fish!C:X,18, FALSE)&gt;0, CONCATENATE(",{",CHAR(34),"target",CHAR(34),":",CHAR(34),VLOOKUP(C303,DM_fish!C:X,17, FALSE),CHAR(34),",", CHAR(34), "excitation",CHAR(34), ":", VLOOKUP(C303,DM_fish!C:X,18, FALSE), ",",  CHAR(34), "camera",CHAR(34), ":", IF(VALUE(VLOOKUP(C303,DM_fish!C:X,18, FALSE))&lt;VALUE(VLOOKUP(V303,imaging_filters!A:K,11, FALSE)), CONCATENATE(CHAR(34),"CamA",CHAR(34)), CONCATENATE(CHAR(34),"CamB",CHAR(34))),"}"), ""),IF(VLOOKUP(C303,DM_fish!C:X,20, FALSE)&gt;0, CONCATENATE(",{",CHAR(34),"target",CHAR(34),":",CHAR(34),VLOOKUP(C303,DM_fish!C:X,19, FALSE),CHAR(34),",", CHAR(34), "excitation",CHAR(34), ":", VLOOKUP(C303,DM_fish!C:X,20, FALSE), ",",  CHAR(34), "camera",CHAR(34), ":", IF(VALUE(VLOOKUP(C303,DM_fish!C:X,20, FALSE))&lt;VALUE(VLOOKUP(V303,imaging_filters!A:K,11, FALSE)), CONCATENATE(CHAR(34),"CamA",CHAR(34)), CONCATENATE(CHAR(34),"CamB",CHAR(34))),"}"), ""),IF(VLOOKUP(C303,DM_fish!C:X,22, FALSE)&gt;0, CONCATENATE(",{",CHAR(34),"target",CHAR(34),":",CHAR(34),VLOOKUP(C303,DM_fish!C:X,21, FALSE),CHAR(34),",", CHAR(34), "excitation",CHAR(34), ":", VLOOKUP(C303,DM_fish!C:X,22, FALSE), ",",  CHAR(34), "camera",CHAR(34), ":", IF(VALUE(VLOOKUP(C303,DM_fish!C:X,22, FALSE))&lt;VALUE(VLOOKUP(V303,imaging_filters!A:K,11, FALSE)), CONCATENATE(CHAR(34),"CamA",CHAR(34)), CONCATENATE(CHAR(34),"CamB",CHAR(34))),"}"), "")), "]"), "")</f>
        <v/>
      </c>
      <c r="Y303" s="11" t="str">
        <f ca="1">IFERROR(
CONCATENATE( "[",
IF(VLOOKUP(E303,Injections!B:F,3, FALSE)&gt;0, CONCATENATE( "{",CHAR(34),"target",CHAR(34),":",CHAR(34),VLOOKUP(E303,Injections!B:F,2, FALSE),CHAR(34),",", CHAR(34), "excitation",CHAR(34), ":", VLOOKUP(E303,Injections!B:F,3, FALSE), ",",  CHAR(34), "camera",CHAR(34), ":",
IF(VALUE(VLOOKUP(E303,Injections!B:F,3, FALSE))&lt;VALUE(VLOOKUP(V303,imaging_filters!A:C,2, FALSE)), CONCATENATE(CHAR(34),"CamA",CHAR(34)), CONCATENATE(CHAR(34),"CamB",CHAR(34))),"}"), ""),
IF(VLOOKUP(E303,Injections!B:F,5, FALSE)&gt;0, CONCATENATE(",{",CHAR(34),"target",CHAR(34),":",CHAR(34),VLOOKUP(E303,Injections!B:F,4, FALSE),CHAR(34),",", CHAR(34), "excitation",CHAR(34), ":", VLOOKUP(E303,Injections!B:F,5, FALSE), ",",  CHAR(34), "camera",CHAR(34), ":",
IF(VALUE(VLOOKUP(E303,Injections!B:F,5, FALSE))&lt;VALUE(VLOOKUP(V303,imaging_filters!A:C,2, FALSE)), CONCATENATE(CHAR(34),"CamA",CHAR(34)), CONCATENATE(CHAR(34),"CamB",CHAR(34))),"}"), ""),
 "]"), "[]")</f>
        <v>[]</v>
      </c>
      <c r="Z303" s="11" t="str">
        <f ca="1">IFERROR(
CONCATENATE( "[",
IF(VLOOKUP(F303,Injections!H:L,3, FALSE)&gt;0, CONCATENATE( "{",CHAR(34),"target",CHAR(34),":",CHAR(34),VLOOKUP(F303,Injections!H:L,2, FALSE),CHAR(34),",", CHAR(34), "excitation",CHAR(34), ":", VLOOKUP(F303,Injections!H:L,3, FALSE), ",",  CHAR(34), "camera",CHAR(34), ":",
IF(VALUE(VLOOKUP(F303,Injections!H:L,3, FALSE))&lt;VALUE(VLOOKUP(V303,imaging_filters!A:K,11, FALSE)), CONCATENATE(CHAR(34),"CamA",CHAR(34)), CONCATENATE(CHAR(34),"CamB",CHAR(34))),"}"), ""),
IF(VLOOKUP(F303,Injections!H:L,5, FALSE)&gt;0, CONCATENATE(",{",CHAR(34),"target",CHAR(34),":",CHAR(34),VLOOKUP(F303,Injections!H:L,4, FALSE),CHAR(34),",", CHAR(34), "excitation",CHAR(34), ":", VLOOKUP(F303,Injections!H:L,5, FALSE), ",",  CHAR(34), "camera",CHAR(34), ":",
IF(VALUE(VLOOKUP(F303,Injections!H:L,5, FALSE))&lt;VALUE(VLOOKUP(V303,imaging_filters!A:K,11, FALSE)), CONCATENATE(CHAR(34),"CamA",CHAR(34)), CONCATENATE(CHAR(34),"CamB",CHAR(34))),"}"), ""),
 "]"), "[]")</f>
        <v>[]</v>
      </c>
      <c r="AA303" s="11"/>
    </row>
    <row r="304" spans="1:27" ht="15.75" customHeight="1" x14ac:dyDescent="0.15">
      <c r="A304" s="7">
        <f t="shared" si="7"/>
        <v>45708</v>
      </c>
      <c r="B304" s="1"/>
      <c r="C304" s="1" t="s">
        <v>597</v>
      </c>
      <c r="D304" s="1" t="s">
        <v>39</v>
      </c>
      <c r="F304" s="1" t="s">
        <v>598</v>
      </c>
      <c r="G304" s="8"/>
      <c r="H304" s="8"/>
      <c r="I304" s="8">
        <v>45705</v>
      </c>
      <c r="J304" s="9">
        <v>0.625</v>
      </c>
      <c r="K304" s="1" t="s">
        <v>571</v>
      </c>
      <c r="L304" s="19">
        <v>45707</v>
      </c>
      <c r="M304" s="8">
        <v>45708</v>
      </c>
      <c r="N304" s="9">
        <v>0.41666666666666669</v>
      </c>
      <c r="O304" s="9">
        <v>0.4375</v>
      </c>
      <c r="P304" s="9">
        <v>0.63194444444444442</v>
      </c>
      <c r="Q304" s="1" t="s">
        <v>599</v>
      </c>
      <c r="R304" s="10" t="str">
        <f ca="1">IFERROR(__xludf.DUMMYFUNCTION("JOIN("","", SORT(UNIQUE(TOCOL({VLOOKUP(D304,DM_fish!A:B,2,FALSE),VLOOKUP(C304,DM_fish!A:B,2,FALSE), ARRAYFORMULA(VLOOKUP(SPLIT(E304, "", ""),Injections!B:G,6,FALSE)), ARRAYFORMULA(VLOOKUP(SPLIT(F304, "", ""),Injections!H:M,6,FALSE)), ARRAYFORMULA(VLOOKUP("&amp;"SPLIT(G304, "", ""),Injections!N:S,6,FALSE)), ARRAYFORMULA(VLOOKUP(SPLIT(H304, "", ""),Injections!T:Y,6,FALSE)) },3))))"),"csp,male #8 - best founder (40-50% transmission, multiple alleles, bright!!!),488")</f>
        <v>csp,male #8 - best founder (40-50% transmission, multiple alleles, bright!!!),488</v>
      </c>
      <c r="S304" s="10" t="str">
        <f ca="1">IFERROR(__xludf.DUMMYFUNCTION("IFERROR(JOIN("","", SPLIT(R304, "","", TRUE ,TRUE)), """")"),"csp,male #8 - best founder (40-50% transmission, multiple alleles, bright!!!),488")</f>
        <v>csp,male #8 - best founder (40-50% transmission, multiple alleles, bright!!!),488</v>
      </c>
      <c r="T304" s="1" t="s">
        <v>600</v>
      </c>
      <c r="U304" s="1">
        <v>700</v>
      </c>
      <c r="V304" s="1" t="s">
        <v>203</v>
      </c>
      <c r="W304" s="12" t="str">
        <f ca="1">IFERROR(CONCATENATE("[", CONCATENATE(IF(VLOOKUP(D304,DM_fish!C:X,14, FALSE)&gt;0, CONCATENATE("{",CHAR(34),"target",CHAR(34),":",CHAR(34),VLOOKUP(D304,DM_fish!C:X,13, FALSE),CHAR(34),",", CHAR(34), "excitation",CHAR(34), ":", VLOOKUP(D304,DM_fish!C:X,14, FALSE), ",",  CHAR(34), "camera",CHAR(34), ":", IF(VALUE(VLOOKUP(D304,DM_fish!C:X,14, FALSE))&lt;VALUE(VLOOKUP(V304,imaging_filters!A:K,11, FALSE)), CONCATENATE(CHAR(34),"CamA",CHAR(34)), CONCATENATE(CHAR(34),"CamB",CHAR(34))),"}"), ""),IF(VLOOKUP(D304,DM_fish!C:X,16, FALSE)&gt;0, CONCATENATE(",{",CHAR(34),"target",CHAR(34),":",CHAR(34),VLOOKUP(D304,DM_fish!C:X,15, FALSE),CHAR(34),",", CHAR(34), "excitation",CHAR(34), ":", VLOOKUP(D304,DM_fish!C:X,16, FALSE), ",",  CHAR(34), "camera",CHAR(34), ":", IF(VALUE(VLOOKUP(D304,DM_fish!C:X,16, FALSE))&lt;VALUE(VLOOKUP(V304,imaging_filters!A:K,11, FALSE)), CONCATENATE(CHAR(34),"CamA",CHAR(34)), CONCATENATE(CHAR(34),"CamB",CHAR(34))),"}"), ""),IF(VLOOKUP(D304,DM_fish!C:X,18, FALSE)&gt;0, CONCATENATE(",{",CHAR(34),"target",CHAR(34),":",CHAR(34),VLOOKUP(D304,DM_fish!C:X,17, FALSE),CHAR(34),",", CHAR(34), "excitation",CHAR(34), ":", VLOOKUP(D304,DM_fish!C:X,18, FALSE), ",",  CHAR(34), "camera",CHAR(34), ":", IF(VALUE(VLOOKUP(D304,DM_fish!C:X,18, FALSE))&lt;VALUE(VLOOKUP(V304,imaging_filters!A:K,11, FALSE)), CONCATENATE(CHAR(34),"CamA",CHAR(34)), CONCATENATE(CHAR(34),"CamB",CHAR(34))),"}"), ""),IF(VLOOKUP(D304,DM_fish!C:X,20, FALSE)&gt;0, CONCATENATE(",{",CHAR(34),"target",CHAR(34),":",CHAR(34),VLOOKUP(D304,DM_fish!C:X,19, FALSE),CHAR(34),",", CHAR(34), "excitation",CHAR(34), ":", VLOOKUP(D304,DM_fish!C:X,20, FALSE), ",",  CHAR(34), "camera",CHAR(34), ":", IF(VALUE(VLOOKUP(D304,DM_fish!C:X,20, FALSE))&lt;VALUE(VLOOKUP(V304,imaging_filters!A:K,11, FALSE)), CONCATENATE(CHAR(34),"CamA",CHAR(34)), CONCATENATE(CHAR(34),"CamB",CHAR(34))),"}"), ""),IF(VLOOKUP(D304,DM_fish!C:X,22, FALSE)&gt;0, CONCATENATE(",{",CHAR(34),"target",CHAR(34),":",CHAR(34),VLOOKUP(D304,DM_fish!C:X,21, FALSE),CHAR(34),",", CHAR(34), "excitation",CHAR(34), ":", VLOOKUP(D304,DM_fish!C:X,22, FALSE), ",",  CHAR(34), "camera",CHAR(34), ":", IF(VALUE(VLOOKUP(D304,DM_fish!C:X,22, FALSE))&lt;VALUE(VLOOKUP(V304,imaging_filters!A:K,11, FALSE)), CONCATENATE(CHAR(34),"CamA",CHAR(34)), CONCATENATE(CHAR(34),"CamB",CHAR(34))),"}"), "")), "]"), "")</f>
        <v/>
      </c>
      <c r="X304" s="12" t="str">
        <f ca="1">IFERROR(
CONCATENATE("[", CONCATENATE(IF(VLOOKUP(C304,DM_fish!C:X,14, FALSE)&gt;0, CONCATENATE("{",CHAR(34),"target",CHAR(34),":",CHAR(34),VLOOKUP(C304,DM_fish!C:X,13, FALSE),CHAR(34),",", CHAR(34), "excitation",CHAR(34), ":", VLOOKUP(C304,DM_fish!C:X,14, FALSE), ",",  CHAR(34), "camera",CHAR(34), ":", IF(VALUE(VLOOKUP(C304,DM_fish!C:X,14, FALSE))&lt;VALUE(VLOOKUP(V304,imaging_filters!A:K,11, FALSE)), CONCATENATE(CHAR(34),"CamA",CHAR(34)), CONCATENATE(CHAR(34),"CamB",CHAR(34))),"}"), ""),IF(VLOOKUP(C304,DM_fish!C:X,16, FALSE)&gt;0, CONCATENATE(",{",CHAR(34),"target",CHAR(34),":",CHAR(34),VLOOKUP(C304,DM_fish!C:X,15, FALSE),CHAR(34),",", CHAR(34), "excitation",CHAR(34), ":", VLOOKUP(C304,DM_fish!C:X,16, FALSE), ",",  CHAR(34), "camera",CHAR(34), ":", IF(VALUE(VLOOKUP(C304,DM_fish!C:X,16, FALSE))&lt;VALUE(VLOOKUP(V304,imaging_filters!A:K,11, FALSE)), CONCATENATE(CHAR(34),"CamA",CHAR(34)), CONCATENATE(CHAR(34),"CamB",CHAR(34))),"}"), ""),IF(VLOOKUP(C304,DM_fish!C:X,18, FALSE)&gt;0, CONCATENATE(",{",CHAR(34),"target",CHAR(34),":",CHAR(34),VLOOKUP(C304,DM_fish!C:X,17, FALSE),CHAR(34),",", CHAR(34), "excitation",CHAR(34), ":", VLOOKUP(C304,DM_fish!C:X,18, FALSE), ",",  CHAR(34), "camera",CHAR(34), ":", IF(VALUE(VLOOKUP(C304,DM_fish!C:X,18, FALSE))&lt;VALUE(VLOOKUP(V304,imaging_filters!A:K,11, FALSE)), CONCATENATE(CHAR(34),"CamA",CHAR(34)), CONCATENATE(CHAR(34),"CamB",CHAR(34))),"}"), ""),IF(VLOOKUP(C304,DM_fish!C:X,20, FALSE)&gt;0, CONCATENATE(",{",CHAR(34),"target",CHAR(34),":",CHAR(34),VLOOKUP(C304,DM_fish!C:X,19, FALSE),CHAR(34),",", CHAR(34), "excitation",CHAR(34), ":", VLOOKUP(C304,DM_fish!C:X,20, FALSE), ",",  CHAR(34), "camera",CHAR(34), ":", IF(VALUE(VLOOKUP(C304,DM_fish!C:X,20, FALSE))&lt;VALUE(VLOOKUP(V304,imaging_filters!A:K,11, FALSE)), CONCATENATE(CHAR(34),"CamA",CHAR(34)), CONCATENATE(CHAR(34),"CamB",CHAR(34))),"}"), ""),IF(VLOOKUP(C304,DM_fish!C:X,22, FALSE)&gt;0, CONCATENATE(",{",CHAR(34),"target",CHAR(34),":",CHAR(34),VLOOKUP(C304,DM_fish!C:X,21, FALSE),CHAR(34),",", CHAR(34), "excitation",CHAR(34), ":", VLOOKUP(C304,DM_fish!C:X,22, FALSE), ",",  CHAR(34), "camera",CHAR(34), ":", IF(VALUE(VLOOKUP(C304,DM_fish!C:X,22, FALSE))&lt;VALUE(VLOOKUP(V304,imaging_filters!A:K,11, FALSE)), CONCATENATE(CHAR(34),"CamA",CHAR(34)), CONCATENATE(CHAR(34),"CamB",CHAR(34))),"}"), "")), "]"), "")</f>
        <v/>
      </c>
      <c r="Y304" s="11" t="str">
        <f ca="1">IFERROR(
CONCATENATE( "[",
IF(VLOOKUP(E304,Injections!B:F,3, FALSE)&gt;0, CONCATENATE( "{",CHAR(34),"target",CHAR(34),":",CHAR(34),VLOOKUP(E304,Injections!B:F,2, FALSE),CHAR(34),",", CHAR(34), "excitation",CHAR(34), ":", VLOOKUP(E304,Injections!B:F,3, FALSE), ",",  CHAR(34), "camera",CHAR(34), ":",
IF(VALUE(VLOOKUP(E304,Injections!B:F,3, FALSE))&lt;VALUE(VLOOKUP(V304,imaging_filters!A:C,2, FALSE)), CONCATENATE(CHAR(34),"CamA",CHAR(34)), CONCATENATE(CHAR(34),"CamB",CHAR(34))),"}"), ""),
IF(VLOOKUP(E304,Injections!B:F,5, FALSE)&gt;0, CONCATENATE(",{",CHAR(34),"target",CHAR(34),":",CHAR(34),VLOOKUP(E304,Injections!B:F,4, FALSE),CHAR(34),",", CHAR(34), "excitation",CHAR(34), ":", VLOOKUP(E304,Injections!B:F,5, FALSE), ",",  CHAR(34), "camera",CHAR(34), ":",
IF(VALUE(VLOOKUP(E304,Injections!B:F,5, FALSE))&lt;VALUE(VLOOKUP(V304,imaging_filters!A:C,2, FALSE)), CONCATENATE(CHAR(34),"CamA",CHAR(34)), CONCATENATE(CHAR(34),"CamB",CHAR(34))),"}"), ""),
 "]"), "[]")</f>
        <v>[]</v>
      </c>
      <c r="Z304" s="11" t="str">
        <f ca="1">IFERROR(
CONCATENATE( "[",
IF(VLOOKUP(F304,Injections!H:L,3, FALSE)&gt;0, CONCATENATE( "{",CHAR(34),"target",CHAR(34),":",CHAR(34),VLOOKUP(F304,Injections!H:L,2, FALSE),CHAR(34),",", CHAR(34), "excitation",CHAR(34), ":", VLOOKUP(F304,Injections!H:L,3, FALSE), ",",  CHAR(34), "camera",CHAR(34), ":",
IF(VALUE(VLOOKUP(F304,Injections!H:L,3, FALSE))&lt;VALUE(VLOOKUP(V304,imaging_filters!A:K,11, FALSE)), CONCATENATE(CHAR(34),"CamA",CHAR(34)), CONCATENATE(CHAR(34),"CamB",CHAR(34))),"}"), ""),
IF(VLOOKUP(F304,Injections!H:L,5, FALSE)&gt;0, CONCATENATE(",{",CHAR(34),"target",CHAR(34),":",CHAR(34),VLOOKUP(F304,Injections!H:L,4, FALSE),CHAR(34),",", CHAR(34), "excitation",CHAR(34), ":", VLOOKUP(F304,Injections!H:L,5, FALSE), ",",  CHAR(34), "camera",CHAR(34), ":",
IF(VALUE(VLOOKUP(F304,Injections!H:L,5, FALSE))&lt;VALUE(VLOOKUP(V304,imaging_filters!A:K,11, FALSE)), CONCATENATE(CHAR(34),"CamA",CHAR(34)), CONCATENATE(CHAR(34),"CamB",CHAR(34))),"}"), ""),
 "]"), "[]")</f>
        <v>[]</v>
      </c>
      <c r="AA304" s="11"/>
    </row>
    <row r="305" spans="1:27" ht="15.75" customHeight="1" x14ac:dyDescent="0.15">
      <c r="A305" s="7">
        <f t="shared" si="7"/>
        <v>45708</v>
      </c>
      <c r="B305" s="1"/>
      <c r="C305" s="1" t="s">
        <v>253</v>
      </c>
      <c r="D305" s="1" t="s">
        <v>164</v>
      </c>
      <c r="F305" s="1" t="s">
        <v>593</v>
      </c>
      <c r="G305" s="8"/>
      <c r="H305" s="8"/>
      <c r="I305" s="8"/>
      <c r="M305" s="8">
        <v>45708</v>
      </c>
      <c r="N305" s="9">
        <v>0.63888888888888884</v>
      </c>
      <c r="O305" s="9">
        <v>0.64583333333333337</v>
      </c>
      <c r="P305" s="9">
        <v>0.75</v>
      </c>
      <c r="Q305" s="1" t="s">
        <v>338</v>
      </c>
      <c r="R305" s="10" t="str">
        <f ca="1">IFERROR(__xludf.DUMMYFUNCTION("JOIN("","", SORT(UNIQUE(TOCOL({VLOOKUP(D305,DM_fish!A:B,2,FALSE),VLOOKUP(C305,DM_fish!A:B,2,FALSE), ARRAYFORMULA(VLOOKUP(SPLIT(E305, "", ""),Injections!B:G,6,FALSE)), ARRAYFORMULA(VLOOKUP(SPLIT(F305, "", ""),Injections!H:M,6,FALSE)), ARRAYFORMULA(VLOOKUP("&amp;"SPLIT(G305, "", ""),Injections!N:S,6,FALSE)), ARRAYFORMULA(VLOOKUP(SPLIT(H305, "", ""),Injections!T:Y,6,FALSE)) },3))))"),",csp,male #5 25%+ positive rate - currently best founder (but 2 alleles, one dim one bright(er)?,405,445")</f>
        <v>,csp,male #5 25%+ positive rate - currently best founder (but 2 alleles, one dim one bright(er)?,405,445</v>
      </c>
      <c r="S305" s="10" t="str">
        <f ca="1">IFERROR(__xludf.DUMMYFUNCTION("IFERROR(JOIN("","", SPLIT(R305, "","", TRUE ,TRUE)), """")"),"csp,male #5 25%+ positive rate - currently best founder (but 2 alleles, one dim one bright(er)?,405,445")</f>
        <v>csp,male #5 25%+ positive rate - currently best founder (but 2 alleles, one dim one bright(er)?,405,445</v>
      </c>
      <c r="T305" s="1" t="s">
        <v>601</v>
      </c>
      <c r="V305" s="1" t="s">
        <v>280</v>
      </c>
      <c r="W305" s="12" t="str">
        <f ca="1">IFERROR(CONCATENATE("[", CONCATENATE(IF(VLOOKUP(D305,DM_fish!C:X,14, FALSE)&gt;0, CONCATENATE("{",CHAR(34),"target",CHAR(34),":",CHAR(34),VLOOKUP(D305,DM_fish!C:X,13, FALSE),CHAR(34),",", CHAR(34), "excitation",CHAR(34), ":", VLOOKUP(D305,DM_fish!C:X,14, FALSE), ",",  CHAR(34), "camera",CHAR(34), ":", IF(VALUE(VLOOKUP(D305,DM_fish!C:X,14, FALSE))&lt;VALUE(VLOOKUP(V305,imaging_filters!A:K,11, FALSE)), CONCATENATE(CHAR(34),"CamA",CHAR(34)), CONCATENATE(CHAR(34),"CamB",CHAR(34))),"}"), ""),IF(VLOOKUP(D305,DM_fish!C:X,16, FALSE)&gt;0, CONCATENATE(",{",CHAR(34),"target",CHAR(34),":",CHAR(34),VLOOKUP(D305,DM_fish!C:X,15, FALSE),CHAR(34),",", CHAR(34), "excitation",CHAR(34), ":", VLOOKUP(D305,DM_fish!C:X,16, FALSE), ",",  CHAR(34), "camera",CHAR(34), ":", IF(VALUE(VLOOKUP(D305,DM_fish!C:X,16, FALSE))&lt;VALUE(VLOOKUP(V305,imaging_filters!A:K,11, FALSE)), CONCATENATE(CHAR(34),"CamA",CHAR(34)), CONCATENATE(CHAR(34),"CamB",CHAR(34))),"}"), ""),IF(VLOOKUP(D305,DM_fish!C:X,18, FALSE)&gt;0, CONCATENATE(",{",CHAR(34),"target",CHAR(34),":",CHAR(34),VLOOKUP(D305,DM_fish!C:X,17, FALSE),CHAR(34),",", CHAR(34), "excitation",CHAR(34), ":", VLOOKUP(D305,DM_fish!C:X,18, FALSE), ",",  CHAR(34), "camera",CHAR(34), ":", IF(VALUE(VLOOKUP(D305,DM_fish!C:X,18, FALSE))&lt;VALUE(VLOOKUP(V305,imaging_filters!A:K,11, FALSE)), CONCATENATE(CHAR(34),"CamA",CHAR(34)), CONCATENATE(CHAR(34),"CamB",CHAR(34))),"}"), ""),IF(VLOOKUP(D305,DM_fish!C:X,20, FALSE)&gt;0, CONCATENATE(",{",CHAR(34),"target",CHAR(34),":",CHAR(34),VLOOKUP(D305,DM_fish!C:X,19, FALSE),CHAR(34),",", CHAR(34), "excitation",CHAR(34), ":", VLOOKUP(D305,DM_fish!C:X,20, FALSE), ",",  CHAR(34), "camera",CHAR(34), ":", IF(VALUE(VLOOKUP(D305,DM_fish!C:X,20, FALSE))&lt;VALUE(VLOOKUP(V305,imaging_filters!A:K,11, FALSE)), CONCATENATE(CHAR(34),"CamA",CHAR(34)), CONCATENATE(CHAR(34),"CamB",CHAR(34))),"}"), ""),IF(VLOOKUP(D305,DM_fish!C:X,22, FALSE)&gt;0, CONCATENATE(",{",CHAR(34),"target",CHAR(34),":",CHAR(34),VLOOKUP(D305,DM_fish!C:X,21, FALSE),CHAR(34),",", CHAR(34), "excitation",CHAR(34), ":", VLOOKUP(D305,DM_fish!C:X,22, FALSE), ",",  CHAR(34), "camera",CHAR(34), ":", IF(VALUE(VLOOKUP(D305,DM_fish!C:X,22, FALSE))&lt;VALUE(VLOOKUP(V305,imaging_filters!A:K,11, FALSE)), CONCATENATE(CHAR(34),"CamA",CHAR(34)), CONCATENATE(CHAR(34),"CamB",CHAR(34))),"}"), "")), "]"), "")</f>
        <v/>
      </c>
      <c r="X305" s="12" t="str">
        <f ca="1">IFERROR(
CONCATENATE("[", CONCATENATE(IF(VLOOKUP(C305,DM_fish!C:X,14, FALSE)&gt;0, CONCATENATE("{",CHAR(34),"target",CHAR(34),":",CHAR(34),VLOOKUP(C305,DM_fish!C:X,13, FALSE),CHAR(34),",", CHAR(34), "excitation",CHAR(34), ":", VLOOKUP(C305,DM_fish!C:X,14, FALSE), ",",  CHAR(34), "camera",CHAR(34), ":", IF(VALUE(VLOOKUP(C305,DM_fish!C:X,14, FALSE))&lt;VALUE(VLOOKUP(V305,imaging_filters!A:K,11, FALSE)), CONCATENATE(CHAR(34),"CamA",CHAR(34)), CONCATENATE(CHAR(34),"CamB",CHAR(34))),"}"), ""),IF(VLOOKUP(C305,DM_fish!C:X,16, FALSE)&gt;0, CONCATENATE(",{",CHAR(34),"target",CHAR(34),":",CHAR(34),VLOOKUP(C305,DM_fish!C:X,15, FALSE),CHAR(34),",", CHAR(34), "excitation",CHAR(34), ":", VLOOKUP(C305,DM_fish!C:X,16, FALSE), ",",  CHAR(34), "camera",CHAR(34), ":", IF(VALUE(VLOOKUP(C305,DM_fish!C:X,16, FALSE))&lt;VALUE(VLOOKUP(V305,imaging_filters!A:K,11, FALSE)), CONCATENATE(CHAR(34),"CamA",CHAR(34)), CONCATENATE(CHAR(34),"CamB",CHAR(34))),"}"), ""),IF(VLOOKUP(C305,DM_fish!C:X,18, FALSE)&gt;0, CONCATENATE(",{",CHAR(34),"target",CHAR(34),":",CHAR(34),VLOOKUP(C305,DM_fish!C:X,17, FALSE),CHAR(34),",", CHAR(34), "excitation",CHAR(34), ":", VLOOKUP(C305,DM_fish!C:X,18, FALSE), ",",  CHAR(34), "camera",CHAR(34), ":", IF(VALUE(VLOOKUP(C305,DM_fish!C:X,18, FALSE))&lt;VALUE(VLOOKUP(V305,imaging_filters!A:K,11, FALSE)), CONCATENATE(CHAR(34),"CamA",CHAR(34)), CONCATENATE(CHAR(34),"CamB",CHAR(34))),"}"), ""),IF(VLOOKUP(C305,DM_fish!C:X,20, FALSE)&gt;0, CONCATENATE(",{",CHAR(34),"target",CHAR(34),":",CHAR(34),VLOOKUP(C305,DM_fish!C:X,19, FALSE),CHAR(34),",", CHAR(34), "excitation",CHAR(34), ":", VLOOKUP(C305,DM_fish!C:X,20, FALSE), ",",  CHAR(34), "camera",CHAR(34), ":", IF(VALUE(VLOOKUP(C305,DM_fish!C:X,20, FALSE))&lt;VALUE(VLOOKUP(V305,imaging_filters!A:K,11, FALSE)), CONCATENATE(CHAR(34),"CamA",CHAR(34)), CONCATENATE(CHAR(34),"CamB",CHAR(34))),"}"), ""),IF(VLOOKUP(C305,DM_fish!C:X,22, FALSE)&gt;0, CONCATENATE(",{",CHAR(34),"target",CHAR(34),":",CHAR(34),VLOOKUP(C305,DM_fish!C:X,21, FALSE),CHAR(34),",", CHAR(34), "excitation",CHAR(34), ":", VLOOKUP(C305,DM_fish!C:X,22, FALSE), ",",  CHAR(34), "camera",CHAR(34), ":", IF(VALUE(VLOOKUP(C305,DM_fish!C:X,22, FALSE))&lt;VALUE(VLOOKUP(V305,imaging_filters!A:K,11, FALSE)), CONCATENATE(CHAR(34),"CamA",CHAR(34)), CONCATENATE(CHAR(34),"CamB",CHAR(34))),"}"), "")), "]"), "")</f>
        <v/>
      </c>
      <c r="Y305" s="11" t="str">
        <f ca="1">IFERROR(
CONCATENATE( "[",
IF(VLOOKUP(E305,Injections!B:F,3, FALSE)&gt;0, CONCATENATE( "{",CHAR(34),"target",CHAR(34),":",CHAR(34),VLOOKUP(E305,Injections!B:F,2, FALSE),CHAR(34),",", CHAR(34), "excitation",CHAR(34), ":", VLOOKUP(E305,Injections!B:F,3, FALSE), ",",  CHAR(34), "camera",CHAR(34), ":",
IF(VALUE(VLOOKUP(E305,Injections!B:F,3, FALSE))&lt;VALUE(VLOOKUP(V305,imaging_filters!A:C,2, FALSE)), CONCATENATE(CHAR(34),"CamA",CHAR(34)), CONCATENATE(CHAR(34),"CamB",CHAR(34))),"}"), ""),
IF(VLOOKUP(E305,Injections!B:F,5, FALSE)&gt;0, CONCATENATE(",{",CHAR(34),"target",CHAR(34),":",CHAR(34),VLOOKUP(E305,Injections!B:F,4, FALSE),CHAR(34),",", CHAR(34), "excitation",CHAR(34), ":", VLOOKUP(E305,Injections!B:F,5, FALSE), ",",  CHAR(34), "camera",CHAR(34), ":",
IF(VALUE(VLOOKUP(E305,Injections!B:F,5, FALSE))&lt;VALUE(VLOOKUP(V305,imaging_filters!A:C,2, FALSE)), CONCATENATE(CHAR(34),"CamA",CHAR(34)), CONCATENATE(CHAR(34),"CamB",CHAR(34))),"}"), ""),
 "]"), "[]")</f>
        <v>[]</v>
      </c>
      <c r="Z305" s="11" t="str">
        <f ca="1">IFERROR(
CONCATENATE( "[",
IF(VLOOKUP(F305,Injections!H:L,3, FALSE)&gt;0, CONCATENATE( "{",CHAR(34),"target",CHAR(34),":",CHAR(34),VLOOKUP(F305,Injections!H:L,2, FALSE),CHAR(34),",", CHAR(34), "excitation",CHAR(34), ":", VLOOKUP(F305,Injections!H:L,3, FALSE), ",",  CHAR(34), "camera",CHAR(34), ":",
IF(VALUE(VLOOKUP(F305,Injections!H:L,3, FALSE))&lt;VALUE(VLOOKUP(V305,imaging_filters!A:K,11, FALSE)), CONCATENATE(CHAR(34),"CamA",CHAR(34)), CONCATENATE(CHAR(34),"CamB",CHAR(34))),"}"), ""),
IF(VLOOKUP(F305,Injections!H:L,5, FALSE)&gt;0, CONCATENATE(",{",CHAR(34),"target",CHAR(34),":",CHAR(34),VLOOKUP(F305,Injections!H:L,4, FALSE),CHAR(34),",", CHAR(34), "excitation",CHAR(34), ":", VLOOKUP(F305,Injections!H:L,5, FALSE), ",",  CHAR(34), "camera",CHAR(34), ":",
IF(VALUE(VLOOKUP(F305,Injections!H:L,5, FALSE))&lt;VALUE(VLOOKUP(V305,imaging_filters!A:K,11, FALSE)), CONCATENATE(CHAR(34),"CamA",CHAR(34)), CONCATENATE(CHAR(34),"CamB",CHAR(34))),"}"), ""),
 "]"), "[]")</f>
        <v>[]</v>
      </c>
      <c r="AA305" s="11" t="s">
        <v>602</v>
      </c>
    </row>
    <row r="306" spans="1:27" ht="15.75" customHeight="1" x14ac:dyDescent="0.15">
      <c r="A306" s="7">
        <f t="shared" si="7"/>
        <v>45707</v>
      </c>
      <c r="B306" s="1"/>
      <c r="C306" s="1" t="s">
        <v>597</v>
      </c>
      <c r="D306" s="1" t="s">
        <v>39</v>
      </c>
      <c r="F306" s="1" t="s">
        <v>598</v>
      </c>
      <c r="G306" s="8"/>
      <c r="H306" s="8"/>
      <c r="I306" s="8">
        <v>45705</v>
      </c>
      <c r="J306" s="9">
        <v>0.70833333333333337</v>
      </c>
      <c r="K306" s="1" t="s">
        <v>571</v>
      </c>
      <c r="L306" s="19">
        <v>45706</v>
      </c>
      <c r="M306" s="8">
        <v>45707</v>
      </c>
      <c r="N306" s="9">
        <v>0.56944444444444442</v>
      </c>
      <c r="O306" s="9">
        <v>0.57638888888888884</v>
      </c>
      <c r="P306" s="1" t="s">
        <v>603</v>
      </c>
      <c r="Q306" s="1" t="s">
        <v>604</v>
      </c>
      <c r="R306" s="10" t="str">
        <f ca="1">IFERROR(__xludf.DUMMYFUNCTION("JOIN("","", SORT(UNIQUE(TOCOL({VLOOKUP(D306,DM_fish!A:B,2,FALSE),VLOOKUP(C306,DM_fish!A:B,2,FALSE), ARRAYFORMULA(VLOOKUP(SPLIT(E306, "", ""),Injections!B:G,6,FALSE)), ARRAYFORMULA(VLOOKUP(SPLIT(F306, "", ""),Injections!H:M,6,FALSE)), ARRAYFORMULA(VLOOKUP("&amp;"SPLIT(G306, "", ""),Injections!N:S,6,FALSE)), ARRAYFORMULA(VLOOKUP(SPLIT(H306, "", ""),Injections!T:Y,6,FALSE)) },3))))"),"csp,male #8 - best founder (40-50% transmission, multiple alleles, bright!!!),488")</f>
        <v>csp,male #8 - best founder (40-50% transmission, multiple alleles, bright!!!),488</v>
      </c>
      <c r="S306" s="10" t="str">
        <f ca="1">IFERROR(__xludf.DUMMYFUNCTION("IFERROR(JOIN("","", SPLIT(R306, "","", TRUE ,TRUE)), """")"),"csp,male #8 - best founder (40-50% transmission, multiple alleles, bright!!!),488")</f>
        <v>csp,male #8 - best founder (40-50% transmission, multiple alleles, bright!!!),488</v>
      </c>
      <c r="T306" s="1" t="s">
        <v>605</v>
      </c>
      <c r="U306" s="1">
        <v>1167</v>
      </c>
      <c r="V306" s="1" t="s">
        <v>203</v>
      </c>
      <c r="W306" s="12" t="str">
        <f ca="1">IFERROR(CONCATENATE("[", CONCATENATE(IF(VLOOKUP(D306,DM_fish!C:X,14, FALSE)&gt;0, CONCATENATE("{",CHAR(34),"target",CHAR(34),":",CHAR(34),VLOOKUP(D306,DM_fish!C:X,13, FALSE),CHAR(34),",", CHAR(34), "excitation",CHAR(34), ":", VLOOKUP(D306,DM_fish!C:X,14, FALSE), ",",  CHAR(34), "camera",CHAR(34), ":", IF(VALUE(VLOOKUP(D306,DM_fish!C:X,14, FALSE))&lt;VALUE(VLOOKUP(V306,imaging_filters!A:K,11, FALSE)), CONCATENATE(CHAR(34),"CamA",CHAR(34)), CONCATENATE(CHAR(34),"CamB",CHAR(34))),"}"), ""),IF(VLOOKUP(D306,DM_fish!C:X,16, FALSE)&gt;0, CONCATENATE(",{",CHAR(34),"target",CHAR(34),":",CHAR(34),VLOOKUP(D306,DM_fish!C:X,15, FALSE),CHAR(34),",", CHAR(34), "excitation",CHAR(34), ":", VLOOKUP(D306,DM_fish!C:X,16, FALSE), ",",  CHAR(34), "camera",CHAR(34), ":", IF(VALUE(VLOOKUP(D306,DM_fish!C:X,16, FALSE))&lt;VALUE(VLOOKUP(V306,imaging_filters!A:K,11, FALSE)), CONCATENATE(CHAR(34),"CamA",CHAR(34)), CONCATENATE(CHAR(34),"CamB",CHAR(34))),"}"), ""),IF(VLOOKUP(D306,DM_fish!C:X,18, FALSE)&gt;0, CONCATENATE(",{",CHAR(34),"target",CHAR(34),":",CHAR(34),VLOOKUP(D306,DM_fish!C:X,17, FALSE),CHAR(34),",", CHAR(34), "excitation",CHAR(34), ":", VLOOKUP(D306,DM_fish!C:X,18, FALSE), ",",  CHAR(34), "camera",CHAR(34), ":", IF(VALUE(VLOOKUP(D306,DM_fish!C:X,18, FALSE))&lt;VALUE(VLOOKUP(V306,imaging_filters!A:K,11, FALSE)), CONCATENATE(CHAR(34),"CamA",CHAR(34)), CONCATENATE(CHAR(34),"CamB",CHAR(34))),"}"), ""),IF(VLOOKUP(D306,DM_fish!C:X,20, FALSE)&gt;0, CONCATENATE(",{",CHAR(34),"target",CHAR(34),":",CHAR(34),VLOOKUP(D306,DM_fish!C:X,19, FALSE),CHAR(34),",", CHAR(34), "excitation",CHAR(34), ":", VLOOKUP(D306,DM_fish!C:X,20, FALSE), ",",  CHAR(34), "camera",CHAR(34), ":", IF(VALUE(VLOOKUP(D306,DM_fish!C:X,20, FALSE))&lt;VALUE(VLOOKUP(V306,imaging_filters!A:K,11, FALSE)), CONCATENATE(CHAR(34),"CamA",CHAR(34)), CONCATENATE(CHAR(34),"CamB",CHAR(34))),"}"), ""),IF(VLOOKUP(D306,DM_fish!C:X,22, FALSE)&gt;0, CONCATENATE(",{",CHAR(34),"target",CHAR(34),":",CHAR(34),VLOOKUP(D306,DM_fish!C:X,21, FALSE),CHAR(34),",", CHAR(34), "excitation",CHAR(34), ":", VLOOKUP(D306,DM_fish!C:X,22, FALSE), ",",  CHAR(34), "camera",CHAR(34), ":", IF(VALUE(VLOOKUP(D306,DM_fish!C:X,22, FALSE))&lt;VALUE(VLOOKUP(V306,imaging_filters!A:K,11, FALSE)), CONCATENATE(CHAR(34),"CamA",CHAR(34)), CONCATENATE(CHAR(34),"CamB",CHAR(34))),"}"), "")), "]"), "")</f>
        <v/>
      </c>
      <c r="X306" s="12" t="str">
        <f ca="1">IFERROR(
CONCATENATE("[", CONCATENATE(IF(VLOOKUP(C306,DM_fish!C:X,14, FALSE)&gt;0, CONCATENATE("{",CHAR(34),"target",CHAR(34),":",CHAR(34),VLOOKUP(C306,DM_fish!C:X,13, FALSE),CHAR(34),",", CHAR(34), "excitation",CHAR(34), ":", VLOOKUP(C306,DM_fish!C:X,14, FALSE), ",",  CHAR(34), "camera",CHAR(34), ":", IF(VALUE(VLOOKUP(C306,DM_fish!C:X,14, FALSE))&lt;VALUE(VLOOKUP(V306,imaging_filters!A:K,11, FALSE)), CONCATENATE(CHAR(34),"CamA",CHAR(34)), CONCATENATE(CHAR(34),"CamB",CHAR(34))),"}"), ""),IF(VLOOKUP(C306,DM_fish!C:X,16, FALSE)&gt;0, CONCATENATE(",{",CHAR(34),"target",CHAR(34),":",CHAR(34),VLOOKUP(C306,DM_fish!C:X,15, FALSE),CHAR(34),",", CHAR(34), "excitation",CHAR(34), ":", VLOOKUP(C306,DM_fish!C:X,16, FALSE), ",",  CHAR(34), "camera",CHAR(34), ":", IF(VALUE(VLOOKUP(C306,DM_fish!C:X,16, FALSE))&lt;VALUE(VLOOKUP(V306,imaging_filters!A:K,11, FALSE)), CONCATENATE(CHAR(34),"CamA",CHAR(34)), CONCATENATE(CHAR(34),"CamB",CHAR(34))),"}"), ""),IF(VLOOKUP(C306,DM_fish!C:X,18, FALSE)&gt;0, CONCATENATE(",{",CHAR(34),"target",CHAR(34),":",CHAR(34),VLOOKUP(C306,DM_fish!C:X,17, FALSE),CHAR(34),",", CHAR(34), "excitation",CHAR(34), ":", VLOOKUP(C306,DM_fish!C:X,18, FALSE), ",",  CHAR(34), "camera",CHAR(34), ":", IF(VALUE(VLOOKUP(C306,DM_fish!C:X,18, FALSE))&lt;VALUE(VLOOKUP(V306,imaging_filters!A:K,11, FALSE)), CONCATENATE(CHAR(34),"CamA",CHAR(34)), CONCATENATE(CHAR(34),"CamB",CHAR(34))),"}"), ""),IF(VLOOKUP(C306,DM_fish!C:X,20, FALSE)&gt;0, CONCATENATE(",{",CHAR(34),"target",CHAR(34),":",CHAR(34),VLOOKUP(C306,DM_fish!C:X,19, FALSE),CHAR(34),",", CHAR(34), "excitation",CHAR(34), ":", VLOOKUP(C306,DM_fish!C:X,20, FALSE), ",",  CHAR(34), "camera",CHAR(34), ":", IF(VALUE(VLOOKUP(C306,DM_fish!C:X,20, FALSE))&lt;VALUE(VLOOKUP(V306,imaging_filters!A:K,11, FALSE)), CONCATENATE(CHAR(34),"CamA",CHAR(34)), CONCATENATE(CHAR(34),"CamB",CHAR(34))),"}"), ""),IF(VLOOKUP(C306,DM_fish!C:X,22, FALSE)&gt;0, CONCATENATE(",{",CHAR(34),"target",CHAR(34),":",CHAR(34),VLOOKUP(C306,DM_fish!C:X,21, FALSE),CHAR(34),",", CHAR(34), "excitation",CHAR(34), ":", VLOOKUP(C306,DM_fish!C:X,22, FALSE), ",",  CHAR(34), "camera",CHAR(34), ":", IF(VALUE(VLOOKUP(C306,DM_fish!C:X,22, FALSE))&lt;VALUE(VLOOKUP(V306,imaging_filters!A:K,11, FALSE)), CONCATENATE(CHAR(34),"CamA",CHAR(34)), CONCATENATE(CHAR(34),"CamB",CHAR(34))),"}"), "")), "]"), "")</f>
        <v/>
      </c>
      <c r="Y306" s="11" t="str">
        <f ca="1">IFERROR(
CONCATENATE( "[",
IF(VLOOKUP(E306,Injections!B:F,3, FALSE)&gt;0, CONCATENATE( "{",CHAR(34),"target",CHAR(34),":",CHAR(34),VLOOKUP(E306,Injections!B:F,2, FALSE),CHAR(34),",", CHAR(34), "excitation",CHAR(34), ":", VLOOKUP(E306,Injections!B:F,3, FALSE), ",",  CHAR(34), "camera",CHAR(34), ":",
IF(VALUE(VLOOKUP(E306,Injections!B:F,3, FALSE))&lt;VALUE(VLOOKUP(V306,imaging_filters!A:C,2, FALSE)), CONCATENATE(CHAR(34),"CamA",CHAR(34)), CONCATENATE(CHAR(34),"CamB",CHAR(34))),"}"), ""),
IF(VLOOKUP(E306,Injections!B:F,5, FALSE)&gt;0, CONCATENATE(",{",CHAR(34),"target",CHAR(34),":",CHAR(34),VLOOKUP(E306,Injections!B:F,4, FALSE),CHAR(34),",", CHAR(34), "excitation",CHAR(34), ":", VLOOKUP(E306,Injections!B:F,5, FALSE), ",",  CHAR(34), "camera",CHAR(34), ":",
IF(VALUE(VLOOKUP(E306,Injections!B:F,5, FALSE))&lt;VALUE(VLOOKUP(V306,imaging_filters!A:C,2, FALSE)), CONCATENATE(CHAR(34),"CamA",CHAR(34)), CONCATENATE(CHAR(34),"CamB",CHAR(34))),"}"), ""),
 "]"), "[]")</f>
        <v>[]</v>
      </c>
      <c r="Z306" s="11" t="str">
        <f ca="1">IFERROR(
CONCATENATE( "[",
IF(VLOOKUP(F306,Injections!H:L,3, FALSE)&gt;0, CONCATENATE( "{",CHAR(34),"target",CHAR(34),":",CHAR(34),VLOOKUP(F306,Injections!H:L,2, FALSE),CHAR(34),",", CHAR(34), "excitation",CHAR(34), ":", VLOOKUP(F306,Injections!H:L,3, FALSE), ",",  CHAR(34), "camera",CHAR(34), ":",
IF(VALUE(VLOOKUP(F306,Injections!H:L,3, FALSE))&lt;VALUE(VLOOKUP(V306,imaging_filters!A:K,11, FALSE)), CONCATENATE(CHAR(34),"CamA",CHAR(34)), CONCATENATE(CHAR(34),"CamB",CHAR(34))),"}"), ""),
IF(VLOOKUP(F306,Injections!H:L,5, FALSE)&gt;0, CONCATENATE(",{",CHAR(34),"target",CHAR(34),":",CHAR(34),VLOOKUP(F306,Injections!H:L,4, FALSE),CHAR(34),",", CHAR(34), "excitation",CHAR(34), ":", VLOOKUP(F306,Injections!H:L,5, FALSE), ",",  CHAR(34), "camera",CHAR(34), ":",
IF(VALUE(VLOOKUP(F306,Injections!H:L,5, FALSE))&lt;VALUE(VLOOKUP(V306,imaging_filters!A:K,11, FALSE)), CONCATENATE(CHAR(34),"CamA",CHAR(34)), CONCATENATE(CHAR(34),"CamB",CHAR(34))),"}"), ""),
 "]"), "[]")</f>
        <v>[]</v>
      </c>
      <c r="AA306" s="11"/>
    </row>
    <row r="307" spans="1:27" ht="15.75" customHeight="1" x14ac:dyDescent="0.15">
      <c r="A307" s="7">
        <f t="shared" si="7"/>
        <v>45707</v>
      </c>
      <c r="B307" s="1"/>
      <c r="C307" s="1" t="s">
        <v>597</v>
      </c>
      <c r="D307" s="1" t="s">
        <v>39</v>
      </c>
      <c r="F307" s="1" t="s">
        <v>598</v>
      </c>
      <c r="G307" s="8"/>
      <c r="H307" s="8"/>
      <c r="I307" s="8">
        <v>45705</v>
      </c>
      <c r="J307" s="9">
        <v>0.70833333333333337</v>
      </c>
      <c r="K307" s="1" t="s">
        <v>571</v>
      </c>
      <c r="L307" s="19">
        <v>45706</v>
      </c>
      <c r="M307" s="8">
        <v>45707</v>
      </c>
      <c r="N307" s="9">
        <v>0.56944444444444442</v>
      </c>
      <c r="O307" s="9">
        <v>0.57638888888888884</v>
      </c>
      <c r="P307" s="1" t="s">
        <v>603</v>
      </c>
      <c r="Q307" s="1" t="s">
        <v>606</v>
      </c>
      <c r="R307" s="10" t="str">
        <f ca="1">IFERROR(__xludf.DUMMYFUNCTION("JOIN("","", SORT(UNIQUE(TOCOL({VLOOKUP(D307,DM_fish!A:B,2,FALSE),VLOOKUP(C307,DM_fish!A:B,2,FALSE), ARRAYFORMULA(VLOOKUP(SPLIT(E307, "", ""),Injections!B:G,6,FALSE)), ARRAYFORMULA(VLOOKUP(SPLIT(F307, "", ""),Injections!H:M,6,FALSE)), ARRAYFORMULA(VLOOKUP("&amp;"SPLIT(G307, "", ""),Injections!N:S,6,FALSE)), ARRAYFORMULA(VLOOKUP(SPLIT(H307, "", ""),Injections!T:Y,6,FALSE)) },3))))"),"csp,male #8 - best founder (40-50% transmission, multiple alleles, bright!!!),488")</f>
        <v>csp,male #8 - best founder (40-50% transmission, multiple alleles, bright!!!),488</v>
      </c>
      <c r="S307" s="10" t="str">
        <f ca="1">IFERROR(__xludf.DUMMYFUNCTION("IFERROR(JOIN("","", SPLIT(R307, "","", TRUE ,TRUE)), """")"),"csp,male #8 - best founder (40-50% transmission, multiple alleles, bright!!!),488")</f>
        <v>csp,male #8 - best founder (40-50% transmission, multiple alleles, bright!!!),488</v>
      </c>
      <c r="T307" s="1" t="s">
        <v>607</v>
      </c>
      <c r="U307" s="1">
        <v>3799</v>
      </c>
      <c r="V307" s="1" t="s">
        <v>203</v>
      </c>
      <c r="W307" s="12" t="str">
        <f ca="1">IFERROR(CONCATENATE("[", CONCATENATE(IF(VLOOKUP(D307,DM_fish!C:X,14, FALSE)&gt;0, CONCATENATE("{",CHAR(34),"target",CHAR(34),":",CHAR(34),VLOOKUP(D307,DM_fish!C:X,13, FALSE),CHAR(34),",", CHAR(34), "excitation",CHAR(34), ":", VLOOKUP(D307,DM_fish!C:X,14, FALSE), ",",  CHAR(34), "camera",CHAR(34), ":", IF(VALUE(VLOOKUP(D307,DM_fish!C:X,14, FALSE))&lt;VALUE(VLOOKUP(V307,imaging_filters!A:K,11, FALSE)), CONCATENATE(CHAR(34),"CamA",CHAR(34)), CONCATENATE(CHAR(34),"CamB",CHAR(34))),"}"), ""),IF(VLOOKUP(D307,DM_fish!C:X,16, FALSE)&gt;0, CONCATENATE(",{",CHAR(34),"target",CHAR(34),":",CHAR(34),VLOOKUP(D307,DM_fish!C:X,15, FALSE),CHAR(34),",", CHAR(34), "excitation",CHAR(34), ":", VLOOKUP(D307,DM_fish!C:X,16, FALSE), ",",  CHAR(34), "camera",CHAR(34), ":", IF(VALUE(VLOOKUP(D307,DM_fish!C:X,16, FALSE))&lt;VALUE(VLOOKUP(V307,imaging_filters!A:K,11, FALSE)), CONCATENATE(CHAR(34),"CamA",CHAR(34)), CONCATENATE(CHAR(34),"CamB",CHAR(34))),"}"), ""),IF(VLOOKUP(D307,DM_fish!C:X,18, FALSE)&gt;0, CONCATENATE(",{",CHAR(34),"target",CHAR(34),":",CHAR(34),VLOOKUP(D307,DM_fish!C:X,17, FALSE),CHAR(34),",", CHAR(34), "excitation",CHAR(34), ":", VLOOKUP(D307,DM_fish!C:X,18, FALSE), ",",  CHAR(34), "camera",CHAR(34), ":", IF(VALUE(VLOOKUP(D307,DM_fish!C:X,18, FALSE))&lt;VALUE(VLOOKUP(V307,imaging_filters!A:K,11, FALSE)), CONCATENATE(CHAR(34),"CamA",CHAR(34)), CONCATENATE(CHAR(34),"CamB",CHAR(34))),"}"), ""),IF(VLOOKUP(D307,DM_fish!C:X,20, FALSE)&gt;0, CONCATENATE(",{",CHAR(34),"target",CHAR(34),":",CHAR(34),VLOOKUP(D307,DM_fish!C:X,19, FALSE),CHAR(34),",", CHAR(34), "excitation",CHAR(34), ":", VLOOKUP(D307,DM_fish!C:X,20, FALSE), ",",  CHAR(34), "camera",CHAR(34), ":", IF(VALUE(VLOOKUP(D307,DM_fish!C:X,20, FALSE))&lt;VALUE(VLOOKUP(V307,imaging_filters!A:K,11, FALSE)), CONCATENATE(CHAR(34),"CamA",CHAR(34)), CONCATENATE(CHAR(34),"CamB",CHAR(34))),"}"), ""),IF(VLOOKUP(D307,DM_fish!C:X,22, FALSE)&gt;0, CONCATENATE(",{",CHAR(34),"target",CHAR(34),":",CHAR(34),VLOOKUP(D307,DM_fish!C:X,21, FALSE),CHAR(34),",", CHAR(34), "excitation",CHAR(34), ":", VLOOKUP(D307,DM_fish!C:X,22, FALSE), ",",  CHAR(34), "camera",CHAR(34), ":", IF(VALUE(VLOOKUP(D307,DM_fish!C:X,22, FALSE))&lt;VALUE(VLOOKUP(V307,imaging_filters!A:K,11, FALSE)), CONCATENATE(CHAR(34),"CamA",CHAR(34)), CONCATENATE(CHAR(34),"CamB",CHAR(34))),"}"), "")), "]"), "")</f>
        <v/>
      </c>
      <c r="X307" s="12" t="str">
        <f ca="1">IFERROR(
CONCATENATE("[", CONCATENATE(IF(VLOOKUP(C307,DM_fish!C:X,14, FALSE)&gt;0, CONCATENATE("{",CHAR(34),"target",CHAR(34),":",CHAR(34),VLOOKUP(C307,DM_fish!C:X,13, FALSE),CHAR(34),",", CHAR(34), "excitation",CHAR(34), ":", VLOOKUP(C307,DM_fish!C:X,14, FALSE), ",",  CHAR(34), "camera",CHAR(34), ":", IF(VALUE(VLOOKUP(C307,DM_fish!C:X,14, FALSE))&lt;VALUE(VLOOKUP(V307,imaging_filters!A:K,11, FALSE)), CONCATENATE(CHAR(34),"CamA",CHAR(34)), CONCATENATE(CHAR(34),"CamB",CHAR(34))),"}"), ""),IF(VLOOKUP(C307,DM_fish!C:X,16, FALSE)&gt;0, CONCATENATE(",{",CHAR(34),"target",CHAR(34),":",CHAR(34),VLOOKUP(C307,DM_fish!C:X,15, FALSE),CHAR(34),",", CHAR(34), "excitation",CHAR(34), ":", VLOOKUP(C307,DM_fish!C:X,16, FALSE), ",",  CHAR(34), "camera",CHAR(34), ":", IF(VALUE(VLOOKUP(C307,DM_fish!C:X,16, FALSE))&lt;VALUE(VLOOKUP(V307,imaging_filters!A:K,11, FALSE)), CONCATENATE(CHAR(34),"CamA",CHAR(34)), CONCATENATE(CHAR(34),"CamB",CHAR(34))),"}"), ""),IF(VLOOKUP(C307,DM_fish!C:X,18, FALSE)&gt;0, CONCATENATE(",{",CHAR(34),"target",CHAR(34),":",CHAR(34),VLOOKUP(C307,DM_fish!C:X,17, FALSE),CHAR(34),",", CHAR(34), "excitation",CHAR(34), ":", VLOOKUP(C307,DM_fish!C:X,18, FALSE), ",",  CHAR(34), "camera",CHAR(34), ":", IF(VALUE(VLOOKUP(C307,DM_fish!C:X,18, FALSE))&lt;VALUE(VLOOKUP(V307,imaging_filters!A:K,11, FALSE)), CONCATENATE(CHAR(34),"CamA",CHAR(34)), CONCATENATE(CHAR(34),"CamB",CHAR(34))),"}"), ""),IF(VLOOKUP(C307,DM_fish!C:X,20, FALSE)&gt;0, CONCATENATE(",{",CHAR(34),"target",CHAR(34),":",CHAR(34),VLOOKUP(C307,DM_fish!C:X,19, FALSE),CHAR(34),",", CHAR(34), "excitation",CHAR(34), ":", VLOOKUP(C307,DM_fish!C:X,20, FALSE), ",",  CHAR(34), "camera",CHAR(34), ":", IF(VALUE(VLOOKUP(C307,DM_fish!C:X,20, FALSE))&lt;VALUE(VLOOKUP(V307,imaging_filters!A:K,11, FALSE)), CONCATENATE(CHAR(34),"CamA",CHAR(34)), CONCATENATE(CHAR(34),"CamB",CHAR(34))),"}"), ""),IF(VLOOKUP(C307,DM_fish!C:X,22, FALSE)&gt;0, CONCATENATE(",{",CHAR(34),"target",CHAR(34),":",CHAR(34),VLOOKUP(C307,DM_fish!C:X,21, FALSE),CHAR(34),",", CHAR(34), "excitation",CHAR(34), ":", VLOOKUP(C307,DM_fish!C:X,22, FALSE), ",",  CHAR(34), "camera",CHAR(34), ":", IF(VALUE(VLOOKUP(C307,DM_fish!C:X,22, FALSE))&lt;VALUE(VLOOKUP(V307,imaging_filters!A:K,11, FALSE)), CONCATENATE(CHAR(34),"CamA",CHAR(34)), CONCATENATE(CHAR(34),"CamB",CHAR(34))),"}"), "")), "]"), "")</f>
        <v/>
      </c>
      <c r="Y307" s="11" t="str">
        <f ca="1">IFERROR(
CONCATENATE( "[",
IF(VLOOKUP(E307,Injections!B:F,3, FALSE)&gt;0, CONCATENATE( "{",CHAR(34),"target",CHAR(34),":",CHAR(34),VLOOKUP(E307,Injections!B:F,2, FALSE),CHAR(34),",", CHAR(34), "excitation",CHAR(34), ":", VLOOKUP(E307,Injections!B:F,3, FALSE), ",",  CHAR(34), "camera",CHAR(34), ":",
IF(VALUE(VLOOKUP(E307,Injections!B:F,3, FALSE))&lt;VALUE(VLOOKUP(V307,imaging_filters!A:C,2, FALSE)), CONCATENATE(CHAR(34),"CamA",CHAR(34)), CONCATENATE(CHAR(34),"CamB",CHAR(34))),"}"), ""),
IF(VLOOKUP(E307,Injections!B:F,5, FALSE)&gt;0, CONCATENATE(",{",CHAR(34),"target",CHAR(34),":",CHAR(34),VLOOKUP(E307,Injections!B:F,4, FALSE),CHAR(34),",", CHAR(34), "excitation",CHAR(34), ":", VLOOKUP(E307,Injections!B:F,5, FALSE), ",",  CHAR(34), "camera",CHAR(34), ":",
IF(VALUE(VLOOKUP(E307,Injections!B:F,5, FALSE))&lt;VALUE(VLOOKUP(V307,imaging_filters!A:C,2, FALSE)), CONCATENATE(CHAR(34),"CamA",CHAR(34)), CONCATENATE(CHAR(34),"CamB",CHAR(34))),"}"), ""),
 "]"), "[]")</f>
        <v>[]</v>
      </c>
      <c r="Z307" s="11" t="str">
        <f ca="1">IFERROR(
CONCATENATE( "[",
IF(VLOOKUP(F307,Injections!H:L,3, FALSE)&gt;0, CONCATENATE( "{",CHAR(34),"target",CHAR(34),":",CHAR(34),VLOOKUP(F307,Injections!H:L,2, FALSE),CHAR(34),",", CHAR(34), "excitation",CHAR(34), ":", VLOOKUP(F307,Injections!H:L,3, FALSE), ",",  CHAR(34), "camera",CHAR(34), ":",
IF(VALUE(VLOOKUP(F307,Injections!H:L,3, FALSE))&lt;VALUE(VLOOKUP(V307,imaging_filters!A:K,11, FALSE)), CONCATENATE(CHAR(34),"CamA",CHAR(34)), CONCATENATE(CHAR(34),"CamB",CHAR(34))),"}"), ""),
IF(VLOOKUP(F307,Injections!H:L,5, FALSE)&gt;0, CONCATENATE(",{",CHAR(34),"target",CHAR(34),":",CHAR(34),VLOOKUP(F307,Injections!H:L,4, FALSE),CHAR(34),",", CHAR(34), "excitation",CHAR(34), ":", VLOOKUP(F307,Injections!H:L,5, FALSE), ",",  CHAR(34), "camera",CHAR(34), ":",
IF(VALUE(VLOOKUP(F307,Injections!H:L,5, FALSE))&lt;VALUE(VLOOKUP(V307,imaging_filters!A:K,11, FALSE)), CONCATENATE(CHAR(34),"CamA",CHAR(34)), CONCATENATE(CHAR(34),"CamB",CHAR(34))),"}"), ""),
 "]"), "[]")</f>
        <v>[]</v>
      </c>
      <c r="AA307" s="11"/>
    </row>
    <row r="308" spans="1:27" ht="15.75" customHeight="1" x14ac:dyDescent="0.15">
      <c r="A308" s="7">
        <f t="shared" si="7"/>
        <v>45706</v>
      </c>
      <c r="B308" s="1"/>
      <c r="C308" s="1" t="s">
        <v>597</v>
      </c>
      <c r="D308" s="1" t="s">
        <v>39</v>
      </c>
      <c r="F308" s="1" t="s">
        <v>598</v>
      </c>
      <c r="G308" s="8"/>
      <c r="H308" s="8"/>
      <c r="I308" s="8">
        <v>45705</v>
      </c>
      <c r="J308" s="9">
        <v>0.70833333333333337</v>
      </c>
      <c r="K308" s="1" t="s">
        <v>571</v>
      </c>
      <c r="L308" s="19">
        <v>45706</v>
      </c>
      <c r="M308" s="8">
        <v>45706</v>
      </c>
      <c r="N308" s="9">
        <v>0.70833333333333337</v>
      </c>
      <c r="O308" s="9">
        <v>0.71527777777777779</v>
      </c>
      <c r="P308" s="1" t="s">
        <v>608</v>
      </c>
      <c r="Q308" s="1" t="s">
        <v>606</v>
      </c>
      <c r="R308" s="10" t="str">
        <f ca="1">IFERROR(__xludf.DUMMYFUNCTION("JOIN("","", SORT(UNIQUE(TOCOL({VLOOKUP(D308,DM_fish!A:B,2,FALSE),VLOOKUP(C308,DM_fish!A:B,2,FALSE), ARRAYFORMULA(VLOOKUP(SPLIT(E308, "", ""),Injections!B:G,6,FALSE)), ARRAYFORMULA(VLOOKUP(SPLIT(F308, "", ""),Injections!H:M,6,FALSE)), ARRAYFORMULA(VLOOKUP("&amp;"SPLIT(G308, "", ""),Injections!N:S,6,FALSE)), ARRAYFORMULA(VLOOKUP(SPLIT(H308, "", ""),Injections!T:Y,6,FALSE)) },3))))"),"csp,male #8 - best founder (40-50% transmission, multiple alleles, bright!!!),488")</f>
        <v>csp,male #8 - best founder (40-50% transmission, multiple alleles, bright!!!),488</v>
      </c>
      <c r="S308" s="10" t="str">
        <f ca="1">IFERROR(__xludf.DUMMYFUNCTION("IFERROR(JOIN("","", SPLIT(R308, "","", TRUE ,TRUE)), """")"),"csp,male #8 - best founder (40-50% transmission, multiple alleles, bright!!!),488")</f>
        <v>csp,male #8 - best founder (40-50% transmission, multiple alleles, bright!!!),488</v>
      </c>
      <c r="T308" s="1" t="s">
        <v>609</v>
      </c>
      <c r="U308" s="1">
        <v>4188</v>
      </c>
      <c r="V308" s="1" t="s">
        <v>203</v>
      </c>
      <c r="W308" s="12" t="str">
        <f ca="1">IFERROR(CONCATENATE("[", CONCATENATE(IF(VLOOKUP(D308,DM_fish!C:X,14, FALSE)&gt;0, CONCATENATE("{",CHAR(34),"target",CHAR(34),":",CHAR(34),VLOOKUP(D308,DM_fish!C:X,13, FALSE),CHAR(34),",", CHAR(34), "excitation",CHAR(34), ":", VLOOKUP(D308,DM_fish!C:X,14, FALSE), ",",  CHAR(34), "camera",CHAR(34), ":", IF(VALUE(VLOOKUP(D308,DM_fish!C:X,14, FALSE))&lt;VALUE(VLOOKUP(V308,imaging_filters!A:K,11, FALSE)), CONCATENATE(CHAR(34),"CamA",CHAR(34)), CONCATENATE(CHAR(34),"CamB",CHAR(34))),"}"), ""),IF(VLOOKUP(D308,DM_fish!C:X,16, FALSE)&gt;0, CONCATENATE(",{",CHAR(34),"target",CHAR(34),":",CHAR(34),VLOOKUP(D308,DM_fish!C:X,15, FALSE),CHAR(34),",", CHAR(34), "excitation",CHAR(34), ":", VLOOKUP(D308,DM_fish!C:X,16, FALSE), ",",  CHAR(34), "camera",CHAR(34), ":", IF(VALUE(VLOOKUP(D308,DM_fish!C:X,16, FALSE))&lt;VALUE(VLOOKUP(V308,imaging_filters!A:K,11, FALSE)), CONCATENATE(CHAR(34),"CamA",CHAR(34)), CONCATENATE(CHAR(34),"CamB",CHAR(34))),"}"), ""),IF(VLOOKUP(D308,DM_fish!C:X,18, FALSE)&gt;0, CONCATENATE(",{",CHAR(34),"target",CHAR(34),":",CHAR(34),VLOOKUP(D308,DM_fish!C:X,17, FALSE),CHAR(34),",", CHAR(34), "excitation",CHAR(34), ":", VLOOKUP(D308,DM_fish!C:X,18, FALSE), ",",  CHAR(34), "camera",CHAR(34), ":", IF(VALUE(VLOOKUP(D308,DM_fish!C:X,18, FALSE))&lt;VALUE(VLOOKUP(V308,imaging_filters!A:K,11, FALSE)), CONCATENATE(CHAR(34),"CamA",CHAR(34)), CONCATENATE(CHAR(34),"CamB",CHAR(34))),"}"), ""),IF(VLOOKUP(D308,DM_fish!C:X,20, FALSE)&gt;0, CONCATENATE(",{",CHAR(34),"target",CHAR(34),":",CHAR(34),VLOOKUP(D308,DM_fish!C:X,19, FALSE),CHAR(34),",", CHAR(34), "excitation",CHAR(34), ":", VLOOKUP(D308,DM_fish!C:X,20, FALSE), ",",  CHAR(34), "camera",CHAR(34), ":", IF(VALUE(VLOOKUP(D308,DM_fish!C:X,20, FALSE))&lt;VALUE(VLOOKUP(V308,imaging_filters!A:K,11, FALSE)), CONCATENATE(CHAR(34),"CamA",CHAR(34)), CONCATENATE(CHAR(34),"CamB",CHAR(34))),"}"), ""),IF(VLOOKUP(D308,DM_fish!C:X,22, FALSE)&gt;0, CONCATENATE(",{",CHAR(34),"target",CHAR(34),":",CHAR(34),VLOOKUP(D308,DM_fish!C:X,21, FALSE),CHAR(34),",", CHAR(34), "excitation",CHAR(34), ":", VLOOKUP(D308,DM_fish!C:X,22, FALSE), ",",  CHAR(34), "camera",CHAR(34), ":", IF(VALUE(VLOOKUP(D308,DM_fish!C:X,22, FALSE))&lt;VALUE(VLOOKUP(V308,imaging_filters!A:K,11, FALSE)), CONCATENATE(CHAR(34),"CamA",CHAR(34)), CONCATENATE(CHAR(34),"CamB",CHAR(34))),"}"), "")), "]"), "")</f>
        <v/>
      </c>
      <c r="X308" s="12" t="str">
        <f ca="1">IFERROR(
CONCATENATE("[", CONCATENATE(IF(VLOOKUP(C308,DM_fish!C:X,14, FALSE)&gt;0, CONCATENATE("{",CHAR(34),"target",CHAR(34),":",CHAR(34),VLOOKUP(C308,DM_fish!C:X,13, FALSE),CHAR(34),",", CHAR(34), "excitation",CHAR(34), ":", VLOOKUP(C308,DM_fish!C:X,14, FALSE), ",",  CHAR(34), "camera",CHAR(34), ":", IF(VALUE(VLOOKUP(C308,DM_fish!C:X,14, FALSE))&lt;VALUE(VLOOKUP(V308,imaging_filters!A:K,11, FALSE)), CONCATENATE(CHAR(34),"CamA",CHAR(34)), CONCATENATE(CHAR(34),"CamB",CHAR(34))),"}"), ""),IF(VLOOKUP(C308,DM_fish!C:X,16, FALSE)&gt;0, CONCATENATE(",{",CHAR(34),"target",CHAR(34),":",CHAR(34),VLOOKUP(C308,DM_fish!C:X,15, FALSE),CHAR(34),",", CHAR(34), "excitation",CHAR(34), ":", VLOOKUP(C308,DM_fish!C:X,16, FALSE), ",",  CHAR(34), "camera",CHAR(34), ":", IF(VALUE(VLOOKUP(C308,DM_fish!C:X,16, FALSE))&lt;VALUE(VLOOKUP(V308,imaging_filters!A:K,11, FALSE)), CONCATENATE(CHAR(34),"CamA",CHAR(34)), CONCATENATE(CHAR(34),"CamB",CHAR(34))),"}"), ""),IF(VLOOKUP(C308,DM_fish!C:X,18, FALSE)&gt;0, CONCATENATE(",{",CHAR(34),"target",CHAR(34),":",CHAR(34),VLOOKUP(C308,DM_fish!C:X,17, FALSE),CHAR(34),",", CHAR(34), "excitation",CHAR(34), ":", VLOOKUP(C308,DM_fish!C:X,18, FALSE), ",",  CHAR(34), "camera",CHAR(34), ":", IF(VALUE(VLOOKUP(C308,DM_fish!C:X,18, FALSE))&lt;VALUE(VLOOKUP(V308,imaging_filters!A:K,11, FALSE)), CONCATENATE(CHAR(34),"CamA",CHAR(34)), CONCATENATE(CHAR(34),"CamB",CHAR(34))),"}"), ""),IF(VLOOKUP(C308,DM_fish!C:X,20, FALSE)&gt;0, CONCATENATE(",{",CHAR(34),"target",CHAR(34),":",CHAR(34),VLOOKUP(C308,DM_fish!C:X,19, FALSE),CHAR(34),",", CHAR(34), "excitation",CHAR(34), ":", VLOOKUP(C308,DM_fish!C:X,20, FALSE), ",",  CHAR(34), "camera",CHAR(34), ":", IF(VALUE(VLOOKUP(C308,DM_fish!C:X,20, FALSE))&lt;VALUE(VLOOKUP(V308,imaging_filters!A:K,11, FALSE)), CONCATENATE(CHAR(34),"CamA",CHAR(34)), CONCATENATE(CHAR(34),"CamB",CHAR(34))),"}"), ""),IF(VLOOKUP(C308,DM_fish!C:X,22, FALSE)&gt;0, CONCATENATE(",{",CHAR(34),"target",CHAR(34),":",CHAR(34),VLOOKUP(C308,DM_fish!C:X,21, FALSE),CHAR(34),",", CHAR(34), "excitation",CHAR(34), ":", VLOOKUP(C308,DM_fish!C:X,22, FALSE), ",",  CHAR(34), "camera",CHAR(34), ":", IF(VALUE(VLOOKUP(C308,DM_fish!C:X,22, FALSE))&lt;VALUE(VLOOKUP(V308,imaging_filters!A:K,11, FALSE)), CONCATENATE(CHAR(34),"CamA",CHAR(34)), CONCATENATE(CHAR(34),"CamB",CHAR(34))),"}"), "")), "]"), "")</f>
        <v/>
      </c>
      <c r="Y308" s="11" t="str">
        <f ca="1">IFERROR(
CONCATENATE( "[",
IF(VLOOKUP(E308,Injections!B:F,3, FALSE)&gt;0, CONCATENATE( "{",CHAR(34),"target",CHAR(34),":",CHAR(34),VLOOKUP(E308,Injections!B:F,2, FALSE),CHAR(34),",", CHAR(34), "excitation",CHAR(34), ":", VLOOKUP(E308,Injections!B:F,3, FALSE), ",",  CHAR(34), "camera",CHAR(34), ":",
IF(VALUE(VLOOKUP(E308,Injections!B:F,3, FALSE))&lt;VALUE(VLOOKUP(V308,imaging_filters!A:C,2, FALSE)), CONCATENATE(CHAR(34),"CamA",CHAR(34)), CONCATENATE(CHAR(34),"CamB",CHAR(34))),"}"), ""),
IF(VLOOKUP(E308,Injections!B:F,5, FALSE)&gt;0, CONCATENATE(",{",CHAR(34),"target",CHAR(34),":",CHAR(34),VLOOKUP(E308,Injections!B:F,4, FALSE),CHAR(34),",", CHAR(34), "excitation",CHAR(34), ":", VLOOKUP(E308,Injections!B:F,5, FALSE), ",",  CHAR(34), "camera",CHAR(34), ":",
IF(VALUE(VLOOKUP(E308,Injections!B:F,5, FALSE))&lt;VALUE(VLOOKUP(V308,imaging_filters!A:C,2, FALSE)), CONCATENATE(CHAR(34),"CamA",CHAR(34)), CONCATENATE(CHAR(34),"CamB",CHAR(34))),"}"), ""),
 "]"), "[]")</f>
        <v>[]</v>
      </c>
      <c r="Z308" s="11" t="str">
        <f ca="1">IFERROR(
CONCATENATE( "[",
IF(VLOOKUP(F308,Injections!H:L,3, FALSE)&gt;0, CONCATENATE( "{",CHAR(34),"target",CHAR(34),":",CHAR(34),VLOOKUP(F308,Injections!H:L,2, FALSE),CHAR(34),",", CHAR(34), "excitation",CHAR(34), ":", VLOOKUP(F308,Injections!H:L,3, FALSE), ",",  CHAR(34), "camera",CHAR(34), ":",
IF(VALUE(VLOOKUP(F308,Injections!H:L,3, FALSE))&lt;VALUE(VLOOKUP(V308,imaging_filters!A:K,11, FALSE)), CONCATENATE(CHAR(34),"CamA",CHAR(34)), CONCATENATE(CHAR(34),"CamB",CHAR(34))),"}"), ""),
IF(VLOOKUP(F308,Injections!H:L,5, FALSE)&gt;0, CONCATENATE(",{",CHAR(34),"target",CHAR(34),":",CHAR(34),VLOOKUP(F308,Injections!H:L,4, FALSE),CHAR(34),",", CHAR(34), "excitation",CHAR(34), ":", VLOOKUP(F308,Injections!H:L,5, FALSE), ",",  CHAR(34), "camera",CHAR(34), ":",
IF(VALUE(VLOOKUP(F308,Injections!H:L,5, FALSE))&lt;VALUE(VLOOKUP(V308,imaging_filters!A:K,11, FALSE)), CONCATENATE(CHAR(34),"CamA",CHAR(34)), CONCATENATE(CHAR(34),"CamB",CHAR(34))),"}"), ""),
 "]"), "[]")</f>
        <v>[]</v>
      </c>
      <c r="AA308" s="11"/>
    </row>
    <row r="309" spans="1:27" ht="15.75" customHeight="1" x14ac:dyDescent="0.15">
      <c r="A309" s="7">
        <f t="shared" si="7"/>
        <v>45701</v>
      </c>
      <c r="B309" s="1"/>
      <c r="C309" s="1" t="s">
        <v>107</v>
      </c>
      <c r="D309" s="1" t="s">
        <v>253</v>
      </c>
      <c r="F309" s="1" t="s">
        <v>550</v>
      </c>
      <c r="G309" s="8"/>
      <c r="H309" s="8"/>
      <c r="I309" s="8">
        <v>45698</v>
      </c>
      <c r="J309" s="1" t="s">
        <v>610</v>
      </c>
      <c r="K309" s="1" t="s">
        <v>357</v>
      </c>
      <c r="L309" s="19">
        <v>45700</v>
      </c>
      <c r="M309" s="8">
        <v>45701</v>
      </c>
      <c r="N309" s="9">
        <v>0.43055555555555558</v>
      </c>
      <c r="O309" s="9">
        <v>0.44791666666666669</v>
      </c>
      <c r="P309" s="9">
        <v>0.70833333333333337</v>
      </c>
      <c r="Q309" s="1" t="s">
        <v>611</v>
      </c>
      <c r="R309" s="10" t="str">
        <f ca="1">IFERROR(__xludf.DUMMYFUNCTION("JOIN("","", SORT(UNIQUE(TOCOL({VLOOKUP(D309,DM_fish!A:B,2,FALSE),VLOOKUP(C309,DM_fish!A:B,2,FALSE), ARRAYFORMULA(VLOOKUP(SPLIT(E309, "", ""),Injections!B:G,6,FALSE)), ARRAYFORMULA(VLOOKUP(SPLIT(F309, "", ""),Injections!H:M,6,FALSE)), ARRAYFORMULA(VLOOKUP("&amp;"SPLIT(G309, "", ""),Injections!N:S,6,FALSE)), ARRAYFORMULA(VLOOKUP(SPLIT(H309, "", ""),Injections!T:Y,6,FALSE)) },3))))"),"nuclei")</f>
        <v>nuclei</v>
      </c>
      <c r="S309" s="10" t="str">
        <f ca="1">IFERROR(__xludf.DUMMYFUNCTION("IFERROR(JOIN("","", SPLIT(R309, "","", TRUE ,TRUE)), """")"),"nuclei")</f>
        <v>nuclei</v>
      </c>
      <c r="T309" s="1" t="s">
        <v>612</v>
      </c>
      <c r="U309" s="1">
        <v>1648</v>
      </c>
      <c r="V309" s="1" t="s">
        <v>203</v>
      </c>
      <c r="W309" s="12" t="str">
        <f ca="1">IFERROR(CONCATENATE("[", CONCATENATE(IF(VLOOKUP(D309,DM_fish!C:X,14, FALSE)&gt;0, CONCATENATE("{",CHAR(34),"target",CHAR(34),":",CHAR(34),VLOOKUP(D309,DM_fish!C:X,13, FALSE),CHAR(34),",", CHAR(34), "excitation",CHAR(34), ":", VLOOKUP(D309,DM_fish!C:X,14, FALSE), ",",  CHAR(34), "camera",CHAR(34), ":", IF(VALUE(VLOOKUP(D309,DM_fish!C:X,14, FALSE))&lt;VALUE(VLOOKUP(V309,imaging_filters!A:K,11, FALSE)), CONCATENATE(CHAR(34),"CamA",CHAR(34)), CONCATENATE(CHAR(34),"CamB",CHAR(34))),"}"), ""),IF(VLOOKUP(D309,DM_fish!C:X,16, FALSE)&gt;0, CONCATENATE(",{",CHAR(34),"target",CHAR(34),":",CHAR(34),VLOOKUP(D309,DM_fish!C:X,15, FALSE),CHAR(34),",", CHAR(34), "excitation",CHAR(34), ":", VLOOKUP(D309,DM_fish!C:X,16, FALSE), ",",  CHAR(34), "camera",CHAR(34), ":", IF(VALUE(VLOOKUP(D309,DM_fish!C:X,16, FALSE))&lt;VALUE(VLOOKUP(V309,imaging_filters!A:K,11, FALSE)), CONCATENATE(CHAR(34),"CamA",CHAR(34)), CONCATENATE(CHAR(34),"CamB",CHAR(34))),"}"), ""),IF(VLOOKUP(D309,DM_fish!C:X,18, FALSE)&gt;0, CONCATENATE(",{",CHAR(34),"target",CHAR(34),":",CHAR(34),VLOOKUP(D309,DM_fish!C:X,17, FALSE),CHAR(34),",", CHAR(34), "excitation",CHAR(34), ":", VLOOKUP(D309,DM_fish!C:X,18, FALSE), ",",  CHAR(34), "camera",CHAR(34), ":", IF(VALUE(VLOOKUP(D309,DM_fish!C:X,18, FALSE))&lt;VALUE(VLOOKUP(V309,imaging_filters!A:K,11, FALSE)), CONCATENATE(CHAR(34),"CamA",CHAR(34)), CONCATENATE(CHAR(34),"CamB",CHAR(34))),"}"), ""),IF(VLOOKUP(D309,DM_fish!C:X,20, FALSE)&gt;0, CONCATENATE(",{",CHAR(34),"target",CHAR(34),":",CHAR(34),VLOOKUP(D309,DM_fish!C:X,19, FALSE),CHAR(34),",", CHAR(34), "excitation",CHAR(34), ":", VLOOKUP(D309,DM_fish!C:X,20, FALSE), ",",  CHAR(34), "camera",CHAR(34), ":", IF(VALUE(VLOOKUP(D309,DM_fish!C:X,20, FALSE))&lt;VALUE(VLOOKUP(V309,imaging_filters!A:K,11, FALSE)), CONCATENATE(CHAR(34),"CamA",CHAR(34)), CONCATENATE(CHAR(34),"CamB",CHAR(34))),"}"), ""),IF(VLOOKUP(D309,DM_fish!C:X,22, FALSE)&gt;0, CONCATENATE(",{",CHAR(34),"target",CHAR(34),":",CHAR(34),VLOOKUP(D309,DM_fish!C:X,21, FALSE),CHAR(34),",", CHAR(34), "excitation",CHAR(34), ":", VLOOKUP(D309,DM_fish!C:X,22, FALSE), ",",  CHAR(34), "camera",CHAR(34), ":", IF(VALUE(VLOOKUP(D309,DM_fish!C:X,22, FALSE))&lt;VALUE(VLOOKUP(V309,imaging_filters!A:K,11, FALSE)), CONCATENATE(CHAR(34),"CamA",CHAR(34)), CONCATENATE(CHAR(34),"CamB",CHAR(34))),"}"), "")), "]"), "")</f>
        <v/>
      </c>
      <c r="X309" s="12" t="str">
        <f ca="1">IFERROR(
CONCATENATE("[", CONCATENATE(IF(VLOOKUP(C309,DM_fish!C:X,14, FALSE)&gt;0, CONCATENATE("{",CHAR(34),"target",CHAR(34),":",CHAR(34),VLOOKUP(C309,DM_fish!C:X,13, FALSE),CHAR(34),",", CHAR(34), "excitation",CHAR(34), ":", VLOOKUP(C309,DM_fish!C:X,14, FALSE), ",",  CHAR(34), "camera",CHAR(34), ":", IF(VALUE(VLOOKUP(C309,DM_fish!C:X,14, FALSE))&lt;VALUE(VLOOKUP(V309,imaging_filters!A:K,11, FALSE)), CONCATENATE(CHAR(34),"CamA",CHAR(34)), CONCATENATE(CHAR(34),"CamB",CHAR(34))),"}"), ""),IF(VLOOKUP(C309,DM_fish!C:X,16, FALSE)&gt;0, CONCATENATE(",{",CHAR(34),"target",CHAR(34),":",CHAR(34),VLOOKUP(C309,DM_fish!C:X,15, FALSE),CHAR(34),",", CHAR(34), "excitation",CHAR(34), ":", VLOOKUP(C309,DM_fish!C:X,16, FALSE), ",",  CHAR(34), "camera",CHAR(34), ":", IF(VALUE(VLOOKUP(C309,DM_fish!C:X,16, FALSE))&lt;VALUE(VLOOKUP(V309,imaging_filters!A:K,11, FALSE)), CONCATENATE(CHAR(34),"CamA",CHAR(34)), CONCATENATE(CHAR(34),"CamB",CHAR(34))),"}"), ""),IF(VLOOKUP(C309,DM_fish!C:X,18, FALSE)&gt;0, CONCATENATE(",{",CHAR(34),"target",CHAR(34),":",CHAR(34),VLOOKUP(C309,DM_fish!C:X,17, FALSE),CHAR(34),",", CHAR(34), "excitation",CHAR(34), ":", VLOOKUP(C309,DM_fish!C:X,18, FALSE), ",",  CHAR(34), "camera",CHAR(34), ":", IF(VALUE(VLOOKUP(C309,DM_fish!C:X,18, FALSE))&lt;VALUE(VLOOKUP(V309,imaging_filters!A:K,11, FALSE)), CONCATENATE(CHAR(34),"CamA",CHAR(34)), CONCATENATE(CHAR(34),"CamB",CHAR(34))),"}"), ""),IF(VLOOKUP(C309,DM_fish!C:X,20, FALSE)&gt;0, CONCATENATE(",{",CHAR(34),"target",CHAR(34),":",CHAR(34),VLOOKUP(C309,DM_fish!C:X,19, FALSE),CHAR(34),",", CHAR(34), "excitation",CHAR(34), ":", VLOOKUP(C309,DM_fish!C:X,20, FALSE), ",",  CHAR(34), "camera",CHAR(34), ":", IF(VALUE(VLOOKUP(C309,DM_fish!C:X,20, FALSE))&lt;VALUE(VLOOKUP(V309,imaging_filters!A:K,11, FALSE)), CONCATENATE(CHAR(34),"CamA",CHAR(34)), CONCATENATE(CHAR(34),"CamB",CHAR(34))),"}"), ""),IF(VLOOKUP(C309,DM_fish!C:X,22, FALSE)&gt;0, CONCATENATE(",{",CHAR(34),"target",CHAR(34),":",CHAR(34),VLOOKUP(C309,DM_fish!C:X,21, FALSE),CHAR(34),",", CHAR(34), "excitation",CHAR(34), ":", VLOOKUP(C309,DM_fish!C:X,22, FALSE), ",",  CHAR(34), "camera",CHAR(34), ":", IF(VALUE(VLOOKUP(C309,DM_fish!C:X,22, FALSE))&lt;VALUE(VLOOKUP(V309,imaging_filters!A:K,11, FALSE)), CONCATENATE(CHAR(34),"CamA",CHAR(34)), CONCATENATE(CHAR(34),"CamB",CHAR(34))),"}"), "")), "]"), "")</f>
        <v/>
      </c>
      <c r="Y309" s="11" t="str">
        <f ca="1">IFERROR(
CONCATENATE( "[",
IF(VLOOKUP(E309,Injections!B:F,3, FALSE)&gt;0, CONCATENATE( "{",CHAR(34),"target",CHAR(34),":",CHAR(34),VLOOKUP(E309,Injections!B:F,2, FALSE),CHAR(34),",", CHAR(34), "excitation",CHAR(34), ":", VLOOKUP(E309,Injections!B:F,3, FALSE), ",",  CHAR(34), "camera",CHAR(34), ":",
IF(VALUE(VLOOKUP(E309,Injections!B:F,3, FALSE))&lt;VALUE(VLOOKUP(V309,imaging_filters!A:C,2, FALSE)), CONCATENATE(CHAR(34),"CamA",CHAR(34)), CONCATENATE(CHAR(34),"CamB",CHAR(34))),"}"), ""),
IF(VLOOKUP(E309,Injections!B:F,5, FALSE)&gt;0, CONCATENATE(",{",CHAR(34),"target",CHAR(34),":",CHAR(34),VLOOKUP(E309,Injections!B:F,4, FALSE),CHAR(34),",", CHAR(34), "excitation",CHAR(34), ":", VLOOKUP(E309,Injections!B:F,5, FALSE), ",",  CHAR(34), "camera",CHAR(34), ":",
IF(VALUE(VLOOKUP(E309,Injections!B:F,5, FALSE))&lt;VALUE(VLOOKUP(V309,imaging_filters!A:C,2, FALSE)), CONCATENATE(CHAR(34),"CamA",CHAR(34)), CONCATENATE(CHAR(34),"CamB",CHAR(34))),"}"), ""),
 "]"), "[]")</f>
        <v>[]</v>
      </c>
      <c r="Z309" s="11" t="str">
        <f ca="1">IFERROR(
CONCATENATE( "[",
IF(VLOOKUP(F309,Injections!H:L,3, FALSE)&gt;0, CONCATENATE( "{",CHAR(34),"target",CHAR(34),":",CHAR(34),VLOOKUP(F309,Injections!H:L,2, FALSE),CHAR(34),",", CHAR(34), "excitation",CHAR(34), ":", VLOOKUP(F309,Injections!H:L,3, FALSE), ",",  CHAR(34), "camera",CHAR(34), ":",
IF(VALUE(VLOOKUP(F309,Injections!H:L,3, FALSE))&lt;VALUE(VLOOKUP(V309,imaging_filters!A:K,11, FALSE)), CONCATENATE(CHAR(34),"CamA",CHAR(34)), CONCATENATE(CHAR(34),"CamB",CHAR(34))),"}"), ""),
IF(VLOOKUP(F309,Injections!H:L,5, FALSE)&gt;0, CONCATENATE(",{",CHAR(34),"target",CHAR(34),":",CHAR(34),VLOOKUP(F309,Injections!H:L,4, FALSE),CHAR(34),",", CHAR(34), "excitation",CHAR(34), ":", VLOOKUP(F309,Injections!H:L,5, FALSE), ",",  CHAR(34), "camera",CHAR(34), ":",
IF(VALUE(VLOOKUP(F309,Injections!H:L,5, FALSE))&lt;VALUE(VLOOKUP(V309,imaging_filters!A:K,11, FALSE)), CONCATENATE(CHAR(34),"CamA",CHAR(34)), CONCATENATE(CHAR(34),"CamB",CHAR(34))),"}"), ""),
 "]"), "[]")</f>
        <v>[]</v>
      </c>
      <c r="AA309" s="11" t="s">
        <v>613</v>
      </c>
    </row>
    <row r="310" spans="1:27" ht="15.75" customHeight="1" x14ac:dyDescent="0.15">
      <c r="A310" s="7">
        <f t="shared" si="7"/>
        <v>45701</v>
      </c>
      <c r="B310" s="1"/>
      <c r="C310" s="1" t="s">
        <v>107</v>
      </c>
      <c r="D310" s="1" t="s">
        <v>253</v>
      </c>
      <c r="F310" s="1" t="s">
        <v>550</v>
      </c>
      <c r="G310" s="8"/>
      <c r="H310" s="8"/>
      <c r="I310" s="8">
        <v>45698</v>
      </c>
      <c r="J310" s="1" t="s">
        <v>610</v>
      </c>
      <c r="K310" s="1" t="s">
        <v>357</v>
      </c>
      <c r="L310" s="19">
        <v>45700</v>
      </c>
      <c r="M310" s="8">
        <v>45701</v>
      </c>
      <c r="N310" s="9">
        <v>0.43055555555555558</v>
      </c>
      <c r="R310" s="10" t="str">
        <f ca="1">IFERROR(__xludf.DUMMYFUNCTION("JOIN("","", SORT(UNIQUE(TOCOL({VLOOKUP(D310,DM_fish!A:B,2,FALSE),VLOOKUP(C310,DM_fish!A:B,2,FALSE), ARRAYFORMULA(VLOOKUP(SPLIT(E310, "", ""),Injections!B:G,6,FALSE)), ARRAYFORMULA(VLOOKUP(SPLIT(F310, "", ""),Injections!H:M,6,FALSE)), ARRAYFORMULA(VLOOKUP("&amp;"SPLIT(G310, "", ""),Injections!N:S,6,FALSE)), ARRAYFORMULA(VLOOKUP(SPLIT(H310, "", ""),Injections!T:Y,6,FALSE)) },3))))"),"nuclei")</f>
        <v>nuclei</v>
      </c>
      <c r="S310" s="10" t="str">
        <f ca="1">IFERROR(__xludf.DUMMYFUNCTION("IFERROR(JOIN("","", SPLIT(R310, "","", TRUE ,TRUE)), """")"),"nuclei")</f>
        <v>nuclei</v>
      </c>
      <c r="T310" s="1"/>
      <c r="V310" s="1" t="s">
        <v>203</v>
      </c>
      <c r="W310" s="12" t="str">
        <f ca="1">IFERROR(CONCATENATE("[", CONCATENATE(IF(VLOOKUP(D310,DM_fish!C:X,14, FALSE)&gt;0, CONCATENATE("{",CHAR(34),"target",CHAR(34),":",CHAR(34),VLOOKUP(D310,DM_fish!C:X,13, FALSE),CHAR(34),",", CHAR(34), "excitation",CHAR(34), ":", VLOOKUP(D310,DM_fish!C:X,14, FALSE), ",",  CHAR(34), "camera",CHAR(34), ":", IF(VALUE(VLOOKUP(D310,DM_fish!C:X,14, FALSE))&lt;VALUE(VLOOKUP(V310,imaging_filters!A:K,11, FALSE)), CONCATENATE(CHAR(34),"CamA",CHAR(34)), CONCATENATE(CHAR(34),"CamB",CHAR(34))),"}"), ""),IF(VLOOKUP(D310,DM_fish!C:X,16, FALSE)&gt;0, CONCATENATE(",{",CHAR(34),"target",CHAR(34),":",CHAR(34),VLOOKUP(D310,DM_fish!C:X,15, FALSE),CHAR(34),",", CHAR(34), "excitation",CHAR(34), ":", VLOOKUP(D310,DM_fish!C:X,16, FALSE), ",",  CHAR(34), "camera",CHAR(34), ":", IF(VALUE(VLOOKUP(D310,DM_fish!C:X,16, FALSE))&lt;VALUE(VLOOKUP(V310,imaging_filters!A:K,11, FALSE)), CONCATENATE(CHAR(34),"CamA",CHAR(34)), CONCATENATE(CHAR(34),"CamB",CHAR(34))),"}"), ""),IF(VLOOKUP(D310,DM_fish!C:X,18, FALSE)&gt;0, CONCATENATE(",{",CHAR(34),"target",CHAR(34),":",CHAR(34),VLOOKUP(D310,DM_fish!C:X,17, FALSE),CHAR(34),",", CHAR(34), "excitation",CHAR(34), ":", VLOOKUP(D310,DM_fish!C:X,18, FALSE), ",",  CHAR(34), "camera",CHAR(34), ":", IF(VALUE(VLOOKUP(D310,DM_fish!C:X,18, FALSE))&lt;VALUE(VLOOKUP(V310,imaging_filters!A:K,11, FALSE)), CONCATENATE(CHAR(34),"CamA",CHAR(34)), CONCATENATE(CHAR(34),"CamB",CHAR(34))),"}"), ""),IF(VLOOKUP(D310,DM_fish!C:X,20, FALSE)&gt;0, CONCATENATE(",{",CHAR(34),"target",CHAR(34),":",CHAR(34),VLOOKUP(D310,DM_fish!C:X,19, FALSE),CHAR(34),",", CHAR(34), "excitation",CHAR(34), ":", VLOOKUP(D310,DM_fish!C:X,20, FALSE), ",",  CHAR(34), "camera",CHAR(34), ":", IF(VALUE(VLOOKUP(D310,DM_fish!C:X,20, FALSE))&lt;VALUE(VLOOKUP(V310,imaging_filters!A:K,11, FALSE)), CONCATENATE(CHAR(34),"CamA",CHAR(34)), CONCATENATE(CHAR(34),"CamB",CHAR(34))),"}"), ""),IF(VLOOKUP(D310,DM_fish!C:X,22, FALSE)&gt;0, CONCATENATE(",{",CHAR(34),"target",CHAR(34),":",CHAR(34),VLOOKUP(D310,DM_fish!C:X,21, FALSE),CHAR(34),",", CHAR(34), "excitation",CHAR(34), ":", VLOOKUP(D310,DM_fish!C:X,22, FALSE), ",",  CHAR(34), "camera",CHAR(34), ":", IF(VALUE(VLOOKUP(D310,DM_fish!C:X,22, FALSE))&lt;VALUE(VLOOKUP(V310,imaging_filters!A:K,11, FALSE)), CONCATENATE(CHAR(34),"CamA",CHAR(34)), CONCATENATE(CHAR(34),"CamB",CHAR(34))),"}"), "")), "]"), "")</f>
        <v/>
      </c>
      <c r="X310" s="12" t="str">
        <f ca="1">IFERROR(
CONCATENATE("[", CONCATENATE(IF(VLOOKUP(C310,DM_fish!C:X,14, FALSE)&gt;0, CONCATENATE("{",CHAR(34),"target",CHAR(34),":",CHAR(34),VLOOKUP(C310,DM_fish!C:X,13, FALSE),CHAR(34),",", CHAR(34), "excitation",CHAR(34), ":", VLOOKUP(C310,DM_fish!C:X,14, FALSE), ",",  CHAR(34), "camera",CHAR(34), ":", IF(VALUE(VLOOKUP(C310,DM_fish!C:X,14, FALSE))&lt;VALUE(VLOOKUP(V310,imaging_filters!A:K,11, FALSE)), CONCATENATE(CHAR(34),"CamA",CHAR(34)), CONCATENATE(CHAR(34),"CamB",CHAR(34))),"}"), ""),IF(VLOOKUP(C310,DM_fish!C:X,16, FALSE)&gt;0, CONCATENATE(",{",CHAR(34),"target",CHAR(34),":",CHAR(34),VLOOKUP(C310,DM_fish!C:X,15, FALSE),CHAR(34),",", CHAR(34), "excitation",CHAR(34), ":", VLOOKUP(C310,DM_fish!C:X,16, FALSE), ",",  CHAR(34), "camera",CHAR(34), ":", IF(VALUE(VLOOKUP(C310,DM_fish!C:X,16, FALSE))&lt;VALUE(VLOOKUP(V310,imaging_filters!A:K,11, FALSE)), CONCATENATE(CHAR(34),"CamA",CHAR(34)), CONCATENATE(CHAR(34),"CamB",CHAR(34))),"}"), ""),IF(VLOOKUP(C310,DM_fish!C:X,18, FALSE)&gt;0, CONCATENATE(",{",CHAR(34),"target",CHAR(34),":",CHAR(34),VLOOKUP(C310,DM_fish!C:X,17, FALSE),CHAR(34),",", CHAR(34), "excitation",CHAR(34), ":", VLOOKUP(C310,DM_fish!C:X,18, FALSE), ",",  CHAR(34), "camera",CHAR(34), ":", IF(VALUE(VLOOKUP(C310,DM_fish!C:X,18, FALSE))&lt;VALUE(VLOOKUP(V310,imaging_filters!A:K,11, FALSE)), CONCATENATE(CHAR(34),"CamA",CHAR(34)), CONCATENATE(CHAR(34),"CamB",CHAR(34))),"}"), ""),IF(VLOOKUP(C310,DM_fish!C:X,20, FALSE)&gt;0, CONCATENATE(",{",CHAR(34),"target",CHAR(34),":",CHAR(34),VLOOKUP(C310,DM_fish!C:X,19, FALSE),CHAR(34),",", CHAR(34), "excitation",CHAR(34), ":", VLOOKUP(C310,DM_fish!C:X,20, FALSE), ",",  CHAR(34), "camera",CHAR(34), ":", IF(VALUE(VLOOKUP(C310,DM_fish!C:X,20, FALSE))&lt;VALUE(VLOOKUP(V310,imaging_filters!A:K,11, FALSE)), CONCATENATE(CHAR(34),"CamA",CHAR(34)), CONCATENATE(CHAR(34),"CamB",CHAR(34))),"}"), ""),IF(VLOOKUP(C310,DM_fish!C:X,22, FALSE)&gt;0, CONCATENATE(",{",CHAR(34),"target",CHAR(34),":",CHAR(34),VLOOKUP(C310,DM_fish!C:X,21, FALSE),CHAR(34),",", CHAR(34), "excitation",CHAR(34), ":", VLOOKUP(C310,DM_fish!C:X,22, FALSE), ",",  CHAR(34), "camera",CHAR(34), ":", IF(VALUE(VLOOKUP(C310,DM_fish!C:X,22, FALSE))&lt;VALUE(VLOOKUP(V310,imaging_filters!A:K,11, FALSE)), CONCATENATE(CHAR(34),"CamA",CHAR(34)), CONCATENATE(CHAR(34),"CamB",CHAR(34))),"}"), "")), "]"), "")</f>
        <v/>
      </c>
      <c r="Y310" s="11" t="str">
        <f ca="1">IFERROR(
CONCATENATE( "[",
IF(VLOOKUP(E310,Injections!B:F,3, FALSE)&gt;0, CONCATENATE( "{",CHAR(34),"target",CHAR(34),":",CHAR(34),VLOOKUP(E310,Injections!B:F,2, FALSE),CHAR(34),",", CHAR(34), "excitation",CHAR(34), ":", VLOOKUP(E310,Injections!B:F,3, FALSE), ",",  CHAR(34), "camera",CHAR(34), ":",
IF(VALUE(VLOOKUP(E310,Injections!B:F,3, FALSE))&lt;VALUE(VLOOKUP(V310,imaging_filters!A:C,2, FALSE)), CONCATENATE(CHAR(34),"CamA",CHAR(34)), CONCATENATE(CHAR(34),"CamB",CHAR(34))),"}"), ""),
IF(VLOOKUP(E310,Injections!B:F,5, FALSE)&gt;0, CONCATENATE(",{",CHAR(34),"target",CHAR(34),":",CHAR(34),VLOOKUP(E310,Injections!B:F,4, FALSE),CHAR(34),",", CHAR(34), "excitation",CHAR(34), ":", VLOOKUP(E310,Injections!B:F,5, FALSE), ",",  CHAR(34), "camera",CHAR(34), ":",
IF(VALUE(VLOOKUP(E310,Injections!B:F,5, FALSE))&lt;VALUE(VLOOKUP(V310,imaging_filters!A:C,2, FALSE)), CONCATENATE(CHAR(34),"CamA",CHAR(34)), CONCATENATE(CHAR(34),"CamB",CHAR(34))),"}"), ""),
 "]"), "[]")</f>
        <v>[]</v>
      </c>
      <c r="Z310" s="11" t="str">
        <f ca="1">IFERROR(
CONCATENATE( "[",
IF(VLOOKUP(F310,Injections!H:L,3, FALSE)&gt;0, CONCATENATE( "{",CHAR(34),"target",CHAR(34),":",CHAR(34),VLOOKUP(F310,Injections!H:L,2, FALSE),CHAR(34),",", CHAR(34), "excitation",CHAR(34), ":", VLOOKUP(F310,Injections!H:L,3, FALSE), ",",  CHAR(34), "camera",CHAR(34), ":",
IF(VALUE(VLOOKUP(F310,Injections!H:L,3, FALSE))&lt;VALUE(VLOOKUP(V310,imaging_filters!A:K,11, FALSE)), CONCATENATE(CHAR(34),"CamA",CHAR(34)), CONCATENATE(CHAR(34),"CamB",CHAR(34))),"}"), ""),
IF(VLOOKUP(F310,Injections!H:L,5, FALSE)&gt;0, CONCATENATE(",{",CHAR(34),"target",CHAR(34),":",CHAR(34),VLOOKUP(F310,Injections!H:L,4, FALSE),CHAR(34),",", CHAR(34), "excitation",CHAR(34), ":", VLOOKUP(F310,Injections!H:L,5, FALSE), ",",  CHAR(34), "camera",CHAR(34), ":",
IF(VALUE(VLOOKUP(F310,Injections!H:L,5, FALSE))&lt;VALUE(VLOOKUP(V310,imaging_filters!A:K,11, FALSE)), CONCATENATE(CHAR(34),"CamA",CHAR(34)), CONCATENATE(CHAR(34),"CamB",CHAR(34))),"}"), ""),
 "]"), "[]")</f>
        <v>[]</v>
      </c>
      <c r="AA310" s="11"/>
    </row>
    <row r="311" spans="1:27" ht="15.75" customHeight="1" x14ac:dyDescent="0.15">
      <c r="A311" s="7">
        <f t="shared" si="7"/>
        <v>45701</v>
      </c>
      <c r="F311" s="1" t="s">
        <v>550</v>
      </c>
      <c r="G311" s="8"/>
      <c r="H311" s="8"/>
      <c r="I311" s="8"/>
      <c r="J311" s="1" t="s">
        <v>614</v>
      </c>
      <c r="K311" s="1" t="s">
        <v>571</v>
      </c>
      <c r="M311" s="8">
        <v>45701</v>
      </c>
      <c r="N311" s="9">
        <v>0.70833333333333337</v>
      </c>
      <c r="O311" s="9">
        <v>0.71527777777777779</v>
      </c>
      <c r="P311" s="1" t="s">
        <v>615</v>
      </c>
      <c r="Q311" s="1" t="s">
        <v>616</v>
      </c>
      <c r="R311" s="10" t="str">
        <f ca="1">IFERROR(__xludf.DUMMYFUNCTION("JOIN("","", SORT(UNIQUE(TOCOL({VLOOKUP(D311,DM_fish!A:B,2,FALSE),VLOOKUP(C311,DM_fish!A:B,2,FALSE), ARRAYFORMULA(VLOOKUP(SPLIT(E311, "", ""),Injections!B:G,6,FALSE)), ARRAYFORMULA(VLOOKUP(SPLIT(F311, "", ""),Injections!H:M,6,FALSE)), ARRAYFORMULA(VLOOKUP("&amp;"SPLIT(G311, "", ""),Injections!N:S,6,FALSE)), ARRAYFORMULA(VLOOKUP(SPLIT(H311, "", ""),Injections!T:Y,6,FALSE)) },3))))"),"nuclei")</f>
        <v>nuclei</v>
      </c>
      <c r="S311" s="10" t="str">
        <f ca="1">IFERROR(__xludf.DUMMYFUNCTION("IFERROR(JOIN("","", SPLIT(R311, "","", TRUE ,TRUE)), """")"),"nuclei")</f>
        <v>nuclei</v>
      </c>
      <c r="T311" s="1" t="s">
        <v>617</v>
      </c>
      <c r="U311" s="1"/>
      <c r="V311" s="1" t="s">
        <v>203</v>
      </c>
      <c r="W311" s="12" t="str">
        <f ca="1">IFERROR(CONCATENATE("[", CONCATENATE(IF(VLOOKUP(D311,DM_fish!C:X,14, FALSE)&gt;0, CONCATENATE("{",CHAR(34),"target",CHAR(34),":",CHAR(34),VLOOKUP(D311,DM_fish!C:X,13, FALSE),CHAR(34),",", CHAR(34), "excitation",CHAR(34), ":", VLOOKUP(D311,DM_fish!C:X,14, FALSE), ",",  CHAR(34), "camera",CHAR(34), ":", IF(VALUE(VLOOKUP(D311,DM_fish!C:X,14, FALSE))&lt;VALUE(VLOOKUP(V311,imaging_filters!A:K,11, FALSE)), CONCATENATE(CHAR(34),"CamA",CHAR(34)), CONCATENATE(CHAR(34),"CamB",CHAR(34))),"}"), ""),IF(VLOOKUP(D311,DM_fish!C:X,16, FALSE)&gt;0, CONCATENATE(",{",CHAR(34),"target",CHAR(34),":",CHAR(34),VLOOKUP(D311,DM_fish!C:X,15, FALSE),CHAR(34),",", CHAR(34), "excitation",CHAR(34), ":", VLOOKUP(D311,DM_fish!C:X,16, FALSE), ",",  CHAR(34), "camera",CHAR(34), ":", IF(VALUE(VLOOKUP(D311,DM_fish!C:X,16, FALSE))&lt;VALUE(VLOOKUP(V311,imaging_filters!A:K,11, FALSE)), CONCATENATE(CHAR(34),"CamA",CHAR(34)), CONCATENATE(CHAR(34),"CamB",CHAR(34))),"}"), ""),IF(VLOOKUP(D311,DM_fish!C:X,18, FALSE)&gt;0, CONCATENATE(",{",CHAR(34),"target",CHAR(34),":",CHAR(34),VLOOKUP(D311,DM_fish!C:X,17, FALSE),CHAR(34),",", CHAR(34), "excitation",CHAR(34), ":", VLOOKUP(D311,DM_fish!C:X,18, FALSE), ",",  CHAR(34), "camera",CHAR(34), ":", IF(VALUE(VLOOKUP(D311,DM_fish!C:X,18, FALSE))&lt;VALUE(VLOOKUP(V311,imaging_filters!A:K,11, FALSE)), CONCATENATE(CHAR(34),"CamA",CHAR(34)), CONCATENATE(CHAR(34),"CamB",CHAR(34))),"}"), ""),IF(VLOOKUP(D311,DM_fish!C:X,20, FALSE)&gt;0, CONCATENATE(",{",CHAR(34),"target",CHAR(34),":",CHAR(34),VLOOKUP(D311,DM_fish!C:X,19, FALSE),CHAR(34),",", CHAR(34), "excitation",CHAR(34), ":", VLOOKUP(D311,DM_fish!C:X,20, FALSE), ",",  CHAR(34), "camera",CHAR(34), ":", IF(VALUE(VLOOKUP(D311,DM_fish!C:X,20, FALSE))&lt;VALUE(VLOOKUP(V311,imaging_filters!A:K,11, FALSE)), CONCATENATE(CHAR(34),"CamA",CHAR(34)), CONCATENATE(CHAR(34),"CamB",CHAR(34))),"}"), ""),IF(VLOOKUP(D311,DM_fish!C:X,22, FALSE)&gt;0, CONCATENATE(",{",CHAR(34),"target",CHAR(34),":",CHAR(34),VLOOKUP(D311,DM_fish!C:X,21, FALSE),CHAR(34),",", CHAR(34), "excitation",CHAR(34), ":", VLOOKUP(D311,DM_fish!C:X,22, FALSE), ",",  CHAR(34), "camera",CHAR(34), ":", IF(VALUE(VLOOKUP(D311,DM_fish!C:X,22, FALSE))&lt;VALUE(VLOOKUP(V311,imaging_filters!A:K,11, FALSE)), CONCATENATE(CHAR(34),"CamA",CHAR(34)), CONCATENATE(CHAR(34),"CamB",CHAR(34))),"}"), "")), "]"), "")</f>
        <v/>
      </c>
      <c r="X311" s="12" t="str">
        <f ca="1">IFERROR(
CONCATENATE("[", CONCATENATE(IF(VLOOKUP(C311,DM_fish!C:X,14, FALSE)&gt;0, CONCATENATE("{",CHAR(34),"target",CHAR(34),":",CHAR(34),VLOOKUP(C311,DM_fish!C:X,13, FALSE),CHAR(34),",", CHAR(34), "excitation",CHAR(34), ":", VLOOKUP(C311,DM_fish!C:X,14, FALSE), ",",  CHAR(34), "camera",CHAR(34), ":", IF(VALUE(VLOOKUP(C311,DM_fish!C:X,14, FALSE))&lt;VALUE(VLOOKUP(V311,imaging_filters!A:K,11, FALSE)), CONCATENATE(CHAR(34),"CamA",CHAR(34)), CONCATENATE(CHAR(34),"CamB",CHAR(34))),"}"), ""),IF(VLOOKUP(C311,DM_fish!C:X,16, FALSE)&gt;0, CONCATENATE(",{",CHAR(34),"target",CHAR(34),":",CHAR(34),VLOOKUP(C311,DM_fish!C:X,15, FALSE),CHAR(34),",", CHAR(34), "excitation",CHAR(34), ":", VLOOKUP(C311,DM_fish!C:X,16, FALSE), ",",  CHAR(34), "camera",CHAR(34), ":", IF(VALUE(VLOOKUP(C311,DM_fish!C:X,16, FALSE))&lt;VALUE(VLOOKUP(V311,imaging_filters!A:K,11, FALSE)), CONCATENATE(CHAR(34),"CamA",CHAR(34)), CONCATENATE(CHAR(34),"CamB",CHAR(34))),"}"), ""),IF(VLOOKUP(C311,DM_fish!C:X,18, FALSE)&gt;0, CONCATENATE(",{",CHAR(34),"target",CHAR(34),":",CHAR(34),VLOOKUP(C311,DM_fish!C:X,17, FALSE),CHAR(34),",", CHAR(34), "excitation",CHAR(34), ":", VLOOKUP(C311,DM_fish!C:X,18, FALSE), ",",  CHAR(34), "camera",CHAR(34), ":", IF(VALUE(VLOOKUP(C311,DM_fish!C:X,18, FALSE))&lt;VALUE(VLOOKUP(V311,imaging_filters!A:K,11, FALSE)), CONCATENATE(CHAR(34),"CamA",CHAR(34)), CONCATENATE(CHAR(34),"CamB",CHAR(34))),"}"), ""),IF(VLOOKUP(C311,DM_fish!C:X,20, FALSE)&gt;0, CONCATENATE(",{",CHAR(34),"target",CHAR(34),":",CHAR(34),VLOOKUP(C311,DM_fish!C:X,19, FALSE),CHAR(34),",", CHAR(34), "excitation",CHAR(34), ":", VLOOKUP(C311,DM_fish!C:X,20, FALSE), ",",  CHAR(34), "camera",CHAR(34), ":", IF(VALUE(VLOOKUP(C311,DM_fish!C:X,20, FALSE))&lt;VALUE(VLOOKUP(V311,imaging_filters!A:K,11, FALSE)), CONCATENATE(CHAR(34),"CamA",CHAR(34)), CONCATENATE(CHAR(34),"CamB",CHAR(34))),"}"), ""),IF(VLOOKUP(C311,DM_fish!C:X,22, FALSE)&gt;0, CONCATENATE(",{",CHAR(34),"target",CHAR(34),":",CHAR(34),VLOOKUP(C311,DM_fish!C:X,21, FALSE),CHAR(34),",", CHAR(34), "excitation",CHAR(34), ":", VLOOKUP(C311,DM_fish!C:X,22, FALSE), ",",  CHAR(34), "camera",CHAR(34), ":", IF(VALUE(VLOOKUP(C311,DM_fish!C:X,22, FALSE))&lt;VALUE(VLOOKUP(V311,imaging_filters!A:K,11, FALSE)), CONCATENATE(CHAR(34),"CamA",CHAR(34)), CONCATENATE(CHAR(34),"CamB",CHAR(34))),"}"), "")), "]"), "")</f>
        <v/>
      </c>
      <c r="Y311" s="11" t="str">
        <f ca="1">IFERROR(
CONCATENATE( "[",
IF(VLOOKUP(E311,Injections!B:F,3, FALSE)&gt;0, CONCATENATE( "{",CHAR(34),"target",CHAR(34),":",CHAR(34),VLOOKUP(E311,Injections!B:F,2, FALSE),CHAR(34),",", CHAR(34), "excitation",CHAR(34), ":", VLOOKUP(E311,Injections!B:F,3, FALSE), ",",  CHAR(34), "camera",CHAR(34), ":",
IF(VALUE(VLOOKUP(E311,Injections!B:F,3, FALSE))&lt;VALUE(VLOOKUP(V311,imaging_filters!A:C,2, FALSE)), CONCATENATE(CHAR(34),"CamA",CHAR(34)), CONCATENATE(CHAR(34),"CamB",CHAR(34))),"}"), ""),
IF(VLOOKUP(E311,Injections!B:F,5, FALSE)&gt;0, CONCATENATE(",{",CHAR(34),"target",CHAR(34),":",CHAR(34),VLOOKUP(E311,Injections!B:F,4, FALSE),CHAR(34),",", CHAR(34), "excitation",CHAR(34), ":", VLOOKUP(E311,Injections!B:F,5, FALSE), ",",  CHAR(34), "camera",CHAR(34), ":",
IF(VALUE(VLOOKUP(E311,Injections!B:F,5, FALSE))&lt;VALUE(VLOOKUP(V311,imaging_filters!A:C,2, FALSE)), CONCATENATE(CHAR(34),"CamA",CHAR(34)), CONCATENATE(CHAR(34),"CamB",CHAR(34))),"}"), ""),
 "]"), "[]")</f>
        <v>[]</v>
      </c>
      <c r="Z311" s="11" t="str">
        <f ca="1">IFERROR(
CONCATENATE( "[",
IF(VLOOKUP(F311,Injections!H:L,3, FALSE)&gt;0, CONCATENATE( "{",CHAR(34),"target",CHAR(34),":",CHAR(34),VLOOKUP(F311,Injections!H:L,2, FALSE),CHAR(34),",", CHAR(34), "excitation",CHAR(34), ":", VLOOKUP(F311,Injections!H:L,3, FALSE), ",",  CHAR(34), "camera",CHAR(34), ":",
IF(VALUE(VLOOKUP(F311,Injections!H:L,3, FALSE))&lt;VALUE(VLOOKUP(V311,imaging_filters!A:K,11, FALSE)), CONCATENATE(CHAR(34),"CamA",CHAR(34)), CONCATENATE(CHAR(34),"CamB",CHAR(34))),"}"), ""),
IF(VLOOKUP(F311,Injections!H:L,5, FALSE)&gt;0, CONCATENATE(",{",CHAR(34),"target",CHAR(34),":",CHAR(34),VLOOKUP(F311,Injections!H:L,4, FALSE),CHAR(34),",", CHAR(34), "excitation",CHAR(34), ":", VLOOKUP(F311,Injections!H:L,5, FALSE), ",",  CHAR(34), "camera",CHAR(34), ":",
IF(VALUE(VLOOKUP(F311,Injections!H:L,5, FALSE))&lt;VALUE(VLOOKUP(V311,imaging_filters!A:K,11, FALSE)), CONCATENATE(CHAR(34),"CamA",CHAR(34)), CONCATENATE(CHAR(34),"CamB",CHAR(34))),"}"), ""),
 "]"), "[]")</f>
        <v>[]</v>
      </c>
      <c r="AA311" s="11"/>
    </row>
    <row r="312" spans="1:27" ht="15.75" customHeight="1" x14ac:dyDescent="0.15">
      <c r="A312" s="7">
        <f t="shared" si="7"/>
        <v>45701</v>
      </c>
      <c r="F312" s="1" t="s">
        <v>550</v>
      </c>
      <c r="G312" s="8"/>
      <c r="H312" s="8"/>
      <c r="I312" s="8"/>
      <c r="J312" s="1" t="s">
        <v>614</v>
      </c>
      <c r="K312" s="1" t="s">
        <v>571</v>
      </c>
      <c r="M312" s="8">
        <v>45701</v>
      </c>
      <c r="N312" s="9">
        <v>0.70833333333333337</v>
      </c>
      <c r="O312" s="9">
        <v>0.71527777777777779</v>
      </c>
      <c r="P312" s="1" t="s">
        <v>618</v>
      </c>
      <c r="Q312" s="1" t="s">
        <v>560</v>
      </c>
      <c r="R312" s="10" t="str">
        <f ca="1">IFERROR(__xludf.DUMMYFUNCTION("JOIN("","", SORT(UNIQUE(TOCOL({VLOOKUP(D312,DM_fish!A:B,2,FALSE),VLOOKUP(C312,DM_fish!A:B,2,FALSE), ARRAYFORMULA(VLOOKUP(SPLIT(E312, "", ""),Injections!B:G,6,FALSE)), ARRAYFORMULA(VLOOKUP(SPLIT(F312, "", ""),Injections!H:M,6,FALSE)), ARRAYFORMULA(VLOOKUP("&amp;"SPLIT(G312, "", ""),Injections!N:S,6,FALSE)), ARRAYFORMULA(VLOOKUP(SPLIT(H312, "", ""),Injections!T:Y,6,FALSE)) },3))))"),"nuclei")</f>
        <v>nuclei</v>
      </c>
      <c r="S312" s="10" t="str">
        <f ca="1">IFERROR(__xludf.DUMMYFUNCTION("IFERROR(JOIN("","", SPLIT(R312, "","", TRUE ,TRUE)), """")"),"nuclei")</f>
        <v>nuclei</v>
      </c>
      <c r="T312" s="1" t="s">
        <v>617</v>
      </c>
      <c r="U312" s="1">
        <v>2928</v>
      </c>
      <c r="V312" s="1" t="s">
        <v>203</v>
      </c>
      <c r="W312" s="12" t="str">
        <f ca="1">IFERROR(CONCATENATE("[", CONCATENATE(IF(VLOOKUP(D312,DM_fish!C:X,14, FALSE)&gt;0, CONCATENATE("{",CHAR(34),"target",CHAR(34),":",CHAR(34),VLOOKUP(D312,DM_fish!C:X,13, FALSE),CHAR(34),",", CHAR(34), "excitation",CHAR(34), ":", VLOOKUP(D312,DM_fish!C:X,14, FALSE), ",",  CHAR(34), "camera",CHAR(34), ":", IF(VALUE(VLOOKUP(D312,DM_fish!C:X,14, FALSE))&lt;VALUE(VLOOKUP(V312,imaging_filters!A:K,11, FALSE)), CONCATENATE(CHAR(34),"CamA",CHAR(34)), CONCATENATE(CHAR(34),"CamB",CHAR(34))),"}"), ""),IF(VLOOKUP(D312,DM_fish!C:X,16, FALSE)&gt;0, CONCATENATE(",{",CHAR(34),"target",CHAR(34),":",CHAR(34),VLOOKUP(D312,DM_fish!C:X,15, FALSE),CHAR(34),",", CHAR(34), "excitation",CHAR(34), ":", VLOOKUP(D312,DM_fish!C:X,16, FALSE), ",",  CHAR(34), "camera",CHAR(34), ":", IF(VALUE(VLOOKUP(D312,DM_fish!C:X,16, FALSE))&lt;VALUE(VLOOKUP(V312,imaging_filters!A:K,11, FALSE)), CONCATENATE(CHAR(34),"CamA",CHAR(34)), CONCATENATE(CHAR(34),"CamB",CHAR(34))),"}"), ""),IF(VLOOKUP(D312,DM_fish!C:X,18, FALSE)&gt;0, CONCATENATE(",{",CHAR(34),"target",CHAR(34),":",CHAR(34),VLOOKUP(D312,DM_fish!C:X,17, FALSE),CHAR(34),",", CHAR(34), "excitation",CHAR(34), ":", VLOOKUP(D312,DM_fish!C:X,18, FALSE), ",",  CHAR(34), "camera",CHAR(34), ":", IF(VALUE(VLOOKUP(D312,DM_fish!C:X,18, FALSE))&lt;VALUE(VLOOKUP(V312,imaging_filters!A:K,11, FALSE)), CONCATENATE(CHAR(34),"CamA",CHAR(34)), CONCATENATE(CHAR(34),"CamB",CHAR(34))),"}"), ""),IF(VLOOKUP(D312,DM_fish!C:X,20, FALSE)&gt;0, CONCATENATE(",{",CHAR(34),"target",CHAR(34),":",CHAR(34),VLOOKUP(D312,DM_fish!C:X,19, FALSE),CHAR(34),",", CHAR(34), "excitation",CHAR(34), ":", VLOOKUP(D312,DM_fish!C:X,20, FALSE), ",",  CHAR(34), "camera",CHAR(34), ":", IF(VALUE(VLOOKUP(D312,DM_fish!C:X,20, FALSE))&lt;VALUE(VLOOKUP(V312,imaging_filters!A:K,11, FALSE)), CONCATENATE(CHAR(34),"CamA",CHAR(34)), CONCATENATE(CHAR(34),"CamB",CHAR(34))),"}"), ""),IF(VLOOKUP(D312,DM_fish!C:X,22, FALSE)&gt;0, CONCATENATE(",{",CHAR(34),"target",CHAR(34),":",CHAR(34),VLOOKUP(D312,DM_fish!C:X,21, FALSE),CHAR(34),",", CHAR(34), "excitation",CHAR(34), ":", VLOOKUP(D312,DM_fish!C:X,22, FALSE), ",",  CHAR(34), "camera",CHAR(34), ":", IF(VALUE(VLOOKUP(D312,DM_fish!C:X,22, FALSE))&lt;VALUE(VLOOKUP(V312,imaging_filters!A:K,11, FALSE)), CONCATENATE(CHAR(34),"CamA",CHAR(34)), CONCATENATE(CHAR(34),"CamB",CHAR(34))),"}"), "")), "]"), "")</f>
        <v/>
      </c>
      <c r="X312" s="12" t="str">
        <f ca="1">IFERROR(
CONCATENATE("[", CONCATENATE(IF(VLOOKUP(C312,DM_fish!C:X,14, FALSE)&gt;0, CONCATENATE("{",CHAR(34),"target",CHAR(34),":",CHAR(34),VLOOKUP(C312,DM_fish!C:X,13, FALSE),CHAR(34),",", CHAR(34), "excitation",CHAR(34), ":", VLOOKUP(C312,DM_fish!C:X,14, FALSE), ",",  CHAR(34), "camera",CHAR(34), ":", IF(VALUE(VLOOKUP(C312,DM_fish!C:X,14, FALSE))&lt;VALUE(VLOOKUP(V312,imaging_filters!A:K,11, FALSE)), CONCATENATE(CHAR(34),"CamA",CHAR(34)), CONCATENATE(CHAR(34),"CamB",CHAR(34))),"}"), ""),IF(VLOOKUP(C312,DM_fish!C:X,16, FALSE)&gt;0, CONCATENATE(",{",CHAR(34),"target",CHAR(34),":",CHAR(34),VLOOKUP(C312,DM_fish!C:X,15, FALSE),CHAR(34),",", CHAR(34), "excitation",CHAR(34), ":", VLOOKUP(C312,DM_fish!C:X,16, FALSE), ",",  CHAR(34), "camera",CHAR(34), ":", IF(VALUE(VLOOKUP(C312,DM_fish!C:X,16, FALSE))&lt;VALUE(VLOOKUP(V312,imaging_filters!A:K,11, FALSE)), CONCATENATE(CHAR(34),"CamA",CHAR(34)), CONCATENATE(CHAR(34),"CamB",CHAR(34))),"}"), ""),IF(VLOOKUP(C312,DM_fish!C:X,18, FALSE)&gt;0, CONCATENATE(",{",CHAR(34),"target",CHAR(34),":",CHAR(34),VLOOKUP(C312,DM_fish!C:X,17, FALSE),CHAR(34),",", CHAR(34), "excitation",CHAR(34), ":", VLOOKUP(C312,DM_fish!C:X,18, FALSE), ",",  CHAR(34), "camera",CHAR(34), ":", IF(VALUE(VLOOKUP(C312,DM_fish!C:X,18, FALSE))&lt;VALUE(VLOOKUP(V312,imaging_filters!A:K,11, FALSE)), CONCATENATE(CHAR(34),"CamA",CHAR(34)), CONCATENATE(CHAR(34),"CamB",CHAR(34))),"}"), ""),IF(VLOOKUP(C312,DM_fish!C:X,20, FALSE)&gt;0, CONCATENATE(",{",CHAR(34),"target",CHAR(34),":",CHAR(34),VLOOKUP(C312,DM_fish!C:X,19, FALSE),CHAR(34),",", CHAR(34), "excitation",CHAR(34), ":", VLOOKUP(C312,DM_fish!C:X,20, FALSE), ",",  CHAR(34), "camera",CHAR(34), ":", IF(VALUE(VLOOKUP(C312,DM_fish!C:X,20, FALSE))&lt;VALUE(VLOOKUP(V312,imaging_filters!A:K,11, FALSE)), CONCATENATE(CHAR(34),"CamA",CHAR(34)), CONCATENATE(CHAR(34),"CamB",CHAR(34))),"}"), ""),IF(VLOOKUP(C312,DM_fish!C:X,22, FALSE)&gt;0, CONCATENATE(",{",CHAR(34),"target",CHAR(34),":",CHAR(34),VLOOKUP(C312,DM_fish!C:X,21, FALSE),CHAR(34),",", CHAR(34), "excitation",CHAR(34), ":", VLOOKUP(C312,DM_fish!C:X,22, FALSE), ",",  CHAR(34), "camera",CHAR(34), ":", IF(VALUE(VLOOKUP(C312,DM_fish!C:X,22, FALSE))&lt;VALUE(VLOOKUP(V312,imaging_filters!A:K,11, FALSE)), CONCATENATE(CHAR(34),"CamA",CHAR(34)), CONCATENATE(CHAR(34),"CamB",CHAR(34))),"}"), "")), "]"), "")</f>
        <v/>
      </c>
      <c r="Y312" s="11" t="str">
        <f ca="1">IFERROR(
CONCATENATE( "[",
IF(VLOOKUP(E312,Injections!B:F,3, FALSE)&gt;0, CONCATENATE( "{",CHAR(34),"target",CHAR(34),":",CHAR(34),VLOOKUP(E312,Injections!B:F,2, FALSE),CHAR(34),",", CHAR(34), "excitation",CHAR(34), ":", VLOOKUP(E312,Injections!B:F,3, FALSE), ",",  CHAR(34), "camera",CHAR(34), ":",
IF(VALUE(VLOOKUP(E312,Injections!B:F,3, FALSE))&lt;VALUE(VLOOKUP(V312,imaging_filters!A:C,2, FALSE)), CONCATENATE(CHAR(34),"CamA",CHAR(34)), CONCATENATE(CHAR(34),"CamB",CHAR(34))),"}"), ""),
IF(VLOOKUP(E312,Injections!B:F,5, FALSE)&gt;0, CONCATENATE(",{",CHAR(34),"target",CHAR(34),":",CHAR(34),VLOOKUP(E312,Injections!B:F,4, FALSE),CHAR(34),",", CHAR(34), "excitation",CHAR(34), ":", VLOOKUP(E312,Injections!B:F,5, FALSE), ",",  CHAR(34), "camera",CHAR(34), ":",
IF(VALUE(VLOOKUP(E312,Injections!B:F,5, FALSE))&lt;VALUE(VLOOKUP(V312,imaging_filters!A:C,2, FALSE)), CONCATENATE(CHAR(34),"CamA",CHAR(34)), CONCATENATE(CHAR(34),"CamB",CHAR(34))),"}"), ""),
 "]"), "[]")</f>
        <v>[]</v>
      </c>
      <c r="Z312" s="11" t="str">
        <f ca="1">IFERROR(
CONCATENATE( "[",
IF(VLOOKUP(F312,Injections!H:L,3, FALSE)&gt;0, CONCATENATE( "{",CHAR(34),"target",CHAR(34),":",CHAR(34),VLOOKUP(F312,Injections!H:L,2, FALSE),CHAR(34),",", CHAR(34), "excitation",CHAR(34), ":", VLOOKUP(F312,Injections!H:L,3, FALSE), ",",  CHAR(34), "camera",CHAR(34), ":",
IF(VALUE(VLOOKUP(F312,Injections!H:L,3, FALSE))&lt;VALUE(VLOOKUP(V312,imaging_filters!A:K,11, FALSE)), CONCATENATE(CHAR(34),"CamA",CHAR(34)), CONCATENATE(CHAR(34),"CamB",CHAR(34))),"}"), ""),
IF(VLOOKUP(F312,Injections!H:L,5, FALSE)&gt;0, CONCATENATE(",{",CHAR(34),"target",CHAR(34),":",CHAR(34),VLOOKUP(F312,Injections!H:L,4, FALSE),CHAR(34),",", CHAR(34), "excitation",CHAR(34), ":", VLOOKUP(F312,Injections!H:L,5, FALSE), ",",  CHAR(34), "camera",CHAR(34), ":",
IF(VALUE(VLOOKUP(F312,Injections!H:L,5, FALSE))&lt;VALUE(VLOOKUP(V312,imaging_filters!A:K,11, FALSE)), CONCATENATE(CHAR(34),"CamA",CHAR(34)), CONCATENATE(CHAR(34),"CamB",CHAR(34))),"}"), ""),
 "]"), "[]")</f>
        <v>[]</v>
      </c>
      <c r="AA312" s="11"/>
    </row>
    <row r="313" spans="1:27" ht="15.75" customHeight="1" x14ac:dyDescent="0.15">
      <c r="A313" s="7">
        <f t="shared" si="7"/>
        <v>45700</v>
      </c>
      <c r="B313" s="1"/>
      <c r="C313" s="1" t="s">
        <v>107</v>
      </c>
      <c r="D313" s="1" t="s">
        <v>253</v>
      </c>
      <c r="E313" s="14"/>
      <c r="F313" s="14" t="s">
        <v>550</v>
      </c>
      <c r="G313" s="20"/>
      <c r="H313" s="20"/>
      <c r="I313" s="20">
        <v>45698</v>
      </c>
      <c r="J313" s="21">
        <v>0.46875</v>
      </c>
      <c r="K313" s="14" t="s">
        <v>571</v>
      </c>
      <c r="L313" s="22">
        <v>45699</v>
      </c>
      <c r="M313" s="8">
        <v>45700</v>
      </c>
      <c r="N313" s="9">
        <v>0.4513888888888889</v>
      </c>
      <c r="O313" s="9">
        <v>0.70833333333333337</v>
      </c>
      <c r="P313" s="1" t="s">
        <v>619</v>
      </c>
      <c r="Q313" s="1" t="s">
        <v>557</v>
      </c>
      <c r="R313" s="10" t="str">
        <f ca="1">IFERROR(__xludf.DUMMYFUNCTION("JOIN("","", SORT(UNIQUE(TOCOL({VLOOKUP(D313,DM_fish!A:B,2,FALSE),VLOOKUP(C313,DM_fish!A:B,2,FALSE), ARRAYFORMULA(VLOOKUP(SPLIT(E313, "", ""),Injections!B:G,6,FALSE)), ARRAYFORMULA(VLOOKUP(SPLIT(F313, "", ""),Injections!H:M,6,FALSE)), ARRAYFORMULA(VLOOKUP("&amp;"SPLIT(G313, "", ""),Injections!N:S,6,FALSE)), ARRAYFORMULA(VLOOKUP(SPLIT(H313, "", ""),Injections!T:Y,6,FALSE)) },3))))"),"nuclei")</f>
        <v>nuclei</v>
      </c>
      <c r="S313" s="10" t="str">
        <f ca="1">IFERROR(__xludf.DUMMYFUNCTION("IFERROR(JOIN("","", SPLIT(R313, "","", TRUE ,TRUE)), """")"),"nuclei")</f>
        <v>nuclei</v>
      </c>
      <c r="T313" s="1" t="s">
        <v>620</v>
      </c>
      <c r="U313" s="1">
        <v>2294</v>
      </c>
      <c r="V313" s="1" t="s">
        <v>203</v>
      </c>
      <c r="W313" s="12" t="str">
        <f ca="1">IFERROR(CONCATENATE("[", CONCATENATE(IF(VLOOKUP(D313,DM_fish!C:X,14, FALSE)&gt;0, CONCATENATE("{",CHAR(34),"target",CHAR(34),":",CHAR(34),VLOOKUP(D313,DM_fish!C:X,13, FALSE),CHAR(34),",", CHAR(34), "excitation",CHAR(34), ":", VLOOKUP(D313,DM_fish!C:X,14, FALSE), ",",  CHAR(34), "camera",CHAR(34), ":", IF(VALUE(VLOOKUP(D313,DM_fish!C:X,14, FALSE))&lt;VALUE(VLOOKUP(V313,imaging_filters!A:K,11, FALSE)), CONCATENATE(CHAR(34),"CamA",CHAR(34)), CONCATENATE(CHAR(34),"CamB",CHAR(34))),"}"), ""),IF(VLOOKUP(D313,DM_fish!C:X,16, FALSE)&gt;0, CONCATENATE(",{",CHAR(34),"target",CHAR(34),":",CHAR(34),VLOOKUP(D313,DM_fish!C:X,15, FALSE),CHAR(34),",", CHAR(34), "excitation",CHAR(34), ":", VLOOKUP(D313,DM_fish!C:X,16, FALSE), ",",  CHAR(34), "camera",CHAR(34), ":", IF(VALUE(VLOOKUP(D313,DM_fish!C:X,16, FALSE))&lt;VALUE(VLOOKUP(V313,imaging_filters!A:K,11, FALSE)), CONCATENATE(CHAR(34),"CamA",CHAR(34)), CONCATENATE(CHAR(34),"CamB",CHAR(34))),"}"), ""),IF(VLOOKUP(D313,DM_fish!C:X,18, FALSE)&gt;0, CONCATENATE(",{",CHAR(34),"target",CHAR(34),":",CHAR(34),VLOOKUP(D313,DM_fish!C:X,17, FALSE),CHAR(34),",", CHAR(34), "excitation",CHAR(34), ":", VLOOKUP(D313,DM_fish!C:X,18, FALSE), ",",  CHAR(34), "camera",CHAR(34), ":", IF(VALUE(VLOOKUP(D313,DM_fish!C:X,18, FALSE))&lt;VALUE(VLOOKUP(V313,imaging_filters!A:K,11, FALSE)), CONCATENATE(CHAR(34),"CamA",CHAR(34)), CONCATENATE(CHAR(34),"CamB",CHAR(34))),"}"), ""),IF(VLOOKUP(D313,DM_fish!C:X,20, FALSE)&gt;0, CONCATENATE(",{",CHAR(34),"target",CHAR(34),":",CHAR(34),VLOOKUP(D313,DM_fish!C:X,19, FALSE),CHAR(34),",", CHAR(34), "excitation",CHAR(34), ":", VLOOKUP(D313,DM_fish!C:X,20, FALSE), ",",  CHAR(34), "camera",CHAR(34), ":", IF(VALUE(VLOOKUP(D313,DM_fish!C:X,20, FALSE))&lt;VALUE(VLOOKUP(V313,imaging_filters!A:K,11, FALSE)), CONCATENATE(CHAR(34),"CamA",CHAR(34)), CONCATENATE(CHAR(34),"CamB",CHAR(34))),"}"), ""),IF(VLOOKUP(D313,DM_fish!C:X,22, FALSE)&gt;0, CONCATENATE(",{",CHAR(34),"target",CHAR(34),":",CHAR(34),VLOOKUP(D313,DM_fish!C:X,21, FALSE),CHAR(34),",", CHAR(34), "excitation",CHAR(34), ":", VLOOKUP(D313,DM_fish!C:X,22, FALSE), ",",  CHAR(34), "camera",CHAR(34), ":", IF(VALUE(VLOOKUP(D313,DM_fish!C:X,22, FALSE))&lt;VALUE(VLOOKUP(V313,imaging_filters!A:K,11, FALSE)), CONCATENATE(CHAR(34),"CamA",CHAR(34)), CONCATENATE(CHAR(34),"CamB",CHAR(34))),"}"), "")), "]"), "")</f>
        <v/>
      </c>
      <c r="X313" s="12" t="str">
        <f ca="1">IFERROR(
CONCATENATE("[", CONCATENATE(IF(VLOOKUP(C313,DM_fish!C:X,14, FALSE)&gt;0, CONCATENATE("{",CHAR(34),"target",CHAR(34),":",CHAR(34),VLOOKUP(C313,DM_fish!C:X,13, FALSE),CHAR(34),",", CHAR(34), "excitation",CHAR(34), ":", VLOOKUP(C313,DM_fish!C:X,14, FALSE), ",",  CHAR(34), "camera",CHAR(34), ":", IF(VALUE(VLOOKUP(C313,DM_fish!C:X,14, FALSE))&lt;VALUE(VLOOKUP(V313,imaging_filters!A:K,11, FALSE)), CONCATENATE(CHAR(34),"CamA",CHAR(34)), CONCATENATE(CHAR(34),"CamB",CHAR(34))),"}"), ""),IF(VLOOKUP(C313,DM_fish!C:X,16, FALSE)&gt;0, CONCATENATE(",{",CHAR(34),"target",CHAR(34),":",CHAR(34),VLOOKUP(C313,DM_fish!C:X,15, FALSE),CHAR(34),",", CHAR(34), "excitation",CHAR(34), ":", VLOOKUP(C313,DM_fish!C:X,16, FALSE), ",",  CHAR(34), "camera",CHAR(34), ":", IF(VALUE(VLOOKUP(C313,DM_fish!C:X,16, FALSE))&lt;VALUE(VLOOKUP(V313,imaging_filters!A:K,11, FALSE)), CONCATENATE(CHAR(34),"CamA",CHAR(34)), CONCATENATE(CHAR(34),"CamB",CHAR(34))),"}"), ""),IF(VLOOKUP(C313,DM_fish!C:X,18, FALSE)&gt;0, CONCATENATE(",{",CHAR(34),"target",CHAR(34),":",CHAR(34),VLOOKUP(C313,DM_fish!C:X,17, FALSE),CHAR(34),",", CHAR(34), "excitation",CHAR(34), ":", VLOOKUP(C313,DM_fish!C:X,18, FALSE), ",",  CHAR(34), "camera",CHAR(34), ":", IF(VALUE(VLOOKUP(C313,DM_fish!C:X,18, FALSE))&lt;VALUE(VLOOKUP(V313,imaging_filters!A:K,11, FALSE)), CONCATENATE(CHAR(34),"CamA",CHAR(34)), CONCATENATE(CHAR(34),"CamB",CHAR(34))),"}"), ""),IF(VLOOKUP(C313,DM_fish!C:X,20, FALSE)&gt;0, CONCATENATE(",{",CHAR(34),"target",CHAR(34),":",CHAR(34),VLOOKUP(C313,DM_fish!C:X,19, FALSE),CHAR(34),",", CHAR(34), "excitation",CHAR(34), ":", VLOOKUP(C313,DM_fish!C:X,20, FALSE), ",",  CHAR(34), "camera",CHAR(34), ":", IF(VALUE(VLOOKUP(C313,DM_fish!C:X,20, FALSE))&lt;VALUE(VLOOKUP(V313,imaging_filters!A:K,11, FALSE)), CONCATENATE(CHAR(34),"CamA",CHAR(34)), CONCATENATE(CHAR(34),"CamB",CHAR(34))),"}"), ""),IF(VLOOKUP(C313,DM_fish!C:X,22, FALSE)&gt;0, CONCATENATE(",{",CHAR(34),"target",CHAR(34),":",CHAR(34),VLOOKUP(C313,DM_fish!C:X,21, FALSE),CHAR(34),",", CHAR(34), "excitation",CHAR(34), ":", VLOOKUP(C313,DM_fish!C:X,22, FALSE), ",",  CHAR(34), "camera",CHAR(34), ":", IF(VALUE(VLOOKUP(C313,DM_fish!C:X,22, FALSE))&lt;VALUE(VLOOKUP(V313,imaging_filters!A:K,11, FALSE)), CONCATENATE(CHAR(34),"CamA",CHAR(34)), CONCATENATE(CHAR(34),"CamB",CHAR(34))),"}"), "")), "]"), "")</f>
        <v/>
      </c>
      <c r="Y313" s="11" t="str">
        <f ca="1">IFERROR(
CONCATENATE( "[",
IF(VLOOKUP(E313,Injections!B:F,3, FALSE)&gt;0, CONCATENATE( "{",CHAR(34),"target",CHAR(34),":",CHAR(34),VLOOKUP(E313,Injections!B:F,2, FALSE),CHAR(34),",", CHAR(34), "excitation",CHAR(34), ":", VLOOKUP(E313,Injections!B:F,3, FALSE), ",",  CHAR(34), "camera",CHAR(34), ":",
IF(VALUE(VLOOKUP(E313,Injections!B:F,3, FALSE))&lt;VALUE(VLOOKUP(V313,imaging_filters!A:C,2, FALSE)), CONCATENATE(CHAR(34),"CamA",CHAR(34)), CONCATENATE(CHAR(34),"CamB",CHAR(34))),"}"), ""),
IF(VLOOKUP(E313,Injections!B:F,5, FALSE)&gt;0, CONCATENATE(",{",CHAR(34),"target",CHAR(34),":",CHAR(34),VLOOKUP(E313,Injections!B:F,4, FALSE),CHAR(34),",", CHAR(34), "excitation",CHAR(34), ":", VLOOKUP(E313,Injections!B:F,5, FALSE), ",",  CHAR(34), "camera",CHAR(34), ":",
IF(VALUE(VLOOKUP(E313,Injections!B:F,5, FALSE))&lt;VALUE(VLOOKUP(V313,imaging_filters!A:C,2, FALSE)), CONCATENATE(CHAR(34),"CamA",CHAR(34)), CONCATENATE(CHAR(34),"CamB",CHAR(34))),"}"), ""),
 "]"), "[]")</f>
        <v>[]</v>
      </c>
      <c r="Z313" s="11" t="str">
        <f ca="1">IFERROR(
CONCATENATE( "[",
IF(VLOOKUP(F313,Injections!H:L,3, FALSE)&gt;0, CONCATENATE( "{",CHAR(34),"target",CHAR(34),":",CHAR(34),VLOOKUP(F313,Injections!H:L,2, FALSE),CHAR(34),",", CHAR(34), "excitation",CHAR(34), ":", VLOOKUP(F313,Injections!H:L,3, FALSE), ",",  CHAR(34), "camera",CHAR(34), ":",
IF(VALUE(VLOOKUP(F313,Injections!H:L,3, FALSE))&lt;VALUE(VLOOKUP(V313,imaging_filters!A:K,11, FALSE)), CONCATENATE(CHAR(34),"CamA",CHAR(34)), CONCATENATE(CHAR(34),"CamB",CHAR(34))),"}"), ""),
IF(VLOOKUP(F313,Injections!H:L,5, FALSE)&gt;0, CONCATENATE(",{",CHAR(34),"target",CHAR(34),":",CHAR(34),VLOOKUP(F313,Injections!H:L,4, FALSE),CHAR(34),",", CHAR(34), "excitation",CHAR(34), ":", VLOOKUP(F313,Injections!H:L,5, FALSE), ",",  CHAR(34), "camera",CHAR(34), ":",
IF(VALUE(VLOOKUP(F313,Injections!H:L,5, FALSE))&lt;VALUE(VLOOKUP(V313,imaging_filters!A:K,11, FALSE)), CONCATENATE(CHAR(34),"CamA",CHAR(34)), CONCATENATE(CHAR(34),"CamB",CHAR(34))),"}"), ""),
 "]"), "[]")</f>
        <v>[]</v>
      </c>
      <c r="AA313" s="11"/>
    </row>
    <row r="314" spans="1:27" ht="15.75" customHeight="1" x14ac:dyDescent="0.15">
      <c r="A314" s="7">
        <f t="shared" si="7"/>
        <v>45700</v>
      </c>
      <c r="B314" s="1"/>
      <c r="C314" s="1" t="s">
        <v>107</v>
      </c>
      <c r="D314" s="1" t="s">
        <v>253</v>
      </c>
      <c r="F314" s="1" t="s">
        <v>550</v>
      </c>
      <c r="G314" s="8"/>
      <c r="H314" s="8"/>
      <c r="I314" s="8">
        <v>45698</v>
      </c>
      <c r="J314" s="1" t="s">
        <v>621</v>
      </c>
      <c r="K314" s="1" t="s">
        <v>357</v>
      </c>
      <c r="L314" s="19">
        <v>45699</v>
      </c>
      <c r="M314" s="8">
        <v>45700</v>
      </c>
      <c r="N314" s="9">
        <v>0.375</v>
      </c>
      <c r="O314" s="9">
        <v>0.41666666666666669</v>
      </c>
      <c r="P314" s="9">
        <v>0.44791666666666669</v>
      </c>
      <c r="Q314" s="1" t="s">
        <v>622</v>
      </c>
      <c r="R314" s="10" t="str">
        <f ca="1">IFERROR(__xludf.DUMMYFUNCTION("JOIN("","", SORT(UNIQUE(TOCOL({VLOOKUP(D314,DM_fish!A:B,2,FALSE),VLOOKUP(C314,DM_fish!A:B,2,FALSE), ARRAYFORMULA(VLOOKUP(SPLIT(E314, "", ""),Injections!B:G,6,FALSE)), ARRAYFORMULA(VLOOKUP(SPLIT(F314, "", ""),Injections!H:M,6,FALSE)), ARRAYFORMULA(VLOOKUP("&amp;"SPLIT(G314, "", ""),Injections!N:S,6,FALSE)), ARRAYFORMULA(VLOOKUP(SPLIT(H314, "", ""),Injections!T:Y,6,FALSE)) },3))))"),"nuclei")</f>
        <v>nuclei</v>
      </c>
      <c r="S314" s="10" t="str">
        <f ca="1">IFERROR(__xludf.DUMMYFUNCTION("IFERROR(JOIN("","", SPLIT(R314, "","", TRUE ,TRUE)), """")"),"nuclei")</f>
        <v>nuclei</v>
      </c>
      <c r="T314" s="1" t="s">
        <v>623</v>
      </c>
      <c r="U314" s="1">
        <v>157</v>
      </c>
      <c r="V314" s="1" t="s">
        <v>203</v>
      </c>
      <c r="W314" s="12" t="str">
        <f ca="1">IFERROR(CONCATENATE("[", CONCATENATE(IF(VLOOKUP(D314,DM_fish!C:X,14, FALSE)&gt;0, CONCATENATE("{",CHAR(34),"target",CHAR(34),":",CHAR(34),VLOOKUP(D314,DM_fish!C:X,13, FALSE),CHAR(34),",", CHAR(34), "excitation",CHAR(34), ":", VLOOKUP(D314,DM_fish!C:X,14, FALSE), ",",  CHAR(34), "camera",CHAR(34), ":", IF(VALUE(VLOOKUP(D314,DM_fish!C:X,14, FALSE))&lt;VALUE(VLOOKUP(V314,imaging_filters!A:K,11, FALSE)), CONCATENATE(CHAR(34),"CamA",CHAR(34)), CONCATENATE(CHAR(34),"CamB",CHAR(34))),"}"), ""),IF(VLOOKUP(D314,DM_fish!C:X,16, FALSE)&gt;0, CONCATENATE(",{",CHAR(34),"target",CHAR(34),":",CHAR(34),VLOOKUP(D314,DM_fish!C:X,15, FALSE),CHAR(34),",", CHAR(34), "excitation",CHAR(34), ":", VLOOKUP(D314,DM_fish!C:X,16, FALSE), ",",  CHAR(34), "camera",CHAR(34), ":", IF(VALUE(VLOOKUP(D314,DM_fish!C:X,16, FALSE))&lt;VALUE(VLOOKUP(V314,imaging_filters!A:K,11, FALSE)), CONCATENATE(CHAR(34),"CamA",CHAR(34)), CONCATENATE(CHAR(34),"CamB",CHAR(34))),"}"), ""),IF(VLOOKUP(D314,DM_fish!C:X,18, FALSE)&gt;0, CONCATENATE(",{",CHAR(34),"target",CHAR(34),":",CHAR(34),VLOOKUP(D314,DM_fish!C:X,17, FALSE),CHAR(34),",", CHAR(34), "excitation",CHAR(34), ":", VLOOKUP(D314,DM_fish!C:X,18, FALSE), ",",  CHAR(34), "camera",CHAR(34), ":", IF(VALUE(VLOOKUP(D314,DM_fish!C:X,18, FALSE))&lt;VALUE(VLOOKUP(V314,imaging_filters!A:K,11, FALSE)), CONCATENATE(CHAR(34),"CamA",CHAR(34)), CONCATENATE(CHAR(34),"CamB",CHAR(34))),"}"), ""),IF(VLOOKUP(D314,DM_fish!C:X,20, FALSE)&gt;0, CONCATENATE(",{",CHAR(34),"target",CHAR(34),":",CHAR(34),VLOOKUP(D314,DM_fish!C:X,19, FALSE),CHAR(34),",", CHAR(34), "excitation",CHAR(34), ":", VLOOKUP(D314,DM_fish!C:X,20, FALSE), ",",  CHAR(34), "camera",CHAR(34), ":", IF(VALUE(VLOOKUP(D314,DM_fish!C:X,20, FALSE))&lt;VALUE(VLOOKUP(V314,imaging_filters!A:K,11, FALSE)), CONCATENATE(CHAR(34),"CamA",CHAR(34)), CONCATENATE(CHAR(34),"CamB",CHAR(34))),"}"), ""),IF(VLOOKUP(D314,DM_fish!C:X,22, FALSE)&gt;0, CONCATENATE(",{",CHAR(34),"target",CHAR(34),":",CHAR(34),VLOOKUP(D314,DM_fish!C:X,21, FALSE),CHAR(34),",", CHAR(34), "excitation",CHAR(34), ":", VLOOKUP(D314,DM_fish!C:X,22, FALSE), ",",  CHAR(34), "camera",CHAR(34), ":", IF(VALUE(VLOOKUP(D314,DM_fish!C:X,22, FALSE))&lt;VALUE(VLOOKUP(V314,imaging_filters!A:K,11, FALSE)), CONCATENATE(CHAR(34),"CamA",CHAR(34)), CONCATENATE(CHAR(34),"CamB",CHAR(34))),"}"), "")), "]"), "")</f>
        <v/>
      </c>
      <c r="X314" s="12" t="str">
        <f ca="1">IFERROR(
CONCATENATE("[", CONCATENATE(IF(VLOOKUP(C314,DM_fish!C:X,14, FALSE)&gt;0, CONCATENATE("{",CHAR(34),"target",CHAR(34),":",CHAR(34),VLOOKUP(C314,DM_fish!C:X,13, FALSE),CHAR(34),",", CHAR(34), "excitation",CHAR(34), ":", VLOOKUP(C314,DM_fish!C:X,14, FALSE), ",",  CHAR(34), "camera",CHAR(34), ":", IF(VALUE(VLOOKUP(C314,DM_fish!C:X,14, FALSE))&lt;VALUE(VLOOKUP(V314,imaging_filters!A:K,11, FALSE)), CONCATENATE(CHAR(34),"CamA",CHAR(34)), CONCATENATE(CHAR(34),"CamB",CHAR(34))),"}"), ""),IF(VLOOKUP(C314,DM_fish!C:X,16, FALSE)&gt;0, CONCATENATE(",{",CHAR(34),"target",CHAR(34),":",CHAR(34),VLOOKUP(C314,DM_fish!C:X,15, FALSE),CHAR(34),",", CHAR(34), "excitation",CHAR(34), ":", VLOOKUP(C314,DM_fish!C:X,16, FALSE), ",",  CHAR(34), "camera",CHAR(34), ":", IF(VALUE(VLOOKUP(C314,DM_fish!C:X,16, FALSE))&lt;VALUE(VLOOKUP(V314,imaging_filters!A:K,11, FALSE)), CONCATENATE(CHAR(34),"CamA",CHAR(34)), CONCATENATE(CHAR(34),"CamB",CHAR(34))),"}"), ""),IF(VLOOKUP(C314,DM_fish!C:X,18, FALSE)&gt;0, CONCATENATE(",{",CHAR(34),"target",CHAR(34),":",CHAR(34),VLOOKUP(C314,DM_fish!C:X,17, FALSE),CHAR(34),",", CHAR(34), "excitation",CHAR(34), ":", VLOOKUP(C314,DM_fish!C:X,18, FALSE), ",",  CHAR(34), "camera",CHAR(34), ":", IF(VALUE(VLOOKUP(C314,DM_fish!C:X,18, FALSE))&lt;VALUE(VLOOKUP(V314,imaging_filters!A:K,11, FALSE)), CONCATENATE(CHAR(34),"CamA",CHAR(34)), CONCATENATE(CHAR(34),"CamB",CHAR(34))),"}"), ""),IF(VLOOKUP(C314,DM_fish!C:X,20, FALSE)&gt;0, CONCATENATE(",{",CHAR(34),"target",CHAR(34),":",CHAR(34),VLOOKUP(C314,DM_fish!C:X,19, FALSE),CHAR(34),",", CHAR(34), "excitation",CHAR(34), ":", VLOOKUP(C314,DM_fish!C:X,20, FALSE), ",",  CHAR(34), "camera",CHAR(34), ":", IF(VALUE(VLOOKUP(C314,DM_fish!C:X,20, FALSE))&lt;VALUE(VLOOKUP(V314,imaging_filters!A:K,11, FALSE)), CONCATENATE(CHAR(34),"CamA",CHAR(34)), CONCATENATE(CHAR(34),"CamB",CHAR(34))),"}"), ""),IF(VLOOKUP(C314,DM_fish!C:X,22, FALSE)&gt;0, CONCATENATE(",{",CHAR(34),"target",CHAR(34),":",CHAR(34),VLOOKUP(C314,DM_fish!C:X,21, FALSE),CHAR(34),",", CHAR(34), "excitation",CHAR(34), ":", VLOOKUP(C314,DM_fish!C:X,22, FALSE), ",",  CHAR(34), "camera",CHAR(34), ":", IF(VALUE(VLOOKUP(C314,DM_fish!C:X,22, FALSE))&lt;VALUE(VLOOKUP(V314,imaging_filters!A:K,11, FALSE)), CONCATENATE(CHAR(34),"CamA",CHAR(34)), CONCATENATE(CHAR(34),"CamB",CHAR(34))),"}"), "")), "]"), "")</f>
        <v/>
      </c>
      <c r="Y314" s="11" t="str">
        <f ca="1">IFERROR(
CONCATENATE( "[",
IF(VLOOKUP(E314,Injections!B:F,3, FALSE)&gt;0, CONCATENATE( "{",CHAR(34),"target",CHAR(34),":",CHAR(34),VLOOKUP(E314,Injections!B:F,2, FALSE),CHAR(34),",", CHAR(34), "excitation",CHAR(34), ":", VLOOKUP(E314,Injections!B:F,3, FALSE), ",",  CHAR(34), "camera",CHAR(34), ":",
IF(VALUE(VLOOKUP(E314,Injections!B:F,3, FALSE))&lt;VALUE(VLOOKUP(V314,imaging_filters!A:C,2, FALSE)), CONCATENATE(CHAR(34),"CamA",CHAR(34)), CONCATENATE(CHAR(34),"CamB",CHAR(34))),"}"), ""),
IF(VLOOKUP(E314,Injections!B:F,5, FALSE)&gt;0, CONCATENATE(",{",CHAR(34),"target",CHAR(34),":",CHAR(34),VLOOKUP(E314,Injections!B:F,4, FALSE),CHAR(34),",", CHAR(34), "excitation",CHAR(34), ":", VLOOKUP(E314,Injections!B:F,5, FALSE), ",",  CHAR(34), "camera",CHAR(34), ":",
IF(VALUE(VLOOKUP(E314,Injections!B:F,5, FALSE))&lt;VALUE(VLOOKUP(V314,imaging_filters!A:C,2, FALSE)), CONCATENATE(CHAR(34),"CamA",CHAR(34)), CONCATENATE(CHAR(34),"CamB",CHAR(34))),"}"), ""),
 "]"), "[]")</f>
        <v>[]</v>
      </c>
      <c r="Z314" s="11" t="str">
        <f ca="1">IFERROR(
CONCATENATE( "[",
IF(VLOOKUP(F314,Injections!H:L,3, FALSE)&gt;0, CONCATENATE( "{",CHAR(34),"target",CHAR(34),":",CHAR(34),VLOOKUP(F314,Injections!H:L,2, FALSE),CHAR(34),",", CHAR(34), "excitation",CHAR(34), ":", VLOOKUP(F314,Injections!H:L,3, FALSE), ",",  CHAR(34), "camera",CHAR(34), ":",
IF(VALUE(VLOOKUP(F314,Injections!H:L,3, FALSE))&lt;VALUE(VLOOKUP(V314,imaging_filters!A:K,11, FALSE)), CONCATENATE(CHAR(34),"CamA",CHAR(34)), CONCATENATE(CHAR(34),"CamB",CHAR(34))),"}"), ""),
IF(VLOOKUP(F314,Injections!H:L,5, FALSE)&gt;0, CONCATENATE(",{",CHAR(34),"target",CHAR(34),":",CHAR(34),VLOOKUP(F314,Injections!H:L,4, FALSE),CHAR(34),",", CHAR(34), "excitation",CHAR(34), ":", VLOOKUP(F314,Injections!H:L,5, FALSE), ",",  CHAR(34), "camera",CHAR(34), ":",
IF(VALUE(VLOOKUP(F314,Injections!H:L,5, FALSE))&lt;VALUE(VLOOKUP(V314,imaging_filters!A:K,11, FALSE)), CONCATENATE(CHAR(34),"CamA",CHAR(34)), CONCATENATE(CHAR(34),"CamB",CHAR(34))),"}"), ""),
 "]"), "[]")</f>
        <v>[]</v>
      </c>
      <c r="AA314" s="11"/>
    </row>
    <row r="315" spans="1:27" ht="15.75" customHeight="1" x14ac:dyDescent="0.15">
      <c r="A315" s="7">
        <f t="shared" si="7"/>
        <v>45700</v>
      </c>
      <c r="B315" s="1"/>
      <c r="C315" s="1" t="s">
        <v>107</v>
      </c>
      <c r="D315" s="1" t="s">
        <v>253</v>
      </c>
      <c r="F315" s="1" t="s">
        <v>624</v>
      </c>
      <c r="G315" s="8"/>
      <c r="H315" s="8"/>
      <c r="I315" s="8">
        <v>45698</v>
      </c>
      <c r="J315" s="1" t="s">
        <v>621</v>
      </c>
      <c r="K315" s="1" t="s">
        <v>357</v>
      </c>
      <c r="L315" s="19">
        <v>45699</v>
      </c>
      <c r="M315" s="8">
        <v>45700</v>
      </c>
      <c r="N315" s="9">
        <v>0.375</v>
      </c>
      <c r="O315" s="1" t="s">
        <v>625</v>
      </c>
      <c r="R315" s="10" t="str">
        <f ca="1">IFERROR(__xludf.DUMMYFUNCTION("JOIN("","", SORT(UNIQUE(TOCOL({VLOOKUP(D315,DM_fish!A:B,2,FALSE),VLOOKUP(C315,DM_fish!A:B,2,FALSE), ARRAYFORMULA(VLOOKUP(SPLIT(E315, "", ""),Injections!B:G,6,FALSE)), ARRAYFORMULA(VLOOKUP(SPLIT(F315, "", ""),Injections!H:M,6,FALSE)), ARRAYFORMULA(VLOOKUP("&amp;"SPLIT(G315, "", ""),Injections!N:S,6,FALSE)), ARRAYFORMULA(VLOOKUP(SPLIT(H315, "", ""),Injections!T:Y,6,FALSE)) },3))))"),"nuclei")</f>
        <v>nuclei</v>
      </c>
      <c r="S315" s="10" t="str">
        <f ca="1">IFERROR(__xludf.DUMMYFUNCTION("IFERROR(JOIN("","", SPLIT(R315, "","", TRUE ,TRUE)), """")"),"nuclei")</f>
        <v>nuclei</v>
      </c>
      <c r="T315" s="1"/>
      <c r="V315" s="1" t="s">
        <v>203</v>
      </c>
      <c r="W315" s="12" t="str">
        <f ca="1">IFERROR(CONCATENATE("[", CONCATENATE(IF(VLOOKUP(D315,DM_fish!C:X,14, FALSE)&gt;0, CONCATENATE("{",CHAR(34),"target",CHAR(34),":",CHAR(34),VLOOKUP(D315,DM_fish!C:X,13, FALSE),CHAR(34),",", CHAR(34), "excitation",CHAR(34), ":", VLOOKUP(D315,DM_fish!C:X,14, FALSE), ",",  CHAR(34), "camera",CHAR(34), ":", IF(VALUE(VLOOKUP(D315,DM_fish!C:X,14, FALSE))&lt;VALUE(VLOOKUP(V315,imaging_filters!A:K,11, FALSE)), CONCATENATE(CHAR(34),"CamA",CHAR(34)), CONCATENATE(CHAR(34),"CamB",CHAR(34))),"}"), ""),IF(VLOOKUP(D315,DM_fish!C:X,16, FALSE)&gt;0, CONCATENATE(",{",CHAR(34),"target",CHAR(34),":",CHAR(34),VLOOKUP(D315,DM_fish!C:X,15, FALSE),CHAR(34),",", CHAR(34), "excitation",CHAR(34), ":", VLOOKUP(D315,DM_fish!C:X,16, FALSE), ",",  CHAR(34), "camera",CHAR(34), ":", IF(VALUE(VLOOKUP(D315,DM_fish!C:X,16, FALSE))&lt;VALUE(VLOOKUP(V315,imaging_filters!A:K,11, FALSE)), CONCATENATE(CHAR(34),"CamA",CHAR(34)), CONCATENATE(CHAR(34),"CamB",CHAR(34))),"}"), ""),IF(VLOOKUP(D315,DM_fish!C:X,18, FALSE)&gt;0, CONCATENATE(",{",CHAR(34),"target",CHAR(34),":",CHAR(34),VLOOKUP(D315,DM_fish!C:X,17, FALSE),CHAR(34),",", CHAR(34), "excitation",CHAR(34), ":", VLOOKUP(D315,DM_fish!C:X,18, FALSE), ",",  CHAR(34), "camera",CHAR(34), ":", IF(VALUE(VLOOKUP(D315,DM_fish!C:X,18, FALSE))&lt;VALUE(VLOOKUP(V315,imaging_filters!A:K,11, FALSE)), CONCATENATE(CHAR(34),"CamA",CHAR(34)), CONCATENATE(CHAR(34),"CamB",CHAR(34))),"}"), ""),IF(VLOOKUP(D315,DM_fish!C:X,20, FALSE)&gt;0, CONCATENATE(",{",CHAR(34),"target",CHAR(34),":",CHAR(34),VLOOKUP(D315,DM_fish!C:X,19, FALSE),CHAR(34),",", CHAR(34), "excitation",CHAR(34), ":", VLOOKUP(D315,DM_fish!C:X,20, FALSE), ",",  CHAR(34), "camera",CHAR(34), ":", IF(VALUE(VLOOKUP(D315,DM_fish!C:X,20, FALSE))&lt;VALUE(VLOOKUP(V315,imaging_filters!A:K,11, FALSE)), CONCATENATE(CHAR(34),"CamA",CHAR(34)), CONCATENATE(CHAR(34),"CamB",CHAR(34))),"}"), ""),IF(VLOOKUP(D315,DM_fish!C:X,22, FALSE)&gt;0, CONCATENATE(",{",CHAR(34),"target",CHAR(34),":",CHAR(34),VLOOKUP(D315,DM_fish!C:X,21, FALSE),CHAR(34),",", CHAR(34), "excitation",CHAR(34), ":", VLOOKUP(D315,DM_fish!C:X,22, FALSE), ",",  CHAR(34), "camera",CHAR(34), ":", IF(VALUE(VLOOKUP(D315,DM_fish!C:X,22, FALSE))&lt;VALUE(VLOOKUP(V315,imaging_filters!A:K,11, FALSE)), CONCATENATE(CHAR(34),"CamA",CHAR(34)), CONCATENATE(CHAR(34),"CamB",CHAR(34))),"}"), "")), "]"), "")</f>
        <v/>
      </c>
      <c r="X315" s="12" t="str">
        <f ca="1">IFERROR(
CONCATENATE("[", CONCATENATE(IF(VLOOKUP(C315,DM_fish!C:X,14, FALSE)&gt;0, CONCATENATE("{",CHAR(34),"target",CHAR(34),":",CHAR(34),VLOOKUP(C315,DM_fish!C:X,13, FALSE),CHAR(34),",", CHAR(34), "excitation",CHAR(34), ":", VLOOKUP(C315,DM_fish!C:X,14, FALSE), ",",  CHAR(34), "camera",CHAR(34), ":", IF(VALUE(VLOOKUP(C315,DM_fish!C:X,14, FALSE))&lt;VALUE(VLOOKUP(V315,imaging_filters!A:K,11, FALSE)), CONCATENATE(CHAR(34),"CamA",CHAR(34)), CONCATENATE(CHAR(34),"CamB",CHAR(34))),"}"), ""),IF(VLOOKUP(C315,DM_fish!C:X,16, FALSE)&gt;0, CONCATENATE(",{",CHAR(34),"target",CHAR(34),":",CHAR(34),VLOOKUP(C315,DM_fish!C:X,15, FALSE),CHAR(34),",", CHAR(34), "excitation",CHAR(34), ":", VLOOKUP(C315,DM_fish!C:X,16, FALSE), ",",  CHAR(34), "camera",CHAR(34), ":", IF(VALUE(VLOOKUP(C315,DM_fish!C:X,16, FALSE))&lt;VALUE(VLOOKUP(V315,imaging_filters!A:K,11, FALSE)), CONCATENATE(CHAR(34),"CamA",CHAR(34)), CONCATENATE(CHAR(34),"CamB",CHAR(34))),"}"), ""),IF(VLOOKUP(C315,DM_fish!C:X,18, FALSE)&gt;0, CONCATENATE(",{",CHAR(34),"target",CHAR(34),":",CHAR(34),VLOOKUP(C315,DM_fish!C:X,17, FALSE),CHAR(34),",", CHAR(34), "excitation",CHAR(34), ":", VLOOKUP(C315,DM_fish!C:X,18, FALSE), ",",  CHAR(34), "camera",CHAR(34), ":", IF(VALUE(VLOOKUP(C315,DM_fish!C:X,18, FALSE))&lt;VALUE(VLOOKUP(V315,imaging_filters!A:K,11, FALSE)), CONCATENATE(CHAR(34),"CamA",CHAR(34)), CONCATENATE(CHAR(34),"CamB",CHAR(34))),"}"), ""),IF(VLOOKUP(C315,DM_fish!C:X,20, FALSE)&gt;0, CONCATENATE(",{",CHAR(34),"target",CHAR(34),":",CHAR(34),VLOOKUP(C315,DM_fish!C:X,19, FALSE),CHAR(34),",", CHAR(34), "excitation",CHAR(34), ":", VLOOKUP(C315,DM_fish!C:X,20, FALSE), ",",  CHAR(34), "camera",CHAR(34), ":", IF(VALUE(VLOOKUP(C315,DM_fish!C:X,20, FALSE))&lt;VALUE(VLOOKUP(V315,imaging_filters!A:K,11, FALSE)), CONCATENATE(CHAR(34),"CamA",CHAR(34)), CONCATENATE(CHAR(34),"CamB",CHAR(34))),"}"), ""),IF(VLOOKUP(C315,DM_fish!C:X,22, FALSE)&gt;0, CONCATENATE(",{",CHAR(34),"target",CHAR(34),":",CHAR(34),VLOOKUP(C315,DM_fish!C:X,21, FALSE),CHAR(34),",", CHAR(34), "excitation",CHAR(34), ":", VLOOKUP(C315,DM_fish!C:X,22, FALSE), ",",  CHAR(34), "camera",CHAR(34), ":", IF(VALUE(VLOOKUP(C315,DM_fish!C:X,22, FALSE))&lt;VALUE(VLOOKUP(V315,imaging_filters!A:K,11, FALSE)), CONCATENATE(CHAR(34),"CamA",CHAR(34)), CONCATENATE(CHAR(34),"CamB",CHAR(34))),"}"), "")), "]"), "")</f>
        <v/>
      </c>
      <c r="Y315" s="11" t="str">
        <f ca="1">IFERROR(
CONCATENATE( "[",
IF(VLOOKUP(E315,Injections!B:F,3, FALSE)&gt;0, CONCATENATE( "{",CHAR(34),"target",CHAR(34),":",CHAR(34),VLOOKUP(E315,Injections!B:F,2, FALSE),CHAR(34),",", CHAR(34), "excitation",CHAR(34), ":", VLOOKUP(E315,Injections!B:F,3, FALSE), ",",  CHAR(34), "camera",CHAR(34), ":",
IF(VALUE(VLOOKUP(E315,Injections!B:F,3, FALSE))&lt;VALUE(VLOOKUP(V315,imaging_filters!A:C,2, FALSE)), CONCATENATE(CHAR(34),"CamA",CHAR(34)), CONCATENATE(CHAR(34),"CamB",CHAR(34))),"}"), ""),
IF(VLOOKUP(E315,Injections!B:F,5, FALSE)&gt;0, CONCATENATE(",{",CHAR(34),"target",CHAR(34),":",CHAR(34),VLOOKUP(E315,Injections!B:F,4, FALSE),CHAR(34),",", CHAR(34), "excitation",CHAR(34), ":", VLOOKUP(E315,Injections!B:F,5, FALSE), ",",  CHAR(34), "camera",CHAR(34), ":",
IF(VALUE(VLOOKUP(E315,Injections!B:F,5, FALSE))&lt;VALUE(VLOOKUP(V315,imaging_filters!A:C,2, FALSE)), CONCATENATE(CHAR(34),"CamA",CHAR(34)), CONCATENATE(CHAR(34),"CamB",CHAR(34))),"}"), ""),
 "]"), "[]")</f>
        <v>[]</v>
      </c>
      <c r="Z315" s="11" t="str">
        <f ca="1">IFERROR(
CONCATENATE( "[",
IF(VLOOKUP(F315,Injections!H:L,3, FALSE)&gt;0, CONCATENATE( "{",CHAR(34),"target",CHAR(34),":",CHAR(34),VLOOKUP(F315,Injections!H:L,2, FALSE),CHAR(34),",", CHAR(34), "excitation",CHAR(34), ":", VLOOKUP(F315,Injections!H:L,3, FALSE), ",",  CHAR(34), "camera",CHAR(34), ":",
IF(VALUE(VLOOKUP(F315,Injections!H:L,3, FALSE))&lt;VALUE(VLOOKUP(V315,imaging_filters!A:K,11, FALSE)), CONCATENATE(CHAR(34),"CamA",CHAR(34)), CONCATENATE(CHAR(34),"CamB",CHAR(34))),"}"), ""),
IF(VLOOKUP(F315,Injections!H:L,5, FALSE)&gt;0, CONCATENATE(",{",CHAR(34),"target",CHAR(34),":",CHAR(34),VLOOKUP(F315,Injections!H:L,4, FALSE),CHAR(34),",", CHAR(34), "excitation",CHAR(34), ":", VLOOKUP(F315,Injections!H:L,5, FALSE), ",",  CHAR(34), "camera",CHAR(34), ":",
IF(VALUE(VLOOKUP(F315,Injections!H:L,5, FALSE))&lt;VALUE(VLOOKUP(V315,imaging_filters!A:K,11, FALSE)), CONCATENATE(CHAR(34),"CamA",CHAR(34)), CONCATENATE(CHAR(34),"CamB",CHAR(34))),"}"), ""),
 "]"), "[]")</f>
        <v>[]</v>
      </c>
      <c r="AA315" s="11"/>
    </row>
    <row r="316" spans="1:27" ht="15.75" customHeight="1" x14ac:dyDescent="0.15">
      <c r="A316" s="7">
        <f t="shared" si="7"/>
        <v>45699</v>
      </c>
      <c r="B316" s="1"/>
      <c r="C316" s="1" t="s">
        <v>107</v>
      </c>
      <c r="D316" s="1" t="s">
        <v>253</v>
      </c>
      <c r="F316" s="1" t="s">
        <v>550</v>
      </c>
      <c r="G316" s="8"/>
      <c r="H316" s="8"/>
      <c r="I316" s="8">
        <v>45698</v>
      </c>
      <c r="J316" s="9">
        <v>0.42708333333333331</v>
      </c>
      <c r="K316" s="1" t="s">
        <v>571</v>
      </c>
      <c r="L316" s="19">
        <v>45699</v>
      </c>
      <c r="M316" s="8">
        <v>45699</v>
      </c>
      <c r="N316" s="9">
        <v>0.4375</v>
      </c>
      <c r="O316" s="9">
        <v>0.44791666666666669</v>
      </c>
      <c r="P316" s="9">
        <v>0.65277777777777779</v>
      </c>
      <c r="Q316" s="1" t="s">
        <v>626</v>
      </c>
      <c r="R316" s="10" t="str">
        <f ca="1">IFERROR(__xludf.DUMMYFUNCTION("JOIN("","", SORT(UNIQUE(TOCOL({VLOOKUP(D316,DM_fish!A:B,2,FALSE),VLOOKUP(C316,DM_fish!A:B,2,FALSE), ARRAYFORMULA(VLOOKUP(SPLIT(E316, "", ""),Injections!B:G,6,FALSE)), ARRAYFORMULA(VLOOKUP(SPLIT(F316, "", ""),Injections!H:M,6,FALSE)), ARRAYFORMULA(VLOOKUP("&amp;"SPLIT(G316, "", ""),Injections!N:S,6,FALSE)), ARRAYFORMULA(VLOOKUP(SPLIT(H316, "", ""),Injections!T:Y,6,FALSE)) },3))))"),"nuclei")</f>
        <v>nuclei</v>
      </c>
      <c r="S316" s="10" t="str">
        <f ca="1">IFERROR(__xludf.DUMMYFUNCTION("IFERROR(JOIN("","", SPLIT(R316, "","", TRUE ,TRUE)), """")"),"nuclei")</f>
        <v>nuclei</v>
      </c>
      <c r="T316" s="1" t="s">
        <v>627</v>
      </c>
      <c r="U316" s="1">
        <v>800</v>
      </c>
      <c r="V316" s="1" t="s">
        <v>203</v>
      </c>
      <c r="W316" s="12" t="str">
        <f ca="1">IFERROR(CONCATENATE("[", CONCATENATE(IF(VLOOKUP(D316,DM_fish!C:X,14, FALSE)&gt;0, CONCATENATE("{",CHAR(34),"target",CHAR(34),":",CHAR(34),VLOOKUP(D316,DM_fish!C:X,13, FALSE),CHAR(34),",", CHAR(34), "excitation",CHAR(34), ":", VLOOKUP(D316,DM_fish!C:X,14, FALSE), ",",  CHAR(34), "camera",CHAR(34), ":", IF(VALUE(VLOOKUP(D316,DM_fish!C:X,14, FALSE))&lt;VALUE(VLOOKUP(V316,imaging_filters!A:K,11, FALSE)), CONCATENATE(CHAR(34),"CamA",CHAR(34)), CONCATENATE(CHAR(34),"CamB",CHAR(34))),"}"), ""),IF(VLOOKUP(D316,DM_fish!C:X,16, FALSE)&gt;0, CONCATENATE(",{",CHAR(34),"target",CHAR(34),":",CHAR(34),VLOOKUP(D316,DM_fish!C:X,15, FALSE),CHAR(34),",", CHAR(34), "excitation",CHAR(34), ":", VLOOKUP(D316,DM_fish!C:X,16, FALSE), ",",  CHAR(34), "camera",CHAR(34), ":", IF(VALUE(VLOOKUP(D316,DM_fish!C:X,16, FALSE))&lt;VALUE(VLOOKUP(V316,imaging_filters!A:K,11, FALSE)), CONCATENATE(CHAR(34),"CamA",CHAR(34)), CONCATENATE(CHAR(34),"CamB",CHAR(34))),"}"), ""),IF(VLOOKUP(D316,DM_fish!C:X,18, FALSE)&gt;0, CONCATENATE(",{",CHAR(34),"target",CHAR(34),":",CHAR(34),VLOOKUP(D316,DM_fish!C:X,17, FALSE),CHAR(34),",", CHAR(34), "excitation",CHAR(34), ":", VLOOKUP(D316,DM_fish!C:X,18, FALSE), ",",  CHAR(34), "camera",CHAR(34), ":", IF(VALUE(VLOOKUP(D316,DM_fish!C:X,18, FALSE))&lt;VALUE(VLOOKUP(V316,imaging_filters!A:K,11, FALSE)), CONCATENATE(CHAR(34),"CamA",CHAR(34)), CONCATENATE(CHAR(34),"CamB",CHAR(34))),"}"), ""),IF(VLOOKUP(D316,DM_fish!C:X,20, FALSE)&gt;0, CONCATENATE(",{",CHAR(34),"target",CHAR(34),":",CHAR(34),VLOOKUP(D316,DM_fish!C:X,19, FALSE),CHAR(34),",", CHAR(34), "excitation",CHAR(34), ":", VLOOKUP(D316,DM_fish!C:X,20, FALSE), ",",  CHAR(34), "camera",CHAR(34), ":", IF(VALUE(VLOOKUP(D316,DM_fish!C:X,20, FALSE))&lt;VALUE(VLOOKUP(V316,imaging_filters!A:K,11, FALSE)), CONCATENATE(CHAR(34),"CamA",CHAR(34)), CONCATENATE(CHAR(34),"CamB",CHAR(34))),"}"), ""),IF(VLOOKUP(D316,DM_fish!C:X,22, FALSE)&gt;0, CONCATENATE(",{",CHAR(34),"target",CHAR(34),":",CHAR(34),VLOOKUP(D316,DM_fish!C:X,21, FALSE),CHAR(34),",", CHAR(34), "excitation",CHAR(34), ":", VLOOKUP(D316,DM_fish!C:X,22, FALSE), ",",  CHAR(34), "camera",CHAR(34), ":", IF(VALUE(VLOOKUP(D316,DM_fish!C:X,22, FALSE))&lt;VALUE(VLOOKUP(V316,imaging_filters!A:K,11, FALSE)), CONCATENATE(CHAR(34),"CamA",CHAR(34)), CONCATENATE(CHAR(34),"CamB",CHAR(34))),"}"), "")), "]"), "")</f>
        <v/>
      </c>
      <c r="X316" s="12" t="str">
        <f ca="1">IFERROR(
CONCATENATE("[", CONCATENATE(IF(VLOOKUP(C316,DM_fish!C:X,14, FALSE)&gt;0, CONCATENATE("{",CHAR(34),"target",CHAR(34),":",CHAR(34),VLOOKUP(C316,DM_fish!C:X,13, FALSE),CHAR(34),",", CHAR(34), "excitation",CHAR(34), ":", VLOOKUP(C316,DM_fish!C:X,14, FALSE), ",",  CHAR(34), "camera",CHAR(34), ":", IF(VALUE(VLOOKUP(C316,DM_fish!C:X,14, FALSE))&lt;VALUE(VLOOKUP(V316,imaging_filters!A:K,11, FALSE)), CONCATENATE(CHAR(34),"CamA",CHAR(34)), CONCATENATE(CHAR(34),"CamB",CHAR(34))),"}"), ""),IF(VLOOKUP(C316,DM_fish!C:X,16, FALSE)&gt;0, CONCATENATE(",{",CHAR(34),"target",CHAR(34),":",CHAR(34),VLOOKUP(C316,DM_fish!C:X,15, FALSE),CHAR(34),",", CHAR(34), "excitation",CHAR(34), ":", VLOOKUP(C316,DM_fish!C:X,16, FALSE), ",",  CHAR(34), "camera",CHAR(34), ":", IF(VALUE(VLOOKUP(C316,DM_fish!C:X,16, FALSE))&lt;VALUE(VLOOKUP(V316,imaging_filters!A:K,11, FALSE)), CONCATENATE(CHAR(34),"CamA",CHAR(34)), CONCATENATE(CHAR(34),"CamB",CHAR(34))),"}"), ""),IF(VLOOKUP(C316,DM_fish!C:X,18, FALSE)&gt;0, CONCATENATE(",{",CHAR(34),"target",CHAR(34),":",CHAR(34),VLOOKUP(C316,DM_fish!C:X,17, FALSE),CHAR(34),",", CHAR(34), "excitation",CHAR(34), ":", VLOOKUP(C316,DM_fish!C:X,18, FALSE), ",",  CHAR(34), "camera",CHAR(34), ":", IF(VALUE(VLOOKUP(C316,DM_fish!C:X,18, FALSE))&lt;VALUE(VLOOKUP(V316,imaging_filters!A:K,11, FALSE)), CONCATENATE(CHAR(34),"CamA",CHAR(34)), CONCATENATE(CHAR(34),"CamB",CHAR(34))),"}"), ""),IF(VLOOKUP(C316,DM_fish!C:X,20, FALSE)&gt;0, CONCATENATE(",{",CHAR(34),"target",CHAR(34),":",CHAR(34),VLOOKUP(C316,DM_fish!C:X,19, FALSE),CHAR(34),",", CHAR(34), "excitation",CHAR(34), ":", VLOOKUP(C316,DM_fish!C:X,20, FALSE), ",",  CHAR(34), "camera",CHAR(34), ":", IF(VALUE(VLOOKUP(C316,DM_fish!C:X,20, FALSE))&lt;VALUE(VLOOKUP(V316,imaging_filters!A:K,11, FALSE)), CONCATENATE(CHAR(34),"CamA",CHAR(34)), CONCATENATE(CHAR(34),"CamB",CHAR(34))),"}"), ""),IF(VLOOKUP(C316,DM_fish!C:X,22, FALSE)&gt;0, CONCATENATE(",{",CHAR(34),"target",CHAR(34),":",CHAR(34),VLOOKUP(C316,DM_fish!C:X,21, FALSE),CHAR(34),",", CHAR(34), "excitation",CHAR(34), ":", VLOOKUP(C316,DM_fish!C:X,22, FALSE), ",",  CHAR(34), "camera",CHAR(34), ":", IF(VALUE(VLOOKUP(C316,DM_fish!C:X,22, FALSE))&lt;VALUE(VLOOKUP(V316,imaging_filters!A:K,11, FALSE)), CONCATENATE(CHAR(34),"CamA",CHAR(34)), CONCATENATE(CHAR(34),"CamB",CHAR(34))),"}"), "")), "]"), "")</f>
        <v/>
      </c>
      <c r="Y316" s="11" t="str">
        <f ca="1">IFERROR(
CONCATENATE( "[",
IF(VLOOKUP(E316,Injections!B:F,3, FALSE)&gt;0, CONCATENATE( "{",CHAR(34),"target",CHAR(34),":",CHAR(34),VLOOKUP(E316,Injections!B:F,2, FALSE),CHAR(34),",", CHAR(34), "excitation",CHAR(34), ":", VLOOKUP(E316,Injections!B:F,3, FALSE), ",",  CHAR(34), "camera",CHAR(34), ":",
IF(VALUE(VLOOKUP(E316,Injections!B:F,3, FALSE))&lt;VALUE(VLOOKUP(V316,imaging_filters!A:C,2, FALSE)), CONCATENATE(CHAR(34),"CamA",CHAR(34)), CONCATENATE(CHAR(34),"CamB",CHAR(34))),"}"), ""),
IF(VLOOKUP(E316,Injections!B:F,5, FALSE)&gt;0, CONCATENATE(",{",CHAR(34),"target",CHAR(34),":",CHAR(34),VLOOKUP(E316,Injections!B:F,4, FALSE),CHAR(34),",", CHAR(34), "excitation",CHAR(34), ":", VLOOKUP(E316,Injections!B:F,5, FALSE), ",",  CHAR(34), "camera",CHAR(34), ":",
IF(VALUE(VLOOKUP(E316,Injections!B:F,5, FALSE))&lt;VALUE(VLOOKUP(V316,imaging_filters!A:C,2, FALSE)), CONCATENATE(CHAR(34),"CamA",CHAR(34)), CONCATENATE(CHAR(34),"CamB",CHAR(34))),"}"), ""),
 "]"), "[]")</f>
        <v>[]</v>
      </c>
      <c r="Z316" s="11" t="str">
        <f ca="1">IFERROR(
CONCATENATE( "[",
IF(VLOOKUP(F316,Injections!H:L,3, FALSE)&gt;0, CONCATENATE( "{",CHAR(34),"target",CHAR(34),":",CHAR(34),VLOOKUP(F316,Injections!H:L,2, FALSE),CHAR(34),",", CHAR(34), "excitation",CHAR(34), ":", VLOOKUP(F316,Injections!H:L,3, FALSE), ",",  CHAR(34), "camera",CHAR(34), ":",
IF(VALUE(VLOOKUP(F316,Injections!H:L,3, FALSE))&lt;VALUE(VLOOKUP(V316,imaging_filters!A:K,11, FALSE)), CONCATENATE(CHAR(34),"CamA",CHAR(34)), CONCATENATE(CHAR(34),"CamB",CHAR(34))),"}"), ""),
IF(VLOOKUP(F316,Injections!H:L,5, FALSE)&gt;0, CONCATENATE(",{",CHAR(34),"target",CHAR(34),":",CHAR(34),VLOOKUP(F316,Injections!H:L,4, FALSE),CHAR(34),",", CHAR(34), "excitation",CHAR(34), ":", VLOOKUP(F316,Injections!H:L,5, FALSE), ",",  CHAR(34), "camera",CHAR(34), ":",
IF(VALUE(VLOOKUP(F316,Injections!H:L,5, FALSE))&lt;VALUE(VLOOKUP(V316,imaging_filters!A:K,11, FALSE)), CONCATENATE(CHAR(34),"CamA",CHAR(34)), CONCATENATE(CHAR(34),"CamB",CHAR(34))),"}"), ""),
 "]"), "[]")</f>
        <v>[]</v>
      </c>
      <c r="AA316" s="11"/>
    </row>
    <row r="317" spans="1:27" ht="15.75" customHeight="1" x14ac:dyDescent="0.15">
      <c r="A317" s="7">
        <f>M320</f>
        <v>45699</v>
      </c>
      <c r="B317" s="1"/>
      <c r="C317" s="1" t="s">
        <v>107</v>
      </c>
      <c r="D317" s="1" t="s">
        <v>253</v>
      </c>
      <c r="F317" s="1" t="s">
        <v>624</v>
      </c>
      <c r="G317" s="8"/>
      <c r="H317" s="8"/>
      <c r="I317" s="8">
        <v>45698</v>
      </c>
      <c r="J317" s="9">
        <v>0.42708333333333331</v>
      </c>
      <c r="K317" s="1" t="s">
        <v>571</v>
      </c>
      <c r="L317" s="19">
        <v>45699</v>
      </c>
      <c r="M317" s="8"/>
      <c r="R317" s="10" t="str">
        <f ca="1">IFERROR(__xludf.DUMMYFUNCTION("JOIN("","", SORT(UNIQUE(TOCOL({VLOOKUP(D317,DM_fish!A:B,2,FALSE),VLOOKUP(C317,DM_fish!A:B,2,FALSE), ARRAYFORMULA(VLOOKUP(SPLIT(E317, "", ""),Injections!B:G,6,FALSE)), ARRAYFORMULA(VLOOKUP(SPLIT(F317, "", ""),Injections!H:M,6,FALSE)), ARRAYFORMULA(VLOOKUP("&amp;"SPLIT(G317, "", ""),Injections!N:S,6,FALSE)), ARRAYFORMULA(VLOOKUP(SPLIT(H317, "", ""),Injections!T:Y,6,FALSE)) },3))))"),"nuclei")</f>
        <v>nuclei</v>
      </c>
      <c r="S317" s="10" t="str">
        <f ca="1">IFERROR(__xludf.DUMMYFUNCTION("IFERROR(JOIN("","", SPLIT(R317, "","", TRUE ,TRUE)), """")"),"nuclei")</f>
        <v>nuclei</v>
      </c>
      <c r="T317" s="1"/>
      <c r="V317" s="1" t="s">
        <v>203</v>
      </c>
      <c r="W317" s="12" t="str">
        <f ca="1">IFERROR(CONCATENATE("[", CONCATENATE(IF(VLOOKUP(D317,DM_fish!C:X,14, FALSE)&gt;0, CONCATENATE("{",CHAR(34),"target",CHAR(34),":",CHAR(34),VLOOKUP(D317,DM_fish!C:X,13, FALSE),CHAR(34),",", CHAR(34), "excitation",CHAR(34), ":", VLOOKUP(D317,DM_fish!C:X,14, FALSE), ",",  CHAR(34), "camera",CHAR(34), ":", IF(VALUE(VLOOKUP(D317,DM_fish!C:X,14, FALSE))&lt;VALUE(VLOOKUP(V317,imaging_filters!A:K,11, FALSE)), CONCATENATE(CHAR(34),"CamA",CHAR(34)), CONCATENATE(CHAR(34),"CamB",CHAR(34))),"}"), ""),IF(VLOOKUP(D317,DM_fish!C:X,16, FALSE)&gt;0, CONCATENATE(",{",CHAR(34),"target",CHAR(34),":",CHAR(34),VLOOKUP(D317,DM_fish!C:X,15, FALSE),CHAR(34),",", CHAR(34), "excitation",CHAR(34), ":", VLOOKUP(D317,DM_fish!C:X,16, FALSE), ",",  CHAR(34), "camera",CHAR(34), ":", IF(VALUE(VLOOKUP(D317,DM_fish!C:X,16, FALSE))&lt;VALUE(VLOOKUP(V317,imaging_filters!A:K,11, FALSE)), CONCATENATE(CHAR(34),"CamA",CHAR(34)), CONCATENATE(CHAR(34),"CamB",CHAR(34))),"}"), ""),IF(VLOOKUP(D317,DM_fish!C:X,18, FALSE)&gt;0, CONCATENATE(",{",CHAR(34),"target",CHAR(34),":",CHAR(34),VLOOKUP(D317,DM_fish!C:X,17, FALSE),CHAR(34),",", CHAR(34), "excitation",CHAR(34), ":", VLOOKUP(D317,DM_fish!C:X,18, FALSE), ",",  CHAR(34), "camera",CHAR(34), ":", IF(VALUE(VLOOKUP(D317,DM_fish!C:X,18, FALSE))&lt;VALUE(VLOOKUP(V317,imaging_filters!A:K,11, FALSE)), CONCATENATE(CHAR(34),"CamA",CHAR(34)), CONCATENATE(CHAR(34),"CamB",CHAR(34))),"}"), ""),IF(VLOOKUP(D317,DM_fish!C:X,20, FALSE)&gt;0, CONCATENATE(",{",CHAR(34),"target",CHAR(34),":",CHAR(34),VLOOKUP(D317,DM_fish!C:X,19, FALSE),CHAR(34),",", CHAR(34), "excitation",CHAR(34), ":", VLOOKUP(D317,DM_fish!C:X,20, FALSE), ",",  CHAR(34), "camera",CHAR(34), ":", IF(VALUE(VLOOKUP(D317,DM_fish!C:X,20, FALSE))&lt;VALUE(VLOOKUP(V317,imaging_filters!A:K,11, FALSE)), CONCATENATE(CHAR(34),"CamA",CHAR(34)), CONCATENATE(CHAR(34),"CamB",CHAR(34))),"}"), ""),IF(VLOOKUP(D317,DM_fish!C:X,22, FALSE)&gt;0, CONCATENATE(",{",CHAR(34),"target",CHAR(34),":",CHAR(34),VLOOKUP(D317,DM_fish!C:X,21, FALSE),CHAR(34),",", CHAR(34), "excitation",CHAR(34), ":", VLOOKUP(D317,DM_fish!C:X,22, FALSE), ",",  CHAR(34), "camera",CHAR(34), ":", IF(VALUE(VLOOKUP(D317,DM_fish!C:X,22, FALSE))&lt;VALUE(VLOOKUP(V317,imaging_filters!A:K,11, FALSE)), CONCATENATE(CHAR(34),"CamA",CHAR(34)), CONCATENATE(CHAR(34),"CamB",CHAR(34))),"}"), "")), "]"), "")</f>
        <v/>
      </c>
      <c r="X317" s="12" t="str">
        <f ca="1">IFERROR(
CONCATENATE("[", CONCATENATE(IF(VLOOKUP(C317,DM_fish!C:X,14, FALSE)&gt;0, CONCATENATE("{",CHAR(34),"target",CHAR(34),":",CHAR(34),VLOOKUP(C317,DM_fish!C:X,13, FALSE),CHAR(34),",", CHAR(34), "excitation",CHAR(34), ":", VLOOKUP(C317,DM_fish!C:X,14, FALSE), ",",  CHAR(34), "camera",CHAR(34), ":", IF(VALUE(VLOOKUP(C317,DM_fish!C:X,14, FALSE))&lt;VALUE(VLOOKUP(V317,imaging_filters!A:K,11, FALSE)), CONCATENATE(CHAR(34),"CamA",CHAR(34)), CONCATENATE(CHAR(34),"CamB",CHAR(34))),"}"), ""),IF(VLOOKUP(C317,DM_fish!C:X,16, FALSE)&gt;0, CONCATENATE(",{",CHAR(34),"target",CHAR(34),":",CHAR(34),VLOOKUP(C317,DM_fish!C:X,15, FALSE),CHAR(34),",", CHAR(34), "excitation",CHAR(34), ":", VLOOKUP(C317,DM_fish!C:X,16, FALSE), ",",  CHAR(34), "camera",CHAR(34), ":", IF(VALUE(VLOOKUP(C317,DM_fish!C:X,16, FALSE))&lt;VALUE(VLOOKUP(V317,imaging_filters!A:K,11, FALSE)), CONCATENATE(CHAR(34),"CamA",CHAR(34)), CONCATENATE(CHAR(34),"CamB",CHAR(34))),"}"), ""),IF(VLOOKUP(C317,DM_fish!C:X,18, FALSE)&gt;0, CONCATENATE(",{",CHAR(34),"target",CHAR(34),":",CHAR(34),VLOOKUP(C317,DM_fish!C:X,17, FALSE),CHAR(34),",", CHAR(34), "excitation",CHAR(34), ":", VLOOKUP(C317,DM_fish!C:X,18, FALSE), ",",  CHAR(34), "camera",CHAR(34), ":", IF(VALUE(VLOOKUP(C317,DM_fish!C:X,18, FALSE))&lt;VALUE(VLOOKUP(V317,imaging_filters!A:K,11, FALSE)), CONCATENATE(CHAR(34),"CamA",CHAR(34)), CONCATENATE(CHAR(34),"CamB",CHAR(34))),"}"), ""),IF(VLOOKUP(C317,DM_fish!C:X,20, FALSE)&gt;0, CONCATENATE(",{",CHAR(34),"target",CHAR(34),":",CHAR(34),VLOOKUP(C317,DM_fish!C:X,19, FALSE),CHAR(34),",", CHAR(34), "excitation",CHAR(34), ":", VLOOKUP(C317,DM_fish!C:X,20, FALSE), ",",  CHAR(34), "camera",CHAR(34), ":", IF(VALUE(VLOOKUP(C317,DM_fish!C:X,20, FALSE))&lt;VALUE(VLOOKUP(V317,imaging_filters!A:K,11, FALSE)), CONCATENATE(CHAR(34),"CamA",CHAR(34)), CONCATENATE(CHAR(34),"CamB",CHAR(34))),"}"), ""),IF(VLOOKUP(C317,DM_fish!C:X,22, FALSE)&gt;0, CONCATENATE(",{",CHAR(34),"target",CHAR(34),":",CHAR(34),VLOOKUP(C317,DM_fish!C:X,21, FALSE),CHAR(34),",", CHAR(34), "excitation",CHAR(34), ":", VLOOKUP(C317,DM_fish!C:X,22, FALSE), ",",  CHAR(34), "camera",CHAR(34), ":", IF(VALUE(VLOOKUP(C317,DM_fish!C:X,22, FALSE))&lt;VALUE(VLOOKUP(V317,imaging_filters!A:K,11, FALSE)), CONCATENATE(CHAR(34),"CamA",CHAR(34)), CONCATENATE(CHAR(34),"CamB",CHAR(34))),"}"), "")), "]"), "")</f>
        <v/>
      </c>
      <c r="Y317" s="11" t="str">
        <f ca="1">IFERROR(
CONCATENATE( "[",
IF(VLOOKUP(E317,Injections!B:F,3, FALSE)&gt;0, CONCATENATE( "{",CHAR(34),"target",CHAR(34),":",CHAR(34),VLOOKUP(E317,Injections!B:F,2, FALSE),CHAR(34),",", CHAR(34), "excitation",CHAR(34), ":", VLOOKUP(E317,Injections!B:F,3, FALSE), ",",  CHAR(34), "camera",CHAR(34), ":",
IF(VALUE(VLOOKUP(E317,Injections!B:F,3, FALSE))&lt;VALUE(VLOOKUP(V317,imaging_filters!A:C,2, FALSE)), CONCATENATE(CHAR(34),"CamA",CHAR(34)), CONCATENATE(CHAR(34),"CamB",CHAR(34))),"}"), ""),
IF(VLOOKUP(E317,Injections!B:F,5, FALSE)&gt;0, CONCATENATE(",{",CHAR(34),"target",CHAR(34),":",CHAR(34),VLOOKUP(E317,Injections!B:F,4, FALSE),CHAR(34),",", CHAR(34), "excitation",CHAR(34), ":", VLOOKUP(E317,Injections!B:F,5, FALSE), ",",  CHAR(34), "camera",CHAR(34), ":",
IF(VALUE(VLOOKUP(E317,Injections!B:F,5, FALSE))&lt;VALUE(VLOOKUP(V317,imaging_filters!A:C,2, FALSE)), CONCATENATE(CHAR(34),"CamA",CHAR(34)), CONCATENATE(CHAR(34),"CamB",CHAR(34))),"}"), ""),
 "]"), "[]")</f>
        <v>[]</v>
      </c>
      <c r="Z317" s="11" t="str">
        <f ca="1">IFERROR(
CONCATENATE( "[",
IF(VLOOKUP(F317,Injections!H:L,3, FALSE)&gt;0, CONCATENATE( "{",CHAR(34),"target",CHAR(34),":",CHAR(34),VLOOKUP(F317,Injections!H:L,2, FALSE),CHAR(34),",", CHAR(34), "excitation",CHAR(34), ":", VLOOKUP(F317,Injections!H:L,3, FALSE), ",",  CHAR(34), "camera",CHAR(34), ":",
IF(VALUE(VLOOKUP(F317,Injections!H:L,3, FALSE))&lt;VALUE(VLOOKUP(V317,imaging_filters!A:K,11, FALSE)), CONCATENATE(CHAR(34),"CamA",CHAR(34)), CONCATENATE(CHAR(34),"CamB",CHAR(34))),"}"), ""),
IF(VLOOKUP(F317,Injections!H:L,5, FALSE)&gt;0, CONCATENATE(",{",CHAR(34),"target",CHAR(34),":",CHAR(34),VLOOKUP(F317,Injections!H:L,4, FALSE),CHAR(34),",", CHAR(34), "excitation",CHAR(34), ":", VLOOKUP(F317,Injections!H:L,5, FALSE), ",",  CHAR(34), "camera",CHAR(34), ":",
IF(VALUE(VLOOKUP(F317,Injections!H:L,5, FALSE))&lt;VALUE(VLOOKUP(V317,imaging_filters!A:K,11, FALSE)), CONCATENATE(CHAR(34),"CamA",CHAR(34)), CONCATENATE(CHAR(34),"CamB",CHAR(34))),"}"), ""),
 "]"), "[]")</f>
        <v>[]</v>
      </c>
      <c r="AA317" s="11"/>
    </row>
    <row r="318" spans="1:27" ht="15.75" customHeight="1" x14ac:dyDescent="0.15">
      <c r="A318" s="7">
        <f>M319</f>
        <v>45699</v>
      </c>
      <c r="B318" s="1"/>
      <c r="C318" s="1" t="s">
        <v>107</v>
      </c>
      <c r="D318" s="1" t="s">
        <v>253</v>
      </c>
      <c r="E318" s="14"/>
      <c r="F318" s="14" t="s">
        <v>624</v>
      </c>
      <c r="G318" s="20"/>
      <c r="H318" s="20"/>
      <c r="I318" s="20">
        <v>45698</v>
      </c>
      <c r="J318" s="21">
        <v>0.46875</v>
      </c>
      <c r="K318" s="14" t="s">
        <v>571</v>
      </c>
      <c r="L318" s="22">
        <v>45699</v>
      </c>
      <c r="M318" s="8">
        <v>45700</v>
      </c>
      <c r="N318" s="9">
        <v>0.4513888888888889</v>
      </c>
      <c r="O318" s="9">
        <v>0.45833333333333331</v>
      </c>
      <c r="P318" s="9">
        <v>0.69444444444444442</v>
      </c>
      <c r="Q318" s="1" t="s">
        <v>626</v>
      </c>
      <c r="R318" s="10" t="str">
        <f ca="1">IFERROR(__xludf.DUMMYFUNCTION("JOIN("","", SORT(UNIQUE(TOCOL({VLOOKUP(D318,DM_fish!A:B,2,FALSE),VLOOKUP(C318,DM_fish!A:B,2,FALSE), ARRAYFORMULA(VLOOKUP(SPLIT(E318, "", ""),Injections!B:G,6,FALSE)), ARRAYFORMULA(VLOOKUP(SPLIT(F318, "", ""),Injections!H:M,6,FALSE)), ARRAYFORMULA(VLOOKUP("&amp;"SPLIT(G318, "", ""),Injections!N:S,6,FALSE)), ARRAYFORMULA(VLOOKUP(SPLIT(H318, "", ""),Injections!T:Y,6,FALSE)) },3))))"),"nuclei")</f>
        <v>nuclei</v>
      </c>
      <c r="S318" s="10" t="str">
        <f ca="1">IFERROR(__xludf.DUMMYFUNCTION("IFERROR(JOIN("","", SPLIT(R318, "","", TRUE ,TRUE)), """")"),"nuclei")</f>
        <v>nuclei</v>
      </c>
      <c r="T318" s="1" t="s">
        <v>628</v>
      </c>
      <c r="U318" s="1">
        <v>1250</v>
      </c>
      <c r="V318" s="1" t="s">
        <v>203</v>
      </c>
      <c r="W318" s="12" t="str">
        <f ca="1">IFERROR(CONCATENATE("[", CONCATENATE(IF(VLOOKUP(D318,DM_fish!C:X,14, FALSE)&gt;0, CONCATENATE("{",CHAR(34),"target",CHAR(34),":",CHAR(34),VLOOKUP(D318,DM_fish!C:X,13, FALSE),CHAR(34),",", CHAR(34), "excitation",CHAR(34), ":", VLOOKUP(D318,DM_fish!C:X,14, FALSE), ",",  CHAR(34), "camera",CHAR(34), ":", IF(VALUE(VLOOKUP(D318,DM_fish!C:X,14, FALSE))&lt;VALUE(VLOOKUP(V318,imaging_filters!A:K,11, FALSE)), CONCATENATE(CHAR(34),"CamA",CHAR(34)), CONCATENATE(CHAR(34),"CamB",CHAR(34))),"}"), ""),IF(VLOOKUP(D318,DM_fish!C:X,16, FALSE)&gt;0, CONCATENATE(",{",CHAR(34),"target",CHAR(34),":",CHAR(34),VLOOKUP(D318,DM_fish!C:X,15, FALSE),CHAR(34),",", CHAR(34), "excitation",CHAR(34), ":", VLOOKUP(D318,DM_fish!C:X,16, FALSE), ",",  CHAR(34), "camera",CHAR(34), ":", IF(VALUE(VLOOKUP(D318,DM_fish!C:X,16, FALSE))&lt;VALUE(VLOOKUP(V318,imaging_filters!A:K,11, FALSE)), CONCATENATE(CHAR(34),"CamA",CHAR(34)), CONCATENATE(CHAR(34),"CamB",CHAR(34))),"}"), ""),IF(VLOOKUP(D318,DM_fish!C:X,18, FALSE)&gt;0, CONCATENATE(",{",CHAR(34),"target",CHAR(34),":",CHAR(34),VLOOKUP(D318,DM_fish!C:X,17, FALSE),CHAR(34),",", CHAR(34), "excitation",CHAR(34), ":", VLOOKUP(D318,DM_fish!C:X,18, FALSE), ",",  CHAR(34), "camera",CHAR(34), ":", IF(VALUE(VLOOKUP(D318,DM_fish!C:X,18, FALSE))&lt;VALUE(VLOOKUP(V318,imaging_filters!A:K,11, FALSE)), CONCATENATE(CHAR(34),"CamA",CHAR(34)), CONCATENATE(CHAR(34),"CamB",CHAR(34))),"}"), ""),IF(VLOOKUP(D318,DM_fish!C:X,20, FALSE)&gt;0, CONCATENATE(",{",CHAR(34),"target",CHAR(34),":",CHAR(34),VLOOKUP(D318,DM_fish!C:X,19, FALSE),CHAR(34),",", CHAR(34), "excitation",CHAR(34), ":", VLOOKUP(D318,DM_fish!C:X,20, FALSE), ",",  CHAR(34), "camera",CHAR(34), ":", IF(VALUE(VLOOKUP(D318,DM_fish!C:X,20, FALSE))&lt;VALUE(VLOOKUP(V318,imaging_filters!A:K,11, FALSE)), CONCATENATE(CHAR(34),"CamA",CHAR(34)), CONCATENATE(CHAR(34),"CamB",CHAR(34))),"}"), ""),IF(VLOOKUP(D318,DM_fish!C:X,22, FALSE)&gt;0, CONCATENATE(",{",CHAR(34),"target",CHAR(34),":",CHAR(34),VLOOKUP(D318,DM_fish!C:X,21, FALSE),CHAR(34),",", CHAR(34), "excitation",CHAR(34), ":", VLOOKUP(D318,DM_fish!C:X,22, FALSE), ",",  CHAR(34), "camera",CHAR(34), ":", IF(VALUE(VLOOKUP(D318,DM_fish!C:X,22, FALSE))&lt;VALUE(VLOOKUP(V318,imaging_filters!A:K,11, FALSE)), CONCATENATE(CHAR(34),"CamA",CHAR(34)), CONCATENATE(CHAR(34),"CamB",CHAR(34))),"}"), "")), "]"), "")</f>
        <v/>
      </c>
      <c r="X318" s="12" t="str">
        <f ca="1">IFERROR(
CONCATENATE("[", CONCATENATE(IF(VLOOKUP(C318,DM_fish!C:X,14, FALSE)&gt;0, CONCATENATE("{",CHAR(34),"target",CHAR(34),":",CHAR(34),VLOOKUP(C318,DM_fish!C:X,13, FALSE),CHAR(34),",", CHAR(34), "excitation",CHAR(34), ":", VLOOKUP(C318,DM_fish!C:X,14, FALSE), ",",  CHAR(34), "camera",CHAR(34), ":", IF(VALUE(VLOOKUP(C318,DM_fish!C:X,14, FALSE))&lt;VALUE(VLOOKUP(V318,imaging_filters!A:K,11, FALSE)), CONCATENATE(CHAR(34),"CamA",CHAR(34)), CONCATENATE(CHAR(34),"CamB",CHAR(34))),"}"), ""),IF(VLOOKUP(C318,DM_fish!C:X,16, FALSE)&gt;0, CONCATENATE(",{",CHAR(34),"target",CHAR(34),":",CHAR(34),VLOOKUP(C318,DM_fish!C:X,15, FALSE),CHAR(34),",", CHAR(34), "excitation",CHAR(34), ":", VLOOKUP(C318,DM_fish!C:X,16, FALSE), ",",  CHAR(34), "camera",CHAR(34), ":", IF(VALUE(VLOOKUP(C318,DM_fish!C:X,16, FALSE))&lt;VALUE(VLOOKUP(V318,imaging_filters!A:K,11, FALSE)), CONCATENATE(CHAR(34),"CamA",CHAR(34)), CONCATENATE(CHAR(34),"CamB",CHAR(34))),"}"), ""),IF(VLOOKUP(C318,DM_fish!C:X,18, FALSE)&gt;0, CONCATENATE(",{",CHAR(34),"target",CHAR(34),":",CHAR(34),VLOOKUP(C318,DM_fish!C:X,17, FALSE),CHAR(34),",", CHAR(34), "excitation",CHAR(34), ":", VLOOKUP(C318,DM_fish!C:X,18, FALSE), ",",  CHAR(34), "camera",CHAR(34), ":", IF(VALUE(VLOOKUP(C318,DM_fish!C:X,18, FALSE))&lt;VALUE(VLOOKUP(V318,imaging_filters!A:K,11, FALSE)), CONCATENATE(CHAR(34),"CamA",CHAR(34)), CONCATENATE(CHAR(34),"CamB",CHAR(34))),"}"), ""),IF(VLOOKUP(C318,DM_fish!C:X,20, FALSE)&gt;0, CONCATENATE(",{",CHAR(34),"target",CHAR(34),":",CHAR(34),VLOOKUP(C318,DM_fish!C:X,19, FALSE),CHAR(34),",", CHAR(34), "excitation",CHAR(34), ":", VLOOKUP(C318,DM_fish!C:X,20, FALSE), ",",  CHAR(34), "camera",CHAR(34), ":", IF(VALUE(VLOOKUP(C318,DM_fish!C:X,20, FALSE))&lt;VALUE(VLOOKUP(V318,imaging_filters!A:K,11, FALSE)), CONCATENATE(CHAR(34),"CamA",CHAR(34)), CONCATENATE(CHAR(34),"CamB",CHAR(34))),"}"), ""),IF(VLOOKUP(C318,DM_fish!C:X,22, FALSE)&gt;0, CONCATENATE(",{",CHAR(34),"target",CHAR(34),":",CHAR(34),VLOOKUP(C318,DM_fish!C:X,21, FALSE),CHAR(34),",", CHAR(34), "excitation",CHAR(34), ":", VLOOKUP(C318,DM_fish!C:X,22, FALSE), ",",  CHAR(34), "camera",CHAR(34), ":", IF(VALUE(VLOOKUP(C318,DM_fish!C:X,22, FALSE))&lt;VALUE(VLOOKUP(V318,imaging_filters!A:K,11, FALSE)), CONCATENATE(CHAR(34),"CamA",CHAR(34)), CONCATENATE(CHAR(34),"CamB",CHAR(34))),"}"), "")), "]"), "")</f>
        <v/>
      </c>
      <c r="Y318" s="11" t="str">
        <f ca="1">IFERROR(
CONCATENATE( "[",
IF(VLOOKUP(E318,Injections!B:F,3, FALSE)&gt;0, CONCATENATE( "{",CHAR(34),"target",CHAR(34),":",CHAR(34),VLOOKUP(E318,Injections!B:F,2, FALSE),CHAR(34),",", CHAR(34), "excitation",CHAR(34), ":", VLOOKUP(E318,Injections!B:F,3, FALSE), ",",  CHAR(34), "camera",CHAR(34), ":",
IF(VALUE(VLOOKUP(E318,Injections!B:F,3, FALSE))&lt;VALUE(VLOOKUP(V318,imaging_filters!A:C,2, FALSE)), CONCATENATE(CHAR(34),"CamA",CHAR(34)), CONCATENATE(CHAR(34),"CamB",CHAR(34))),"}"), ""),
IF(VLOOKUP(E318,Injections!B:F,5, FALSE)&gt;0, CONCATENATE(",{",CHAR(34),"target",CHAR(34),":",CHAR(34),VLOOKUP(E318,Injections!B:F,4, FALSE),CHAR(34),",", CHAR(34), "excitation",CHAR(34), ":", VLOOKUP(E318,Injections!B:F,5, FALSE), ",",  CHAR(34), "camera",CHAR(34), ":",
IF(VALUE(VLOOKUP(E318,Injections!B:F,5, FALSE))&lt;VALUE(VLOOKUP(V318,imaging_filters!A:C,2, FALSE)), CONCATENATE(CHAR(34),"CamA",CHAR(34)), CONCATENATE(CHAR(34),"CamB",CHAR(34))),"}"), ""),
 "]"), "[]")</f>
        <v>[]</v>
      </c>
      <c r="Z318" s="11" t="str">
        <f ca="1">IFERROR(
CONCATENATE( "[",
IF(VLOOKUP(F318,Injections!H:L,3, FALSE)&gt;0, CONCATENATE( "{",CHAR(34),"target",CHAR(34),":",CHAR(34),VLOOKUP(F318,Injections!H:L,2, FALSE),CHAR(34),",", CHAR(34), "excitation",CHAR(34), ":", VLOOKUP(F318,Injections!H:L,3, FALSE), ",",  CHAR(34), "camera",CHAR(34), ":",
IF(VALUE(VLOOKUP(F318,Injections!H:L,3, FALSE))&lt;VALUE(VLOOKUP(V318,imaging_filters!A:K,11, FALSE)), CONCATENATE(CHAR(34),"CamA",CHAR(34)), CONCATENATE(CHAR(34),"CamB",CHAR(34))),"}"), ""),
IF(VLOOKUP(F318,Injections!H:L,5, FALSE)&gt;0, CONCATENATE(",{",CHAR(34),"target",CHAR(34),":",CHAR(34),VLOOKUP(F318,Injections!H:L,4, FALSE),CHAR(34),",", CHAR(34), "excitation",CHAR(34), ":", VLOOKUP(F318,Injections!H:L,5, FALSE), ",",  CHAR(34), "camera",CHAR(34), ":",
IF(VALUE(VLOOKUP(F318,Injections!H:L,5, FALSE))&lt;VALUE(VLOOKUP(V318,imaging_filters!A:K,11, FALSE)), CONCATENATE(CHAR(34),"CamA",CHAR(34)), CONCATENATE(CHAR(34),"CamB",CHAR(34))),"}"), ""),
 "]"), "[]")</f>
        <v>[]</v>
      </c>
      <c r="AA318" s="11"/>
    </row>
    <row r="319" spans="1:27" ht="15.75" customHeight="1" x14ac:dyDescent="0.15">
      <c r="A319" s="7">
        <f t="shared" ref="A319:A320" si="8">M319</f>
        <v>45699</v>
      </c>
      <c r="B319" s="1"/>
      <c r="C319" s="1" t="s">
        <v>107</v>
      </c>
      <c r="D319" s="1" t="s">
        <v>253</v>
      </c>
      <c r="F319" s="1" t="s">
        <v>550</v>
      </c>
      <c r="G319" s="8"/>
      <c r="H319" s="8"/>
      <c r="I319" s="8">
        <v>45698</v>
      </c>
      <c r="J319" s="9">
        <v>0.49305555555555558</v>
      </c>
      <c r="K319" s="1" t="s">
        <v>571</v>
      </c>
      <c r="L319" s="19">
        <v>45699</v>
      </c>
      <c r="M319" s="8">
        <v>45699</v>
      </c>
      <c r="N319" s="9">
        <v>0.66319444444444442</v>
      </c>
      <c r="O319" s="9">
        <v>0.75694444444444442</v>
      </c>
      <c r="P319" s="1" t="s">
        <v>629</v>
      </c>
      <c r="Q319" s="1" t="s">
        <v>626</v>
      </c>
      <c r="R319" s="10" t="str">
        <f ca="1">IFERROR(__xludf.DUMMYFUNCTION("JOIN("","", SORT(UNIQUE(TOCOL({VLOOKUP(D319,DM_fish!A:B,2,FALSE),VLOOKUP(C319,DM_fish!A:B,2,FALSE), ARRAYFORMULA(VLOOKUP(SPLIT(E319, "", ""),Injections!B:G,6,FALSE)), ARRAYFORMULA(VLOOKUP(SPLIT(F319, "", ""),Injections!H:M,6,FALSE)), ARRAYFORMULA(VLOOKUP("&amp;"SPLIT(G319, "", ""),Injections!N:S,6,FALSE)), ARRAYFORMULA(VLOOKUP(SPLIT(H319, "", ""),Injections!T:Y,6,FALSE)) },3))))"),"nuclei")</f>
        <v>nuclei</v>
      </c>
      <c r="S319" s="10" t="str">
        <f ca="1">IFERROR(__xludf.DUMMYFUNCTION("IFERROR(JOIN("","", SPLIT(R319, "","", TRUE ,TRUE)), """")"),"nuclei")</f>
        <v>nuclei</v>
      </c>
      <c r="T319" s="1" t="s">
        <v>630</v>
      </c>
      <c r="U319" s="1">
        <v>3317</v>
      </c>
      <c r="V319" s="1" t="s">
        <v>203</v>
      </c>
      <c r="W319" s="12" t="str">
        <f ca="1">IFERROR(CONCATENATE("[", CONCATENATE(IF(VLOOKUP(D319,DM_fish!C:X,14, FALSE)&gt;0, CONCATENATE("{",CHAR(34),"target",CHAR(34),":",CHAR(34),VLOOKUP(D319,DM_fish!C:X,13, FALSE),CHAR(34),",", CHAR(34), "excitation",CHAR(34), ":", VLOOKUP(D319,DM_fish!C:X,14, FALSE), ",",  CHAR(34), "camera",CHAR(34), ":", IF(VALUE(VLOOKUP(D319,DM_fish!C:X,14, FALSE))&lt;VALUE(VLOOKUP(V319,imaging_filters!A:K,11, FALSE)), CONCATENATE(CHAR(34),"CamA",CHAR(34)), CONCATENATE(CHAR(34),"CamB",CHAR(34))),"}"), ""),IF(VLOOKUP(D319,DM_fish!C:X,16, FALSE)&gt;0, CONCATENATE(",{",CHAR(34),"target",CHAR(34),":",CHAR(34),VLOOKUP(D319,DM_fish!C:X,15, FALSE),CHAR(34),",", CHAR(34), "excitation",CHAR(34), ":", VLOOKUP(D319,DM_fish!C:X,16, FALSE), ",",  CHAR(34), "camera",CHAR(34), ":", IF(VALUE(VLOOKUP(D319,DM_fish!C:X,16, FALSE))&lt;VALUE(VLOOKUP(V319,imaging_filters!A:K,11, FALSE)), CONCATENATE(CHAR(34),"CamA",CHAR(34)), CONCATENATE(CHAR(34),"CamB",CHAR(34))),"}"), ""),IF(VLOOKUP(D319,DM_fish!C:X,18, FALSE)&gt;0, CONCATENATE(",{",CHAR(34),"target",CHAR(34),":",CHAR(34),VLOOKUP(D319,DM_fish!C:X,17, FALSE),CHAR(34),",", CHAR(34), "excitation",CHAR(34), ":", VLOOKUP(D319,DM_fish!C:X,18, FALSE), ",",  CHAR(34), "camera",CHAR(34), ":", IF(VALUE(VLOOKUP(D319,DM_fish!C:X,18, FALSE))&lt;VALUE(VLOOKUP(V319,imaging_filters!A:K,11, FALSE)), CONCATENATE(CHAR(34),"CamA",CHAR(34)), CONCATENATE(CHAR(34),"CamB",CHAR(34))),"}"), ""),IF(VLOOKUP(D319,DM_fish!C:X,20, FALSE)&gt;0, CONCATENATE(",{",CHAR(34),"target",CHAR(34),":",CHAR(34),VLOOKUP(D319,DM_fish!C:X,19, FALSE),CHAR(34),",", CHAR(34), "excitation",CHAR(34), ":", VLOOKUP(D319,DM_fish!C:X,20, FALSE), ",",  CHAR(34), "camera",CHAR(34), ":", IF(VALUE(VLOOKUP(D319,DM_fish!C:X,20, FALSE))&lt;VALUE(VLOOKUP(V319,imaging_filters!A:K,11, FALSE)), CONCATENATE(CHAR(34),"CamA",CHAR(34)), CONCATENATE(CHAR(34),"CamB",CHAR(34))),"}"), ""),IF(VLOOKUP(D319,DM_fish!C:X,22, FALSE)&gt;0, CONCATENATE(",{",CHAR(34),"target",CHAR(34),":",CHAR(34),VLOOKUP(D319,DM_fish!C:X,21, FALSE),CHAR(34),",", CHAR(34), "excitation",CHAR(34), ":", VLOOKUP(D319,DM_fish!C:X,22, FALSE), ",",  CHAR(34), "camera",CHAR(34), ":", IF(VALUE(VLOOKUP(D319,DM_fish!C:X,22, FALSE))&lt;VALUE(VLOOKUP(V319,imaging_filters!A:K,11, FALSE)), CONCATENATE(CHAR(34),"CamA",CHAR(34)), CONCATENATE(CHAR(34),"CamB",CHAR(34))),"}"), "")), "]"), "")</f>
        <v/>
      </c>
      <c r="X319" s="12" t="str">
        <f ca="1">IFERROR(
CONCATENATE("[", CONCATENATE(IF(VLOOKUP(C319,DM_fish!C:X,14, FALSE)&gt;0, CONCATENATE("{",CHAR(34),"target",CHAR(34),":",CHAR(34),VLOOKUP(C319,DM_fish!C:X,13, FALSE),CHAR(34),",", CHAR(34), "excitation",CHAR(34), ":", VLOOKUP(C319,DM_fish!C:X,14, FALSE), ",",  CHAR(34), "camera",CHAR(34), ":", IF(VALUE(VLOOKUP(C319,DM_fish!C:X,14, FALSE))&lt;VALUE(VLOOKUP(V319,imaging_filters!A:K,11, FALSE)), CONCATENATE(CHAR(34),"CamA",CHAR(34)), CONCATENATE(CHAR(34),"CamB",CHAR(34))),"}"), ""),IF(VLOOKUP(C319,DM_fish!C:X,16, FALSE)&gt;0, CONCATENATE(",{",CHAR(34),"target",CHAR(34),":",CHAR(34),VLOOKUP(C319,DM_fish!C:X,15, FALSE),CHAR(34),",", CHAR(34), "excitation",CHAR(34), ":", VLOOKUP(C319,DM_fish!C:X,16, FALSE), ",",  CHAR(34), "camera",CHAR(34), ":", IF(VALUE(VLOOKUP(C319,DM_fish!C:X,16, FALSE))&lt;VALUE(VLOOKUP(V319,imaging_filters!A:K,11, FALSE)), CONCATENATE(CHAR(34),"CamA",CHAR(34)), CONCATENATE(CHAR(34),"CamB",CHAR(34))),"}"), ""),IF(VLOOKUP(C319,DM_fish!C:X,18, FALSE)&gt;0, CONCATENATE(",{",CHAR(34),"target",CHAR(34),":",CHAR(34),VLOOKUP(C319,DM_fish!C:X,17, FALSE),CHAR(34),",", CHAR(34), "excitation",CHAR(34), ":", VLOOKUP(C319,DM_fish!C:X,18, FALSE), ",",  CHAR(34), "camera",CHAR(34), ":", IF(VALUE(VLOOKUP(C319,DM_fish!C:X,18, FALSE))&lt;VALUE(VLOOKUP(V319,imaging_filters!A:K,11, FALSE)), CONCATENATE(CHAR(34),"CamA",CHAR(34)), CONCATENATE(CHAR(34),"CamB",CHAR(34))),"}"), ""),IF(VLOOKUP(C319,DM_fish!C:X,20, FALSE)&gt;0, CONCATENATE(",{",CHAR(34),"target",CHAR(34),":",CHAR(34),VLOOKUP(C319,DM_fish!C:X,19, FALSE),CHAR(34),",", CHAR(34), "excitation",CHAR(34), ":", VLOOKUP(C319,DM_fish!C:X,20, FALSE), ",",  CHAR(34), "camera",CHAR(34), ":", IF(VALUE(VLOOKUP(C319,DM_fish!C:X,20, FALSE))&lt;VALUE(VLOOKUP(V319,imaging_filters!A:K,11, FALSE)), CONCATENATE(CHAR(34),"CamA",CHAR(34)), CONCATENATE(CHAR(34),"CamB",CHAR(34))),"}"), ""),IF(VLOOKUP(C319,DM_fish!C:X,22, FALSE)&gt;0, CONCATENATE(",{",CHAR(34),"target",CHAR(34),":",CHAR(34),VLOOKUP(C319,DM_fish!C:X,21, FALSE),CHAR(34),",", CHAR(34), "excitation",CHAR(34), ":", VLOOKUP(C319,DM_fish!C:X,22, FALSE), ",",  CHAR(34), "camera",CHAR(34), ":", IF(VALUE(VLOOKUP(C319,DM_fish!C:X,22, FALSE))&lt;VALUE(VLOOKUP(V319,imaging_filters!A:K,11, FALSE)), CONCATENATE(CHAR(34),"CamA",CHAR(34)), CONCATENATE(CHAR(34),"CamB",CHAR(34))),"}"), "")), "]"), "")</f>
        <v/>
      </c>
      <c r="Y319" s="11" t="str">
        <f ca="1">IFERROR(
CONCATENATE( "[",
IF(VLOOKUP(E319,Injections!B:F,3, FALSE)&gt;0, CONCATENATE( "{",CHAR(34),"target",CHAR(34),":",CHAR(34),VLOOKUP(E319,Injections!B:F,2, FALSE),CHAR(34),",", CHAR(34), "excitation",CHAR(34), ":", VLOOKUP(E319,Injections!B:F,3, FALSE), ",",  CHAR(34), "camera",CHAR(34), ":",
IF(VALUE(VLOOKUP(E319,Injections!B:F,3, FALSE))&lt;VALUE(VLOOKUP(V319,imaging_filters!A:C,2, FALSE)), CONCATENATE(CHAR(34),"CamA",CHAR(34)), CONCATENATE(CHAR(34),"CamB",CHAR(34))),"}"), ""),
IF(VLOOKUP(E319,Injections!B:F,5, FALSE)&gt;0, CONCATENATE(",{",CHAR(34),"target",CHAR(34),":",CHAR(34),VLOOKUP(E319,Injections!B:F,4, FALSE),CHAR(34),",", CHAR(34), "excitation",CHAR(34), ":", VLOOKUP(E319,Injections!B:F,5, FALSE), ",",  CHAR(34), "camera",CHAR(34), ":",
IF(VALUE(VLOOKUP(E319,Injections!B:F,5, FALSE))&lt;VALUE(VLOOKUP(V319,imaging_filters!A:C,2, FALSE)), CONCATENATE(CHAR(34),"CamA",CHAR(34)), CONCATENATE(CHAR(34),"CamB",CHAR(34))),"}"), ""),
 "]"), "[]")</f>
        <v>[]</v>
      </c>
      <c r="Z319" s="11" t="str">
        <f ca="1">IFERROR(
CONCATENATE( "[",
IF(VLOOKUP(F319,Injections!H:L,3, FALSE)&gt;0, CONCATENATE( "{",CHAR(34),"target",CHAR(34),":",CHAR(34),VLOOKUP(F319,Injections!H:L,2, FALSE),CHAR(34),",", CHAR(34), "excitation",CHAR(34), ":", VLOOKUP(F319,Injections!H:L,3, FALSE), ",",  CHAR(34), "camera",CHAR(34), ":",
IF(VALUE(VLOOKUP(F319,Injections!H:L,3, FALSE))&lt;VALUE(VLOOKUP(V319,imaging_filters!A:K,11, FALSE)), CONCATENATE(CHAR(34),"CamA",CHAR(34)), CONCATENATE(CHAR(34),"CamB",CHAR(34))),"}"), ""),
IF(VLOOKUP(F319,Injections!H:L,5, FALSE)&gt;0, CONCATENATE(",{",CHAR(34),"target",CHAR(34),":",CHAR(34),VLOOKUP(F319,Injections!H:L,4, FALSE),CHAR(34),",", CHAR(34), "excitation",CHAR(34), ":", VLOOKUP(F319,Injections!H:L,5, FALSE), ",",  CHAR(34), "camera",CHAR(34), ":",
IF(VALUE(VLOOKUP(F319,Injections!H:L,5, FALSE))&lt;VALUE(VLOOKUP(V319,imaging_filters!A:K,11, FALSE)), CONCATENATE(CHAR(34),"CamA",CHAR(34)), CONCATENATE(CHAR(34),"CamB",CHAR(34))),"}"), ""),
 "]"), "[]")</f>
        <v>[]</v>
      </c>
      <c r="AA319" s="11"/>
    </row>
    <row r="320" spans="1:27" ht="15.75" customHeight="1" x14ac:dyDescent="0.15">
      <c r="A320" s="7">
        <f t="shared" si="8"/>
        <v>45699</v>
      </c>
      <c r="B320" s="1"/>
      <c r="C320" s="1" t="s">
        <v>107</v>
      </c>
      <c r="D320" s="1" t="s">
        <v>253</v>
      </c>
      <c r="F320" s="1" t="s">
        <v>624</v>
      </c>
      <c r="G320" s="8"/>
      <c r="H320" s="8"/>
      <c r="I320" s="8">
        <v>45698</v>
      </c>
      <c r="J320" s="9">
        <v>0.49305555555555558</v>
      </c>
      <c r="K320" s="1" t="s">
        <v>571</v>
      </c>
      <c r="L320" s="19">
        <v>45699</v>
      </c>
      <c r="M320" s="8">
        <v>45699</v>
      </c>
      <c r="N320" s="9">
        <v>0.66319444444444442</v>
      </c>
      <c r="O320" s="9">
        <v>0.66666666666666663</v>
      </c>
      <c r="P320" s="9">
        <v>0.75</v>
      </c>
      <c r="Q320" s="1" t="s">
        <v>626</v>
      </c>
      <c r="R320" s="10" t="str">
        <f ca="1">IFERROR(__xludf.DUMMYFUNCTION("JOIN("","", SORT(UNIQUE(TOCOL({VLOOKUP(D320,DM_fish!A:B,2,FALSE),VLOOKUP(C320,DM_fish!A:B,2,FALSE), ARRAYFORMULA(VLOOKUP(SPLIT(E320, "", ""),Injections!B:G,6,FALSE)), ARRAYFORMULA(VLOOKUP(SPLIT(F320, "", ""),Injections!H:M,6,FALSE)), ARRAYFORMULA(VLOOKUP("&amp;"SPLIT(G320, "", ""),Injections!N:S,6,FALSE)), ARRAYFORMULA(VLOOKUP(SPLIT(H320, "", ""),Injections!T:Y,6,FALSE)) },3))))"),"nuclei")</f>
        <v>nuclei</v>
      </c>
      <c r="S320" s="10" t="str">
        <f ca="1">IFERROR(__xludf.DUMMYFUNCTION("IFERROR(JOIN("","", SPLIT(R320, "","", TRUE ,TRUE)), """")"),"nuclei")</f>
        <v>nuclei</v>
      </c>
      <c r="T320" s="1" t="s">
        <v>631</v>
      </c>
      <c r="U320" s="1">
        <v>467</v>
      </c>
      <c r="V320" s="1" t="s">
        <v>203</v>
      </c>
      <c r="W320" s="12" t="str">
        <f ca="1">IFERROR(CONCATENATE("[", CONCATENATE(IF(VLOOKUP(D320,DM_fish!C:X,14, FALSE)&gt;0, CONCATENATE("{",CHAR(34),"target",CHAR(34),":",CHAR(34),VLOOKUP(D320,DM_fish!C:X,13, FALSE),CHAR(34),",", CHAR(34), "excitation",CHAR(34), ":", VLOOKUP(D320,DM_fish!C:X,14, FALSE), ",",  CHAR(34), "camera",CHAR(34), ":", IF(VALUE(VLOOKUP(D320,DM_fish!C:X,14, FALSE))&lt;VALUE(VLOOKUP(V320,imaging_filters!A:K,11, FALSE)), CONCATENATE(CHAR(34),"CamA",CHAR(34)), CONCATENATE(CHAR(34),"CamB",CHAR(34))),"}"), ""),IF(VLOOKUP(D320,DM_fish!C:X,16, FALSE)&gt;0, CONCATENATE(",{",CHAR(34),"target",CHAR(34),":",CHAR(34),VLOOKUP(D320,DM_fish!C:X,15, FALSE),CHAR(34),",", CHAR(34), "excitation",CHAR(34), ":", VLOOKUP(D320,DM_fish!C:X,16, FALSE), ",",  CHAR(34), "camera",CHAR(34), ":", IF(VALUE(VLOOKUP(D320,DM_fish!C:X,16, FALSE))&lt;VALUE(VLOOKUP(V320,imaging_filters!A:K,11, FALSE)), CONCATENATE(CHAR(34),"CamA",CHAR(34)), CONCATENATE(CHAR(34),"CamB",CHAR(34))),"}"), ""),IF(VLOOKUP(D320,DM_fish!C:X,18, FALSE)&gt;0, CONCATENATE(",{",CHAR(34),"target",CHAR(34),":",CHAR(34),VLOOKUP(D320,DM_fish!C:X,17, FALSE),CHAR(34),",", CHAR(34), "excitation",CHAR(34), ":", VLOOKUP(D320,DM_fish!C:X,18, FALSE), ",",  CHAR(34), "camera",CHAR(34), ":", IF(VALUE(VLOOKUP(D320,DM_fish!C:X,18, FALSE))&lt;VALUE(VLOOKUP(V320,imaging_filters!A:K,11, FALSE)), CONCATENATE(CHAR(34),"CamA",CHAR(34)), CONCATENATE(CHAR(34),"CamB",CHAR(34))),"}"), ""),IF(VLOOKUP(D320,DM_fish!C:X,20, FALSE)&gt;0, CONCATENATE(",{",CHAR(34),"target",CHAR(34),":",CHAR(34),VLOOKUP(D320,DM_fish!C:X,19, FALSE),CHAR(34),",", CHAR(34), "excitation",CHAR(34), ":", VLOOKUP(D320,DM_fish!C:X,20, FALSE), ",",  CHAR(34), "camera",CHAR(34), ":", IF(VALUE(VLOOKUP(D320,DM_fish!C:X,20, FALSE))&lt;VALUE(VLOOKUP(V320,imaging_filters!A:K,11, FALSE)), CONCATENATE(CHAR(34),"CamA",CHAR(34)), CONCATENATE(CHAR(34),"CamB",CHAR(34))),"}"), ""),IF(VLOOKUP(D320,DM_fish!C:X,22, FALSE)&gt;0, CONCATENATE(",{",CHAR(34),"target",CHAR(34),":",CHAR(34),VLOOKUP(D320,DM_fish!C:X,21, FALSE),CHAR(34),",", CHAR(34), "excitation",CHAR(34), ":", VLOOKUP(D320,DM_fish!C:X,22, FALSE), ",",  CHAR(34), "camera",CHAR(34), ":", IF(VALUE(VLOOKUP(D320,DM_fish!C:X,22, FALSE))&lt;VALUE(VLOOKUP(V320,imaging_filters!A:K,11, FALSE)), CONCATENATE(CHAR(34),"CamA",CHAR(34)), CONCATENATE(CHAR(34),"CamB",CHAR(34))),"}"), "")), "]"), "")</f>
        <v/>
      </c>
      <c r="X320" s="12" t="str">
        <f ca="1">IFERROR(
CONCATENATE("[", CONCATENATE(IF(VLOOKUP(C320,DM_fish!C:X,14, FALSE)&gt;0, CONCATENATE("{",CHAR(34),"target",CHAR(34),":",CHAR(34),VLOOKUP(C320,DM_fish!C:X,13, FALSE),CHAR(34),",", CHAR(34), "excitation",CHAR(34), ":", VLOOKUP(C320,DM_fish!C:X,14, FALSE), ",",  CHAR(34), "camera",CHAR(34), ":", IF(VALUE(VLOOKUP(C320,DM_fish!C:X,14, FALSE))&lt;VALUE(VLOOKUP(V320,imaging_filters!A:K,11, FALSE)), CONCATENATE(CHAR(34),"CamA",CHAR(34)), CONCATENATE(CHAR(34),"CamB",CHAR(34))),"}"), ""),IF(VLOOKUP(C320,DM_fish!C:X,16, FALSE)&gt;0, CONCATENATE(",{",CHAR(34),"target",CHAR(34),":",CHAR(34),VLOOKUP(C320,DM_fish!C:X,15, FALSE),CHAR(34),",", CHAR(34), "excitation",CHAR(34), ":", VLOOKUP(C320,DM_fish!C:X,16, FALSE), ",",  CHAR(34), "camera",CHAR(34), ":", IF(VALUE(VLOOKUP(C320,DM_fish!C:X,16, FALSE))&lt;VALUE(VLOOKUP(V320,imaging_filters!A:K,11, FALSE)), CONCATENATE(CHAR(34),"CamA",CHAR(34)), CONCATENATE(CHAR(34),"CamB",CHAR(34))),"}"), ""),IF(VLOOKUP(C320,DM_fish!C:X,18, FALSE)&gt;0, CONCATENATE(",{",CHAR(34),"target",CHAR(34),":",CHAR(34),VLOOKUP(C320,DM_fish!C:X,17, FALSE),CHAR(34),",", CHAR(34), "excitation",CHAR(34), ":", VLOOKUP(C320,DM_fish!C:X,18, FALSE), ",",  CHAR(34), "camera",CHAR(34), ":", IF(VALUE(VLOOKUP(C320,DM_fish!C:X,18, FALSE))&lt;VALUE(VLOOKUP(V320,imaging_filters!A:K,11, FALSE)), CONCATENATE(CHAR(34),"CamA",CHAR(34)), CONCATENATE(CHAR(34),"CamB",CHAR(34))),"}"), ""),IF(VLOOKUP(C320,DM_fish!C:X,20, FALSE)&gt;0, CONCATENATE(",{",CHAR(34),"target",CHAR(34),":",CHAR(34),VLOOKUP(C320,DM_fish!C:X,19, FALSE),CHAR(34),",", CHAR(34), "excitation",CHAR(34), ":", VLOOKUP(C320,DM_fish!C:X,20, FALSE), ",",  CHAR(34), "camera",CHAR(34), ":", IF(VALUE(VLOOKUP(C320,DM_fish!C:X,20, FALSE))&lt;VALUE(VLOOKUP(V320,imaging_filters!A:K,11, FALSE)), CONCATENATE(CHAR(34),"CamA",CHAR(34)), CONCATENATE(CHAR(34),"CamB",CHAR(34))),"}"), ""),IF(VLOOKUP(C320,DM_fish!C:X,22, FALSE)&gt;0, CONCATENATE(",{",CHAR(34),"target",CHAR(34),":",CHAR(34),VLOOKUP(C320,DM_fish!C:X,21, FALSE),CHAR(34),",", CHAR(34), "excitation",CHAR(34), ":", VLOOKUP(C320,DM_fish!C:X,22, FALSE), ",",  CHAR(34), "camera",CHAR(34), ":", IF(VALUE(VLOOKUP(C320,DM_fish!C:X,22, FALSE))&lt;VALUE(VLOOKUP(V320,imaging_filters!A:K,11, FALSE)), CONCATENATE(CHAR(34),"CamA",CHAR(34)), CONCATENATE(CHAR(34),"CamB",CHAR(34))),"}"), "")), "]"), "")</f>
        <v/>
      </c>
      <c r="Y320" s="11" t="str">
        <f ca="1">IFERROR(
CONCATENATE( "[",
IF(VLOOKUP(E320,Injections!B:F,3, FALSE)&gt;0, CONCATENATE( "{",CHAR(34),"target",CHAR(34),":",CHAR(34),VLOOKUP(E320,Injections!B:F,2, FALSE),CHAR(34),",", CHAR(34), "excitation",CHAR(34), ":", VLOOKUP(E320,Injections!B:F,3, FALSE), ",",  CHAR(34), "camera",CHAR(34), ":",
IF(VALUE(VLOOKUP(E320,Injections!B:F,3, FALSE))&lt;VALUE(VLOOKUP(V320,imaging_filters!A:C,2, FALSE)), CONCATENATE(CHAR(34),"CamA",CHAR(34)), CONCATENATE(CHAR(34),"CamB",CHAR(34))),"}"), ""),
IF(VLOOKUP(E320,Injections!B:F,5, FALSE)&gt;0, CONCATENATE(",{",CHAR(34),"target",CHAR(34),":",CHAR(34),VLOOKUP(E320,Injections!B:F,4, FALSE),CHAR(34),",", CHAR(34), "excitation",CHAR(34), ":", VLOOKUP(E320,Injections!B:F,5, FALSE), ",",  CHAR(34), "camera",CHAR(34), ":",
IF(VALUE(VLOOKUP(E320,Injections!B:F,5, FALSE))&lt;VALUE(VLOOKUP(V320,imaging_filters!A:C,2, FALSE)), CONCATENATE(CHAR(34),"CamA",CHAR(34)), CONCATENATE(CHAR(34),"CamB",CHAR(34))),"}"), ""),
 "]"), "[]")</f>
        <v>[]</v>
      </c>
      <c r="Z320" s="11" t="str">
        <f ca="1">IFERROR(
CONCATENATE( "[",
IF(VLOOKUP(F320,Injections!H:L,3, FALSE)&gt;0, CONCATENATE( "{",CHAR(34),"target",CHAR(34),":",CHAR(34),VLOOKUP(F320,Injections!H:L,2, FALSE),CHAR(34),",", CHAR(34), "excitation",CHAR(34), ":", VLOOKUP(F320,Injections!H:L,3, FALSE), ",",  CHAR(34), "camera",CHAR(34), ":",
IF(VALUE(VLOOKUP(F320,Injections!H:L,3, FALSE))&lt;VALUE(VLOOKUP(V320,imaging_filters!A:K,11, FALSE)), CONCATENATE(CHAR(34),"CamA",CHAR(34)), CONCATENATE(CHAR(34),"CamB",CHAR(34))),"}"), ""),
IF(VLOOKUP(F320,Injections!H:L,5, FALSE)&gt;0, CONCATENATE(",{",CHAR(34),"target",CHAR(34),":",CHAR(34),VLOOKUP(F320,Injections!H:L,4, FALSE),CHAR(34),",", CHAR(34), "excitation",CHAR(34), ":", VLOOKUP(F320,Injections!H:L,5, FALSE), ",",  CHAR(34), "camera",CHAR(34), ":",
IF(VALUE(VLOOKUP(F320,Injections!H:L,5, FALSE))&lt;VALUE(VLOOKUP(V320,imaging_filters!A:K,11, FALSE)), CONCATENATE(CHAR(34),"CamA",CHAR(34)), CONCATENATE(CHAR(34),"CamB",CHAR(34))),"}"), ""),
 "]"), "[]")</f>
        <v>[]</v>
      </c>
      <c r="AA320" s="11"/>
    </row>
    <row r="321" spans="1:27" ht="15.75" customHeight="1" x14ac:dyDescent="0.15">
      <c r="A321" s="7">
        <v>45698</v>
      </c>
      <c r="B321" s="1"/>
      <c r="C321" s="1" t="s">
        <v>107</v>
      </c>
      <c r="D321" s="1" t="s">
        <v>446</v>
      </c>
      <c r="F321" s="1" t="s">
        <v>550</v>
      </c>
      <c r="G321" s="8"/>
      <c r="H321" s="8"/>
      <c r="I321" s="8">
        <v>45695</v>
      </c>
      <c r="J321" s="9">
        <v>0.4513888888888889</v>
      </c>
      <c r="K321" s="1" t="s">
        <v>571</v>
      </c>
      <c r="L321" s="19">
        <v>45698</v>
      </c>
      <c r="M321" s="8">
        <v>45698</v>
      </c>
      <c r="N321" s="9">
        <v>0.77083333333333337</v>
      </c>
      <c r="O321" s="1" t="s">
        <v>632</v>
      </c>
      <c r="R321" s="10" t="str">
        <f ca="1">IFERROR(__xludf.DUMMYFUNCTION("JOIN("","", SORT(UNIQUE(TOCOL({VLOOKUP(D321,DM_fish!A:B,2,FALSE),VLOOKUP(C321,DM_fish!A:B,2,FALSE), ARRAYFORMULA(VLOOKUP(SPLIT(E321, "", ""),Injections!B:G,6,FALSE)), ARRAYFORMULA(VLOOKUP(SPLIT(F321, "", ""),Injections!H:M,6,FALSE)), ARRAYFORMULA(VLOOKUP("&amp;"SPLIT(G321, "", ""),Injections!N:S,6,FALSE)), ARRAYFORMULA(VLOOKUP(SPLIT(H321, "", ""),Injections!T:Y,6,FALSE)) },3))))"),"csp,male #19 - bright, low frequency transmission (&lt;10%),488,nuclei")</f>
        <v>csp,male #19 - bright, low frequency transmission (&lt;10%),488,nuclei</v>
      </c>
      <c r="S321" s="10" t="str">
        <f ca="1">IFERROR(__xludf.DUMMYFUNCTION("IFERROR(JOIN("","", SPLIT(R321, "","", TRUE ,TRUE)), """")"),"csp,male #19 - bright, low frequency transmission (&lt;10%),488,nuclei")</f>
        <v>csp,male #19 - bright, low frequency transmission (&lt;10%),488,nuclei</v>
      </c>
      <c r="T321" s="1"/>
      <c r="V321" s="1" t="s">
        <v>203</v>
      </c>
      <c r="W321" s="12" t="str">
        <f ca="1">IFERROR(CONCATENATE("[", CONCATENATE(IF(VLOOKUP(D321,DM_fish!C:X,14, FALSE)&gt;0, CONCATENATE("{",CHAR(34),"target",CHAR(34),":",CHAR(34),VLOOKUP(D321,DM_fish!C:X,13, FALSE),CHAR(34),",", CHAR(34), "excitation",CHAR(34), ":", VLOOKUP(D321,DM_fish!C:X,14, FALSE), ",",  CHAR(34), "camera",CHAR(34), ":", IF(VALUE(VLOOKUP(D321,DM_fish!C:X,14, FALSE))&lt;VALUE(VLOOKUP(V321,imaging_filters!A:K,11, FALSE)), CONCATENATE(CHAR(34),"CamA",CHAR(34)), CONCATENATE(CHAR(34),"CamB",CHAR(34))),"}"), ""),IF(VLOOKUP(D321,DM_fish!C:X,16, FALSE)&gt;0, CONCATENATE(",{",CHAR(34),"target",CHAR(34),":",CHAR(34),VLOOKUP(D321,DM_fish!C:X,15, FALSE),CHAR(34),",", CHAR(34), "excitation",CHAR(34), ":", VLOOKUP(D321,DM_fish!C:X,16, FALSE), ",",  CHAR(34), "camera",CHAR(34), ":", IF(VALUE(VLOOKUP(D321,DM_fish!C:X,16, FALSE))&lt;VALUE(VLOOKUP(V321,imaging_filters!A:K,11, FALSE)), CONCATENATE(CHAR(34),"CamA",CHAR(34)), CONCATENATE(CHAR(34),"CamB",CHAR(34))),"}"), ""),IF(VLOOKUP(D321,DM_fish!C:X,18, FALSE)&gt;0, CONCATENATE(",{",CHAR(34),"target",CHAR(34),":",CHAR(34),VLOOKUP(D321,DM_fish!C:X,17, FALSE),CHAR(34),",", CHAR(34), "excitation",CHAR(34), ":", VLOOKUP(D321,DM_fish!C:X,18, FALSE), ",",  CHAR(34), "camera",CHAR(34), ":", IF(VALUE(VLOOKUP(D321,DM_fish!C:X,18, FALSE))&lt;VALUE(VLOOKUP(V321,imaging_filters!A:K,11, FALSE)), CONCATENATE(CHAR(34),"CamA",CHAR(34)), CONCATENATE(CHAR(34),"CamB",CHAR(34))),"}"), ""),IF(VLOOKUP(D321,DM_fish!C:X,20, FALSE)&gt;0, CONCATENATE(",{",CHAR(34),"target",CHAR(34),":",CHAR(34),VLOOKUP(D321,DM_fish!C:X,19, FALSE),CHAR(34),",", CHAR(34), "excitation",CHAR(34), ":", VLOOKUP(D321,DM_fish!C:X,20, FALSE), ",",  CHAR(34), "camera",CHAR(34), ":", IF(VALUE(VLOOKUP(D321,DM_fish!C:X,20, FALSE))&lt;VALUE(VLOOKUP(V321,imaging_filters!A:K,11, FALSE)), CONCATENATE(CHAR(34),"CamA",CHAR(34)), CONCATENATE(CHAR(34),"CamB",CHAR(34))),"}"), ""),IF(VLOOKUP(D321,DM_fish!C:X,22, FALSE)&gt;0, CONCATENATE(",{",CHAR(34),"target",CHAR(34),":",CHAR(34),VLOOKUP(D321,DM_fish!C:X,21, FALSE),CHAR(34),",", CHAR(34), "excitation",CHAR(34), ":", VLOOKUP(D321,DM_fish!C:X,22, FALSE), ",",  CHAR(34), "camera",CHAR(34), ":", IF(VALUE(VLOOKUP(D321,DM_fish!C:X,22, FALSE))&lt;VALUE(VLOOKUP(V321,imaging_filters!A:K,11, FALSE)), CONCATENATE(CHAR(34),"CamA",CHAR(34)), CONCATENATE(CHAR(34),"CamB",CHAR(34))),"}"), "")), "]"), "")</f>
        <v/>
      </c>
      <c r="X321" s="12" t="str">
        <f ca="1">IFERROR(
CONCATENATE("[", CONCATENATE(IF(VLOOKUP(C321,DM_fish!C:X,14, FALSE)&gt;0, CONCATENATE("{",CHAR(34),"target",CHAR(34),":",CHAR(34),VLOOKUP(C321,DM_fish!C:X,13, FALSE),CHAR(34),",", CHAR(34), "excitation",CHAR(34), ":", VLOOKUP(C321,DM_fish!C:X,14, FALSE), ",",  CHAR(34), "camera",CHAR(34), ":", IF(VALUE(VLOOKUP(C321,DM_fish!C:X,14, FALSE))&lt;VALUE(VLOOKUP(V321,imaging_filters!A:K,11, FALSE)), CONCATENATE(CHAR(34),"CamA",CHAR(34)), CONCATENATE(CHAR(34),"CamB",CHAR(34))),"}"), ""),IF(VLOOKUP(C321,DM_fish!C:X,16, FALSE)&gt;0, CONCATENATE(",{",CHAR(34),"target",CHAR(34),":",CHAR(34),VLOOKUP(C321,DM_fish!C:X,15, FALSE),CHAR(34),",", CHAR(34), "excitation",CHAR(34), ":", VLOOKUP(C321,DM_fish!C:X,16, FALSE), ",",  CHAR(34), "camera",CHAR(34), ":", IF(VALUE(VLOOKUP(C321,DM_fish!C:X,16, FALSE))&lt;VALUE(VLOOKUP(V321,imaging_filters!A:K,11, FALSE)), CONCATENATE(CHAR(34),"CamA",CHAR(34)), CONCATENATE(CHAR(34),"CamB",CHAR(34))),"}"), ""),IF(VLOOKUP(C321,DM_fish!C:X,18, FALSE)&gt;0, CONCATENATE(",{",CHAR(34),"target",CHAR(34),":",CHAR(34),VLOOKUP(C321,DM_fish!C:X,17, FALSE),CHAR(34),",", CHAR(34), "excitation",CHAR(34), ":", VLOOKUP(C321,DM_fish!C:X,18, FALSE), ",",  CHAR(34), "camera",CHAR(34), ":", IF(VALUE(VLOOKUP(C321,DM_fish!C:X,18, FALSE))&lt;VALUE(VLOOKUP(V321,imaging_filters!A:K,11, FALSE)), CONCATENATE(CHAR(34),"CamA",CHAR(34)), CONCATENATE(CHAR(34),"CamB",CHAR(34))),"}"), ""),IF(VLOOKUP(C321,DM_fish!C:X,20, FALSE)&gt;0, CONCATENATE(",{",CHAR(34),"target",CHAR(34),":",CHAR(34),VLOOKUP(C321,DM_fish!C:X,19, FALSE),CHAR(34),",", CHAR(34), "excitation",CHAR(34), ":", VLOOKUP(C321,DM_fish!C:X,20, FALSE), ",",  CHAR(34), "camera",CHAR(34), ":", IF(VALUE(VLOOKUP(C321,DM_fish!C:X,20, FALSE))&lt;VALUE(VLOOKUP(V321,imaging_filters!A:K,11, FALSE)), CONCATENATE(CHAR(34),"CamA",CHAR(34)), CONCATENATE(CHAR(34),"CamB",CHAR(34))),"}"), ""),IF(VLOOKUP(C321,DM_fish!C:X,22, FALSE)&gt;0, CONCATENATE(",{",CHAR(34),"target",CHAR(34),":",CHAR(34),VLOOKUP(C321,DM_fish!C:X,21, FALSE),CHAR(34),",", CHAR(34), "excitation",CHAR(34), ":", VLOOKUP(C321,DM_fish!C:X,22, FALSE), ",",  CHAR(34), "camera",CHAR(34), ":", IF(VALUE(VLOOKUP(C321,DM_fish!C:X,22, FALSE))&lt;VALUE(VLOOKUP(V321,imaging_filters!A:K,11, FALSE)), CONCATENATE(CHAR(34),"CamA",CHAR(34)), CONCATENATE(CHAR(34),"CamB",CHAR(34))),"}"), "")), "]"), "")</f>
        <v/>
      </c>
      <c r="Y321" s="11" t="str">
        <f ca="1">IFERROR(
CONCATENATE( "[",
IF(VLOOKUP(E321,Injections!B:F,3, FALSE)&gt;0, CONCATENATE( "{",CHAR(34),"target",CHAR(34),":",CHAR(34),VLOOKUP(E321,Injections!B:F,2, FALSE),CHAR(34),",", CHAR(34), "excitation",CHAR(34), ":", VLOOKUP(E321,Injections!B:F,3, FALSE), ",",  CHAR(34), "camera",CHAR(34), ":",
IF(VALUE(VLOOKUP(E321,Injections!B:F,3, FALSE))&lt;VALUE(VLOOKUP(V321,imaging_filters!A:C,2, FALSE)), CONCATENATE(CHAR(34),"CamA",CHAR(34)), CONCATENATE(CHAR(34),"CamB",CHAR(34))),"}"), ""),
IF(VLOOKUP(E321,Injections!B:F,5, FALSE)&gt;0, CONCATENATE(",{",CHAR(34),"target",CHAR(34),":",CHAR(34),VLOOKUP(E321,Injections!B:F,4, FALSE),CHAR(34),",", CHAR(34), "excitation",CHAR(34), ":", VLOOKUP(E321,Injections!B:F,5, FALSE), ",",  CHAR(34), "camera",CHAR(34), ":",
IF(VALUE(VLOOKUP(E321,Injections!B:F,5, FALSE))&lt;VALUE(VLOOKUP(V321,imaging_filters!A:C,2, FALSE)), CONCATENATE(CHAR(34),"CamA",CHAR(34)), CONCATENATE(CHAR(34),"CamB",CHAR(34))),"}"), ""),
 "]"), "[]")</f>
        <v>[]</v>
      </c>
      <c r="Z321" s="11" t="str">
        <f ca="1">IFERROR(
CONCATENATE( "[",
IF(VLOOKUP(F321,Injections!H:L,3, FALSE)&gt;0, CONCATENATE( "{",CHAR(34),"target",CHAR(34),":",CHAR(34),VLOOKUP(F321,Injections!H:L,2, FALSE),CHAR(34),",", CHAR(34), "excitation",CHAR(34), ":", VLOOKUP(F321,Injections!H:L,3, FALSE), ",",  CHAR(34), "camera",CHAR(34), ":",
IF(VALUE(VLOOKUP(F321,Injections!H:L,3, FALSE))&lt;VALUE(VLOOKUP(V321,imaging_filters!A:K,11, FALSE)), CONCATENATE(CHAR(34),"CamA",CHAR(34)), CONCATENATE(CHAR(34),"CamB",CHAR(34))),"}"), ""),
IF(VLOOKUP(F321,Injections!H:L,5, FALSE)&gt;0, CONCATENATE(",{",CHAR(34),"target",CHAR(34),":",CHAR(34),VLOOKUP(F321,Injections!H:L,4, FALSE),CHAR(34),",", CHAR(34), "excitation",CHAR(34), ":", VLOOKUP(F321,Injections!H:L,5, FALSE), ",",  CHAR(34), "camera",CHAR(34), ":",
IF(VALUE(VLOOKUP(F321,Injections!H:L,5, FALSE))&lt;VALUE(VLOOKUP(V321,imaging_filters!A:K,11, FALSE)), CONCATENATE(CHAR(34),"CamA",CHAR(34)), CONCATENATE(CHAR(34),"CamB",CHAR(34))),"}"), ""),
 "]"), "[]")</f>
        <v>[]</v>
      </c>
      <c r="AA321" s="11"/>
    </row>
    <row r="322" spans="1:27" ht="15.75" customHeight="1" x14ac:dyDescent="0.15">
      <c r="A322" s="7">
        <f t="shared" ref="A322:A347" si="9">M322</f>
        <v>45698</v>
      </c>
      <c r="B322" s="1"/>
      <c r="C322" s="1" t="s">
        <v>107</v>
      </c>
      <c r="D322" s="1" t="s">
        <v>446</v>
      </c>
      <c r="F322" s="1" t="s">
        <v>550</v>
      </c>
      <c r="G322" s="8"/>
      <c r="H322" s="8"/>
      <c r="I322" s="8">
        <v>45695</v>
      </c>
      <c r="J322" s="9">
        <v>0.4513888888888889</v>
      </c>
      <c r="K322" s="1" t="s">
        <v>571</v>
      </c>
      <c r="L322" s="19">
        <v>45698</v>
      </c>
      <c r="M322" s="8">
        <v>45698</v>
      </c>
      <c r="N322" s="9">
        <v>0.77083333333333337</v>
      </c>
      <c r="O322" s="1" t="s">
        <v>633</v>
      </c>
      <c r="R322" s="10" t="str">
        <f ca="1">IFERROR(__xludf.DUMMYFUNCTION("JOIN("","", SORT(UNIQUE(TOCOL({VLOOKUP(D322,DM_fish!A:B,2,FALSE),VLOOKUP(C322,DM_fish!A:B,2,FALSE), ARRAYFORMULA(VLOOKUP(SPLIT(E322, "", ""),Injections!B:G,6,FALSE)), ARRAYFORMULA(VLOOKUP(SPLIT(F322, "", ""),Injections!H:M,6,FALSE)), ARRAYFORMULA(VLOOKUP("&amp;"SPLIT(G322, "", ""),Injections!N:S,6,FALSE)), ARRAYFORMULA(VLOOKUP(SPLIT(H322, "", ""),Injections!T:Y,6,FALSE)) },3))))"),"csp,male #19 - bright, low frequency transmission (&lt;10%),488,nuclei")</f>
        <v>csp,male #19 - bright, low frequency transmission (&lt;10%),488,nuclei</v>
      </c>
      <c r="S322" s="10" t="str">
        <f ca="1">IFERROR(__xludf.DUMMYFUNCTION("IFERROR(JOIN("","", SPLIT(R322, "","", TRUE ,TRUE)), """")"),"csp,male #19 - bright, low frequency transmission (&lt;10%),488,nuclei")</f>
        <v>csp,male #19 - bright, low frequency transmission (&lt;10%),488,nuclei</v>
      </c>
      <c r="T322" s="1"/>
      <c r="V322" s="1" t="s">
        <v>203</v>
      </c>
      <c r="W322" s="12" t="str">
        <f ca="1">IFERROR(CONCATENATE("[", CONCATENATE(IF(VLOOKUP(D322,DM_fish!C:X,14, FALSE)&gt;0, CONCATENATE("{",CHAR(34),"target",CHAR(34),":",CHAR(34),VLOOKUP(D322,DM_fish!C:X,13, FALSE),CHAR(34),",", CHAR(34), "excitation",CHAR(34), ":", VLOOKUP(D322,DM_fish!C:X,14, FALSE), ",",  CHAR(34), "camera",CHAR(34), ":", IF(VALUE(VLOOKUP(D322,DM_fish!C:X,14, FALSE))&lt;VALUE(VLOOKUP(V322,imaging_filters!A:K,11, FALSE)), CONCATENATE(CHAR(34),"CamA",CHAR(34)), CONCATENATE(CHAR(34),"CamB",CHAR(34))),"}"), ""),IF(VLOOKUP(D322,DM_fish!C:X,16, FALSE)&gt;0, CONCATENATE(",{",CHAR(34),"target",CHAR(34),":",CHAR(34),VLOOKUP(D322,DM_fish!C:X,15, FALSE),CHAR(34),",", CHAR(34), "excitation",CHAR(34), ":", VLOOKUP(D322,DM_fish!C:X,16, FALSE), ",",  CHAR(34), "camera",CHAR(34), ":", IF(VALUE(VLOOKUP(D322,DM_fish!C:X,16, FALSE))&lt;VALUE(VLOOKUP(V322,imaging_filters!A:K,11, FALSE)), CONCATENATE(CHAR(34),"CamA",CHAR(34)), CONCATENATE(CHAR(34),"CamB",CHAR(34))),"}"), ""),IF(VLOOKUP(D322,DM_fish!C:X,18, FALSE)&gt;0, CONCATENATE(",{",CHAR(34),"target",CHAR(34),":",CHAR(34),VLOOKUP(D322,DM_fish!C:X,17, FALSE),CHAR(34),",", CHAR(34), "excitation",CHAR(34), ":", VLOOKUP(D322,DM_fish!C:X,18, FALSE), ",",  CHAR(34), "camera",CHAR(34), ":", IF(VALUE(VLOOKUP(D322,DM_fish!C:X,18, FALSE))&lt;VALUE(VLOOKUP(V322,imaging_filters!A:K,11, FALSE)), CONCATENATE(CHAR(34),"CamA",CHAR(34)), CONCATENATE(CHAR(34),"CamB",CHAR(34))),"}"), ""),IF(VLOOKUP(D322,DM_fish!C:X,20, FALSE)&gt;0, CONCATENATE(",{",CHAR(34),"target",CHAR(34),":",CHAR(34),VLOOKUP(D322,DM_fish!C:X,19, FALSE),CHAR(34),",", CHAR(34), "excitation",CHAR(34), ":", VLOOKUP(D322,DM_fish!C:X,20, FALSE), ",",  CHAR(34), "camera",CHAR(34), ":", IF(VALUE(VLOOKUP(D322,DM_fish!C:X,20, FALSE))&lt;VALUE(VLOOKUP(V322,imaging_filters!A:K,11, FALSE)), CONCATENATE(CHAR(34),"CamA",CHAR(34)), CONCATENATE(CHAR(34),"CamB",CHAR(34))),"}"), ""),IF(VLOOKUP(D322,DM_fish!C:X,22, FALSE)&gt;0, CONCATENATE(",{",CHAR(34),"target",CHAR(34),":",CHAR(34),VLOOKUP(D322,DM_fish!C:X,21, FALSE),CHAR(34),",", CHAR(34), "excitation",CHAR(34), ":", VLOOKUP(D322,DM_fish!C:X,22, FALSE), ",",  CHAR(34), "camera",CHAR(34), ":", IF(VALUE(VLOOKUP(D322,DM_fish!C:X,22, FALSE))&lt;VALUE(VLOOKUP(V322,imaging_filters!A:K,11, FALSE)), CONCATENATE(CHAR(34),"CamA",CHAR(34)), CONCATENATE(CHAR(34),"CamB",CHAR(34))),"}"), "")), "]"), "")</f>
        <v/>
      </c>
      <c r="X322" s="12" t="str">
        <f ca="1">IFERROR(
CONCATENATE("[", CONCATENATE(IF(VLOOKUP(C322,DM_fish!C:X,14, FALSE)&gt;0, CONCATENATE("{",CHAR(34),"target",CHAR(34),":",CHAR(34),VLOOKUP(C322,DM_fish!C:X,13, FALSE),CHAR(34),",", CHAR(34), "excitation",CHAR(34), ":", VLOOKUP(C322,DM_fish!C:X,14, FALSE), ",",  CHAR(34), "camera",CHAR(34), ":", IF(VALUE(VLOOKUP(C322,DM_fish!C:X,14, FALSE))&lt;VALUE(VLOOKUP(V322,imaging_filters!A:K,11, FALSE)), CONCATENATE(CHAR(34),"CamA",CHAR(34)), CONCATENATE(CHAR(34),"CamB",CHAR(34))),"}"), ""),IF(VLOOKUP(C322,DM_fish!C:X,16, FALSE)&gt;0, CONCATENATE(",{",CHAR(34),"target",CHAR(34),":",CHAR(34),VLOOKUP(C322,DM_fish!C:X,15, FALSE),CHAR(34),",", CHAR(34), "excitation",CHAR(34), ":", VLOOKUP(C322,DM_fish!C:X,16, FALSE), ",",  CHAR(34), "camera",CHAR(34), ":", IF(VALUE(VLOOKUP(C322,DM_fish!C:X,16, FALSE))&lt;VALUE(VLOOKUP(V322,imaging_filters!A:K,11, FALSE)), CONCATENATE(CHAR(34),"CamA",CHAR(34)), CONCATENATE(CHAR(34),"CamB",CHAR(34))),"}"), ""),IF(VLOOKUP(C322,DM_fish!C:X,18, FALSE)&gt;0, CONCATENATE(",{",CHAR(34),"target",CHAR(34),":",CHAR(34),VLOOKUP(C322,DM_fish!C:X,17, FALSE),CHAR(34),",", CHAR(34), "excitation",CHAR(34), ":", VLOOKUP(C322,DM_fish!C:X,18, FALSE), ",",  CHAR(34), "camera",CHAR(34), ":", IF(VALUE(VLOOKUP(C322,DM_fish!C:X,18, FALSE))&lt;VALUE(VLOOKUP(V322,imaging_filters!A:K,11, FALSE)), CONCATENATE(CHAR(34),"CamA",CHAR(34)), CONCATENATE(CHAR(34),"CamB",CHAR(34))),"}"), ""),IF(VLOOKUP(C322,DM_fish!C:X,20, FALSE)&gt;0, CONCATENATE(",{",CHAR(34),"target",CHAR(34),":",CHAR(34),VLOOKUP(C322,DM_fish!C:X,19, FALSE),CHAR(34),",", CHAR(34), "excitation",CHAR(34), ":", VLOOKUP(C322,DM_fish!C:X,20, FALSE), ",",  CHAR(34), "camera",CHAR(34), ":", IF(VALUE(VLOOKUP(C322,DM_fish!C:X,20, FALSE))&lt;VALUE(VLOOKUP(V322,imaging_filters!A:K,11, FALSE)), CONCATENATE(CHAR(34),"CamA",CHAR(34)), CONCATENATE(CHAR(34),"CamB",CHAR(34))),"}"), ""),IF(VLOOKUP(C322,DM_fish!C:X,22, FALSE)&gt;0, CONCATENATE(",{",CHAR(34),"target",CHAR(34),":",CHAR(34),VLOOKUP(C322,DM_fish!C:X,21, FALSE),CHAR(34),",", CHAR(34), "excitation",CHAR(34), ":", VLOOKUP(C322,DM_fish!C:X,22, FALSE), ",",  CHAR(34), "camera",CHAR(34), ":", IF(VALUE(VLOOKUP(C322,DM_fish!C:X,22, FALSE))&lt;VALUE(VLOOKUP(V322,imaging_filters!A:K,11, FALSE)), CONCATENATE(CHAR(34),"CamA",CHAR(34)), CONCATENATE(CHAR(34),"CamB",CHAR(34))),"}"), "")), "]"), "")</f>
        <v/>
      </c>
      <c r="Y322" s="11" t="str">
        <f ca="1">IFERROR(
CONCATENATE( "[",
IF(VLOOKUP(E322,Injections!B:F,3, FALSE)&gt;0, CONCATENATE( "{",CHAR(34),"target",CHAR(34),":",CHAR(34),VLOOKUP(E322,Injections!B:F,2, FALSE),CHAR(34),",", CHAR(34), "excitation",CHAR(34), ":", VLOOKUP(E322,Injections!B:F,3, FALSE), ",",  CHAR(34), "camera",CHAR(34), ":",
IF(VALUE(VLOOKUP(E322,Injections!B:F,3, FALSE))&lt;VALUE(VLOOKUP(V322,imaging_filters!A:C,2, FALSE)), CONCATENATE(CHAR(34),"CamA",CHAR(34)), CONCATENATE(CHAR(34),"CamB",CHAR(34))),"}"), ""),
IF(VLOOKUP(E322,Injections!B:F,5, FALSE)&gt;0, CONCATENATE(",{",CHAR(34),"target",CHAR(34),":",CHAR(34),VLOOKUP(E322,Injections!B:F,4, FALSE),CHAR(34),",", CHAR(34), "excitation",CHAR(34), ":", VLOOKUP(E322,Injections!B:F,5, FALSE), ",",  CHAR(34), "camera",CHAR(34), ":",
IF(VALUE(VLOOKUP(E322,Injections!B:F,5, FALSE))&lt;VALUE(VLOOKUP(V322,imaging_filters!A:C,2, FALSE)), CONCATENATE(CHAR(34),"CamA",CHAR(34)), CONCATENATE(CHAR(34),"CamB",CHAR(34))),"}"), ""),
 "]"), "[]")</f>
        <v>[]</v>
      </c>
      <c r="Z322" s="11" t="str">
        <f ca="1">IFERROR(
CONCATENATE( "[",
IF(VLOOKUP(F322,Injections!H:L,3, FALSE)&gt;0, CONCATENATE( "{",CHAR(34),"target",CHAR(34),":",CHAR(34),VLOOKUP(F322,Injections!H:L,2, FALSE),CHAR(34),",", CHAR(34), "excitation",CHAR(34), ":", VLOOKUP(F322,Injections!H:L,3, FALSE), ",",  CHAR(34), "camera",CHAR(34), ":",
IF(VALUE(VLOOKUP(F322,Injections!H:L,3, FALSE))&lt;VALUE(VLOOKUP(V322,imaging_filters!A:K,11, FALSE)), CONCATENATE(CHAR(34),"CamA",CHAR(34)), CONCATENATE(CHAR(34),"CamB",CHAR(34))),"}"), ""),
IF(VLOOKUP(F322,Injections!H:L,5, FALSE)&gt;0, CONCATENATE(",{",CHAR(34),"target",CHAR(34),":",CHAR(34),VLOOKUP(F322,Injections!H:L,4, FALSE),CHAR(34),",", CHAR(34), "excitation",CHAR(34), ":", VLOOKUP(F322,Injections!H:L,5, FALSE), ",",  CHAR(34), "camera",CHAR(34), ":",
IF(VALUE(VLOOKUP(F322,Injections!H:L,5, FALSE))&lt;VALUE(VLOOKUP(V322,imaging_filters!A:K,11, FALSE)), CONCATENATE(CHAR(34),"CamA",CHAR(34)), CONCATENATE(CHAR(34),"CamB",CHAR(34))),"}"), ""),
 "]"), "[]")</f>
        <v>[]</v>
      </c>
      <c r="AA322" s="11"/>
    </row>
    <row r="323" spans="1:27" ht="15.75" customHeight="1" x14ac:dyDescent="0.15">
      <c r="A323" s="7">
        <f t="shared" si="9"/>
        <v>45698</v>
      </c>
      <c r="B323" s="1"/>
      <c r="C323" s="1" t="s">
        <v>107</v>
      </c>
      <c r="D323" s="1" t="s">
        <v>446</v>
      </c>
      <c r="F323" s="1" t="s">
        <v>550</v>
      </c>
      <c r="G323" s="8"/>
      <c r="H323" s="8"/>
      <c r="I323" s="8">
        <v>45695</v>
      </c>
      <c r="J323" s="9">
        <v>6.9444444444444441E-3</v>
      </c>
      <c r="K323" s="1" t="s">
        <v>571</v>
      </c>
      <c r="L323" s="19">
        <v>45698</v>
      </c>
      <c r="M323" s="8">
        <v>45698</v>
      </c>
      <c r="N323" s="9">
        <v>0.76388888888888884</v>
      </c>
      <c r="O323" s="1" t="s">
        <v>634</v>
      </c>
      <c r="R323" s="10" t="str">
        <f ca="1">IFERROR(__xludf.DUMMYFUNCTION("JOIN("","", SORT(UNIQUE(TOCOL({VLOOKUP(D323,DM_fish!A:B,2,FALSE),VLOOKUP(C323,DM_fish!A:B,2,FALSE), ARRAYFORMULA(VLOOKUP(SPLIT(E323, "", ""),Injections!B:G,6,FALSE)), ARRAYFORMULA(VLOOKUP(SPLIT(F323, "", ""),Injections!H:M,6,FALSE)), ARRAYFORMULA(VLOOKUP("&amp;"SPLIT(G323, "", ""),Injections!N:S,6,FALSE)), ARRAYFORMULA(VLOOKUP(SPLIT(H323, "", ""),Injections!T:Y,6,FALSE)) },3))))"),"csp,male #19 - bright, low frequency transmission (&lt;10%),488,nuclei")</f>
        <v>csp,male #19 - bright, low frequency transmission (&lt;10%),488,nuclei</v>
      </c>
      <c r="S323" s="10" t="str">
        <f ca="1">IFERROR(__xludf.DUMMYFUNCTION("IFERROR(JOIN("","", SPLIT(R323, "","", TRUE ,TRUE)), """")"),"csp,male #19 - bright, low frequency transmission (&lt;10%),488,nuclei")</f>
        <v>csp,male #19 - bright, low frequency transmission (&lt;10%),488,nuclei</v>
      </c>
      <c r="T323" s="1"/>
      <c r="V323" s="1" t="s">
        <v>203</v>
      </c>
      <c r="W323" s="12" t="str">
        <f ca="1">IFERROR(CONCATENATE("[", CONCATENATE(IF(VLOOKUP(D323,DM_fish!C:X,14, FALSE)&gt;0, CONCATENATE("{",CHAR(34),"target",CHAR(34),":",CHAR(34),VLOOKUP(D323,DM_fish!C:X,13, FALSE),CHAR(34),",", CHAR(34), "excitation",CHAR(34), ":", VLOOKUP(D323,DM_fish!C:X,14, FALSE), ",",  CHAR(34), "camera",CHAR(34), ":", IF(VALUE(VLOOKUP(D323,DM_fish!C:X,14, FALSE))&lt;VALUE(VLOOKUP(V323,imaging_filters!A:K,11, FALSE)), CONCATENATE(CHAR(34),"CamA",CHAR(34)), CONCATENATE(CHAR(34),"CamB",CHAR(34))),"}"), ""),IF(VLOOKUP(D323,DM_fish!C:X,16, FALSE)&gt;0, CONCATENATE(",{",CHAR(34),"target",CHAR(34),":",CHAR(34),VLOOKUP(D323,DM_fish!C:X,15, FALSE),CHAR(34),",", CHAR(34), "excitation",CHAR(34), ":", VLOOKUP(D323,DM_fish!C:X,16, FALSE), ",",  CHAR(34), "camera",CHAR(34), ":", IF(VALUE(VLOOKUP(D323,DM_fish!C:X,16, FALSE))&lt;VALUE(VLOOKUP(V323,imaging_filters!A:K,11, FALSE)), CONCATENATE(CHAR(34),"CamA",CHAR(34)), CONCATENATE(CHAR(34),"CamB",CHAR(34))),"}"), ""),IF(VLOOKUP(D323,DM_fish!C:X,18, FALSE)&gt;0, CONCATENATE(",{",CHAR(34),"target",CHAR(34),":",CHAR(34),VLOOKUP(D323,DM_fish!C:X,17, FALSE),CHAR(34),",", CHAR(34), "excitation",CHAR(34), ":", VLOOKUP(D323,DM_fish!C:X,18, FALSE), ",",  CHAR(34), "camera",CHAR(34), ":", IF(VALUE(VLOOKUP(D323,DM_fish!C:X,18, FALSE))&lt;VALUE(VLOOKUP(V323,imaging_filters!A:K,11, FALSE)), CONCATENATE(CHAR(34),"CamA",CHAR(34)), CONCATENATE(CHAR(34),"CamB",CHAR(34))),"}"), ""),IF(VLOOKUP(D323,DM_fish!C:X,20, FALSE)&gt;0, CONCATENATE(",{",CHAR(34),"target",CHAR(34),":",CHAR(34),VLOOKUP(D323,DM_fish!C:X,19, FALSE),CHAR(34),",", CHAR(34), "excitation",CHAR(34), ":", VLOOKUP(D323,DM_fish!C:X,20, FALSE), ",",  CHAR(34), "camera",CHAR(34), ":", IF(VALUE(VLOOKUP(D323,DM_fish!C:X,20, FALSE))&lt;VALUE(VLOOKUP(V323,imaging_filters!A:K,11, FALSE)), CONCATENATE(CHAR(34),"CamA",CHAR(34)), CONCATENATE(CHAR(34),"CamB",CHAR(34))),"}"), ""),IF(VLOOKUP(D323,DM_fish!C:X,22, FALSE)&gt;0, CONCATENATE(",{",CHAR(34),"target",CHAR(34),":",CHAR(34),VLOOKUP(D323,DM_fish!C:X,21, FALSE),CHAR(34),",", CHAR(34), "excitation",CHAR(34), ":", VLOOKUP(D323,DM_fish!C:X,22, FALSE), ",",  CHAR(34), "camera",CHAR(34), ":", IF(VALUE(VLOOKUP(D323,DM_fish!C:X,22, FALSE))&lt;VALUE(VLOOKUP(V323,imaging_filters!A:K,11, FALSE)), CONCATENATE(CHAR(34),"CamA",CHAR(34)), CONCATENATE(CHAR(34),"CamB",CHAR(34))),"}"), "")), "]"), "")</f>
        <v/>
      </c>
      <c r="X323" s="12" t="str">
        <f ca="1">IFERROR(
CONCATENATE("[", CONCATENATE(IF(VLOOKUP(C323,DM_fish!C:X,14, FALSE)&gt;0, CONCATENATE("{",CHAR(34),"target",CHAR(34),":",CHAR(34),VLOOKUP(C323,DM_fish!C:X,13, FALSE),CHAR(34),",", CHAR(34), "excitation",CHAR(34), ":", VLOOKUP(C323,DM_fish!C:X,14, FALSE), ",",  CHAR(34), "camera",CHAR(34), ":", IF(VALUE(VLOOKUP(C323,DM_fish!C:X,14, FALSE))&lt;VALUE(VLOOKUP(V323,imaging_filters!A:K,11, FALSE)), CONCATENATE(CHAR(34),"CamA",CHAR(34)), CONCATENATE(CHAR(34),"CamB",CHAR(34))),"}"), ""),IF(VLOOKUP(C323,DM_fish!C:X,16, FALSE)&gt;0, CONCATENATE(",{",CHAR(34),"target",CHAR(34),":",CHAR(34),VLOOKUP(C323,DM_fish!C:X,15, FALSE),CHAR(34),",", CHAR(34), "excitation",CHAR(34), ":", VLOOKUP(C323,DM_fish!C:X,16, FALSE), ",",  CHAR(34), "camera",CHAR(34), ":", IF(VALUE(VLOOKUP(C323,DM_fish!C:X,16, FALSE))&lt;VALUE(VLOOKUP(V323,imaging_filters!A:K,11, FALSE)), CONCATENATE(CHAR(34),"CamA",CHAR(34)), CONCATENATE(CHAR(34),"CamB",CHAR(34))),"}"), ""),IF(VLOOKUP(C323,DM_fish!C:X,18, FALSE)&gt;0, CONCATENATE(",{",CHAR(34),"target",CHAR(34),":",CHAR(34),VLOOKUP(C323,DM_fish!C:X,17, FALSE),CHAR(34),",", CHAR(34), "excitation",CHAR(34), ":", VLOOKUP(C323,DM_fish!C:X,18, FALSE), ",",  CHAR(34), "camera",CHAR(34), ":", IF(VALUE(VLOOKUP(C323,DM_fish!C:X,18, FALSE))&lt;VALUE(VLOOKUP(V323,imaging_filters!A:K,11, FALSE)), CONCATENATE(CHAR(34),"CamA",CHAR(34)), CONCATENATE(CHAR(34),"CamB",CHAR(34))),"}"), ""),IF(VLOOKUP(C323,DM_fish!C:X,20, FALSE)&gt;0, CONCATENATE(",{",CHAR(34),"target",CHAR(34),":",CHAR(34),VLOOKUP(C323,DM_fish!C:X,19, FALSE),CHAR(34),",", CHAR(34), "excitation",CHAR(34), ":", VLOOKUP(C323,DM_fish!C:X,20, FALSE), ",",  CHAR(34), "camera",CHAR(34), ":", IF(VALUE(VLOOKUP(C323,DM_fish!C:X,20, FALSE))&lt;VALUE(VLOOKUP(V323,imaging_filters!A:K,11, FALSE)), CONCATENATE(CHAR(34),"CamA",CHAR(34)), CONCATENATE(CHAR(34),"CamB",CHAR(34))),"}"), ""),IF(VLOOKUP(C323,DM_fish!C:X,22, FALSE)&gt;0, CONCATENATE(",{",CHAR(34),"target",CHAR(34),":",CHAR(34),VLOOKUP(C323,DM_fish!C:X,21, FALSE),CHAR(34),",", CHAR(34), "excitation",CHAR(34), ":", VLOOKUP(C323,DM_fish!C:X,22, FALSE), ",",  CHAR(34), "camera",CHAR(34), ":", IF(VALUE(VLOOKUP(C323,DM_fish!C:X,22, FALSE))&lt;VALUE(VLOOKUP(V323,imaging_filters!A:K,11, FALSE)), CONCATENATE(CHAR(34),"CamA",CHAR(34)), CONCATENATE(CHAR(34),"CamB",CHAR(34))),"}"), "")), "]"), "")</f>
        <v/>
      </c>
      <c r="Y323" s="11" t="str">
        <f ca="1">IFERROR(
CONCATENATE( "[",
IF(VLOOKUP(E323,Injections!B:F,3, FALSE)&gt;0, CONCATENATE( "{",CHAR(34),"target",CHAR(34),":",CHAR(34),VLOOKUP(E323,Injections!B:F,2, FALSE),CHAR(34),",", CHAR(34), "excitation",CHAR(34), ":", VLOOKUP(E323,Injections!B:F,3, FALSE), ",",  CHAR(34), "camera",CHAR(34), ":",
IF(VALUE(VLOOKUP(E323,Injections!B:F,3, FALSE))&lt;VALUE(VLOOKUP(V323,imaging_filters!A:C,2, FALSE)), CONCATENATE(CHAR(34),"CamA",CHAR(34)), CONCATENATE(CHAR(34),"CamB",CHAR(34))),"}"), ""),
IF(VLOOKUP(E323,Injections!B:F,5, FALSE)&gt;0, CONCATENATE(",{",CHAR(34),"target",CHAR(34),":",CHAR(34),VLOOKUP(E323,Injections!B:F,4, FALSE),CHAR(34),",", CHAR(34), "excitation",CHAR(34), ":", VLOOKUP(E323,Injections!B:F,5, FALSE), ",",  CHAR(34), "camera",CHAR(34), ":",
IF(VALUE(VLOOKUP(E323,Injections!B:F,5, FALSE))&lt;VALUE(VLOOKUP(V323,imaging_filters!A:C,2, FALSE)), CONCATENATE(CHAR(34),"CamA",CHAR(34)), CONCATENATE(CHAR(34),"CamB",CHAR(34))),"}"), ""),
 "]"), "[]")</f>
        <v>[]</v>
      </c>
      <c r="Z323" s="11" t="str">
        <f ca="1">IFERROR(
CONCATENATE( "[",
IF(VLOOKUP(F323,Injections!H:L,3, FALSE)&gt;0, CONCATENATE( "{",CHAR(34),"target",CHAR(34),":",CHAR(34),VLOOKUP(F323,Injections!H:L,2, FALSE),CHAR(34),",", CHAR(34), "excitation",CHAR(34), ":", VLOOKUP(F323,Injections!H:L,3, FALSE), ",",  CHAR(34), "camera",CHAR(34), ":",
IF(VALUE(VLOOKUP(F323,Injections!H:L,3, FALSE))&lt;VALUE(VLOOKUP(V323,imaging_filters!A:K,11, FALSE)), CONCATENATE(CHAR(34),"CamA",CHAR(34)), CONCATENATE(CHAR(34),"CamB",CHAR(34))),"}"), ""),
IF(VLOOKUP(F323,Injections!H:L,5, FALSE)&gt;0, CONCATENATE(",{",CHAR(34),"target",CHAR(34),":",CHAR(34),VLOOKUP(F323,Injections!H:L,4, FALSE),CHAR(34),",", CHAR(34), "excitation",CHAR(34), ":", VLOOKUP(F323,Injections!H:L,5, FALSE), ",",  CHAR(34), "camera",CHAR(34), ":",
IF(VALUE(VLOOKUP(F323,Injections!H:L,5, FALSE))&lt;VALUE(VLOOKUP(V323,imaging_filters!A:K,11, FALSE)), CONCATENATE(CHAR(34),"CamA",CHAR(34)), CONCATENATE(CHAR(34),"CamB",CHAR(34))),"}"), ""),
 "]"), "[]")</f>
        <v>[]</v>
      </c>
      <c r="AA323" s="11"/>
    </row>
    <row r="324" spans="1:27" ht="15.75" customHeight="1" x14ac:dyDescent="0.15">
      <c r="A324" s="7">
        <f t="shared" si="9"/>
        <v>45698</v>
      </c>
      <c r="B324" s="1"/>
      <c r="C324" s="1" t="s">
        <v>107</v>
      </c>
      <c r="D324" s="1" t="s">
        <v>446</v>
      </c>
      <c r="F324" s="1" t="s">
        <v>550</v>
      </c>
      <c r="G324" s="8"/>
      <c r="H324" s="8"/>
      <c r="I324" s="8">
        <v>45695</v>
      </c>
      <c r="J324" s="9">
        <v>6.9444444444444441E-3</v>
      </c>
      <c r="K324" s="1" t="s">
        <v>571</v>
      </c>
      <c r="L324" s="19">
        <v>45698</v>
      </c>
      <c r="M324" s="8">
        <v>45698</v>
      </c>
      <c r="N324" s="9">
        <v>0.76388888888888884</v>
      </c>
      <c r="O324" s="1" t="s">
        <v>633</v>
      </c>
      <c r="R324" s="10" t="str">
        <f ca="1">IFERROR(__xludf.DUMMYFUNCTION("JOIN("","", SORT(UNIQUE(TOCOL({VLOOKUP(D324,DM_fish!A:B,2,FALSE),VLOOKUP(C324,DM_fish!A:B,2,FALSE), ARRAYFORMULA(VLOOKUP(SPLIT(E324, "", ""),Injections!B:G,6,FALSE)), ARRAYFORMULA(VLOOKUP(SPLIT(F324, "", ""),Injections!H:M,6,FALSE)), ARRAYFORMULA(VLOOKUP("&amp;"SPLIT(G324, "", ""),Injections!N:S,6,FALSE)), ARRAYFORMULA(VLOOKUP(SPLIT(H324, "", ""),Injections!T:Y,6,FALSE)) },3))))"),"csp,male #19 - bright, low frequency transmission (&lt;10%),488,nuclei")</f>
        <v>csp,male #19 - bright, low frequency transmission (&lt;10%),488,nuclei</v>
      </c>
      <c r="S324" s="10" t="str">
        <f ca="1">IFERROR(__xludf.DUMMYFUNCTION("IFERROR(JOIN("","", SPLIT(R324, "","", TRUE ,TRUE)), """")"),"csp,male #19 - bright, low frequency transmission (&lt;10%),488,nuclei")</f>
        <v>csp,male #19 - bright, low frequency transmission (&lt;10%),488,nuclei</v>
      </c>
      <c r="T324" s="1"/>
      <c r="V324" s="1" t="s">
        <v>203</v>
      </c>
      <c r="W324" s="12" t="str">
        <f ca="1">IFERROR(CONCATENATE("[", CONCATENATE(IF(VLOOKUP(D324,DM_fish!C:X,14, FALSE)&gt;0, CONCATENATE("{",CHAR(34),"target",CHAR(34),":",CHAR(34),VLOOKUP(D324,DM_fish!C:X,13, FALSE),CHAR(34),",", CHAR(34), "excitation",CHAR(34), ":", VLOOKUP(D324,DM_fish!C:X,14, FALSE), ",",  CHAR(34), "camera",CHAR(34), ":", IF(VALUE(VLOOKUP(D324,DM_fish!C:X,14, FALSE))&lt;VALUE(VLOOKUP(V324,imaging_filters!A:K,11, FALSE)), CONCATENATE(CHAR(34),"CamA",CHAR(34)), CONCATENATE(CHAR(34),"CamB",CHAR(34))),"}"), ""),IF(VLOOKUP(D324,DM_fish!C:X,16, FALSE)&gt;0, CONCATENATE(",{",CHAR(34),"target",CHAR(34),":",CHAR(34),VLOOKUP(D324,DM_fish!C:X,15, FALSE),CHAR(34),",", CHAR(34), "excitation",CHAR(34), ":", VLOOKUP(D324,DM_fish!C:X,16, FALSE), ",",  CHAR(34), "camera",CHAR(34), ":", IF(VALUE(VLOOKUP(D324,DM_fish!C:X,16, FALSE))&lt;VALUE(VLOOKUP(V324,imaging_filters!A:K,11, FALSE)), CONCATENATE(CHAR(34),"CamA",CHAR(34)), CONCATENATE(CHAR(34),"CamB",CHAR(34))),"}"), ""),IF(VLOOKUP(D324,DM_fish!C:X,18, FALSE)&gt;0, CONCATENATE(",{",CHAR(34),"target",CHAR(34),":",CHAR(34),VLOOKUP(D324,DM_fish!C:X,17, FALSE),CHAR(34),",", CHAR(34), "excitation",CHAR(34), ":", VLOOKUP(D324,DM_fish!C:X,18, FALSE), ",",  CHAR(34), "camera",CHAR(34), ":", IF(VALUE(VLOOKUP(D324,DM_fish!C:X,18, FALSE))&lt;VALUE(VLOOKUP(V324,imaging_filters!A:K,11, FALSE)), CONCATENATE(CHAR(34),"CamA",CHAR(34)), CONCATENATE(CHAR(34),"CamB",CHAR(34))),"}"), ""),IF(VLOOKUP(D324,DM_fish!C:X,20, FALSE)&gt;0, CONCATENATE(",{",CHAR(34),"target",CHAR(34),":",CHAR(34),VLOOKUP(D324,DM_fish!C:X,19, FALSE),CHAR(34),",", CHAR(34), "excitation",CHAR(34), ":", VLOOKUP(D324,DM_fish!C:X,20, FALSE), ",",  CHAR(34), "camera",CHAR(34), ":", IF(VALUE(VLOOKUP(D324,DM_fish!C:X,20, FALSE))&lt;VALUE(VLOOKUP(V324,imaging_filters!A:K,11, FALSE)), CONCATENATE(CHAR(34),"CamA",CHAR(34)), CONCATENATE(CHAR(34),"CamB",CHAR(34))),"}"), ""),IF(VLOOKUP(D324,DM_fish!C:X,22, FALSE)&gt;0, CONCATENATE(",{",CHAR(34),"target",CHAR(34),":",CHAR(34),VLOOKUP(D324,DM_fish!C:X,21, FALSE),CHAR(34),",", CHAR(34), "excitation",CHAR(34), ":", VLOOKUP(D324,DM_fish!C:X,22, FALSE), ",",  CHAR(34), "camera",CHAR(34), ":", IF(VALUE(VLOOKUP(D324,DM_fish!C:X,22, FALSE))&lt;VALUE(VLOOKUP(V324,imaging_filters!A:K,11, FALSE)), CONCATENATE(CHAR(34),"CamA",CHAR(34)), CONCATENATE(CHAR(34),"CamB",CHAR(34))),"}"), "")), "]"), "")</f>
        <v/>
      </c>
      <c r="X324" s="12" t="str">
        <f ca="1">IFERROR(
CONCATENATE("[", CONCATENATE(IF(VLOOKUP(C324,DM_fish!C:X,14, FALSE)&gt;0, CONCATENATE("{",CHAR(34),"target",CHAR(34),":",CHAR(34),VLOOKUP(C324,DM_fish!C:X,13, FALSE),CHAR(34),",", CHAR(34), "excitation",CHAR(34), ":", VLOOKUP(C324,DM_fish!C:X,14, FALSE), ",",  CHAR(34), "camera",CHAR(34), ":", IF(VALUE(VLOOKUP(C324,DM_fish!C:X,14, FALSE))&lt;VALUE(VLOOKUP(V324,imaging_filters!A:K,11, FALSE)), CONCATENATE(CHAR(34),"CamA",CHAR(34)), CONCATENATE(CHAR(34),"CamB",CHAR(34))),"}"), ""),IF(VLOOKUP(C324,DM_fish!C:X,16, FALSE)&gt;0, CONCATENATE(",{",CHAR(34),"target",CHAR(34),":",CHAR(34),VLOOKUP(C324,DM_fish!C:X,15, FALSE),CHAR(34),",", CHAR(34), "excitation",CHAR(34), ":", VLOOKUP(C324,DM_fish!C:X,16, FALSE), ",",  CHAR(34), "camera",CHAR(34), ":", IF(VALUE(VLOOKUP(C324,DM_fish!C:X,16, FALSE))&lt;VALUE(VLOOKUP(V324,imaging_filters!A:K,11, FALSE)), CONCATENATE(CHAR(34),"CamA",CHAR(34)), CONCATENATE(CHAR(34),"CamB",CHAR(34))),"}"), ""),IF(VLOOKUP(C324,DM_fish!C:X,18, FALSE)&gt;0, CONCATENATE(",{",CHAR(34),"target",CHAR(34),":",CHAR(34),VLOOKUP(C324,DM_fish!C:X,17, FALSE),CHAR(34),",", CHAR(34), "excitation",CHAR(34), ":", VLOOKUP(C324,DM_fish!C:X,18, FALSE), ",",  CHAR(34), "camera",CHAR(34), ":", IF(VALUE(VLOOKUP(C324,DM_fish!C:X,18, FALSE))&lt;VALUE(VLOOKUP(V324,imaging_filters!A:K,11, FALSE)), CONCATENATE(CHAR(34),"CamA",CHAR(34)), CONCATENATE(CHAR(34),"CamB",CHAR(34))),"}"), ""),IF(VLOOKUP(C324,DM_fish!C:X,20, FALSE)&gt;0, CONCATENATE(",{",CHAR(34),"target",CHAR(34),":",CHAR(34),VLOOKUP(C324,DM_fish!C:X,19, FALSE),CHAR(34),",", CHAR(34), "excitation",CHAR(34), ":", VLOOKUP(C324,DM_fish!C:X,20, FALSE), ",",  CHAR(34), "camera",CHAR(34), ":", IF(VALUE(VLOOKUP(C324,DM_fish!C:X,20, FALSE))&lt;VALUE(VLOOKUP(V324,imaging_filters!A:K,11, FALSE)), CONCATENATE(CHAR(34),"CamA",CHAR(34)), CONCATENATE(CHAR(34),"CamB",CHAR(34))),"}"), ""),IF(VLOOKUP(C324,DM_fish!C:X,22, FALSE)&gt;0, CONCATENATE(",{",CHAR(34),"target",CHAR(34),":",CHAR(34),VLOOKUP(C324,DM_fish!C:X,21, FALSE),CHAR(34),",", CHAR(34), "excitation",CHAR(34), ":", VLOOKUP(C324,DM_fish!C:X,22, FALSE), ",",  CHAR(34), "camera",CHAR(34), ":", IF(VALUE(VLOOKUP(C324,DM_fish!C:X,22, FALSE))&lt;VALUE(VLOOKUP(V324,imaging_filters!A:K,11, FALSE)), CONCATENATE(CHAR(34),"CamA",CHAR(34)), CONCATENATE(CHAR(34),"CamB",CHAR(34))),"}"), "")), "]"), "")</f>
        <v/>
      </c>
      <c r="Y324" s="11" t="str">
        <f ca="1">IFERROR(
CONCATENATE( "[",
IF(VLOOKUP(E324,Injections!B:F,3, FALSE)&gt;0, CONCATENATE( "{",CHAR(34),"target",CHAR(34),":",CHAR(34),VLOOKUP(E324,Injections!B:F,2, FALSE),CHAR(34),",", CHAR(34), "excitation",CHAR(34), ":", VLOOKUP(E324,Injections!B:F,3, FALSE), ",",  CHAR(34), "camera",CHAR(34), ":",
IF(VALUE(VLOOKUP(E324,Injections!B:F,3, FALSE))&lt;VALUE(VLOOKUP(V324,imaging_filters!A:C,2, FALSE)), CONCATENATE(CHAR(34),"CamA",CHAR(34)), CONCATENATE(CHAR(34),"CamB",CHAR(34))),"}"), ""),
IF(VLOOKUP(E324,Injections!B:F,5, FALSE)&gt;0, CONCATENATE(",{",CHAR(34),"target",CHAR(34),":",CHAR(34),VLOOKUP(E324,Injections!B:F,4, FALSE),CHAR(34),",", CHAR(34), "excitation",CHAR(34), ":", VLOOKUP(E324,Injections!B:F,5, FALSE), ",",  CHAR(34), "camera",CHAR(34), ":",
IF(VALUE(VLOOKUP(E324,Injections!B:F,5, FALSE))&lt;VALUE(VLOOKUP(V324,imaging_filters!A:C,2, FALSE)), CONCATENATE(CHAR(34),"CamA",CHAR(34)), CONCATENATE(CHAR(34),"CamB",CHAR(34))),"}"), ""),
 "]"), "[]")</f>
        <v>[]</v>
      </c>
      <c r="Z324" s="11" t="str">
        <f ca="1">IFERROR(
CONCATENATE( "[",
IF(VLOOKUP(F324,Injections!H:L,3, FALSE)&gt;0, CONCATENATE( "{",CHAR(34),"target",CHAR(34),":",CHAR(34),VLOOKUP(F324,Injections!H:L,2, FALSE),CHAR(34),",", CHAR(34), "excitation",CHAR(34), ":", VLOOKUP(F324,Injections!H:L,3, FALSE), ",",  CHAR(34), "camera",CHAR(34), ":",
IF(VALUE(VLOOKUP(F324,Injections!H:L,3, FALSE))&lt;VALUE(VLOOKUP(V324,imaging_filters!A:K,11, FALSE)), CONCATENATE(CHAR(34),"CamA",CHAR(34)), CONCATENATE(CHAR(34),"CamB",CHAR(34))),"}"), ""),
IF(VLOOKUP(F324,Injections!H:L,5, FALSE)&gt;0, CONCATENATE(",{",CHAR(34),"target",CHAR(34),":",CHAR(34),VLOOKUP(F324,Injections!H:L,4, FALSE),CHAR(34),",", CHAR(34), "excitation",CHAR(34), ":", VLOOKUP(F324,Injections!H:L,5, FALSE), ",",  CHAR(34), "camera",CHAR(34), ":",
IF(VALUE(VLOOKUP(F324,Injections!H:L,5, FALSE))&lt;VALUE(VLOOKUP(V324,imaging_filters!A:K,11, FALSE)), CONCATENATE(CHAR(34),"CamA",CHAR(34)), CONCATENATE(CHAR(34),"CamB",CHAR(34))),"}"), ""),
 "]"), "[]")</f>
        <v>[]</v>
      </c>
      <c r="AA324" s="11"/>
    </row>
    <row r="325" spans="1:27" ht="15.75" customHeight="1" x14ac:dyDescent="0.15">
      <c r="A325" s="7">
        <f t="shared" si="9"/>
        <v>45695</v>
      </c>
      <c r="B325" s="1"/>
      <c r="C325" s="1" t="s">
        <v>107</v>
      </c>
      <c r="D325" s="1" t="s">
        <v>39</v>
      </c>
      <c r="F325" s="1" t="s">
        <v>635</v>
      </c>
      <c r="G325" s="8"/>
      <c r="H325" s="8"/>
      <c r="I325" s="8">
        <v>45693</v>
      </c>
      <c r="J325" s="9">
        <v>0.50555555555555554</v>
      </c>
      <c r="K325" s="1" t="s">
        <v>571</v>
      </c>
      <c r="L325" s="19">
        <v>45694</v>
      </c>
      <c r="M325" s="8">
        <v>45695</v>
      </c>
      <c r="N325" s="9">
        <v>0.4375</v>
      </c>
      <c r="O325" s="9">
        <v>0.4375</v>
      </c>
      <c r="P325" s="1" t="s">
        <v>636</v>
      </c>
      <c r="Q325" s="1" t="s">
        <v>637</v>
      </c>
      <c r="R325" s="10" t="str">
        <f ca="1">IFERROR(__xludf.DUMMYFUNCTION("JOIN("","", SORT(UNIQUE(TOCOL({VLOOKUP(D325,DM_fish!A:B,2,FALSE),VLOOKUP(C325,DM_fish!A:B,2,FALSE), ARRAYFORMULA(VLOOKUP(SPLIT(E325, "", ""),Injections!B:G,6,FALSE)), ARRAYFORMULA(VLOOKUP(SPLIT(F325, "", ""),Injections!H:M,6,FALSE)), ARRAYFORMULA(VLOOKUP("&amp;"SPLIT(G325, "", ""),Injections!N:S,6,FALSE)), ARRAYFORMULA(VLOOKUP(SPLIT(H325, "", ""),Injections!T:Y,6,FALSE)) },3))))"),"csp,male #8 - best founder (40-50% transmission, multiple alleles, bright!!!),488,nuclei")</f>
        <v>csp,male #8 - best founder (40-50% transmission, multiple alleles, bright!!!),488,nuclei</v>
      </c>
      <c r="S325" s="10" t="str">
        <f ca="1">IFERROR(__xludf.DUMMYFUNCTION("IFERROR(JOIN("","", SPLIT(R325, "","", TRUE ,TRUE)), """")"),"csp,male #8 - best founder (40-50% transmission, multiple alleles, bright!!!),488,nuclei")</f>
        <v>csp,male #8 - best founder (40-50% transmission, multiple alleles, bright!!!),488,nuclei</v>
      </c>
      <c r="T325" s="1"/>
      <c r="V325" s="1" t="s">
        <v>203</v>
      </c>
      <c r="W325" s="12" t="str">
        <f ca="1">IFERROR(CONCATENATE("[", CONCATENATE(IF(VLOOKUP(D325,DM_fish!C:X,14, FALSE)&gt;0, CONCATENATE("{",CHAR(34),"target",CHAR(34),":",CHAR(34),VLOOKUP(D325,DM_fish!C:X,13, FALSE),CHAR(34),",", CHAR(34), "excitation",CHAR(34), ":", VLOOKUP(D325,DM_fish!C:X,14, FALSE), ",",  CHAR(34), "camera",CHAR(34), ":", IF(VALUE(VLOOKUP(D325,DM_fish!C:X,14, FALSE))&lt;VALUE(VLOOKUP(V325,imaging_filters!A:K,11, FALSE)), CONCATENATE(CHAR(34),"CamA",CHAR(34)), CONCATENATE(CHAR(34),"CamB",CHAR(34))),"}"), ""),IF(VLOOKUP(D325,DM_fish!C:X,16, FALSE)&gt;0, CONCATENATE(",{",CHAR(34),"target",CHAR(34),":",CHAR(34),VLOOKUP(D325,DM_fish!C:X,15, FALSE),CHAR(34),",", CHAR(34), "excitation",CHAR(34), ":", VLOOKUP(D325,DM_fish!C:X,16, FALSE), ",",  CHAR(34), "camera",CHAR(34), ":", IF(VALUE(VLOOKUP(D325,DM_fish!C:X,16, FALSE))&lt;VALUE(VLOOKUP(V325,imaging_filters!A:K,11, FALSE)), CONCATENATE(CHAR(34),"CamA",CHAR(34)), CONCATENATE(CHAR(34),"CamB",CHAR(34))),"}"), ""),IF(VLOOKUP(D325,DM_fish!C:X,18, FALSE)&gt;0, CONCATENATE(",{",CHAR(34),"target",CHAR(34),":",CHAR(34),VLOOKUP(D325,DM_fish!C:X,17, FALSE),CHAR(34),",", CHAR(34), "excitation",CHAR(34), ":", VLOOKUP(D325,DM_fish!C:X,18, FALSE), ",",  CHAR(34), "camera",CHAR(34), ":", IF(VALUE(VLOOKUP(D325,DM_fish!C:X,18, FALSE))&lt;VALUE(VLOOKUP(V325,imaging_filters!A:K,11, FALSE)), CONCATENATE(CHAR(34),"CamA",CHAR(34)), CONCATENATE(CHAR(34),"CamB",CHAR(34))),"}"), ""),IF(VLOOKUP(D325,DM_fish!C:X,20, FALSE)&gt;0, CONCATENATE(",{",CHAR(34),"target",CHAR(34),":",CHAR(34),VLOOKUP(D325,DM_fish!C:X,19, FALSE),CHAR(34),",", CHAR(34), "excitation",CHAR(34), ":", VLOOKUP(D325,DM_fish!C:X,20, FALSE), ",",  CHAR(34), "camera",CHAR(34), ":", IF(VALUE(VLOOKUP(D325,DM_fish!C:X,20, FALSE))&lt;VALUE(VLOOKUP(V325,imaging_filters!A:K,11, FALSE)), CONCATENATE(CHAR(34),"CamA",CHAR(34)), CONCATENATE(CHAR(34),"CamB",CHAR(34))),"}"), ""),IF(VLOOKUP(D325,DM_fish!C:X,22, FALSE)&gt;0, CONCATENATE(",{",CHAR(34),"target",CHAR(34),":",CHAR(34),VLOOKUP(D325,DM_fish!C:X,21, FALSE),CHAR(34),",", CHAR(34), "excitation",CHAR(34), ":", VLOOKUP(D325,DM_fish!C:X,22, FALSE), ",",  CHAR(34), "camera",CHAR(34), ":", IF(VALUE(VLOOKUP(D325,DM_fish!C:X,22, FALSE))&lt;VALUE(VLOOKUP(V325,imaging_filters!A:K,11, FALSE)), CONCATENATE(CHAR(34),"CamA",CHAR(34)), CONCATENATE(CHAR(34),"CamB",CHAR(34))),"}"), "")), "]"), "")</f>
        <v/>
      </c>
      <c r="X325" s="12" t="str">
        <f ca="1">IFERROR(
CONCATENATE("[", CONCATENATE(IF(VLOOKUP(C325,DM_fish!C:X,14, FALSE)&gt;0, CONCATENATE("{",CHAR(34),"target",CHAR(34),":",CHAR(34),VLOOKUP(C325,DM_fish!C:X,13, FALSE),CHAR(34),",", CHAR(34), "excitation",CHAR(34), ":", VLOOKUP(C325,DM_fish!C:X,14, FALSE), ",",  CHAR(34), "camera",CHAR(34), ":", IF(VALUE(VLOOKUP(C325,DM_fish!C:X,14, FALSE))&lt;VALUE(VLOOKUP(V325,imaging_filters!A:K,11, FALSE)), CONCATENATE(CHAR(34),"CamA",CHAR(34)), CONCATENATE(CHAR(34),"CamB",CHAR(34))),"}"), ""),IF(VLOOKUP(C325,DM_fish!C:X,16, FALSE)&gt;0, CONCATENATE(",{",CHAR(34),"target",CHAR(34),":",CHAR(34),VLOOKUP(C325,DM_fish!C:X,15, FALSE),CHAR(34),",", CHAR(34), "excitation",CHAR(34), ":", VLOOKUP(C325,DM_fish!C:X,16, FALSE), ",",  CHAR(34), "camera",CHAR(34), ":", IF(VALUE(VLOOKUP(C325,DM_fish!C:X,16, FALSE))&lt;VALUE(VLOOKUP(V325,imaging_filters!A:K,11, FALSE)), CONCATENATE(CHAR(34),"CamA",CHAR(34)), CONCATENATE(CHAR(34),"CamB",CHAR(34))),"}"), ""),IF(VLOOKUP(C325,DM_fish!C:X,18, FALSE)&gt;0, CONCATENATE(",{",CHAR(34),"target",CHAR(34),":",CHAR(34),VLOOKUP(C325,DM_fish!C:X,17, FALSE),CHAR(34),",", CHAR(34), "excitation",CHAR(34), ":", VLOOKUP(C325,DM_fish!C:X,18, FALSE), ",",  CHAR(34), "camera",CHAR(34), ":", IF(VALUE(VLOOKUP(C325,DM_fish!C:X,18, FALSE))&lt;VALUE(VLOOKUP(V325,imaging_filters!A:K,11, FALSE)), CONCATENATE(CHAR(34),"CamA",CHAR(34)), CONCATENATE(CHAR(34),"CamB",CHAR(34))),"}"), ""),IF(VLOOKUP(C325,DM_fish!C:X,20, FALSE)&gt;0, CONCATENATE(",{",CHAR(34),"target",CHAR(34),":",CHAR(34),VLOOKUP(C325,DM_fish!C:X,19, FALSE),CHAR(34),",", CHAR(34), "excitation",CHAR(34), ":", VLOOKUP(C325,DM_fish!C:X,20, FALSE), ",",  CHAR(34), "camera",CHAR(34), ":", IF(VALUE(VLOOKUP(C325,DM_fish!C:X,20, FALSE))&lt;VALUE(VLOOKUP(V325,imaging_filters!A:K,11, FALSE)), CONCATENATE(CHAR(34),"CamA",CHAR(34)), CONCATENATE(CHAR(34),"CamB",CHAR(34))),"}"), ""),IF(VLOOKUP(C325,DM_fish!C:X,22, FALSE)&gt;0, CONCATENATE(",{",CHAR(34),"target",CHAR(34),":",CHAR(34),VLOOKUP(C325,DM_fish!C:X,21, FALSE),CHAR(34),",", CHAR(34), "excitation",CHAR(34), ":", VLOOKUP(C325,DM_fish!C:X,22, FALSE), ",",  CHAR(34), "camera",CHAR(34), ":", IF(VALUE(VLOOKUP(C325,DM_fish!C:X,22, FALSE))&lt;VALUE(VLOOKUP(V325,imaging_filters!A:K,11, FALSE)), CONCATENATE(CHAR(34),"CamA",CHAR(34)), CONCATENATE(CHAR(34),"CamB",CHAR(34))),"}"), "")), "]"), "")</f>
        <v/>
      </c>
      <c r="Y325" s="11" t="str">
        <f ca="1">IFERROR(
CONCATENATE( "[",
IF(VLOOKUP(E325,Injections!B:F,3, FALSE)&gt;0, CONCATENATE( "{",CHAR(34),"target",CHAR(34),":",CHAR(34),VLOOKUP(E325,Injections!B:F,2, FALSE),CHAR(34),",", CHAR(34), "excitation",CHAR(34), ":", VLOOKUP(E325,Injections!B:F,3, FALSE), ",",  CHAR(34), "camera",CHAR(34), ":",
IF(VALUE(VLOOKUP(E325,Injections!B:F,3, FALSE))&lt;VALUE(VLOOKUP(V325,imaging_filters!A:C,2, FALSE)), CONCATENATE(CHAR(34),"CamA",CHAR(34)), CONCATENATE(CHAR(34),"CamB",CHAR(34))),"}"), ""),
IF(VLOOKUP(E325,Injections!B:F,5, FALSE)&gt;0, CONCATENATE(",{",CHAR(34),"target",CHAR(34),":",CHAR(34),VLOOKUP(E325,Injections!B:F,4, FALSE),CHAR(34),",", CHAR(34), "excitation",CHAR(34), ":", VLOOKUP(E325,Injections!B:F,5, FALSE), ",",  CHAR(34), "camera",CHAR(34), ":",
IF(VALUE(VLOOKUP(E325,Injections!B:F,5, FALSE))&lt;VALUE(VLOOKUP(V325,imaging_filters!A:C,2, FALSE)), CONCATENATE(CHAR(34),"CamA",CHAR(34)), CONCATENATE(CHAR(34),"CamB",CHAR(34))),"}"), ""),
 "]"), "[]")</f>
        <v>[]</v>
      </c>
      <c r="Z325" s="11" t="str">
        <f ca="1">IFERROR(
CONCATENATE( "[",
IF(VLOOKUP(F325,Injections!H:L,3, FALSE)&gt;0, CONCATENATE( "{",CHAR(34),"target",CHAR(34),":",CHAR(34),VLOOKUP(F325,Injections!H:L,2, FALSE),CHAR(34),",", CHAR(34), "excitation",CHAR(34), ":", VLOOKUP(F325,Injections!H:L,3, FALSE), ",",  CHAR(34), "camera",CHAR(34), ":",
IF(VALUE(VLOOKUP(F325,Injections!H:L,3, FALSE))&lt;VALUE(VLOOKUP(V325,imaging_filters!A:K,11, FALSE)), CONCATENATE(CHAR(34),"CamA",CHAR(34)), CONCATENATE(CHAR(34),"CamB",CHAR(34))),"}"), ""),
IF(VLOOKUP(F325,Injections!H:L,5, FALSE)&gt;0, CONCATENATE(",{",CHAR(34),"target",CHAR(34),":",CHAR(34),VLOOKUP(F325,Injections!H:L,4, FALSE),CHAR(34),",", CHAR(34), "excitation",CHAR(34), ":", VLOOKUP(F325,Injections!H:L,5, FALSE), ",",  CHAR(34), "camera",CHAR(34), ":",
IF(VALUE(VLOOKUP(F325,Injections!H:L,5, FALSE))&lt;VALUE(VLOOKUP(V325,imaging_filters!A:K,11, FALSE)), CONCATENATE(CHAR(34),"CamA",CHAR(34)), CONCATENATE(CHAR(34),"CamB",CHAR(34))),"}"), ""),
 "]"), "[]")</f>
        <v>[]</v>
      </c>
      <c r="AA325" s="11" t="s">
        <v>638</v>
      </c>
    </row>
    <row r="326" spans="1:27" ht="15.75" customHeight="1" x14ac:dyDescent="0.15">
      <c r="A326" s="7">
        <f t="shared" si="9"/>
        <v>45694</v>
      </c>
      <c r="B326" s="1"/>
      <c r="C326" s="1" t="s">
        <v>253</v>
      </c>
      <c r="D326" s="1" t="s">
        <v>107</v>
      </c>
      <c r="F326" s="14" t="s">
        <v>639</v>
      </c>
      <c r="G326" s="8"/>
      <c r="H326" s="8"/>
      <c r="I326" s="8">
        <v>45691</v>
      </c>
      <c r="J326" s="9">
        <v>0.77430555555555558</v>
      </c>
      <c r="K326" s="1" t="s">
        <v>571</v>
      </c>
      <c r="L326" s="19">
        <v>45692</v>
      </c>
      <c r="M326" s="8">
        <v>45694</v>
      </c>
      <c r="N326" s="9">
        <v>0.41666666666666669</v>
      </c>
      <c r="O326" s="9">
        <v>0.42708333333333331</v>
      </c>
      <c r="P326" s="9">
        <v>0.57291666666666663</v>
      </c>
      <c r="Q326" s="1" t="s">
        <v>626</v>
      </c>
      <c r="R326" s="10" t="str">
        <f ca="1">IFERROR(__xludf.DUMMYFUNCTION("JOIN("","", SORT(UNIQUE(TOCOL({VLOOKUP(D326,DM_fish!A:B,2,FALSE),VLOOKUP(C326,DM_fish!A:B,2,FALSE), ARRAYFORMULA(VLOOKUP(SPLIT(E326, "", ""),Injections!B:G,6,FALSE)), ARRAYFORMULA(VLOOKUP(SPLIT(F326, "", ""),Injections!H:M,6,FALSE)), ARRAYFORMULA(VLOOKUP("&amp;"SPLIT(G326, "", ""),Injections!N:S,6,FALSE)), ARRAYFORMULA(VLOOKUP(SPLIT(H326, "", ""),Injections!T:Y,6,FALSE)) },3))))"),"nuclei")</f>
        <v>nuclei</v>
      </c>
      <c r="S326" s="10" t="str">
        <f ca="1">IFERROR(__xludf.DUMMYFUNCTION("IFERROR(JOIN("","", SPLIT(R326, "","", TRUE ,TRUE)), """")"),"nuclei")</f>
        <v>nuclei</v>
      </c>
      <c r="T326" s="1" t="s">
        <v>640</v>
      </c>
      <c r="U326" s="1">
        <v>861</v>
      </c>
      <c r="V326" s="1" t="s">
        <v>203</v>
      </c>
      <c r="W326" s="12" t="str">
        <f ca="1">IFERROR(CONCATENATE("[", CONCATENATE(IF(VLOOKUP(D326,DM_fish!C:X,14, FALSE)&gt;0, CONCATENATE("{",CHAR(34),"target",CHAR(34),":",CHAR(34),VLOOKUP(D326,DM_fish!C:X,13, FALSE),CHAR(34),",", CHAR(34), "excitation",CHAR(34), ":", VLOOKUP(D326,DM_fish!C:X,14, FALSE), ",",  CHAR(34), "camera",CHAR(34), ":", IF(VALUE(VLOOKUP(D326,DM_fish!C:X,14, FALSE))&lt;VALUE(VLOOKUP(V326,imaging_filters!A:K,11, FALSE)), CONCATENATE(CHAR(34),"CamA",CHAR(34)), CONCATENATE(CHAR(34),"CamB",CHAR(34))),"}"), ""),IF(VLOOKUP(D326,DM_fish!C:X,16, FALSE)&gt;0, CONCATENATE(",{",CHAR(34),"target",CHAR(34),":",CHAR(34),VLOOKUP(D326,DM_fish!C:X,15, FALSE),CHAR(34),",", CHAR(34), "excitation",CHAR(34), ":", VLOOKUP(D326,DM_fish!C:X,16, FALSE), ",",  CHAR(34), "camera",CHAR(34), ":", IF(VALUE(VLOOKUP(D326,DM_fish!C:X,16, FALSE))&lt;VALUE(VLOOKUP(V326,imaging_filters!A:K,11, FALSE)), CONCATENATE(CHAR(34),"CamA",CHAR(34)), CONCATENATE(CHAR(34),"CamB",CHAR(34))),"}"), ""),IF(VLOOKUP(D326,DM_fish!C:X,18, FALSE)&gt;0, CONCATENATE(",{",CHAR(34),"target",CHAR(34),":",CHAR(34),VLOOKUP(D326,DM_fish!C:X,17, FALSE),CHAR(34),",", CHAR(34), "excitation",CHAR(34), ":", VLOOKUP(D326,DM_fish!C:X,18, FALSE), ",",  CHAR(34), "camera",CHAR(34), ":", IF(VALUE(VLOOKUP(D326,DM_fish!C:X,18, FALSE))&lt;VALUE(VLOOKUP(V326,imaging_filters!A:K,11, FALSE)), CONCATENATE(CHAR(34),"CamA",CHAR(34)), CONCATENATE(CHAR(34),"CamB",CHAR(34))),"}"), ""),IF(VLOOKUP(D326,DM_fish!C:X,20, FALSE)&gt;0, CONCATENATE(",{",CHAR(34),"target",CHAR(34),":",CHAR(34),VLOOKUP(D326,DM_fish!C:X,19, FALSE),CHAR(34),",", CHAR(34), "excitation",CHAR(34), ":", VLOOKUP(D326,DM_fish!C:X,20, FALSE), ",",  CHAR(34), "camera",CHAR(34), ":", IF(VALUE(VLOOKUP(D326,DM_fish!C:X,20, FALSE))&lt;VALUE(VLOOKUP(V326,imaging_filters!A:K,11, FALSE)), CONCATENATE(CHAR(34),"CamA",CHAR(34)), CONCATENATE(CHAR(34),"CamB",CHAR(34))),"}"), ""),IF(VLOOKUP(D326,DM_fish!C:X,22, FALSE)&gt;0, CONCATENATE(",{",CHAR(34),"target",CHAR(34),":",CHAR(34),VLOOKUP(D326,DM_fish!C:X,21, FALSE),CHAR(34),",", CHAR(34), "excitation",CHAR(34), ":", VLOOKUP(D326,DM_fish!C:X,22, FALSE), ",",  CHAR(34), "camera",CHAR(34), ":", IF(VALUE(VLOOKUP(D326,DM_fish!C:X,22, FALSE))&lt;VALUE(VLOOKUP(V326,imaging_filters!A:K,11, FALSE)), CONCATENATE(CHAR(34),"CamA",CHAR(34)), CONCATENATE(CHAR(34),"CamB",CHAR(34))),"}"), "")), "]"), "")</f>
        <v/>
      </c>
      <c r="X326" s="12" t="str">
        <f ca="1">IFERROR(
CONCATENATE("[", CONCATENATE(IF(VLOOKUP(C326,DM_fish!C:X,14, FALSE)&gt;0, CONCATENATE("{",CHAR(34),"target",CHAR(34),":",CHAR(34),VLOOKUP(C326,DM_fish!C:X,13, FALSE),CHAR(34),",", CHAR(34), "excitation",CHAR(34), ":", VLOOKUP(C326,DM_fish!C:X,14, FALSE), ",",  CHAR(34), "camera",CHAR(34), ":", IF(VALUE(VLOOKUP(C326,DM_fish!C:X,14, FALSE))&lt;VALUE(VLOOKUP(V326,imaging_filters!A:K,11, FALSE)), CONCATENATE(CHAR(34),"CamA",CHAR(34)), CONCATENATE(CHAR(34),"CamB",CHAR(34))),"}"), ""),IF(VLOOKUP(C326,DM_fish!C:X,16, FALSE)&gt;0, CONCATENATE(",{",CHAR(34),"target",CHAR(34),":",CHAR(34),VLOOKUP(C326,DM_fish!C:X,15, FALSE),CHAR(34),",", CHAR(34), "excitation",CHAR(34), ":", VLOOKUP(C326,DM_fish!C:X,16, FALSE), ",",  CHAR(34), "camera",CHAR(34), ":", IF(VALUE(VLOOKUP(C326,DM_fish!C:X,16, FALSE))&lt;VALUE(VLOOKUP(V326,imaging_filters!A:K,11, FALSE)), CONCATENATE(CHAR(34),"CamA",CHAR(34)), CONCATENATE(CHAR(34),"CamB",CHAR(34))),"}"), ""),IF(VLOOKUP(C326,DM_fish!C:X,18, FALSE)&gt;0, CONCATENATE(",{",CHAR(34),"target",CHAR(34),":",CHAR(34),VLOOKUP(C326,DM_fish!C:X,17, FALSE),CHAR(34),",", CHAR(34), "excitation",CHAR(34), ":", VLOOKUP(C326,DM_fish!C:X,18, FALSE), ",",  CHAR(34), "camera",CHAR(34), ":", IF(VALUE(VLOOKUP(C326,DM_fish!C:X,18, FALSE))&lt;VALUE(VLOOKUP(V326,imaging_filters!A:K,11, FALSE)), CONCATENATE(CHAR(34),"CamA",CHAR(34)), CONCATENATE(CHAR(34),"CamB",CHAR(34))),"}"), ""),IF(VLOOKUP(C326,DM_fish!C:X,20, FALSE)&gt;0, CONCATENATE(",{",CHAR(34),"target",CHAR(34),":",CHAR(34),VLOOKUP(C326,DM_fish!C:X,19, FALSE),CHAR(34),",", CHAR(34), "excitation",CHAR(34), ":", VLOOKUP(C326,DM_fish!C:X,20, FALSE), ",",  CHAR(34), "camera",CHAR(34), ":", IF(VALUE(VLOOKUP(C326,DM_fish!C:X,20, FALSE))&lt;VALUE(VLOOKUP(V326,imaging_filters!A:K,11, FALSE)), CONCATENATE(CHAR(34),"CamA",CHAR(34)), CONCATENATE(CHAR(34),"CamB",CHAR(34))),"}"), ""),IF(VLOOKUP(C326,DM_fish!C:X,22, FALSE)&gt;0, CONCATENATE(",{",CHAR(34),"target",CHAR(34),":",CHAR(34),VLOOKUP(C326,DM_fish!C:X,21, FALSE),CHAR(34),",", CHAR(34), "excitation",CHAR(34), ":", VLOOKUP(C326,DM_fish!C:X,22, FALSE), ",",  CHAR(34), "camera",CHAR(34), ":", IF(VALUE(VLOOKUP(C326,DM_fish!C:X,22, FALSE))&lt;VALUE(VLOOKUP(V326,imaging_filters!A:K,11, FALSE)), CONCATENATE(CHAR(34),"CamA",CHAR(34)), CONCATENATE(CHAR(34),"CamB",CHAR(34))),"}"), "")), "]"), "")</f>
        <v/>
      </c>
      <c r="Y326" s="11" t="str">
        <f ca="1">IFERROR(
CONCATENATE( "[",
IF(VLOOKUP(E326,Injections!B:F,3, FALSE)&gt;0, CONCATENATE( "{",CHAR(34),"target",CHAR(34),":",CHAR(34),VLOOKUP(E326,Injections!B:F,2, FALSE),CHAR(34),",", CHAR(34), "excitation",CHAR(34), ":", VLOOKUP(E326,Injections!B:F,3, FALSE), ",",  CHAR(34), "camera",CHAR(34), ":",
IF(VALUE(VLOOKUP(E326,Injections!B:F,3, FALSE))&lt;VALUE(VLOOKUP(V326,imaging_filters!A:C,2, FALSE)), CONCATENATE(CHAR(34),"CamA",CHAR(34)), CONCATENATE(CHAR(34),"CamB",CHAR(34))),"}"), ""),
IF(VLOOKUP(E326,Injections!B:F,5, FALSE)&gt;0, CONCATENATE(",{",CHAR(34),"target",CHAR(34),":",CHAR(34),VLOOKUP(E326,Injections!B:F,4, FALSE),CHAR(34),",", CHAR(34), "excitation",CHAR(34), ":", VLOOKUP(E326,Injections!B:F,5, FALSE), ",",  CHAR(34), "camera",CHAR(34), ":",
IF(VALUE(VLOOKUP(E326,Injections!B:F,5, FALSE))&lt;VALUE(VLOOKUP(V326,imaging_filters!A:C,2, FALSE)), CONCATENATE(CHAR(34),"CamA",CHAR(34)), CONCATENATE(CHAR(34),"CamB",CHAR(34))),"}"), ""),
 "]"), "[]")</f>
        <v>[]</v>
      </c>
      <c r="Z326" s="11" t="str">
        <f ca="1">IFERROR(
CONCATENATE( "[",
IF(VLOOKUP(F326,Injections!H:L,3, FALSE)&gt;0, CONCATENATE( "{",CHAR(34),"target",CHAR(34),":",CHAR(34),VLOOKUP(F326,Injections!H:L,2, FALSE),CHAR(34),",", CHAR(34), "excitation",CHAR(34), ":", VLOOKUP(F326,Injections!H:L,3, FALSE), ",",  CHAR(34), "camera",CHAR(34), ":",
IF(VALUE(VLOOKUP(F326,Injections!H:L,3, FALSE))&lt;VALUE(VLOOKUP(V326,imaging_filters!A:K,11, FALSE)), CONCATENATE(CHAR(34),"CamA",CHAR(34)), CONCATENATE(CHAR(34),"CamB",CHAR(34))),"}"), ""),
IF(VLOOKUP(F326,Injections!H:L,5, FALSE)&gt;0, CONCATENATE(",{",CHAR(34),"target",CHAR(34),":",CHAR(34),VLOOKUP(F326,Injections!H:L,4, FALSE),CHAR(34),",", CHAR(34), "excitation",CHAR(34), ":", VLOOKUP(F326,Injections!H:L,5, FALSE), ",",  CHAR(34), "camera",CHAR(34), ":",
IF(VALUE(VLOOKUP(F326,Injections!H:L,5, FALSE))&lt;VALUE(VLOOKUP(V326,imaging_filters!A:K,11, FALSE)), CONCATENATE(CHAR(34),"CamA",CHAR(34)), CONCATENATE(CHAR(34),"CamB",CHAR(34))),"}"), ""),
 "]"), "[]")</f>
        <v>[]</v>
      </c>
      <c r="AA326" s="11"/>
    </row>
    <row r="327" spans="1:27" ht="15.75" customHeight="1" x14ac:dyDescent="0.15">
      <c r="A327" s="7">
        <f t="shared" si="9"/>
        <v>45694</v>
      </c>
      <c r="B327" s="1"/>
      <c r="C327" s="1" t="s">
        <v>253</v>
      </c>
      <c r="D327" s="1" t="s">
        <v>107</v>
      </c>
      <c r="F327" s="14" t="s">
        <v>639</v>
      </c>
      <c r="G327" s="8"/>
      <c r="H327" s="8"/>
      <c r="I327" s="8">
        <v>45691</v>
      </c>
      <c r="J327" s="9">
        <v>0.77430555555555558</v>
      </c>
      <c r="K327" s="1" t="s">
        <v>571</v>
      </c>
      <c r="L327" s="19">
        <v>45692</v>
      </c>
      <c r="M327" s="8">
        <v>45694</v>
      </c>
      <c r="N327" s="9">
        <v>0.41666666666666669</v>
      </c>
      <c r="R327" s="10" t="str">
        <f ca="1">IFERROR(__xludf.DUMMYFUNCTION("JOIN("","", SORT(UNIQUE(TOCOL({VLOOKUP(D327,DM_fish!A:B,2,FALSE),VLOOKUP(C327,DM_fish!A:B,2,FALSE), ARRAYFORMULA(VLOOKUP(SPLIT(E327, "", ""),Injections!B:G,6,FALSE)), ARRAYFORMULA(VLOOKUP(SPLIT(F327, "", ""),Injections!H:M,6,FALSE)), ARRAYFORMULA(VLOOKUP("&amp;"SPLIT(G327, "", ""),Injections!N:S,6,FALSE)), ARRAYFORMULA(VLOOKUP(SPLIT(H327, "", ""),Injections!T:Y,6,FALSE)) },3))))"),"nuclei")</f>
        <v>nuclei</v>
      </c>
      <c r="S327" s="10" t="str">
        <f ca="1">IFERROR(__xludf.DUMMYFUNCTION("IFERROR(JOIN("","", SPLIT(R327, "","", TRUE ,TRUE)), """")"),"nuclei")</f>
        <v>nuclei</v>
      </c>
      <c r="T327" s="1"/>
      <c r="V327" s="1" t="s">
        <v>203</v>
      </c>
      <c r="W327" s="12" t="str">
        <f ca="1">IFERROR(CONCATENATE("[", CONCATENATE(IF(VLOOKUP(D327,DM_fish!C:X,14, FALSE)&gt;0, CONCATENATE("{",CHAR(34),"target",CHAR(34),":",CHAR(34),VLOOKUP(D327,DM_fish!C:X,13, FALSE),CHAR(34),",", CHAR(34), "excitation",CHAR(34), ":", VLOOKUP(D327,DM_fish!C:X,14, FALSE), ",",  CHAR(34), "camera",CHAR(34), ":", IF(VALUE(VLOOKUP(D327,DM_fish!C:X,14, FALSE))&lt;VALUE(VLOOKUP(V327,imaging_filters!A:K,11, FALSE)), CONCATENATE(CHAR(34),"CamA",CHAR(34)), CONCATENATE(CHAR(34),"CamB",CHAR(34))),"}"), ""),IF(VLOOKUP(D327,DM_fish!C:X,16, FALSE)&gt;0, CONCATENATE(",{",CHAR(34),"target",CHAR(34),":",CHAR(34),VLOOKUP(D327,DM_fish!C:X,15, FALSE),CHAR(34),",", CHAR(34), "excitation",CHAR(34), ":", VLOOKUP(D327,DM_fish!C:X,16, FALSE), ",",  CHAR(34), "camera",CHAR(34), ":", IF(VALUE(VLOOKUP(D327,DM_fish!C:X,16, FALSE))&lt;VALUE(VLOOKUP(V327,imaging_filters!A:K,11, FALSE)), CONCATENATE(CHAR(34),"CamA",CHAR(34)), CONCATENATE(CHAR(34),"CamB",CHAR(34))),"}"), ""),IF(VLOOKUP(D327,DM_fish!C:X,18, FALSE)&gt;0, CONCATENATE(",{",CHAR(34),"target",CHAR(34),":",CHAR(34),VLOOKUP(D327,DM_fish!C:X,17, FALSE),CHAR(34),",", CHAR(34), "excitation",CHAR(34), ":", VLOOKUP(D327,DM_fish!C:X,18, FALSE), ",",  CHAR(34), "camera",CHAR(34), ":", IF(VALUE(VLOOKUP(D327,DM_fish!C:X,18, FALSE))&lt;VALUE(VLOOKUP(V327,imaging_filters!A:K,11, FALSE)), CONCATENATE(CHAR(34),"CamA",CHAR(34)), CONCATENATE(CHAR(34),"CamB",CHAR(34))),"}"), ""),IF(VLOOKUP(D327,DM_fish!C:X,20, FALSE)&gt;0, CONCATENATE(",{",CHAR(34),"target",CHAR(34),":",CHAR(34),VLOOKUP(D327,DM_fish!C:X,19, FALSE),CHAR(34),",", CHAR(34), "excitation",CHAR(34), ":", VLOOKUP(D327,DM_fish!C:X,20, FALSE), ",",  CHAR(34), "camera",CHAR(34), ":", IF(VALUE(VLOOKUP(D327,DM_fish!C:X,20, FALSE))&lt;VALUE(VLOOKUP(V327,imaging_filters!A:K,11, FALSE)), CONCATENATE(CHAR(34),"CamA",CHAR(34)), CONCATENATE(CHAR(34),"CamB",CHAR(34))),"}"), ""),IF(VLOOKUP(D327,DM_fish!C:X,22, FALSE)&gt;0, CONCATENATE(",{",CHAR(34),"target",CHAR(34),":",CHAR(34),VLOOKUP(D327,DM_fish!C:X,21, FALSE),CHAR(34),",", CHAR(34), "excitation",CHAR(34), ":", VLOOKUP(D327,DM_fish!C:X,22, FALSE), ",",  CHAR(34), "camera",CHAR(34), ":", IF(VALUE(VLOOKUP(D327,DM_fish!C:X,22, FALSE))&lt;VALUE(VLOOKUP(V327,imaging_filters!A:K,11, FALSE)), CONCATENATE(CHAR(34),"CamA",CHAR(34)), CONCATENATE(CHAR(34),"CamB",CHAR(34))),"}"), "")), "]"), "")</f>
        <v/>
      </c>
      <c r="X327" s="12" t="str">
        <f ca="1">IFERROR(
CONCATENATE("[", CONCATENATE(IF(VLOOKUP(C327,DM_fish!C:X,14, FALSE)&gt;0, CONCATENATE("{",CHAR(34),"target",CHAR(34),":",CHAR(34),VLOOKUP(C327,DM_fish!C:X,13, FALSE),CHAR(34),",", CHAR(34), "excitation",CHAR(34), ":", VLOOKUP(C327,DM_fish!C:X,14, FALSE), ",",  CHAR(34), "camera",CHAR(34), ":", IF(VALUE(VLOOKUP(C327,DM_fish!C:X,14, FALSE))&lt;VALUE(VLOOKUP(V327,imaging_filters!A:K,11, FALSE)), CONCATENATE(CHAR(34),"CamA",CHAR(34)), CONCATENATE(CHAR(34),"CamB",CHAR(34))),"}"), ""),IF(VLOOKUP(C327,DM_fish!C:X,16, FALSE)&gt;0, CONCATENATE(",{",CHAR(34),"target",CHAR(34),":",CHAR(34),VLOOKUP(C327,DM_fish!C:X,15, FALSE),CHAR(34),",", CHAR(34), "excitation",CHAR(34), ":", VLOOKUP(C327,DM_fish!C:X,16, FALSE), ",",  CHAR(34), "camera",CHAR(34), ":", IF(VALUE(VLOOKUP(C327,DM_fish!C:X,16, FALSE))&lt;VALUE(VLOOKUP(V327,imaging_filters!A:K,11, FALSE)), CONCATENATE(CHAR(34),"CamA",CHAR(34)), CONCATENATE(CHAR(34),"CamB",CHAR(34))),"}"), ""),IF(VLOOKUP(C327,DM_fish!C:X,18, FALSE)&gt;0, CONCATENATE(",{",CHAR(34),"target",CHAR(34),":",CHAR(34),VLOOKUP(C327,DM_fish!C:X,17, FALSE),CHAR(34),",", CHAR(34), "excitation",CHAR(34), ":", VLOOKUP(C327,DM_fish!C:X,18, FALSE), ",",  CHAR(34), "camera",CHAR(34), ":", IF(VALUE(VLOOKUP(C327,DM_fish!C:X,18, FALSE))&lt;VALUE(VLOOKUP(V327,imaging_filters!A:K,11, FALSE)), CONCATENATE(CHAR(34),"CamA",CHAR(34)), CONCATENATE(CHAR(34),"CamB",CHAR(34))),"}"), ""),IF(VLOOKUP(C327,DM_fish!C:X,20, FALSE)&gt;0, CONCATENATE(",{",CHAR(34),"target",CHAR(34),":",CHAR(34),VLOOKUP(C327,DM_fish!C:X,19, FALSE),CHAR(34),",", CHAR(34), "excitation",CHAR(34), ":", VLOOKUP(C327,DM_fish!C:X,20, FALSE), ",",  CHAR(34), "camera",CHAR(34), ":", IF(VALUE(VLOOKUP(C327,DM_fish!C:X,20, FALSE))&lt;VALUE(VLOOKUP(V327,imaging_filters!A:K,11, FALSE)), CONCATENATE(CHAR(34),"CamA",CHAR(34)), CONCATENATE(CHAR(34),"CamB",CHAR(34))),"}"), ""),IF(VLOOKUP(C327,DM_fish!C:X,22, FALSE)&gt;0, CONCATENATE(",{",CHAR(34),"target",CHAR(34),":",CHAR(34),VLOOKUP(C327,DM_fish!C:X,21, FALSE),CHAR(34),",", CHAR(34), "excitation",CHAR(34), ":", VLOOKUP(C327,DM_fish!C:X,22, FALSE), ",",  CHAR(34), "camera",CHAR(34), ":", IF(VALUE(VLOOKUP(C327,DM_fish!C:X,22, FALSE))&lt;VALUE(VLOOKUP(V327,imaging_filters!A:K,11, FALSE)), CONCATENATE(CHAR(34),"CamA",CHAR(34)), CONCATENATE(CHAR(34),"CamB",CHAR(34))),"}"), "")), "]"), "")</f>
        <v/>
      </c>
      <c r="Y327" s="11" t="str">
        <f ca="1">IFERROR(
CONCATENATE( "[",
IF(VLOOKUP(E327,Injections!B:F,3, FALSE)&gt;0, CONCATENATE( "{",CHAR(34),"target",CHAR(34),":",CHAR(34),VLOOKUP(E327,Injections!B:F,2, FALSE),CHAR(34),",", CHAR(34), "excitation",CHAR(34), ":", VLOOKUP(E327,Injections!B:F,3, FALSE), ",",  CHAR(34), "camera",CHAR(34), ":",
IF(VALUE(VLOOKUP(E327,Injections!B:F,3, FALSE))&lt;VALUE(VLOOKUP(V327,imaging_filters!A:C,2, FALSE)), CONCATENATE(CHAR(34),"CamA",CHAR(34)), CONCATENATE(CHAR(34),"CamB",CHAR(34))),"}"), ""),
IF(VLOOKUP(E327,Injections!B:F,5, FALSE)&gt;0, CONCATENATE(",{",CHAR(34),"target",CHAR(34),":",CHAR(34),VLOOKUP(E327,Injections!B:F,4, FALSE),CHAR(34),",", CHAR(34), "excitation",CHAR(34), ":", VLOOKUP(E327,Injections!B:F,5, FALSE), ",",  CHAR(34), "camera",CHAR(34), ":",
IF(VALUE(VLOOKUP(E327,Injections!B:F,5, FALSE))&lt;VALUE(VLOOKUP(V327,imaging_filters!A:C,2, FALSE)), CONCATENATE(CHAR(34),"CamA",CHAR(34)), CONCATENATE(CHAR(34),"CamB",CHAR(34))),"}"), ""),
 "]"), "[]")</f>
        <v>[]</v>
      </c>
      <c r="Z327" s="11" t="str">
        <f ca="1">IFERROR(
CONCATENATE( "[",
IF(VLOOKUP(F327,Injections!H:L,3, FALSE)&gt;0, CONCATENATE( "{",CHAR(34),"target",CHAR(34),":",CHAR(34),VLOOKUP(F327,Injections!H:L,2, FALSE),CHAR(34),",", CHAR(34), "excitation",CHAR(34), ":", VLOOKUP(F327,Injections!H:L,3, FALSE), ",",  CHAR(34), "camera",CHAR(34), ":",
IF(VALUE(VLOOKUP(F327,Injections!H:L,3, FALSE))&lt;VALUE(VLOOKUP(V327,imaging_filters!A:K,11, FALSE)), CONCATENATE(CHAR(34),"CamA",CHAR(34)), CONCATENATE(CHAR(34),"CamB",CHAR(34))),"}"), ""),
IF(VLOOKUP(F327,Injections!H:L,5, FALSE)&gt;0, CONCATENATE(",{",CHAR(34),"target",CHAR(34),":",CHAR(34),VLOOKUP(F327,Injections!H:L,4, FALSE),CHAR(34),",", CHAR(34), "excitation",CHAR(34), ":", VLOOKUP(F327,Injections!H:L,5, FALSE), ",",  CHAR(34), "camera",CHAR(34), ":",
IF(VALUE(VLOOKUP(F327,Injections!H:L,5, FALSE))&lt;VALUE(VLOOKUP(V327,imaging_filters!A:K,11, FALSE)), CONCATENATE(CHAR(34),"CamA",CHAR(34)), CONCATENATE(CHAR(34),"CamB",CHAR(34))),"}"), ""),
 "]"), "[]")</f>
        <v>[]</v>
      </c>
      <c r="AA327" s="11"/>
    </row>
    <row r="328" spans="1:27" ht="15.75" customHeight="1" x14ac:dyDescent="0.15">
      <c r="A328" s="7">
        <f t="shared" si="9"/>
        <v>45694</v>
      </c>
      <c r="B328" s="1"/>
      <c r="C328" s="1" t="s">
        <v>107</v>
      </c>
      <c r="D328" s="1" t="s">
        <v>39</v>
      </c>
      <c r="F328" s="1" t="s">
        <v>635</v>
      </c>
      <c r="G328" s="8"/>
      <c r="H328" s="8"/>
      <c r="I328" s="8">
        <v>45693</v>
      </c>
      <c r="J328" s="9">
        <v>0.47638888888888886</v>
      </c>
      <c r="K328" s="1" t="s">
        <v>571</v>
      </c>
      <c r="L328" s="19">
        <v>45694</v>
      </c>
      <c r="M328" s="8">
        <v>45694</v>
      </c>
      <c r="N328" s="9">
        <v>0.57986111111111116</v>
      </c>
      <c r="O328" s="9">
        <v>0.58680555555555558</v>
      </c>
      <c r="P328" s="9">
        <v>0.73263888888888884</v>
      </c>
      <c r="Q328" s="1" t="s">
        <v>626</v>
      </c>
      <c r="R328" s="10" t="str">
        <f ca="1">IFERROR(__xludf.DUMMYFUNCTION("JOIN("","", SORT(UNIQUE(TOCOL({VLOOKUP(D328,DM_fish!A:B,2,FALSE),VLOOKUP(C328,DM_fish!A:B,2,FALSE), ARRAYFORMULA(VLOOKUP(SPLIT(E328, "", ""),Injections!B:G,6,FALSE)), ARRAYFORMULA(VLOOKUP(SPLIT(F328, "", ""),Injections!H:M,6,FALSE)), ARRAYFORMULA(VLOOKUP("&amp;"SPLIT(G328, "", ""),Injections!N:S,6,FALSE)), ARRAYFORMULA(VLOOKUP(SPLIT(H328, "", ""),Injections!T:Y,6,FALSE)) },3))))"),"csp,male #8 - best founder (40-50% transmission, multiple alleles, bright!!!),488,nuclei")</f>
        <v>csp,male #8 - best founder (40-50% transmission, multiple alleles, bright!!!),488,nuclei</v>
      </c>
      <c r="S328" s="10" t="str">
        <f ca="1">IFERROR(__xludf.DUMMYFUNCTION("IFERROR(JOIN("","", SPLIT(R328, "","", TRUE ,TRUE)), """")"),"csp,male #8 - best founder (40-50% transmission, multiple alleles, bright!!!),488,nuclei")</f>
        <v>csp,male #8 - best founder (40-50% transmission, multiple alleles, bright!!!),488,nuclei</v>
      </c>
      <c r="T328" s="1" t="s">
        <v>641</v>
      </c>
      <c r="U328" s="1">
        <v>846</v>
      </c>
      <c r="V328" s="1" t="s">
        <v>203</v>
      </c>
      <c r="W328" s="12" t="str">
        <f ca="1">IFERROR(CONCATENATE("[", CONCATENATE(IF(VLOOKUP(D328,DM_fish!C:X,14, FALSE)&gt;0, CONCATENATE("{",CHAR(34),"target",CHAR(34),":",CHAR(34),VLOOKUP(D328,DM_fish!C:X,13, FALSE),CHAR(34),",", CHAR(34), "excitation",CHAR(34), ":", VLOOKUP(D328,DM_fish!C:X,14, FALSE), ",",  CHAR(34), "camera",CHAR(34), ":", IF(VALUE(VLOOKUP(D328,DM_fish!C:X,14, FALSE))&lt;VALUE(VLOOKUP(V328,imaging_filters!A:K,11, FALSE)), CONCATENATE(CHAR(34),"CamA",CHAR(34)), CONCATENATE(CHAR(34),"CamB",CHAR(34))),"}"), ""),IF(VLOOKUP(D328,DM_fish!C:X,16, FALSE)&gt;0, CONCATENATE(",{",CHAR(34),"target",CHAR(34),":",CHAR(34),VLOOKUP(D328,DM_fish!C:X,15, FALSE),CHAR(34),",", CHAR(34), "excitation",CHAR(34), ":", VLOOKUP(D328,DM_fish!C:X,16, FALSE), ",",  CHAR(34), "camera",CHAR(34), ":", IF(VALUE(VLOOKUP(D328,DM_fish!C:X,16, FALSE))&lt;VALUE(VLOOKUP(V328,imaging_filters!A:K,11, FALSE)), CONCATENATE(CHAR(34),"CamA",CHAR(34)), CONCATENATE(CHAR(34),"CamB",CHAR(34))),"}"), ""),IF(VLOOKUP(D328,DM_fish!C:X,18, FALSE)&gt;0, CONCATENATE(",{",CHAR(34),"target",CHAR(34),":",CHAR(34),VLOOKUP(D328,DM_fish!C:X,17, FALSE),CHAR(34),",", CHAR(34), "excitation",CHAR(34), ":", VLOOKUP(D328,DM_fish!C:X,18, FALSE), ",",  CHAR(34), "camera",CHAR(34), ":", IF(VALUE(VLOOKUP(D328,DM_fish!C:X,18, FALSE))&lt;VALUE(VLOOKUP(V328,imaging_filters!A:K,11, FALSE)), CONCATENATE(CHAR(34),"CamA",CHAR(34)), CONCATENATE(CHAR(34),"CamB",CHAR(34))),"}"), ""),IF(VLOOKUP(D328,DM_fish!C:X,20, FALSE)&gt;0, CONCATENATE(",{",CHAR(34),"target",CHAR(34),":",CHAR(34),VLOOKUP(D328,DM_fish!C:X,19, FALSE),CHAR(34),",", CHAR(34), "excitation",CHAR(34), ":", VLOOKUP(D328,DM_fish!C:X,20, FALSE), ",",  CHAR(34), "camera",CHAR(34), ":", IF(VALUE(VLOOKUP(D328,DM_fish!C:X,20, FALSE))&lt;VALUE(VLOOKUP(V328,imaging_filters!A:K,11, FALSE)), CONCATENATE(CHAR(34),"CamA",CHAR(34)), CONCATENATE(CHAR(34),"CamB",CHAR(34))),"}"), ""),IF(VLOOKUP(D328,DM_fish!C:X,22, FALSE)&gt;0, CONCATENATE(",{",CHAR(34),"target",CHAR(34),":",CHAR(34),VLOOKUP(D328,DM_fish!C:X,21, FALSE),CHAR(34),",", CHAR(34), "excitation",CHAR(34), ":", VLOOKUP(D328,DM_fish!C:X,22, FALSE), ",",  CHAR(34), "camera",CHAR(34), ":", IF(VALUE(VLOOKUP(D328,DM_fish!C:X,22, FALSE))&lt;VALUE(VLOOKUP(V328,imaging_filters!A:K,11, FALSE)), CONCATENATE(CHAR(34),"CamA",CHAR(34)), CONCATENATE(CHAR(34),"CamB",CHAR(34))),"}"), "")), "]"), "")</f>
        <v/>
      </c>
      <c r="X328" s="12" t="str">
        <f ca="1">IFERROR(
CONCATENATE("[", CONCATENATE(IF(VLOOKUP(C328,DM_fish!C:X,14, FALSE)&gt;0, CONCATENATE("{",CHAR(34),"target",CHAR(34),":",CHAR(34),VLOOKUP(C328,DM_fish!C:X,13, FALSE),CHAR(34),",", CHAR(34), "excitation",CHAR(34), ":", VLOOKUP(C328,DM_fish!C:X,14, FALSE), ",",  CHAR(34), "camera",CHAR(34), ":", IF(VALUE(VLOOKUP(C328,DM_fish!C:X,14, FALSE))&lt;VALUE(VLOOKUP(V328,imaging_filters!A:K,11, FALSE)), CONCATENATE(CHAR(34),"CamA",CHAR(34)), CONCATENATE(CHAR(34),"CamB",CHAR(34))),"}"), ""),IF(VLOOKUP(C328,DM_fish!C:X,16, FALSE)&gt;0, CONCATENATE(",{",CHAR(34),"target",CHAR(34),":",CHAR(34),VLOOKUP(C328,DM_fish!C:X,15, FALSE),CHAR(34),",", CHAR(34), "excitation",CHAR(34), ":", VLOOKUP(C328,DM_fish!C:X,16, FALSE), ",",  CHAR(34), "camera",CHAR(34), ":", IF(VALUE(VLOOKUP(C328,DM_fish!C:X,16, FALSE))&lt;VALUE(VLOOKUP(V328,imaging_filters!A:K,11, FALSE)), CONCATENATE(CHAR(34),"CamA",CHAR(34)), CONCATENATE(CHAR(34),"CamB",CHAR(34))),"}"), ""),IF(VLOOKUP(C328,DM_fish!C:X,18, FALSE)&gt;0, CONCATENATE(",{",CHAR(34),"target",CHAR(34),":",CHAR(34),VLOOKUP(C328,DM_fish!C:X,17, FALSE),CHAR(34),",", CHAR(34), "excitation",CHAR(34), ":", VLOOKUP(C328,DM_fish!C:X,18, FALSE), ",",  CHAR(34), "camera",CHAR(34), ":", IF(VALUE(VLOOKUP(C328,DM_fish!C:X,18, FALSE))&lt;VALUE(VLOOKUP(V328,imaging_filters!A:K,11, FALSE)), CONCATENATE(CHAR(34),"CamA",CHAR(34)), CONCATENATE(CHAR(34),"CamB",CHAR(34))),"}"), ""),IF(VLOOKUP(C328,DM_fish!C:X,20, FALSE)&gt;0, CONCATENATE(",{",CHAR(34),"target",CHAR(34),":",CHAR(34),VLOOKUP(C328,DM_fish!C:X,19, FALSE),CHAR(34),",", CHAR(34), "excitation",CHAR(34), ":", VLOOKUP(C328,DM_fish!C:X,20, FALSE), ",",  CHAR(34), "camera",CHAR(34), ":", IF(VALUE(VLOOKUP(C328,DM_fish!C:X,20, FALSE))&lt;VALUE(VLOOKUP(V328,imaging_filters!A:K,11, FALSE)), CONCATENATE(CHAR(34),"CamA",CHAR(34)), CONCATENATE(CHAR(34),"CamB",CHAR(34))),"}"), ""),IF(VLOOKUP(C328,DM_fish!C:X,22, FALSE)&gt;0, CONCATENATE(",{",CHAR(34),"target",CHAR(34),":",CHAR(34),VLOOKUP(C328,DM_fish!C:X,21, FALSE),CHAR(34),",", CHAR(34), "excitation",CHAR(34), ":", VLOOKUP(C328,DM_fish!C:X,22, FALSE), ",",  CHAR(34), "camera",CHAR(34), ":", IF(VALUE(VLOOKUP(C328,DM_fish!C:X,22, FALSE))&lt;VALUE(VLOOKUP(V328,imaging_filters!A:K,11, FALSE)), CONCATENATE(CHAR(34),"CamA",CHAR(34)), CONCATENATE(CHAR(34),"CamB",CHAR(34))),"}"), "")), "]"), "")</f>
        <v/>
      </c>
      <c r="Y328" s="11" t="str">
        <f ca="1">IFERROR(
CONCATENATE( "[",
IF(VLOOKUP(E328,Injections!B:F,3, FALSE)&gt;0, CONCATENATE( "{",CHAR(34),"target",CHAR(34),":",CHAR(34),VLOOKUP(E328,Injections!B:F,2, FALSE),CHAR(34),",", CHAR(34), "excitation",CHAR(34), ":", VLOOKUP(E328,Injections!B:F,3, FALSE), ",",  CHAR(34), "camera",CHAR(34), ":",
IF(VALUE(VLOOKUP(E328,Injections!B:F,3, FALSE))&lt;VALUE(VLOOKUP(V328,imaging_filters!A:C,2, FALSE)), CONCATENATE(CHAR(34),"CamA",CHAR(34)), CONCATENATE(CHAR(34),"CamB",CHAR(34))),"}"), ""),
IF(VLOOKUP(E328,Injections!B:F,5, FALSE)&gt;0, CONCATENATE(",{",CHAR(34),"target",CHAR(34),":",CHAR(34),VLOOKUP(E328,Injections!B:F,4, FALSE),CHAR(34),",", CHAR(34), "excitation",CHAR(34), ":", VLOOKUP(E328,Injections!B:F,5, FALSE), ",",  CHAR(34), "camera",CHAR(34), ":",
IF(VALUE(VLOOKUP(E328,Injections!B:F,5, FALSE))&lt;VALUE(VLOOKUP(V328,imaging_filters!A:C,2, FALSE)), CONCATENATE(CHAR(34),"CamA",CHAR(34)), CONCATENATE(CHAR(34),"CamB",CHAR(34))),"}"), ""),
 "]"), "[]")</f>
        <v>[]</v>
      </c>
      <c r="Z328" s="11" t="str">
        <f ca="1">IFERROR(
CONCATENATE( "[",
IF(VLOOKUP(F328,Injections!H:L,3, FALSE)&gt;0, CONCATENATE( "{",CHAR(34),"target",CHAR(34),":",CHAR(34),VLOOKUP(F328,Injections!H:L,2, FALSE),CHAR(34),",", CHAR(34), "excitation",CHAR(34), ":", VLOOKUP(F328,Injections!H:L,3, FALSE), ",",  CHAR(34), "camera",CHAR(34), ":",
IF(VALUE(VLOOKUP(F328,Injections!H:L,3, FALSE))&lt;VALUE(VLOOKUP(V328,imaging_filters!A:K,11, FALSE)), CONCATENATE(CHAR(34),"CamA",CHAR(34)), CONCATENATE(CHAR(34),"CamB",CHAR(34))),"}"), ""),
IF(VLOOKUP(F328,Injections!H:L,5, FALSE)&gt;0, CONCATENATE(",{",CHAR(34),"target",CHAR(34),":",CHAR(34),VLOOKUP(F328,Injections!H:L,4, FALSE),CHAR(34),",", CHAR(34), "excitation",CHAR(34), ":", VLOOKUP(F328,Injections!H:L,5, FALSE), ",",  CHAR(34), "camera",CHAR(34), ":",
IF(VALUE(VLOOKUP(F328,Injections!H:L,5, FALSE))&lt;VALUE(VLOOKUP(V328,imaging_filters!A:K,11, FALSE)), CONCATENATE(CHAR(34),"CamA",CHAR(34)), CONCATENATE(CHAR(34),"CamB",CHAR(34))),"}"), ""),
 "]"), "[]")</f>
        <v>[]</v>
      </c>
      <c r="AA328" s="11"/>
    </row>
    <row r="329" spans="1:27" ht="15.75" customHeight="1" x14ac:dyDescent="0.15">
      <c r="A329" s="7">
        <f t="shared" si="9"/>
        <v>45694</v>
      </c>
      <c r="B329" s="1"/>
      <c r="C329" s="1" t="s">
        <v>107</v>
      </c>
      <c r="D329" s="1" t="s">
        <v>39</v>
      </c>
      <c r="F329" s="1" t="s">
        <v>635</v>
      </c>
      <c r="G329" s="8"/>
      <c r="H329" s="8"/>
      <c r="I329" s="8">
        <v>45693</v>
      </c>
      <c r="J329" s="9">
        <v>0.47638888888888886</v>
      </c>
      <c r="K329" s="1" t="s">
        <v>571</v>
      </c>
      <c r="L329" s="19">
        <v>45694</v>
      </c>
      <c r="M329" s="8">
        <v>45694</v>
      </c>
      <c r="N329" s="9">
        <v>0.57986111111111116</v>
      </c>
      <c r="O329" s="9">
        <v>0.73611111111111116</v>
      </c>
      <c r="P329" s="1" t="s">
        <v>642</v>
      </c>
      <c r="Q329" s="1" t="s">
        <v>626</v>
      </c>
      <c r="R329" s="10" t="str">
        <f ca="1">IFERROR(__xludf.DUMMYFUNCTION("JOIN("","", SORT(UNIQUE(TOCOL({VLOOKUP(D329,DM_fish!A:B,2,FALSE),VLOOKUP(C329,DM_fish!A:B,2,FALSE), ARRAYFORMULA(VLOOKUP(SPLIT(E329, "", ""),Injections!B:G,6,FALSE)), ARRAYFORMULA(VLOOKUP(SPLIT(F329, "", ""),Injections!H:M,6,FALSE)), ARRAYFORMULA(VLOOKUP("&amp;"SPLIT(G329, "", ""),Injections!N:S,6,FALSE)), ARRAYFORMULA(VLOOKUP(SPLIT(H329, "", ""),Injections!T:Y,6,FALSE)) },3))))"),"csp,male #8 - best founder (40-50% transmission, multiple alleles, bright!!!),488,nuclei")</f>
        <v>csp,male #8 - best founder (40-50% transmission, multiple alleles, bright!!!),488,nuclei</v>
      </c>
      <c r="S329" s="10" t="str">
        <f ca="1">IFERROR(__xludf.DUMMYFUNCTION("IFERROR(JOIN("","", SPLIT(R329, "","", TRUE ,TRUE)), """")"),"csp,male #8 - best founder (40-50% transmission, multiple alleles, bright!!!),488,nuclei")</f>
        <v>csp,male #8 - best founder (40-50% transmission, multiple alleles, bright!!!),488,nuclei</v>
      </c>
      <c r="T329" s="1" t="s">
        <v>643</v>
      </c>
      <c r="U329" s="1">
        <v>2392</v>
      </c>
      <c r="V329" s="1" t="s">
        <v>203</v>
      </c>
      <c r="W329" s="12" t="str">
        <f ca="1">IFERROR(CONCATENATE("[", CONCATENATE(IF(VLOOKUP(D329,DM_fish!C:X,14, FALSE)&gt;0, CONCATENATE("{",CHAR(34),"target",CHAR(34),":",CHAR(34),VLOOKUP(D329,DM_fish!C:X,13, FALSE),CHAR(34),",", CHAR(34), "excitation",CHAR(34), ":", VLOOKUP(D329,DM_fish!C:X,14, FALSE), ",",  CHAR(34), "camera",CHAR(34), ":", IF(VALUE(VLOOKUP(D329,DM_fish!C:X,14, FALSE))&lt;VALUE(VLOOKUP(V329,imaging_filters!A:K,11, FALSE)), CONCATENATE(CHAR(34),"CamA",CHAR(34)), CONCATENATE(CHAR(34),"CamB",CHAR(34))),"}"), ""),IF(VLOOKUP(D329,DM_fish!C:X,16, FALSE)&gt;0, CONCATENATE(",{",CHAR(34),"target",CHAR(34),":",CHAR(34),VLOOKUP(D329,DM_fish!C:X,15, FALSE),CHAR(34),",", CHAR(34), "excitation",CHAR(34), ":", VLOOKUP(D329,DM_fish!C:X,16, FALSE), ",",  CHAR(34), "camera",CHAR(34), ":", IF(VALUE(VLOOKUP(D329,DM_fish!C:X,16, FALSE))&lt;VALUE(VLOOKUP(V329,imaging_filters!A:K,11, FALSE)), CONCATENATE(CHAR(34),"CamA",CHAR(34)), CONCATENATE(CHAR(34),"CamB",CHAR(34))),"}"), ""),IF(VLOOKUP(D329,DM_fish!C:X,18, FALSE)&gt;0, CONCATENATE(",{",CHAR(34),"target",CHAR(34),":",CHAR(34),VLOOKUP(D329,DM_fish!C:X,17, FALSE),CHAR(34),",", CHAR(34), "excitation",CHAR(34), ":", VLOOKUP(D329,DM_fish!C:X,18, FALSE), ",",  CHAR(34), "camera",CHAR(34), ":", IF(VALUE(VLOOKUP(D329,DM_fish!C:X,18, FALSE))&lt;VALUE(VLOOKUP(V329,imaging_filters!A:K,11, FALSE)), CONCATENATE(CHAR(34),"CamA",CHAR(34)), CONCATENATE(CHAR(34),"CamB",CHAR(34))),"}"), ""),IF(VLOOKUP(D329,DM_fish!C:X,20, FALSE)&gt;0, CONCATENATE(",{",CHAR(34),"target",CHAR(34),":",CHAR(34),VLOOKUP(D329,DM_fish!C:X,19, FALSE),CHAR(34),",", CHAR(34), "excitation",CHAR(34), ":", VLOOKUP(D329,DM_fish!C:X,20, FALSE), ",",  CHAR(34), "camera",CHAR(34), ":", IF(VALUE(VLOOKUP(D329,DM_fish!C:X,20, FALSE))&lt;VALUE(VLOOKUP(V329,imaging_filters!A:K,11, FALSE)), CONCATENATE(CHAR(34),"CamA",CHAR(34)), CONCATENATE(CHAR(34),"CamB",CHAR(34))),"}"), ""),IF(VLOOKUP(D329,DM_fish!C:X,22, FALSE)&gt;0, CONCATENATE(",{",CHAR(34),"target",CHAR(34),":",CHAR(34),VLOOKUP(D329,DM_fish!C:X,21, FALSE),CHAR(34),",", CHAR(34), "excitation",CHAR(34), ":", VLOOKUP(D329,DM_fish!C:X,22, FALSE), ",",  CHAR(34), "camera",CHAR(34), ":", IF(VALUE(VLOOKUP(D329,DM_fish!C:X,22, FALSE))&lt;VALUE(VLOOKUP(V329,imaging_filters!A:K,11, FALSE)), CONCATENATE(CHAR(34),"CamA",CHAR(34)), CONCATENATE(CHAR(34),"CamB",CHAR(34))),"}"), "")), "]"), "")</f>
        <v/>
      </c>
      <c r="X329" s="12" t="str">
        <f ca="1">IFERROR(
CONCATENATE("[", CONCATENATE(IF(VLOOKUP(C329,DM_fish!C:X,14, FALSE)&gt;0, CONCATENATE("{",CHAR(34),"target",CHAR(34),":",CHAR(34),VLOOKUP(C329,DM_fish!C:X,13, FALSE),CHAR(34),",", CHAR(34), "excitation",CHAR(34), ":", VLOOKUP(C329,DM_fish!C:X,14, FALSE), ",",  CHAR(34), "camera",CHAR(34), ":", IF(VALUE(VLOOKUP(C329,DM_fish!C:X,14, FALSE))&lt;VALUE(VLOOKUP(V329,imaging_filters!A:K,11, FALSE)), CONCATENATE(CHAR(34),"CamA",CHAR(34)), CONCATENATE(CHAR(34),"CamB",CHAR(34))),"}"), ""),IF(VLOOKUP(C329,DM_fish!C:X,16, FALSE)&gt;0, CONCATENATE(",{",CHAR(34),"target",CHAR(34),":",CHAR(34),VLOOKUP(C329,DM_fish!C:X,15, FALSE),CHAR(34),",", CHAR(34), "excitation",CHAR(34), ":", VLOOKUP(C329,DM_fish!C:X,16, FALSE), ",",  CHAR(34), "camera",CHAR(34), ":", IF(VALUE(VLOOKUP(C329,DM_fish!C:X,16, FALSE))&lt;VALUE(VLOOKUP(V329,imaging_filters!A:K,11, FALSE)), CONCATENATE(CHAR(34),"CamA",CHAR(34)), CONCATENATE(CHAR(34),"CamB",CHAR(34))),"}"), ""),IF(VLOOKUP(C329,DM_fish!C:X,18, FALSE)&gt;0, CONCATENATE(",{",CHAR(34),"target",CHAR(34),":",CHAR(34),VLOOKUP(C329,DM_fish!C:X,17, FALSE),CHAR(34),",", CHAR(34), "excitation",CHAR(34), ":", VLOOKUP(C329,DM_fish!C:X,18, FALSE), ",",  CHAR(34), "camera",CHAR(34), ":", IF(VALUE(VLOOKUP(C329,DM_fish!C:X,18, FALSE))&lt;VALUE(VLOOKUP(V329,imaging_filters!A:K,11, FALSE)), CONCATENATE(CHAR(34),"CamA",CHAR(34)), CONCATENATE(CHAR(34),"CamB",CHAR(34))),"}"), ""),IF(VLOOKUP(C329,DM_fish!C:X,20, FALSE)&gt;0, CONCATENATE(",{",CHAR(34),"target",CHAR(34),":",CHAR(34),VLOOKUP(C329,DM_fish!C:X,19, FALSE),CHAR(34),",", CHAR(34), "excitation",CHAR(34), ":", VLOOKUP(C329,DM_fish!C:X,20, FALSE), ",",  CHAR(34), "camera",CHAR(34), ":", IF(VALUE(VLOOKUP(C329,DM_fish!C:X,20, FALSE))&lt;VALUE(VLOOKUP(V329,imaging_filters!A:K,11, FALSE)), CONCATENATE(CHAR(34),"CamA",CHAR(34)), CONCATENATE(CHAR(34),"CamB",CHAR(34))),"}"), ""),IF(VLOOKUP(C329,DM_fish!C:X,22, FALSE)&gt;0, CONCATENATE(",{",CHAR(34),"target",CHAR(34),":",CHAR(34),VLOOKUP(C329,DM_fish!C:X,21, FALSE),CHAR(34),",", CHAR(34), "excitation",CHAR(34), ":", VLOOKUP(C329,DM_fish!C:X,22, FALSE), ",",  CHAR(34), "camera",CHAR(34), ":", IF(VALUE(VLOOKUP(C329,DM_fish!C:X,22, FALSE))&lt;VALUE(VLOOKUP(V329,imaging_filters!A:K,11, FALSE)), CONCATENATE(CHAR(34),"CamA",CHAR(34)), CONCATENATE(CHAR(34),"CamB",CHAR(34))),"}"), "")), "]"), "")</f>
        <v/>
      </c>
      <c r="Y329" s="11" t="str">
        <f ca="1">IFERROR(
CONCATENATE( "[",
IF(VLOOKUP(E329,Injections!B:F,3, FALSE)&gt;0, CONCATENATE( "{",CHAR(34),"target",CHAR(34),":",CHAR(34),VLOOKUP(E329,Injections!B:F,2, FALSE),CHAR(34),",", CHAR(34), "excitation",CHAR(34), ":", VLOOKUP(E329,Injections!B:F,3, FALSE), ",",  CHAR(34), "camera",CHAR(34), ":",
IF(VALUE(VLOOKUP(E329,Injections!B:F,3, FALSE))&lt;VALUE(VLOOKUP(V329,imaging_filters!A:C,2, FALSE)), CONCATENATE(CHAR(34),"CamA",CHAR(34)), CONCATENATE(CHAR(34),"CamB",CHAR(34))),"}"), ""),
IF(VLOOKUP(E329,Injections!B:F,5, FALSE)&gt;0, CONCATENATE(",{",CHAR(34),"target",CHAR(34),":",CHAR(34),VLOOKUP(E329,Injections!B:F,4, FALSE),CHAR(34),",", CHAR(34), "excitation",CHAR(34), ":", VLOOKUP(E329,Injections!B:F,5, FALSE), ",",  CHAR(34), "camera",CHAR(34), ":",
IF(VALUE(VLOOKUP(E329,Injections!B:F,5, FALSE))&lt;VALUE(VLOOKUP(V329,imaging_filters!A:C,2, FALSE)), CONCATENATE(CHAR(34),"CamA",CHAR(34)), CONCATENATE(CHAR(34),"CamB",CHAR(34))),"}"), ""),
 "]"), "[]")</f>
        <v>[]</v>
      </c>
      <c r="Z329" s="11" t="str">
        <f ca="1">IFERROR(
CONCATENATE( "[",
IF(VLOOKUP(F329,Injections!H:L,3, FALSE)&gt;0, CONCATENATE( "{",CHAR(34),"target",CHAR(34),":",CHAR(34),VLOOKUP(F329,Injections!H:L,2, FALSE),CHAR(34),",", CHAR(34), "excitation",CHAR(34), ":", VLOOKUP(F329,Injections!H:L,3, FALSE), ",",  CHAR(34), "camera",CHAR(34), ":",
IF(VALUE(VLOOKUP(F329,Injections!H:L,3, FALSE))&lt;VALUE(VLOOKUP(V329,imaging_filters!A:K,11, FALSE)), CONCATENATE(CHAR(34),"CamA",CHAR(34)), CONCATENATE(CHAR(34),"CamB",CHAR(34))),"}"), ""),
IF(VLOOKUP(F329,Injections!H:L,5, FALSE)&gt;0, CONCATENATE(",{",CHAR(34),"target",CHAR(34),":",CHAR(34),VLOOKUP(F329,Injections!H:L,4, FALSE),CHAR(34),",", CHAR(34), "excitation",CHAR(34), ":", VLOOKUP(F329,Injections!H:L,5, FALSE), ",",  CHAR(34), "camera",CHAR(34), ":",
IF(VALUE(VLOOKUP(F329,Injections!H:L,5, FALSE))&lt;VALUE(VLOOKUP(V329,imaging_filters!A:K,11, FALSE)), CONCATENATE(CHAR(34),"CamA",CHAR(34)), CONCATENATE(CHAR(34),"CamB",CHAR(34))),"}"), ""),
 "]"), "[]")</f>
        <v>[]</v>
      </c>
      <c r="AA329" s="11" t="s">
        <v>644</v>
      </c>
    </row>
    <row r="330" spans="1:27" ht="15.75" customHeight="1" x14ac:dyDescent="0.15">
      <c r="A330" s="7">
        <f t="shared" si="9"/>
        <v>45693</v>
      </c>
      <c r="B330" s="1"/>
      <c r="C330" s="1" t="s">
        <v>253</v>
      </c>
      <c r="D330" s="1" t="s">
        <v>107</v>
      </c>
      <c r="F330" s="14" t="s">
        <v>639</v>
      </c>
      <c r="G330" s="8"/>
      <c r="H330" s="8"/>
      <c r="I330" s="8">
        <v>45691</v>
      </c>
      <c r="J330" s="9">
        <v>0.65625</v>
      </c>
      <c r="K330" s="1" t="s">
        <v>571</v>
      </c>
      <c r="L330" s="19">
        <v>45692</v>
      </c>
      <c r="M330" s="8">
        <v>45693</v>
      </c>
      <c r="N330" s="9">
        <v>0.40972222222222221</v>
      </c>
      <c r="O330" s="9">
        <v>0.41666666666666669</v>
      </c>
      <c r="P330" s="9">
        <v>0.61111111111111116</v>
      </c>
      <c r="Q330" s="1" t="s">
        <v>626</v>
      </c>
      <c r="R330" s="10" t="str">
        <f ca="1">IFERROR(__xludf.DUMMYFUNCTION("JOIN("","", SORT(UNIQUE(TOCOL({VLOOKUP(D330,DM_fish!A:B,2,FALSE),VLOOKUP(C330,DM_fish!A:B,2,FALSE), ARRAYFORMULA(VLOOKUP(SPLIT(E330, "", ""),Injections!B:G,6,FALSE)), ARRAYFORMULA(VLOOKUP(SPLIT(F330, "", ""),Injections!H:M,6,FALSE)), ARRAYFORMULA(VLOOKUP("&amp;"SPLIT(G330, "", ""),Injections!N:S,6,FALSE)), ARRAYFORMULA(VLOOKUP(SPLIT(H330, "", ""),Injections!T:Y,6,FALSE)) },3))))"),"nuclei")</f>
        <v>nuclei</v>
      </c>
      <c r="S330" s="10" t="str">
        <f ca="1">IFERROR(__xludf.DUMMYFUNCTION("IFERROR(JOIN("","", SPLIT(R330, "","", TRUE ,TRUE)), """")"),"nuclei")</f>
        <v>nuclei</v>
      </c>
      <c r="T330" s="1" t="s">
        <v>645</v>
      </c>
      <c r="U330" s="1">
        <v>1020</v>
      </c>
      <c r="V330" s="1" t="s">
        <v>203</v>
      </c>
      <c r="W330" s="12" t="str">
        <f ca="1">IFERROR(CONCATENATE("[", CONCATENATE(IF(VLOOKUP(D330,DM_fish!C:X,14, FALSE)&gt;0, CONCATENATE("{",CHAR(34),"target",CHAR(34),":",CHAR(34),VLOOKUP(D330,DM_fish!C:X,13, FALSE),CHAR(34),",", CHAR(34), "excitation",CHAR(34), ":", VLOOKUP(D330,DM_fish!C:X,14, FALSE), ",",  CHAR(34), "camera",CHAR(34), ":", IF(VALUE(VLOOKUP(D330,DM_fish!C:X,14, FALSE))&lt;VALUE(VLOOKUP(V330,imaging_filters!A:K,11, FALSE)), CONCATENATE(CHAR(34),"CamA",CHAR(34)), CONCATENATE(CHAR(34),"CamB",CHAR(34))),"}"), ""),IF(VLOOKUP(D330,DM_fish!C:X,16, FALSE)&gt;0, CONCATENATE(",{",CHAR(34),"target",CHAR(34),":",CHAR(34),VLOOKUP(D330,DM_fish!C:X,15, FALSE),CHAR(34),",", CHAR(34), "excitation",CHAR(34), ":", VLOOKUP(D330,DM_fish!C:X,16, FALSE), ",",  CHAR(34), "camera",CHAR(34), ":", IF(VALUE(VLOOKUP(D330,DM_fish!C:X,16, FALSE))&lt;VALUE(VLOOKUP(V330,imaging_filters!A:K,11, FALSE)), CONCATENATE(CHAR(34),"CamA",CHAR(34)), CONCATENATE(CHAR(34),"CamB",CHAR(34))),"}"), ""),IF(VLOOKUP(D330,DM_fish!C:X,18, FALSE)&gt;0, CONCATENATE(",{",CHAR(34),"target",CHAR(34),":",CHAR(34),VLOOKUP(D330,DM_fish!C:X,17, FALSE),CHAR(34),",", CHAR(34), "excitation",CHAR(34), ":", VLOOKUP(D330,DM_fish!C:X,18, FALSE), ",",  CHAR(34), "camera",CHAR(34), ":", IF(VALUE(VLOOKUP(D330,DM_fish!C:X,18, FALSE))&lt;VALUE(VLOOKUP(V330,imaging_filters!A:K,11, FALSE)), CONCATENATE(CHAR(34),"CamA",CHAR(34)), CONCATENATE(CHAR(34),"CamB",CHAR(34))),"}"), ""),IF(VLOOKUP(D330,DM_fish!C:X,20, FALSE)&gt;0, CONCATENATE(",{",CHAR(34),"target",CHAR(34),":",CHAR(34),VLOOKUP(D330,DM_fish!C:X,19, FALSE),CHAR(34),",", CHAR(34), "excitation",CHAR(34), ":", VLOOKUP(D330,DM_fish!C:X,20, FALSE), ",",  CHAR(34), "camera",CHAR(34), ":", IF(VALUE(VLOOKUP(D330,DM_fish!C:X,20, FALSE))&lt;VALUE(VLOOKUP(V330,imaging_filters!A:K,11, FALSE)), CONCATENATE(CHAR(34),"CamA",CHAR(34)), CONCATENATE(CHAR(34),"CamB",CHAR(34))),"}"), ""),IF(VLOOKUP(D330,DM_fish!C:X,22, FALSE)&gt;0, CONCATENATE(",{",CHAR(34),"target",CHAR(34),":",CHAR(34),VLOOKUP(D330,DM_fish!C:X,21, FALSE),CHAR(34),",", CHAR(34), "excitation",CHAR(34), ":", VLOOKUP(D330,DM_fish!C:X,22, FALSE), ",",  CHAR(34), "camera",CHAR(34), ":", IF(VALUE(VLOOKUP(D330,DM_fish!C:X,22, FALSE))&lt;VALUE(VLOOKUP(V330,imaging_filters!A:K,11, FALSE)), CONCATENATE(CHAR(34),"CamA",CHAR(34)), CONCATENATE(CHAR(34),"CamB",CHAR(34))),"}"), "")), "]"), "")</f>
        <v/>
      </c>
      <c r="X330" s="12" t="str">
        <f ca="1">IFERROR(
CONCATENATE("[", CONCATENATE(IF(VLOOKUP(C330,DM_fish!C:X,14, FALSE)&gt;0, CONCATENATE("{",CHAR(34),"target",CHAR(34),":",CHAR(34),VLOOKUP(C330,DM_fish!C:X,13, FALSE),CHAR(34),",", CHAR(34), "excitation",CHAR(34), ":", VLOOKUP(C330,DM_fish!C:X,14, FALSE), ",",  CHAR(34), "camera",CHAR(34), ":", IF(VALUE(VLOOKUP(C330,DM_fish!C:X,14, FALSE))&lt;VALUE(VLOOKUP(V330,imaging_filters!A:K,11, FALSE)), CONCATENATE(CHAR(34),"CamA",CHAR(34)), CONCATENATE(CHAR(34),"CamB",CHAR(34))),"}"), ""),IF(VLOOKUP(C330,DM_fish!C:X,16, FALSE)&gt;0, CONCATENATE(",{",CHAR(34),"target",CHAR(34),":",CHAR(34),VLOOKUP(C330,DM_fish!C:X,15, FALSE),CHAR(34),",", CHAR(34), "excitation",CHAR(34), ":", VLOOKUP(C330,DM_fish!C:X,16, FALSE), ",",  CHAR(34), "camera",CHAR(34), ":", IF(VALUE(VLOOKUP(C330,DM_fish!C:X,16, FALSE))&lt;VALUE(VLOOKUP(V330,imaging_filters!A:K,11, FALSE)), CONCATENATE(CHAR(34),"CamA",CHAR(34)), CONCATENATE(CHAR(34),"CamB",CHAR(34))),"}"), ""),IF(VLOOKUP(C330,DM_fish!C:X,18, FALSE)&gt;0, CONCATENATE(",{",CHAR(34),"target",CHAR(34),":",CHAR(34),VLOOKUP(C330,DM_fish!C:X,17, FALSE),CHAR(34),",", CHAR(34), "excitation",CHAR(34), ":", VLOOKUP(C330,DM_fish!C:X,18, FALSE), ",",  CHAR(34), "camera",CHAR(34), ":", IF(VALUE(VLOOKUP(C330,DM_fish!C:X,18, FALSE))&lt;VALUE(VLOOKUP(V330,imaging_filters!A:K,11, FALSE)), CONCATENATE(CHAR(34),"CamA",CHAR(34)), CONCATENATE(CHAR(34),"CamB",CHAR(34))),"}"), ""),IF(VLOOKUP(C330,DM_fish!C:X,20, FALSE)&gt;0, CONCATENATE(",{",CHAR(34),"target",CHAR(34),":",CHAR(34),VLOOKUP(C330,DM_fish!C:X,19, FALSE),CHAR(34),",", CHAR(34), "excitation",CHAR(34), ":", VLOOKUP(C330,DM_fish!C:X,20, FALSE), ",",  CHAR(34), "camera",CHAR(34), ":", IF(VALUE(VLOOKUP(C330,DM_fish!C:X,20, FALSE))&lt;VALUE(VLOOKUP(V330,imaging_filters!A:K,11, FALSE)), CONCATENATE(CHAR(34),"CamA",CHAR(34)), CONCATENATE(CHAR(34),"CamB",CHAR(34))),"}"), ""),IF(VLOOKUP(C330,DM_fish!C:X,22, FALSE)&gt;0, CONCATENATE(",{",CHAR(34),"target",CHAR(34),":",CHAR(34),VLOOKUP(C330,DM_fish!C:X,21, FALSE),CHAR(34),",", CHAR(34), "excitation",CHAR(34), ":", VLOOKUP(C330,DM_fish!C:X,22, FALSE), ",",  CHAR(34), "camera",CHAR(34), ":", IF(VALUE(VLOOKUP(C330,DM_fish!C:X,22, FALSE))&lt;VALUE(VLOOKUP(V330,imaging_filters!A:K,11, FALSE)), CONCATENATE(CHAR(34),"CamA",CHAR(34)), CONCATENATE(CHAR(34),"CamB",CHAR(34))),"}"), "")), "]"), "")</f>
        <v/>
      </c>
      <c r="Y330" s="11" t="str">
        <f ca="1">IFERROR(
CONCATENATE( "[",
IF(VLOOKUP(E330,Injections!B:F,3, FALSE)&gt;0, CONCATENATE( "{",CHAR(34),"target",CHAR(34),":",CHAR(34),VLOOKUP(E330,Injections!B:F,2, FALSE),CHAR(34),",", CHAR(34), "excitation",CHAR(34), ":", VLOOKUP(E330,Injections!B:F,3, FALSE), ",",  CHAR(34), "camera",CHAR(34), ":",
IF(VALUE(VLOOKUP(E330,Injections!B:F,3, FALSE))&lt;VALUE(VLOOKUP(V330,imaging_filters!A:C,2, FALSE)), CONCATENATE(CHAR(34),"CamA",CHAR(34)), CONCATENATE(CHAR(34),"CamB",CHAR(34))),"}"), ""),
IF(VLOOKUP(E330,Injections!B:F,5, FALSE)&gt;0, CONCATENATE(",{",CHAR(34),"target",CHAR(34),":",CHAR(34),VLOOKUP(E330,Injections!B:F,4, FALSE),CHAR(34),",", CHAR(34), "excitation",CHAR(34), ":", VLOOKUP(E330,Injections!B:F,5, FALSE), ",",  CHAR(34), "camera",CHAR(34), ":",
IF(VALUE(VLOOKUP(E330,Injections!B:F,5, FALSE))&lt;VALUE(VLOOKUP(V330,imaging_filters!A:C,2, FALSE)), CONCATENATE(CHAR(34),"CamA",CHAR(34)), CONCATENATE(CHAR(34),"CamB",CHAR(34))),"}"), ""),
 "]"), "[]")</f>
        <v>[]</v>
      </c>
      <c r="Z330" s="11" t="str">
        <f ca="1">IFERROR(
CONCATENATE( "[",
IF(VLOOKUP(F330,Injections!H:L,3, FALSE)&gt;0, CONCATENATE( "{",CHAR(34),"target",CHAR(34),":",CHAR(34),VLOOKUP(F330,Injections!H:L,2, FALSE),CHAR(34),",", CHAR(34), "excitation",CHAR(34), ":", VLOOKUP(F330,Injections!H:L,3, FALSE), ",",  CHAR(34), "camera",CHAR(34), ":",
IF(VALUE(VLOOKUP(F330,Injections!H:L,3, FALSE))&lt;VALUE(VLOOKUP(V330,imaging_filters!A:K,11, FALSE)), CONCATENATE(CHAR(34),"CamA",CHAR(34)), CONCATENATE(CHAR(34),"CamB",CHAR(34))),"}"), ""),
IF(VLOOKUP(F330,Injections!H:L,5, FALSE)&gt;0, CONCATENATE(",{",CHAR(34),"target",CHAR(34),":",CHAR(34),VLOOKUP(F330,Injections!H:L,4, FALSE),CHAR(34),",", CHAR(34), "excitation",CHAR(34), ":", VLOOKUP(F330,Injections!H:L,5, FALSE), ",",  CHAR(34), "camera",CHAR(34), ":",
IF(VALUE(VLOOKUP(F330,Injections!H:L,5, FALSE))&lt;VALUE(VLOOKUP(V330,imaging_filters!A:K,11, FALSE)), CONCATENATE(CHAR(34),"CamA",CHAR(34)), CONCATENATE(CHAR(34),"CamB",CHAR(34))),"}"), ""),
 "]"), "[]")</f>
        <v>[]</v>
      </c>
      <c r="AA330" s="11"/>
    </row>
    <row r="331" spans="1:27" ht="15.75" customHeight="1" x14ac:dyDescent="0.15">
      <c r="A331" s="7">
        <f t="shared" si="9"/>
        <v>45693</v>
      </c>
      <c r="B331" s="1"/>
      <c r="C331" s="1" t="s">
        <v>253</v>
      </c>
      <c r="D331" s="1" t="s">
        <v>107</v>
      </c>
      <c r="F331" s="14" t="s">
        <v>639</v>
      </c>
      <c r="G331" s="8"/>
      <c r="H331" s="8"/>
      <c r="I331" s="8">
        <v>45691</v>
      </c>
      <c r="J331" s="9">
        <v>0.65625</v>
      </c>
      <c r="K331" s="1" t="s">
        <v>571</v>
      </c>
      <c r="L331" s="19">
        <v>45692</v>
      </c>
      <c r="M331" s="8">
        <v>45693</v>
      </c>
      <c r="N331" s="9">
        <v>0.40972222222222221</v>
      </c>
      <c r="O331" s="9">
        <v>0.625</v>
      </c>
      <c r="P331" s="9">
        <v>0.72222222222222221</v>
      </c>
      <c r="Q331" s="1" t="s">
        <v>626</v>
      </c>
      <c r="R331" s="10" t="str">
        <f ca="1">IFERROR(__xludf.DUMMYFUNCTION("JOIN("","", SORT(UNIQUE(TOCOL({VLOOKUP(D331,DM_fish!A:B,2,FALSE),VLOOKUP(C331,DM_fish!A:B,2,FALSE), ARRAYFORMULA(VLOOKUP(SPLIT(E331, "", ""),Injections!B:G,6,FALSE)), ARRAYFORMULA(VLOOKUP(SPLIT(F331, "", ""),Injections!H:M,6,FALSE)), ARRAYFORMULA(VLOOKUP("&amp;"SPLIT(G331, "", ""),Injections!N:S,6,FALSE)), ARRAYFORMULA(VLOOKUP(SPLIT(H331, "", ""),Injections!T:Y,6,FALSE)) },3))))"),"nuclei")</f>
        <v>nuclei</v>
      </c>
      <c r="S331" s="10" t="str">
        <f ca="1">IFERROR(__xludf.DUMMYFUNCTION("IFERROR(JOIN("","", SPLIT(R331, "","", TRUE ,TRUE)), """")"),"nuclei")</f>
        <v>nuclei</v>
      </c>
      <c r="T331" s="1" t="s">
        <v>646</v>
      </c>
      <c r="U331" s="1">
        <v>615</v>
      </c>
      <c r="V331" s="1" t="s">
        <v>203</v>
      </c>
      <c r="W331" s="12" t="str">
        <f ca="1">IFERROR(CONCATENATE("[", CONCATENATE(IF(VLOOKUP(D331,DM_fish!C:X,14, FALSE)&gt;0, CONCATENATE("{",CHAR(34),"target",CHAR(34),":",CHAR(34),VLOOKUP(D331,DM_fish!C:X,13, FALSE),CHAR(34),",", CHAR(34), "excitation",CHAR(34), ":", VLOOKUP(D331,DM_fish!C:X,14, FALSE), ",",  CHAR(34), "camera",CHAR(34), ":", IF(VALUE(VLOOKUP(D331,DM_fish!C:X,14, FALSE))&lt;VALUE(VLOOKUP(V331,imaging_filters!A:K,11, FALSE)), CONCATENATE(CHAR(34),"CamA",CHAR(34)), CONCATENATE(CHAR(34),"CamB",CHAR(34))),"}"), ""),IF(VLOOKUP(D331,DM_fish!C:X,16, FALSE)&gt;0, CONCATENATE(",{",CHAR(34),"target",CHAR(34),":",CHAR(34),VLOOKUP(D331,DM_fish!C:X,15, FALSE),CHAR(34),",", CHAR(34), "excitation",CHAR(34), ":", VLOOKUP(D331,DM_fish!C:X,16, FALSE), ",",  CHAR(34), "camera",CHAR(34), ":", IF(VALUE(VLOOKUP(D331,DM_fish!C:X,16, FALSE))&lt;VALUE(VLOOKUP(V331,imaging_filters!A:K,11, FALSE)), CONCATENATE(CHAR(34),"CamA",CHAR(34)), CONCATENATE(CHAR(34),"CamB",CHAR(34))),"}"), ""),IF(VLOOKUP(D331,DM_fish!C:X,18, FALSE)&gt;0, CONCATENATE(",{",CHAR(34),"target",CHAR(34),":",CHAR(34),VLOOKUP(D331,DM_fish!C:X,17, FALSE),CHAR(34),",", CHAR(34), "excitation",CHAR(34), ":", VLOOKUP(D331,DM_fish!C:X,18, FALSE), ",",  CHAR(34), "camera",CHAR(34), ":", IF(VALUE(VLOOKUP(D331,DM_fish!C:X,18, FALSE))&lt;VALUE(VLOOKUP(V331,imaging_filters!A:K,11, FALSE)), CONCATENATE(CHAR(34),"CamA",CHAR(34)), CONCATENATE(CHAR(34),"CamB",CHAR(34))),"}"), ""),IF(VLOOKUP(D331,DM_fish!C:X,20, FALSE)&gt;0, CONCATENATE(",{",CHAR(34),"target",CHAR(34),":",CHAR(34),VLOOKUP(D331,DM_fish!C:X,19, FALSE),CHAR(34),",", CHAR(34), "excitation",CHAR(34), ":", VLOOKUP(D331,DM_fish!C:X,20, FALSE), ",",  CHAR(34), "camera",CHAR(34), ":", IF(VALUE(VLOOKUP(D331,DM_fish!C:X,20, FALSE))&lt;VALUE(VLOOKUP(V331,imaging_filters!A:K,11, FALSE)), CONCATENATE(CHAR(34),"CamA",CHAR(34)), CONCATENATE(CHAR(34),"CamB",CHAR(34))),"}"), ""),IF(VLOOKUP(D331,DM_fish!C:X,22, FALSE)&gt;0, CONCATENATE(",{",CHAR(34),"target",CHAR(34),":",CHAR(34),VLOOKUP(D331,DM_fish!C:X,21, FALSE),CHAR(34),",", CHAR(34), "excitation",CHAR(34), ":", VLOOKUP(D331,DM_fish!C:X,22, FALSE), ",",  CHAR(34), "camera",CHAR(34), ":", IF(VALUE(VLOOKUP(D331,DM_fish!C:X,22, FALSE))&lt;VALUE(VLOOKUP(V331,imaging_filters!A:K,11, FALSE)), CONCATENATE(CHAR(34),"CamA",CHAR(34)), CONCATENATE(CHAR(34),"CamB",CHAR(34))),"}"), "")), "]"), "")</f>
        <v/>
      </c>
      <c r="X331" s="12" t="str">
        <f ca="1">IFERROR(
CONCATENATE("[", CONCATENATE(IF(VLOOKUP(C331,DM_fish!C:X,14, FALSE)&gt;0, CONCATENATE("{",CHAR(34),"target",CHAR(34),":",CHAR(34),VLOOKUP(C331,DM_fish!C:X,13, FALSE),CHAR(34),",", CHAR(34), "excitation",CHAR(34), ":", VLOOKUP(C331,DM_fish!C:X,14, FALSE), ",",  CHAR(34), "camera",CHAR(34), ":", IF(VALUE(VLOOKUP(C331,DM_fish!C:X,14, FALSE))&lt;VALUE(VLOOKUP(V331,imaging_filters!A:K,11, FALSE)), CONCATENATE(CHAR(34),"CamA",CHAR(34)), CONCATENATE(CHAR(34),"CamB",CHAR(34))),"}"), ""),IF(VLOOKUP(C331,DM_fish!C:X,16, FALSE)&gt;0, CONCATENATE(",{",CHAR(34),"target",CHAR(34),":",CHAR(34),VLOOKUP(C331,DM_fish!C:X,15, FALSE),CHAR(34),",", CHAR(34), "excitation",CHAR(34), ":", VLOOKUP(C331,DM_fish!C:X,16, FALSE), ",",  CHAR(34), "camera",CHAR(34), ":", IF(VALUE(VLOOKUP(C331,DM_fish!C:X,16, FALSE))&lt;VALUE(VLOOKUP(V331,imaging_filters!A:K,11, FALSE)), CONCATENATE(CHAR(34),"CamA",CHAR(34)), CONCATENATE(CHAR(34),"CamB",CHAR(34))),"}"), ""),IF(VLOOKUP(C331,DM_fish!C:X,18, FALSE)&gt;0, CONCATENATE(",{",CHAR(34),"target",CHAR(34),":",CHAR(34),VLOOKUP(C331,DM_fish!C:X,17, FALSE),CHAR(34),",", CHAR(34), "excitation",CHAR(34), ":", VLOOKUP(C331,DM_fish!C:X,18, FALSE), ",",  CHAR(34), "camera",CHAR(34), ":", IF(VALUE(VLOOKUP(C331,DM_fish!C:X,18, FALSE))&lt;VALUE(VLOOKUP(V331,imaging_filters!A:K,11, FALSE)), CONCATENATE(CHAR(34),"CamA",CHAR(34)), CONCATENATE(CHAR(34),"CamB",CHAR(34))),"}"), ""),IF(VLOOKUP(C331,DM_fish!C:X,20, FALSE)&gt;0, CONCATENATE(",{",CHAR(34),"target",CHAR(34),":",CHAR(34),VLOOKUP(C331,DM_fish!C:X,19, FALSE),CHAR(34),",", CHAR(34), "excitation",CHAR(34), ":", VLOOKUP(C331,DM_fish!C:X,20, FALSE), ",",  CHAR(34), "camera",CHAR(34), ":", IF(VALUE(VLOOKUP(C331,DM_fish!C:X,20, FALSE))&lt;VALUE(VLOOKUP(V331,imaging_filters!A:K,11, FALSE)), CONCATENATE(CHAR(34),"CamA",CHAR(34)), CONCATENATE(CHAR(34),"CamB",CHAR(34))),"}"), ""),IF(VLOOKUP(C331,DM_fish!C:X,22, FALSE)&gt;0, CONCATENATE(",{",CHAR(34),"target",CHAR(34),":",CHAR(34),VLOOKUP(C331,DM_fish!C:X,21, FALSE),CHAR(34),",", CHAR(34), "excitation",CHAR(34), ":", VLOOKUP(C331,DM_fish!C:X,22, FALSE), ",",  CHAR(34), "camera",CHAR(34), ":", IF(VALUE(VLOOKUP(C331,DM_fish!C:X,22, FALSE))&lt;VALUE(VLOOKUP(V331,imaging_filters!A:K,11, FALSE)), CONCATENATE(CHAR(34),"CamA",CHAR(34)), CONCATENATE(CHAR(34),"CamB",CHAR(34))),"}"), "")), "]"), "")</f>
        <v/>
      </c>
      <c r="Y331" s="11" t="str">
        <f ca="1">IFERROR(
CONCATENATE( "[",
IF(VLOOKUP(E331,Injections!B:F,3, FALSE)&gt;0, CONCATENATE( "{",CHAR(34),"target",CHAR(34),":",CHAR(34),VLOOKUP(E331,Injections!B:F,2, FALSE),CHAR(34),",", CHAR(34), "excitation",CHAR(34), ":", VLOOKUP(E331,Injections!B:F,3, FALSE), ",",  CHAR(34), "camera",CHAR(34), ":",
IF(VALUE(VLOOKUP(E331,Injections!B:F,3, FALSE))&lt;VALUE(VLOOKUP(V331,imaging_filters!A:C,2, FALSE)), CONCATENATE(CHAR(34),"CamA",CHAR(34)), CONCATENATE(CHAR(34),"CamB",CHAR(34))),"}"), ""),
IF(VLOOKUP(E331,Injections!B:F,5, FALSE)&gt;0, CONCATENATE(",{",CHAR(34),"target",CHAR(34),":",CHAR(34),VLOOKUP(E331,Injections!B:F,4, FALSE),CHAR(34),",", CHAR(34), "excitation",CHAR(34), ":", VLOOKUP(E331,Injections!B:F,5, FALSE), ",",  CHAR(34), "camera",CHAR(34), ":",
IF(VALUE(VLOOKUP(E331,Injections!B:F,5, FALSE))&lt;VALUE(VLOOKUP(V331,imaging_filters!A:C,2, FALSE)), CONCATENATE(CHAR(34),"CamA",CHAR(34)), CONCATENATE(CHAR(34),"CamB",CHAR(34))),"}"), ""),
 "]"), "[]")</f>
        <v>[]</v>
      </c>
      <c r="Z331" s="11" t="str">
        <f ca="1">IFERROR(
CONCATENATE( "[",
IF(VLOOKUP(F331,Injections!H:L,3, FALSE)&gt;0, CONCATENATE( "{",CHAR(34),"target",CHAR(34),":",CHAR(34),VLOOKUP(F331,Injections!H:L,2, FALSE),CHAR(34),",", CHAR(34), "excitation",CHAR(34), ":", VLOOKUP(F331,Injections!H:L,3, FALSE), ",",  CHAR(34), "camera",CHAR(34), ":",
IF(VALUE(VLOOKUP(F331,Injections!H:L,3, FALSE))&lt;VALUE(VLOOKUP(V331,imaging_filters!A:K,11, FALSE)), CONCATENATE(CHAR(34),"CamA",CHAR(34)), CONCATENATE(CHAR(34),"CamB",CHAR(34))),"}"), ""),
IF(VLOOKUP(F331,Injections!H:L,5, FALSE)&gt;0, CONCATENATE(",{",CHAR(34),"target",CHAR(34),":",CHAR(34),VLOOKUP(F331,Injections!H:L,4, FALSE),CHAR(34),",", CHAR(34), "excitation",CHAR(34), ":", VLOOKUP(F331,Injections!H:L,5, FALSE), ",",  CHAR(34), "camera",CHAR(34), ":",
IF(VALUE(VLOOKUP(F331,Injections!H:L,5, FALSE))&lt;VALUE(VLOOKUP(V331,imaging_filters!A:K,11, FALSE)), CONCATENATE(CHAR(34),"CamA",CHAR(34)), CONCATENATE(CHAR(34),"CamB",CHAR(34))),"}"), ""),
 "]"), "[]")</f>
        <v>[]</v>
      </c>
      <c r="AA331" s="11"/>
    </row>
    <row r="332" spans="1:27" ht="15.75" customHeight="1" x14ac:dyDescent="0.15">
      <c r="A332" s="7">
        <f t="shared" si="9"/>
        <v>45693</v>
      </c>
      <c r="B332" s="1"/>
      <c r="C332" s="1" t="s">
        <v>253</v>
      </c>
      <c r="D332" s="1" t="s">
        <v>107</v>
      </c>
      <c r="F332" s="14" t="s">
        <v>639</v>
      </c>
      <c r="G332" s="8"/>
      <c r="H332" s="8"/>
      <c r="I332" s="8">
        <v>45691</v>
      </c>
      <c r="J332" s="9">
        <v>0.48749999999999999</v>
      </c>
      <c r="K332" s="1" t="s">
        <v>564</v>
      </c>
      <c r="L332" s="19">
        <v>45693</v>
      </c>
      <c r="M332" s="8">
        <v>45693</v>
      </c>
      <c r="N332" s="9">
        <v>0.72916666666666663</v>
      </c>
      <c r="O332" s="9">
        <v>0.75</v>
      </c>
      <c r="P332" s="1" t="s">
        <v>647</v>
      </c>
      <c r="Q332" s="1" t="s">
        <v>395</v>
      </c>
      <c r="R332" s="10" t="str">
        <f ca="1">IFERROR(__xludf.DUMMYFUNCTION("JOIN("","", SORT(UNIQUE(TOCOL({VLOOKUP(D332,DM_fish!A:B,2,FALSE),VLOOKUP(C332,DM_fish!A:B,2,FALSE), ARRAYFORMULA(VLOOKUP(SPLIT(E332, "", ""),Injections!B:G,6,FALSE)), ARRAYFORMULA(VLOOKUP(SPLIT(F332, "", ""),Injections!H:M,6,FALSE)), ARRAYFORMULA(VLOOKUP("&amp;"SPLIT(G332, "", ""),Injections!N:S,6,FALSE)), ARRAYFORMULA(VLOOKUP(SPLIT(H332, "", ""),Injections!T:Y,6,FALSE)) },3))))"),"nuclei")</f>
        <v>nuclei</v>
      </c>
      <c r="S332" s="10" t="str">
        <f ca="1">IFERROR(__xludf.DUMMYFUNCTION("IFERROR(JOIN("","", SPLIT(R332, "","", TRUE ,TRUE)), """")"),"nuclei")</f>
        <v>nuclei</v>
      </c>
      <c r="T332" s="1" t="s">
        <v>648</v>
      </c>
      <c r="U332" s="1">
        <v>1105</v>
      </c>
      <c r="V332" s="1" t="s">
        <v>203</v>
      </c>
      <c r="W332" s="12" t="str">
        <f ca="1">IFERROR(CONCATENATE("[", CONCATENATE(IF(VLOOKUP(D332,DM_fish!C:X,14, FALSE)&gt;0, CONCATENATE("{",CHAR(34),"target",CHAR(34),":",CHAR(34),VLOOKUP(D332,DM_fish!C:X,13, FALSE),CHAR(34),",", CHAR(34), "excitation",CHAR(34), ":", VLOOKUP(D332,DM_fish!C:X,14, FALSE), ",",  CHAR(34), "camera",CHAR(34), ":", IF(VALUE(VLOOKUP(D332,DM_fish!C:X,14, FALSE))&lt;VALUE(VLOOKUP(V332,imaging_filters!A:K,11, FALSE)), CONCATENATE(CHAR(34),"CamA",CHAR(34)), CONCATENATE(CHAR(34),"CamB",CHAR(34))),"}"), ""),IF(VLOOKUP(D332,DM_fish!C:X,16, FALSE)&gt;0, CONCATENATE(",{",CHAR(34),"target",CHAR(34),":",CHAR(34),VLOOKUP(D332,DM_fish!C:X,15, FALSE),CHAR(34),",", CHAR(34), "excitation",CHAR(34), ":", VLOOKUP(D332,DM_fish!C:X,16, FALSE), ",",  CHAR(34), "camera",CHAR(34), ":", IF(VALUE(VLOOKUP(D332,DM_fish!C:X,16, FALSE))&lt;VALUE(VLOOKUP(V332,imaging_filters!A:K,11, FALSE)), CONCATENATE(CHAR(34),"CamA",CHAR(34)), CONCATENATE(CHAR(34),"CamB",CHAR(34))),"}"), ""),IF(VLOOKUP(D332,DM_fish!C:X,18, FALSE)&gt;0, CONCATENATE(",{",CHAR(34),"target",CHAR(34),":",CHAR(34),VLOOKUP(D332,DM_fish!C:X,17, FALSE),CHAR(34),",", CHAR(34), "excitation",CHAR(34), ":", VLOOKUP(D332,DM_fish!C:X,18, FALSE), ",",  CHAR(34), "camera",CHAR(34), ":", IF(VALUE(VLOOKUP(D332,DM_fish!C:X,18, FALSE))&lt;VALUE(VLOOKUP(V332,imaging_filters!A:K,11, FALSE)), CONCATENATE(CHAR(34),"CamA",CHAR(34)), CONCATENATE(CHAR(34),"CamB",CHAR(34))),"}"), ""),IF(VLOOKUP(D332,DM_fish!C:X,20, FALSE)&gt;0, CONCATENATE(",{",CHAR(34),"target",CHAR(34),":",CHAR(34),VLOOKUP(D332,DM_fish!C:X,19, FALSE),CHAR(34),",", CHAR(34), "excitation",CHAR(34), ":", VLOOKUP(D332,DM_fish!C:X,20, FALSE), ",",  CHAR(34), "camera",CHAR(34), ":", IF(VALUE(VLOOKUP(D332,DM_fish!C:X,20, FALSE))&lt;VALUE(VLOOKUP(V332,imaging_filters!A:K,11, FALSE)), CONCATENATE(CHAR(34),"CamA",CHAR(34)), CONCATENATE(CHAR(34),"CamB",CHAR(34))),"}"), ""),IF(VLOOKUP(D332,DM_fish!C:X,22, FALSE)&gt;0, CONCATENATE(",{",CHAR(34),"target",CHAR(34),":",CHAR(34),VLOOKUP(D332,DM_fish!C:X,21, FALSE),CHAR(34),",", CHAR(34), "excitation",CHAR(34), ":", VLOOKUP(D332,DM_fish!C:X,22, FALSE), ",",  CHAR(34), "camera",CHAR(34), ":", IF(VALUE(VLOOKUP(D332,DM_fish!C:X,22, FALSE))&lt;VALUE(VLOOKUP(V332,imaging_filters!A:K,11, FALSE)), CONCATENATE(CHAR(34),"CamA",CHAR(34)), CONCATENATE(CHAR(34),"CamB",CHAR(34))),"}"), "")), "]"), "")</f>
        <v/>
      </c>
      <c r="X332" s="12" t="str">
        <f ca="1">IFERROR(
CONCATENATE("[", CONCATENATE(IF(VLOOKUP(C332,DM_fish!C:X,14, FALSE)&gt;0, CONCATENATE("{",CHAR(34),"target",CHAR(34),":",CHAR(34),VLOOKUP(C332,DM_fish!C:X,13, FALSE),CHAR(34),",", CHAR(34), "excitation",CHAR(34), ":", VLOOKUP(C332,DM_fish!C:X,14, FALSE), ",",  CHAR(34), "camera",CHAR(34), ":", IF(VALUE(VLOOKUP(C332,DM_fish!C:X,14, FALSE))&lt;VALUE(VLOOKUP(V332,imaging_filters!A:K,11, FALSE)), CONCATENATE(CHAR(34),"CamA",CHAR(34)), CONCATENATE(CHAR(34),"CamB",CHAR(34))),"}"), ""),IF(VLOOKUP(C332,DM_fish!C:X,16, FALSE)&gt;0, CONCATENATE(",{",CHAR(34),"target",CHAR(34),":",CHAR(34),VLOOKUP(C332,DM_fish!C:X,15, FALSE),CHAR(34),",", CHAR(34), "excitation",CHAR(34), ":", VLOOKUP(C332,DM_fish!C:X,16, FALSE), ",",  CHAR(34), "camera",CHAR(34), ":", IF(VALUE(VLOOKUP(C332,DM_fish!C:X,16, FALSE))&lt;VALUE(VLOOKUP(V332,imaging_filters!A:K,11, FALSE)), CONCATENATE(CHAR(34),"CamA",CHAR(34)), CONCATENATE(CHAR(34),"CamB",CHAR(34))),"}"), ""),IF(VLOOKUP(C332,DM_fish!C:X,18, FALSE)&gt;0, CONCATENATE(",{",CHAR(34),"target",CHAR(34),":",CHAR(34),VLOOKUP(C332,DM_fish!C:X,17, FALSE),CHAR(34),",", CHAR(34), "excitation",CHAR(34), ":", VLOOKUP(C332,DM_fish!C:X,18, FALSE), ",",  CHAR(34), "camera",CHAR(34), ":", IF(VALUE(VLOOKUP(C332,DM_fish!C:X,18, FALSE))&lt;VALUE(VLOOKUP(V332,imaging_filters!A:K,11, FALSE)), CONCATENATE(CHAR(34),"CamA",CHAR(34)), CONCATENATE(CHAR(34),"CamB",CHAR(34))),"}"), ""),IF(VLOOKUP(C332,DM_fish!C:X,20, FALSE)&gt;0, CONCATENATE(",{",CHAR(34),"target",CHAR(34),":",CHAR(34),VLOOKUP(C332,DM_fish!C:X,19, FALSE),CHAR(34),",", CHAR(34), "excitation",CHAR(34), ":", VLOOKUP(C332,DM_fish!C:X,20, FALSE), ",",  CHAR(34), "camera",CHAR(34), ":", IF(VALUE(VLOOKUP(C332,DM_fish!C:X,20, FALSE))&lt;VALUE(VLOOKUP(V332,imaging_filters!A:K,11, FALSE)), CONCATENATE(CHAR(34),"CamA",CHAR(34)), CONCATENATE(CHAR(34),"CamB",CHAR(34))),"}"), ""),IF(VLOOKUP(C332,DM_fish!C:X,22, FALSE)&gt;0, CONCATENATE(",{",CHAR(34),"target",CHAR(34),":",CHAR(34),VLOOKUP(C332,DM_fish!C:X,21, FALSE),CHAR(34),",", CHAR(34), "excitation",CHAR(34), ":", VLOOKUP(C332,DM_fish!C:X,22, FALSE), ",",  CHAR(34), "camera",CHAR(34), ":", IF(VALUE(VLOOKUP(C332,DM_fish!C:X,22, FALSE))&lt;VALUE(VLOOKUP(V332,imaging_filters!A:K,11, FALSE)), CONCATENATE(CHAR(34),"CamA",CHAR(34)), CONCATENATE(CHAR(34),"CamB",CHAR(34))),"}"), "")), "]"), "")</f>
        <v/>
      </c>
      <c r="Y332" s="11" t="str">
        <f ca="1">IFERROR(
CONCATENATE( "[",
IF(VLOOKUP(E332,Injections!B:F,3, FALSE)&gt;0, CONCATENATE( "{",CHAR(34),"target",CHAR(34),":",CHAR(34),VLOOKUP(E332,Injections!B:F,2, FALSE),CHAR(34),",", CHAR(34), "excitation",CHAR(34), ":", VLOOKUP(E332,Injections!B:F,3, FALSE), ",",  CHAR(34), "camera",CHAR(34), ":",
IF(VALUE(VLOOKUP(E332,Injections!B:F,3, FALSE))&lt;VALUE(VLOOKUP(V332,imaging_filters!A:C,2, FALSE)), CONCATENATE(CHAR(34),"CamA",CHAR(34)), CONCATENATE(CHAR(34),"CamB",CHAR(34))),"}"), ""),
IF(VLOOKUP(E332,Injections!B:F,5, FALSE)&gt;0, CONCATENATE(",{",CHAR(34),"target",CHAR(34),":",CHAR(34),VLOOKUP(E332,Injections!B:F,4, FALSE),CHAR(34),",", CHAR(34), "excitation",CHAR(34), ":", VLOOKUP(E332,Injections!B:F,5, FALSE), ",",  CHAR(34), "camera",CHAR(34), ":",
IF(VALUE(VLOOKUP(E332,Injections!B:F,5, FALSE))&lt;VALUE(VLOOKUP(V332,imaging_filters!A:C,2, FALSE)), CONCATENATE(CHAR(34),"CamA",CHAR(34)), CONCATENATE(CHAR(34),"CamB",CHAR(34))),"}"), ""),
 "]"), "[]")</f>
        <v>[]</v>
      </c>
      <c r="Z332" s="11" t="str">
        <f ca="1">IFERROR(
CONCATENATE( "[",
IF(VLOOKUP(F332,Injections!H:L,3, FALSE)&gt;0, CONCATENATE( "{",CHAR(34),"target",CHAR(34),":",CHAR(34),VLOOKUP(F332,Injections!H:L,2, FALSE),CHAR(34),",", CHAR(34), "excitation",CHAR(34), ":", VLOOKUP(F332,Injections!H:L,3, FALSE), ",",  CHAR(34), "camera",CHAR(34), ":",
IF(VALUE(VLOOKUP(F332,Injections!H:L,3, FALSE))&lt;VALUE(VLOOKUP(V332,imaging_filters!A:K,11, FALSE)), CONCATENATE(CHAR(34),"CamA",CHAR(34)), CONCATENATE(CHAR(34),"CamB",CHAR(34))),"}"), ""),
IF(VLOOKUP(F332,Injections!H:L,5, FALSE)&gt;0, CONCATENATE(",{",CHAR(34),"target",CHAR(34),":",CHAR(34),VLOOKUP(F332,Injections!H:L,4, FALSE),CHAR(34),",", CHAR(34), "excitation",CHAR(34), ":", VLOOKUP(F332,Injections!H:L,5, FALSE), ",",  CHAR(34), "camera",CHAR(34), ":",
IF(VALUE(VLOOKUP(F332,Injections!H:L,5, FALSE))&lt;VALUE(VLOOKUP(V332,imaging_filters!A:K,11, FALSE)), CONCATENATE(CHAR(34),"CamA",CHAR(34)), CONCATENATE(CHAR(34),"CamB",CHAR(34))),"}"), ""),
 "]"), "[]")</f>
        <v>[]</v>
      </c>
      <c r="AA332" s="11"/>
    </row>
    <row r="333" spans="1:27" ht="15.75" customHeight="1" x14ac:dyDescent="0.15">
      <c r="A333" s="7">
        <f t="shared" si="9"/>
        <v>45693</v>
      </c>
      <c r="B333" s="1"/>
      <c r="C333" s="1" t="s">
        <v>253</v>
      </c>
      <c r="D333" s="1" t="s">
        <v>107</v>
      </c>
      <c r="F333" s="14" t="s">
        <v>639</v>
      </c>
      <c r="G333" s="8"/>
      <c r="H333" s="8"/>
      <c r="I333" s="8">
        <v>45691</v>
      </c>
      <c r="J333" s="9">
        <v>0.48749999999999999</v>
      </c>
      <c r="K333" s="1" t="s">
        <v>564</v>
      </c>
      <c r="L333" s="19">
        <v>45693</v>
      </c>
      <c r="M333" s="8">
        <v>45693</v>
      </c>
      <c r="N333" s="9">
        <v>0.72916666666666663</v>
      </c>
      <c r="O333" s="9">
        <v>0.75</v>
      </c>
      <c r="P333" s="1" t="s">
        <v>647</v>
      </c>
      <c r="Q333" s="1" t="s">
        <v>395</v>
      </c>
      <c r="R333" s="10" t="str">
        <f ca="1">IFERROR(__xludf.DUMMYFUNCTION("JOIN("","", SORT(UNIQUE(TOCOL({VLOOKUP(D333,DM_fish!A:B,2,FALSE),VLOOKUP(C333,DM_fish!A:B,2,FALSE), ARRAYFORMULA(VLOOKUP(SPLIT(E333, "", ""),Injections!B:G,6,FALSE)), ARRAYFORMULA(VLOOKUP(SPLIT(F333, "", ""),Injections!H:M,6,FALSE)), ARRAYFORMULA(VLOOKUP("&amp;"SPLIT(G333, "", ""),Injections!N:S,6,FALSE)), ARRAYFORMULA(VLOOKUP(SPLIT(H333, "", ""),Injections!T:Y,6,FALSE)) },3))))"),"nuclei")</f>
        <v>nuclei</v>
      </c>
      <c r="S333" s="10" t="str">
        <f ca="1">IFERROR(__xludf.DUMMYFUNCTION("IFERROR(JOIN("","", SPLIT(R333, "","", TRUE ,TRUE)), """")"),"nuclei")</f>
        <v>nuclei</v>
      </c>
      <c r="T333" s="1" t="s">
        <v>649</v>
      </c>
      <c r="U333" s="1">
        <v>1105</v>
      </c>
      <c r="V333" s="1" t="s">
        <v>203</v>
      </c>
      <c r="W333" s="12" t="str">
        <f ca="1">IFERROR(CONCATENATE("[", CONCATENATE(IF(VLOOKUP(D333,DM_fish!C:X,14, FALSE)&gt;0, CONCATENATE("{",CHAR(34),"target",CHAR(34),":",CHAR(34),VLOOKUP(D333,DM_fish!C:X,13, FALSE),CHAR(34),",", CHAR(34), "excitation",CHAR(34), ":", VLOOKUP(D333,DM_fish!C:X,14, FALSE), ",",  CHAR(34), "camera",CHAR(34), ":", IF(VALUE(VLOOKUP(D333,DM_fish!C:X,14, FALSE))&lt;VALUE(VLOOKUP(V333,imaging_filters!A:K,11, FALSE)), CONCATENATE(CHAR(34),"CamA",CHAR(34)), CONCATENATE(CHAR(34),"CamB",CHAR(34))),"}"), ""),IF(VLOOKUP(D333,DM_fish!C:X,16, FALSE)&gt;0, CONCATENATE(",{",CHAR(34),"target",CHAR(34),":",CHAR(34),VLOOKUP(D333,DM_fish!C:X,15, FALSE),CHAR(34),",", CHAR(34), "excitation",CHAR(34), ":", VLOOKUP(D333,DM_fish!C:X,16, FALSE), ",",  CHAR(34), "camera",CHAR(34), ":", IF(VALUE(VLOOKUP(D333,DM_fish!C:X,16, FALSE))&lt;VALUE(VLOOKUP(V333,imaging_filters!A:K,11, FALSE)), CONCATENATE(CHAR(34),"CamA",CHAR(34)), CONCATENATE(CHAR(34),"CamB",CHAR(34))),"}"), ""),IF(VLOOKUP(D333,DM_fish!C:X,18, FALSE)&gt;0, CONCATENATE(",{",CHAR(34),"target",CHAR(34),":",CHAR(34),VLOOKUP(D333,DM_fish!C:X,17, FALSE),CHAR(34),",", CHAR(34), "excitation",CHAR(34), ":", VLOOKUP(D333,DM_fish!C:X,18, FALSE), ",",  CHAR(34), "camera",CHAR(34), ":", IF(VALUE(VLOOKUP(D333,DM_fish!C:X,18, FALSE))&lt;VALUE(VLOOKUP(V333,imaging_filters!A:K,11, FALSE)), CONCATENATE(CHAR(34),"CamA",CHAR(34)), CONCATENATE(CHAR(34),"CamB",CHAR(34))),"}"), ""),IF(VLOOKUP(D333,DM_fish!C:X,20, FALSE)&gt;0, CONCATENATE(",{",CHAR(34),"target",CHAR(34),":",CHAR(34),VLOOKUP(D333,DM_fish!C:X,19, FALSE),CHAR(34),",", CHAR(34), "excitation",CHAR(34), ":", VLOOKUP(D333,DM_fish!C:X,20, FALSE), ",",  CHAR(34), "camera",CHAR(34), ":", IF(VALUE(VLOOKUP(D333,DM_fish!C:X,20, FALSE))&lt;VALUE(VLOOKUP(V333,imaging_filters!A:K,11, FALSE)), CONCATENATE(CHAR(34),"CamA",CHAR(34)), CONCATENATE(CHAR(34),"CamB",CHAR(34))),"}"), ""),IF(VLOOKUP(D333,DM_fish!C:X,22, FALSE)&gt;0, CONCATENATE(",{",CHAR(34),"target",CHAR(34),":",CHAR(34),VLOOKUP(D333,DM_fish!C:X,21, FALSE),CHAR(34),",", CHAR(34), "excitation",CHAR(34), ":", VLOOKUP(D333,DM_fish!C:X,22, FALSE), ",",  CHAR(34), "camera",CHAR(34), ":", IF(VALUE(VLOOKUP(D333,DM_fish!C:X,22, FALSE))&lt;VALUE(VLOOKUP(V333,imaging_filters!A:K,11, FALSE)), CONCATENATE(CHAR(34),"CamA",CHAR(34)), CONCATENATE(CHAR(34),"CamB",CHAR(34))),"}"), "")), "]"), "")</f>
        <v/>
      </c>
      <c r="X333" s="12" t="str">
        <f ca="1">IFERROR(
CONCATENATE("[", CONCATENATE(IF(VLOOKUP(C333,DM_fish!C:X,14, FALSE)&gt;0, CONCATENATE("{",CHAR(34),"target",CHAR(34),":",CHAR(34),VLOOKUP(C333,DM_fish!C:X,13, FALSE),CHAR(34),",", CHAR(34), "excitation",CHAR(34), ":", VLOOKUP(C333,DM_fish!C:X,14, FALSE), ",",  CHAR(34), "camera",CHAR(34), ":", IF(VALUE(VLOOKUP(C333,DM_fish!C:X,14, FALSE))&lt;VALUE(VLOOKUP(V333,imaging_filters!A:K,11, FALSE)), CONCATENATE(CHAR(34),"CamA",CHAR(34)), CONCATENATE(CHAR(34),"CamB",CHAR(34))),"}"), ""),IF(VLOOKUP(C333,DM_fish!C:X,16, FALSE)&gt;0, CONCATENATE(",{",CHAR(34),"target",CHAR(34),":",CHAR(34),VLOOKUP(C333,DM_fish!C:X,15, FALSE),CHAR(34),",", CHAR(34), "excitation",CHAR(34), ":", VLOOKUP(C333,DM_fish!C:X,16, FALSE), ",",  CHAR(34), "camera",CHAR(34), ":", IF(VALUE(VLOOKUP(C333,DM_fish!C:X,16, FALSE))&lt;VALUE(VLOOKUP(V333,imaging_filters!A:K,11, FALSE)), CONCATENATE(CHAR(34),"CamA",CHAR(34)), CONCATENATE(CHAR(34),"CamB",CHAR(34))),"}"), ""),IF(VLOOKUP(C333,DM_fish!C:X,18, FALSE)&gt;0, CONCATENATE(",{",CHAR(34),"target",CHAR(34),":",CHAR(34),VLOOKUP(C333,DM_fish!C:X,17, FALSE),CHAR(34),",", CHAR(34), "excitation",CHAR(34), ":", VLOOKUP(C333,DM_fish!C:X,18, FALSE), ",",  CHAR(34), "camera",CHAR(34), ":", IF(VALUE(VLOOKUP(C333,DM_fish!C:X,18, FALSE))&lt;VALUE(VLOOKUP(V333,imaging_filters!A:K,11, FALSE)), CONCATENATE(CHAR(34),"CamA",CHAR(34)), CONCATENATE(CHAR(34),"CamB",CHAR(34))),"}"), ""),IF(VLOOKUP(C333,DM_fish!C:X,20, FALSE)&gt;0, CONCATENATE(",{",CHAR(34),"target",CHAR(34),":",CHAR(34),VLOOKUP(C333,DM_fish!C:X,19, FALSE),CHAR(34),",", CHAR(34), "excitation",CHAR(34), ":", VLOOKUP(C333,DM_fish!C:X,20, FALSE), ",",  CHAR(34), "camera",CHAR(34), ":", IF(VALUE(VLOOKUP(C333,DM_fish!C:X,20, FALSE))&lt;VALUE(VLOOKUP(V333,imaging_filters!A:K,11, FALSE)), CONCATENATE(CHAR(34),"CamA",CHAR(34)), CONCATENATE(CHAR(34),"CamB",CHAR(34))),"}"), ""),IF(VLOOKUP(C333,DM_fish!C:X,22, FALSE)&gt;0, CONCATENATE(",{",CHAR(34),"target",CHAR(34),":",CHAR(34),VLOOKUP(C333,DM_fish!C:X,21, FALSE),CHAR(34),",", CHAR(34), "excitation",CHAR(34), ":", VLOOKUP(C333,DM_fish!C:X,22, FALSE), ",",  CHAR(34), "camera",CHAR(34), ":", IF(VALUE(VLOOKUP(C333,DM_fish!C:X,22, FALSE))&lt;VALUE(VLOOKUP(V333,imaging_filters!A:K,11, FALSE)), CONCATENATE(CHAR(34),"CamA",CHAR(34)), CONCATENATE(CHAR(34),"CamB",CHAR(34))),"}"), "")), "]"), "")</f>
        <v/>
      </c>
      <c r="Y333" s="11" t="str">
        <f ca="1">IFERROR(
CONCATENATE( "[",
IF(VLOOKUP(E333,Injections!B:F,3, FALSE)&gt;0, CONCATENATE( "{",CHAR(34),"target",CHAR(34),":",CHAR(34),VLOOKUP(E333,Injections!B:F,2, FALSE),CHAR(34),",", CHAR(34), "excitation",CHAR(34), ":", VLOOKUP(E333,Injections!B:F,3, FALSE), ",",  CHAR(34), "camera",CHAR(34), ":",
IF(VALUE(VLOOKUP(E333,Injections!B:F,3, FALSE))&lt;VALUE(VLOOKUP(V333,imaging_filters!A:C,2, FALSE)), CONCATENATE(CHAR(34),"CamA",CHAR(34)), CONCATENATE(CHAR(34),"CamB",CHAR(34))),"}"), ""),
IF(VLOOKUP(E333,Injections!B:F,5, FALSE)&gt;0, CONCATENATE(",{",CHAR(34),"target",CHAR(34),":",CHAR(34),VLOOKUP(E333,Injections!B:F,4, FALSE),CHAR(34),",", CHAR(34), "excitation",CHAR(34), ":", VLOOKUP(E333,Injections!B:F,5, FALSE), ",",  CHAR(34), "camera",CHAR(34), ":",
IF(VALUE(VLOOKUP(E333,Injections!B:F,5, FALSE))&lt;VALUE(VLOOKUP(V333,imaging_filters!A:C,2, FALSE)), CONCATENATE(CHAR(34),"CamA",CHAR(34)), CONCATENATE(CHAR(34),"CamB",CHAR(34))),"}"), ""),
 "]"), "[]")</f>
        <v>[]</v>
      </c>
      <c r="Z333" s="11" t="str">
        <f ca="1">IFERROR(
CONCATENATE( "[",
IF(VLOOKUP(F333,Injections!H:L,3, FALSE)&gt;0, CONCATENATE( "{",CHAR(34),"target",CHAR(34),":",CHAR(34),VLOOKUP(F333,Injections!H:L,2, FALSE),CHAR(34),",", CHAR(34), "excitation",CHAR(34), ":", VLOOKUP(F333,Injections!H:L,3, FALSE), ",",  CHAR(34), "camera",CHAR(34), ":",
IF(VALUE(VLOOKUP(F333,Injections!H:L,3, FALSE))&lt;VALUE(VLOOKUP(V333,imaging_filters!A:K,11, FALSE)), CONCATENATE(CHAR(34),"CamA",CHAR(34)), CONCATENATE(CHAR(34),"CamB",CHAR(34))),"}"), ""),
IF(VLOOKUP(F333,Injections!H:L,5, FALSE)&gt;0, CONCATENATE(",{",CHAR(34),"target",CHAR(34),":",CHAR(34),VLOOKUP(F333,Injections!H:L,4, FALSE),CHAR(34),",", CHAR(34), "excitation",CHAR(34), ":", VLOOKUP(F333,Injections!H:L,5, FALSE), ",",  CHAR(34), "camera",CHAR(34), ":",
IF(VALUE(VLOOKUP(F333,Injections!H:L,5, FALSE))&lt;VALUE(VLOOKUP(V333,imaging_filters!A:K,11, FALSE)), CONCATENATE(CHAR(34),"CamA",CHAR(34)), CONCATENATE(CHAR(34),"CamB",CHAR(34))),"}"), ""),
 "]"), "[]")</f>
        <v>[]</v>
      </c>
      <c r="AA333" s="11" t="s">
        <v>650</v>
      </c>
    </row>
    <row r="334" spans="1:27" ht="15.75" customHeight="1" x14ac:dyDescent="0.15">
      <c r="A334" s="7">
        <f t="shared" si="9"/>
        <v>45692</v>
      </c>
      <c r="B334" s="1"/>
      <c r="C334" s="1" t="s">
        <v>253</v>
      </c>
      <c r="D334" s="1" t="s">
        <v>107</v>
      </c>
      <c r="F334" s="14" t="s">
        <v>635</v>
      </c>
      <c r="G334" s="8"/>
      <c r="H334" s="8"/>
      <c r="I334" s="8">
        <v>45691</v>
      </c>
      <c r="J334" s="9">
        <v>0.49513888888888891</v>
      </c>
      <c r="K334" s="1" t="s">
        <v>564</v>
      </c>
      <c r="L334" s="19">
        <v>45692</v>
      </c>
      <c r="M334" s="8">
        <v>45692</v>
      </c>
      <c r="N334" s="9">
        <v>0.49513888888888891</v>
      </c>
      <c r="O334" s="9">
        <v>0.5</v>
      </c>
      <c r="P334" s="9">
        <v>0.6875</v>
      </c>
      <c r="Q334" s="1" t="s">
        <v>395</v>
      </c>
      <c r="R334" s="10" t="str">
        <f ca="1">IFERROR(__xludf.DUMMYFUNCTION("JOIN("","", SORT(UNIQUE(TOCOL({VLOOKUP(D334,DM_fish!A:B,2,FALSE),VLOOKUP(C334,DM_fish!A:B,2,FALSE), ARRAYFORMULA(VLOOKUP(SPLIT(E334, "", ""),Injections!B:G,6,FALSE)), ARRAYFORMULA(VLOOKUP(SPLIT(F334, "", ""),Injections!H:M,6,FALSE)), ARRAYFORMULA(VLOOKUP("&amp;"SPLIT(G334, "", ""),Injections!N:S,6,FALSE)), ARRAYFORMULA(VLOOKUP(SPLIT(H334, "", ""),Injections!T:Y,6,FALSE)) },3))))"),"nuclei")</f>
        <v>nuclei</v>
      </c>
      <c r="S334" s="10" t="str">
        <f ca="1">IFERROR(__xludf.DUMMYFUNCTION("IFERROR(JOIN("","", SPLIT(R334, "","", TRUE ,TRUE)), """")"),"nuclei")</f>
        <v>nuclei</v>
      </c>
      <c r="T334" s="1" t="s">
        <v>651</v>
      </c>
      <c r="U334" s="1">
        <v>110</v>
      </c>
      <c r="V334" s="1" t="s">
        <v>203</v>
      </c>
      <c r="W334" s="12" t="str">
        <f ca="1">IFERROR(CONCATENATE("[", CONCATENATE(IF(VLOOKUP(D334,DM_fish!C:X,14, FALSE)&gt;0, CONCATENATE("{",CHAR(34),"target",CHAR(34),":",CHAR(34),VLOOKUP(D334,DM_fish!C:X,13, FALSE),CHAR(34),",", CHAR(34), "excitation",CHAR(34), ":", VLOOKUP(D334,DM_fish!C:X,14, FALSE), ",",  CHAR(34), "camera",CHAR(34), ":", IF(VALUE(VLOOKUP(D334,DM_fish!C:X,14, FALSE))&lt;VALUE(VLOOKUP(V334,imaging_filters!A:K,11, FALSE)), CONCATENATE(CHAR(34),"CamA",CHAR(34)), CONCATENATE(CHAR(34),"CamB",CHAR(34))),"}"), ""),IF(VLOOKUP(D334,DM_fish!C:X,16, FALSE)&gt;0, CONCATENATE(",{",CHAR(34),"target",CHAR(34),":",CHAR(34),VLOOKUP(D334,DM_fish!C:X,15, FALSE),CHAR(34),",", CHAR(34), "excitation",CHAR(34), ":", VLOOKUP(D334,DM_fish!C:X,16, FALSE), ",",  CHAR(34), "camera",CHAR(34), ":", IF(VALUE(VLOOKUP(D334,DM_fish!C:X,16, FALSE))&lt;VALUE(VLOOKUP(V334,imaging_filters!A:K,11, FALSE)), CONCATENATE(CHAR(34),"CamA",CHAR(34)), CONCATENATE(CHAR(34),"CamB",CHAR(34))),"}"), ""),IF(VLOOKUP(D334,DM_fish!C:X,18, FALSE)&gt;0, CONCATENATE(",{",CHAR(34),"target",CHAR(34),":",CHAR(34),VLOOKUP(D334,DM_fish!C:X,17, FALSE),CHAR(34),",", CHAR(34), "excitation",CHAR(34), ":", VLOOKUP(D334,DM_fish!C:X,18, FALSE), ",",  CHAR(34), "camera",CHAR(34), ":", IF(VALUE(VLOOKUP(D334,DM_fish!C:X,18, FALSE))&lt;VALUE(VLOOKUP(V334,imaging_filters!A:K,11, FALSE)), CONCATENATE(CHAR(34),"CamA",CHAR(34)), CONCATENATE(CHAR(34),"CamB",CHAR(34))),"}"), ""),IF(VLOOKUP(D334,DM_fish!C:X,20, FALSE)&gt;0, CONCATENATE(",{",CHAR(34),"target",CHAR(34),":",CHAR(34),VLOOKUP(D334,DM_fish!C:X,19, FALSE),CHAR(34),",", CHAR(34), "excitation",CHAR(34), ":", VLOOKUP(D334,DM_fish!C:X,20, FALSE), ",",  CHAR(34), "camera",CHAR(34), ":", IF(VALUE(VLOOKUP(D334,DM_fish!C:X,20, FALSE))&lt;VALUE(VLOOKUP(V334,imaging_filters!A:K,11, FALSE)), CONCATENATE(CHAR(34),"CamA",CHAR(34)), CONCATENATE(CHAR(34),"CamB",CHAR(34))),"}"), ""),IF(VLOOKUP(D334,DM_fish!C:X,22, FALSE)&gt;0, CONCATENATE(",{",CHAR(34),"target",CHAR(34),":",CHAR(34),VLOOKUP(D334,DM_fish!C:X,21, FALSE),CHAR(34),",", CHAR(34), "excitation",CHAR(34), ":", VLOOKUP(D334,DM_fish!C:X,22, FALSE), ",",  CHAR(34), "camera",CHAR(34), ":", IF(VALUE(VLOOKUP(D334,DM_fish!C:X,22, FALSE))&lt;VALUE(VLOOKUP(V334,imaging_filters!A:K,11, FALSE)), CONCATENATE(CHAR(34),"CamA",CHAR(34)), CONCATENATE(CHAR(34),"CamB",CHAR(34))),"}"), "")), "]"), "")</f>
        <v/>
      </c>
      <c r="X334" s="12" t="str">
        <f ca="1">IFERROR(
CONCATENATE("[", CONCATENATE(IF(VLOOKUP(C334,DM_fish!C:X,14, FALSE)&gt;0, CONCATENATE("{",CHAR(34),"target",CHAR(34),":",CHAR(34),VLOOKUP(C334,DM_fish!C:X,13, FALSE),CHAR(34),",", CHAR(34), "excitation",CHAR(34), ":", VLOOKUP(C334,DM_fish!C:X,14, FALSE), ",",  CHAR(34), "camera",CHAR(34), ":", IF(VALUE(VLOOKUP(C334,DM_fish!C:X,14, FALSE))&lt;VALUE(VLOOKUP(V334,imaging_filters!A:K,11, FALSE)), CONCATENATE(CHAR(34),"CamA",CHAR(34)), CONCATENATE(CHAR(34),"CamB",CHAR(34))),"}"), ""),IF(VLOOKUP(C334,DM_fish!C:X,16, FALSE)&gt;0, CONCATENATE(",{",CHAR(34),"target",CHAR(34),":",CHAR(34),VLOOKUP(C334,DM_fish!C:X,15, FALSE),CHAR(34),",", CHAR(34), "excitation",CHAR(34), ":", VLOOKUP(C334,DM_fish!C:X,16, FALSE), ",",  CHAR(34), "camera",CHAR(34), ":", IF(VALUE(VLOOKUP(C334,DM_fish!C:X,16, FALSE))&lt;VALUE(VLOOKUP(V334,imaging_filters!A:K,11, FALSE)), CONCATENATE(CHAR(34),"CamA",CHAR(34)), CONCATENATE(CHAR(34),"CamB",CHAR(34))),"}"), ""),IF(VLOOKUP(C334,DM_fish!C:X,18, FALSE)&gt;0, CONCATENATE(",{",CHAR(34),"target",CHAR(34),":",CHAR(34),VLOOKUP(C334,DM_fish!C:X,17, FALSE),CHAR(34),",", CHAR(34), "excitation",CHAR(34), ":", VLOOKUP(C334,DM_fish!C:X,18, FALSE), ",",  CHAR(34), "camera",CHAR(34), ":", IF(VALUE(VLOOKUP(C334,DM_fish!C:X,18, FALSE))&lt;VALUE(VLOOKUP(V334,imaging_filters!A:K,11, FALSE)), CONCATENATE(CHAR(34),"CamA",CHAR(34)), CONCATENATE(CHAR(34),"CamB",CHAR(34))),"}"), ""),IF(VLOOKUP(C334,DM_fish!C:X,20, FALSE)&gt;0, CONCATENATE(",{",CHAR(34),"target",CHAR(34),":",CHAR(34),VLOOKUP(C334,DM_fish!C:X,19, FALSE),CHAR(34),",", CHAR(34), "excitation",CHAR(34), ":", VLOOKUP(C334,DM_fish!C:X,20, FALSE), ",",  CHAR(34), "camera",CHAR(34), ":", IF(VALUE(VLOOKUP(C334,DM_fish!C:X,20, FALSE))&lt;VALUE(VLOOKUP(V334,imaging_filters!A:K,11, FALSE)), CONCATENATE(CHAR(34),"CamA",CHAR(34)), CONCATENATE(CHAR(34),"CamB",CHAR(34))),"}"), ""),IF(VLOOKUP(C334,DM_fish!C:X,22, FALSE)&gt;0, CONCATENATE(",{",CHAR(34),"target",CHAR(34),":",CHAR(34),VLOOKUP(C334,DM_fish!C:X,21, FALSE),CHAR(34),",", CHAR(34), "excitation",CHAR(34), ":", VLOOKUP(C334,DM_fish!C:X,22, FALSE), ",",  CHAR(34), "camera",CHAR(34), ":", IF(VALUE(VLOOKUP(C334,DM_fish!C:X,22, FALSE))&lt;VALUE(VLOOKUP(V334,imaging_filters!A:K,11, FALSE)), CONCATENATE(CHAR(34),"CamA",CHAR(34)), CONCATENATE(CHAR(34),"CamB",CHAR(34))),"}"), "")), "]"), "")</f>
        <v/>
      </c>
      <c r="Y334" s="11" t="str">
        <f ca="1">IFERROR(
CONCATENATE( "[",
IF(VLOOKUP(E334,Injections!B:F,3, FALSE)&gt;0, CONCATENATE( "{",CHAR(34),"target",CHAR(34),":",CHAR(34),VLOOKUP(E334,Injections!B:F,2, FALSE),CHAR(34),",", CHAR(34), "excitation",CHAR(34), ":", VLOOKUP(E334,Injections!B:F,3, FALSE), ",",  CHAR(34), "camera",CHAR(34), ":",
IF(VALUE(VLOOKUP(E334,Injections!B:F,3, FALSE))&lt;VALUE(VLOOKUP(V334,imaging_filters!A:C,2, FALSE)), CONCATENATE(CHAR(34),"CamA",CHAR(34)), CONCATENATE(CHAR(34),"CamB",CHAR(34))),"}"), ""),
IF(VLOOKUP(E334,Injections!B:F,5, FALSE)&gt;0, CONCATENATE(",{",CHAR(34),"target",CHAR(34),":",CHAR(34),VLOOKUP(E334,Injections!B:F,4, FALSE),CHAR(34),",", CHAR(34), "excitation",CHAR(34), ":", VLOOKUP(E334,Injections!B:F,5, FALSE), ",",  CHAR(34), "camera",CHAR(34), ":",
IF(VALUE(VLOOKUP(E334,Injections!B:F,5, FALSE))&lt;VALUE(VLOOKUP(V334,imaging_filters!A:C,2, FALSE)), CONCATENATE(CHAR(34),"CamA",CHAR(34)), CONCATENATE(CHAR(34),"CamB",CHAR(34))),"}"), ""),
 "]"), "[]")</f>
        <v>[]</v>
      </c>
      <c r="Z334" s="11" t="str">
        <f ca="1">IFERROR(
CONCATENATE( "[",
IF(VLOOKUP(F334,Injections!H:L,3, FALSE)&gt;0, CONCATENATE( "{",CHAR(34),"target",CHAR(34),":",CHAR(34),VLOOKUP(F334,Injections!H:L,2, FALSE),CHAR(34),",", CHAR(34), "excitation",CHAR(34), ":", VLOOKUP(F334,Injections!H:L,3, FALSE), ",",  CHAR(34), "camera",CHAR(34), ":",
IF(VALUE(VLOOKUP(F334,Injections!H:L,3, FALSE))&lt;VALUE(VLOOKUP(V334,imaging_filters!A:K,11, FALSE)), CONCATENATE(CHAR(34),"CamA",CHAR(34)), CONCATENATE(CHAR(34),"CamB",CHAR(34))),"}"), ""),
IF(VLOOKUP(F334,Injections!H:L,5, FALSE)&gt;0, CONCATENATE(",{",CHAR(34),"target",CHAR(34),":",CHAR(34),VLOOKUP(F334,Injections!H:L,4, FALSE),CHAR(34),",", CHAR(34), "excitation",CHAR(34), ":", VLOOKUP(F334,Injections!H:L,5, FALSE), ",",  CHAR(34), "camera",CHAR(34), ":",
IF(VALUE(VLOOKUP(F334,Injections!H:L,5, FALSE))&lt;VALUE(VLOOKUP(V334,imaging_filters!A:K,11, FALSE)), CONCATENATE(CHAR(34),"CamA",CHAR(34)), CONCATENATE(CHAR(34),"CamB",CHAR(34))),"}"), ""),
 "]"), "[]")</f>
        <v>[]</v>
      </c>
      <c r="AA334" s="11" t="s">
        <v>652</v>
      </c>
    </row>
    <row r="335" spans="1:27" ht="15.75" customHeight="1" x14ac:dyDescent="0.15">
      <c r="A335" s="7">
        <f t="shared" si="9"/>
        <v>45692</v>
      </c>
      <c r="B335" s="1"/>
      <c r="C335" s="1" t="s">
        <v>253</v>
      </c>
      <c r="D335" s="1" t="s">
        <v>107</v>
      </c>
      <c r="F335" s="14" t="s">
        <v>639</v>
      </c>
      <c r="G335" s="8"/>
      <c r="H335" s="8"/>
      <c r="I335" s="8">
        <v>45691</v>
      </c>
      <c r="J335" s="9">
        <v>0.49513888888888891</v>
      </c>
      <c r="K335" s="1" t="s">
        <v>564</v>
      </c>
      <c r="L335" s="19">
        <v>45692</v>
      </c>
      <c r="M335" s="8">
        <v>45692</v>
      </c>
      <c r="N335" s="9">
        <v>0.49513888888888891</v>
      </c>
      <c r="O335" s="9">
        <v>0.5</v>
      </c>
      <c r="P335" s="9">
        <v>0.6875</v>
      </c>
      <c r="Q335" s="1" t="s">
        <v>395</v>
      </c>
      <c r="R335" s="10" t="str">
        <f ca="1">IFERROR(__xludf.DUMMYFUNCTION("JOIN("","", SORT(UNIQUE(TOCOL({VLOOKUP(D335,DM_fish!A:B,2,FALSE),VLOOKUP(C335,DM_fish!A:B,2,FALSE), ARRAYFORMULA(VLOOKUP(SPLIT(E335, "", ""),Injections!B:G,6,FALSE)), ARRAYFORMULA(VLOOKUP(SPLIT(F335, "", ""),Injections!H:M,6,FALSE)), ARRAYFORMULA(VLOOKUP("&amp;"SPLIT(G335, "", ""),Injections!N:S,6,FALSE)), ARRAYFORMULA(VLOOKUP(SPLIT(H335, "", ""),Injections!T:Y,6,FALSE)) },3))))"),"nuclei")</f>
        <v>nuclei</v>
      </c>
      <c r="S335" s="10" t="str">
        <f ca="1">IFERROR(__xludf.DUMMYFUNCTION("IFERROR(JOIN("","", SPLIT(R335, "","", TRUE ,TRUE)), """")"),"nuclei")</f>
        <v>nuclei</v>
      </c>
      <c r="T335" s="1" t="s">
        <v>653</v>
      </c>
      <c r="U335" s="1">
        <v>240</v>
      </c>
      <c r="V335" s="1" t="s">
        <v>203</v>
      </c>
      <c r="W335" s="12" t="str">
        <f ca="1">IFERROR(CONCATENATE("[", CONCATENATE(IF(VLOOKUP(D335,DM_fish!C:X,14, FALSE)&gt;0, CONCATENATE("{",CHAR(34),"target",CHAR(34),":",CHAR(34),VLOOKUP(D335,DM_fish!C:X,13, FALSE),CHAR(34),",", CHAR(34), "excitation",CHAR(34), ":", VLOOKUP(D335,DM_fish!C:X,14, FALSE), ",",  CHAR(34), "camera",CHAR(34), ":", IF(VALUE(VLOOKUP(D335,DM_fish!C:X,14, FALSE))&lt;VALUE(VLOOKUP(V335,imaging_filters!A:K,11, FALSE)), CONCATENATE(CHAR(34),"CamA",CHAR(34)), CONCATENATE(CHAR(34),"CamB",CHAR(34))),"}"), ""),IF(VLOOKUP(D335,DM_fish!C:X,16, FALSE)&gt;0, CONCATENATE(",{",CHAR(34),"target",CHAR(34),":",CHAR(34),VLOOKUP(D335,DM_fish!C:X,15, FALSE),CHAR(34),",", CHAR(34), "excitation",CHAR(34), ":", VLOOKUP(D335,DM_fish!C:X,16, FALSE), ",",  CHAR(34), "camera",CHAR(34), ":", IF(VALUE(VLOOKUP(D335,DM_fish!C:X,16, FALSE))&lt;VALUE(VLOOKUP(V335,imaging_filters!A:K,11, FALSE)), CONCATENATE(CHAR(34),"CamA",CHAR(34)), CONCATENATE(CHAR(34),"CamB",CHAR(34))),"}"), ""),IF(VLOOKUP(D335,DM_fish!C:X,18, FALSE)&gt;0, CONCATENATE(",{",CHAR(34),"target",CHAR(34),":",CHAR(34),VLOOKUP(D335,DM_fish!C:X,17, FALSE),CHAR(34),",", CHAR(34), "excitation",CHAR(34), ":", VLOOKUP(D335,DM_fish!C:X,18, FALSE), ",",  CHAR(34), "camera",CHAR(34), ":", IF(VALUE(VLOOKUP(D335,DM_fish!C:X,18, FALSE))&lt;VALUE(VLOOKUP(V335,imaging_filters!A:K,11, FALSE)), CONCATENATE(CHAR(34),"CamA",CHAR(34)), CONCATENATE(CHAR(34),"CamB",CHAR(34))),"}"), ""),IF(VLOOKUP(D335,DM_fish!C:X,20, FALSE)&gt;0, CONCATENATE(",{",CHAR(34),"target",CHAR(34),":",CHAR(34),VLOOKUP(D335,DM_fish!C:X,19, FALSE),CHAR(34),",", CHAR(34), "excitation",CHAR(34), ":", VLOOKUP(D335,DM_fish!C:X,20, FALSE), ",",  CHAR(34), "camera",CHAR(34), ":", IF(VALUE(VLOOKUP(D335,DM_fish!C:X,20, FALSE))&lt;VALUE(VLOOKUP(V335,imaging_filters!A:K,11, FALSE)), CONCATENATE(CHAR(34),"CamA",CHAR(34)), CONCATENATE(CHAR(34),"CamB",CHAR(34))),"}"), ""),IF(VLOOKUP(D335,DM_fish!C:X,22, FALSE)&gt;0, CONCATENATE(",{",CHAR(34),"target",CHAR(34),":",CHAR(34),VLOOKUP(D335,DM_fish!C:X,21, FALSE),CHAR(34),",", CHAR(34), "excitation",CHAR(34), ":", VLOOKUP(D335,DM_fish!C:X,22, FALSE), ",",  CHAR(34), "camera",CHAR(34), ":", IF(VALUE(VLOOKUP(D335,DM_fish!C:X,22, FALSE))&lt;VALUE(VLOOKUP(V335,imaging_filters!A:K,11, FALSE)), CONCATENATE(CHAR(34),"CamA",CHAR(34)), CONCATENATE(CHAR(34),"CamB",CHAR(34))),"}"), "")), "]"), "")</f>
        <v/>
      </c>
      <c r="X335" s="12" t="str">
        <f ca="1">IFERROR(
CONCATENATE("[", CONCATENATE(IF(VLOOKUP(C335,DM_fish!C:X,14, FALSE)&gt;0, CONCATENATE("{",CHAR(34),"target",CHAR(34),":",CHAR(34),VLOOKUP(C335,DM_fish!C:X,13, FALSE),CHAR(34),",", CHAR(34), "excitation",CHAR(34), ":", VLOOKUP(C335,DM_fish!C:X,14, FALSE), ",",  CHAR(34), "camera",CHAR(34), ":", IF(VALUE(VLOOKUP(C335,DM_fish!C:X,14, FALSE))&lt;VALUE(VLOOKUP(V335,imaging_filters!A:K,11, FALSE)), CONCATENATE(CHAR(34),"CamA",CHAR(34)), CONCATENATE(CHAR(34),"CamB",CHAR(34))),"}"), ""),IF(VLOOKUP(C335,DM_fish!C:X,16, FALSE)&gt;0, CONCATENATE(",{",CHAR(34),"target",CHAR(34),":",CHAR(34),VLOOKUP(C335,DM_fish!C:X,15, FALSE),CHAR(34),",", CHAR(34), "excitation",CHAR(34), ":", VLOOKUP(C335,DM_fish!C:X,16, FALSE), ",",  CHAR(34), "camera",CHAR(34), ":", IF(VALUE(VLOOKUP(C335,DM_fish!C:X,16, FALSE))&lt;VALUE(VLOOKUP(V335,imaging_filters!A:K,11, FALSE)), CONCATENATE(CHAR(34),"CamA",CHAR(34)), CONCATENATE(CHAR(34),"CamB",CHAR(34))),"}"), ""),IF(VLOOKUP(C335,DM_fish!C:X,18, FALSE)&gt;0, CONCATENATE(",{",CHAR(34),"target",CHAR(34),":",CHAR(34),VLOOKUP(C335,DM_fish!C:X,17, FALSE),CHAR(34),",", CHAR(34), "excitation",CHAR(34), ":", VLOOKUP(C335,DM_fish!C:X,18, FALSE), ",",  CHAR(34), "camera",CHAR(34), ":", IF(VALUE(VLOOKUP(C335,DM_fish!C:X,18, FALSE))&lt;VALUE(VLOOKUP(V335,imaging_filters!A:K,11, FALSE)), CONCATENATE(CHAR(34),"CamA",CHAR(34)), CONCATENATE(CHAR(34),"CamB",CHAR(34))),"}"), ""),IF(VLOOKUP(C335,DM_fish!C:X,20, FALSE)&gt;0, CONCATENATE(",{",CHAR(34),"target",CHAR(34),":",CHAR(34),VLOOKUP(C335,DM_fish!C:X,19, FALSE),CHAR(34),",", CHAR(34), "excitation",CHAR(34), ":", VLOOKUP(C335,DM_fish!C:X,20, FALSE), ",",  CHAR(34), "camera",CHAR(34), ":", IF(VALUE(VLOOKUP(C335,DM_fish!C:X,20, FALSE))&lt;VALUE(VLOOKUP(V335,imaging_filters!A:K,11, FALSE)), CONCATENATE(CHAR(34),"CamA",CHAR(34)), CONCATENATE(CHAR(34),"CamB",CHAR(34))),"}"), ""),IF(VLOOKUP(C335,DM_fish!C:X,22, FALSE)&gt;0, CONCATENATE(",{",CHAR(34),"target",CHAR(34),":",CHAR(34),VLOOKUP(C335,DM_fish!C:X,21, FALSE),CHAR(34),",", CHAR(34), "excitation",CHAR(34), ":", VLOOKUP(C335,DM_fish!C:X,22, FALSE), ",",  CHAR(34), "camera",CHAR(34), ":", IF(VALUE(VLOOKUP(C335,DM_fish!C:X,22, FALSE))&lt;VALUE(VLOOKUP(V335,imaging_filters!A:K,11, FALSE)), CONCATENATE(CHAR(34),"CamA",CHAR(34)), CONCATENATE(CHAR(34),"CamB",CHAR(34))),"}"), "")), "]"), "")</f>
        <v/>
      </c>
      <c r="Y335" s="11" t="str">
        <f ca="1">IFERROR(
CONCATENATE( "[",
IF(VLOOKUP(E335,Injections!B:F,3, FALSE)&gt;0, CONCATENATE( "{",CHAR(34),"target",CHAR(34),":",CHAR(34),VLOOKUP(E335,Injections!B:F,2, FALSE),CHAR(34),",", CHAR(34), "excitation",CHAR(34), ":", VLOOKUP(E335,Injections!B:F,3, FALSE), ",",  CHAR(34), "camera",CHAR(34), ":",
IF(VALUE(VLOOKUP(E335,Injections!B:F,3, FALSE))&lt;VALUE(VLOOKUP(V335,imaging_filters!A:C,2, FALSE)), CONCATENATE(CHAR(34),"CamA",CHAR(34)), CONCATENATE(CHAR(34),"CamB",CHAR(34))),"}"), ""),
IF(VLOOKUP(E335,Injections!B:F,5, FALSE)&gt;0, CONCATENATE(",{",CHAR(34),"target",CHAR(34),":",CHAR(34),VLOOKUP(E335,Injections!B:F,4, FALSE),CHAR(34),",", CHAR(34), "excitation",CHAR(34), ":", VLOOKUP(E335,Injections!B:F,5, FALSE), ",",  CHAR(34), "camera",CHAR(34), ":",
IF(VALUE(VLOOKUP(E335,Injections!B:F,5, FALSE))&lt;VALUE(VLOOKUP(V335,imaging_filters!A:C,2, FALSE)), CONCATENATE(CHAR(34),"CamA",CHAR(34)), CONCATENATE(CHAR(34),"CamB",CHAR(34))),"}"), ""),
 "]"), "[]")</f>
        <v>[]</v>
      </c>
      <c r="Z335" s="11" t="str">
        <f ca="1">IFERROR(
CONCATENATE( "[",
IF(VLOOKUP(F335,Injections!H:L,3, FALSE)&gt;0, CONCATENATE( "{",CHAR(34),"target",CHAR(34),":",CHAR(34),VLOOKUP(F335,Injections!H:L,2, FALSE),CHAR(34),",", CHAR(34), "excitation",CHAR(34), ":", VLOOKUP(F335,Injections!H:L,3, FALSE), ",",  CHAR(34), "camera",CHAR(34), ":",
IF(VALUE(VLOOKUP(F335,Injections!H:L,3, FALSE))&lt;VALUE(VLOOKUP(V335,imaging_filters!A:K,11, FALSE)), CONCATENATE(CHAR(34),"CamA",CHAR(34)), CONCATENATE(CHAR(34),"CamB",CHAR(34))),"}"), ""),
IF(VLOOKUP(F335,Injections!H:L,5, FALSE)&gt;0, CONCATENATE(",{",CHAR(34),"target",CHAR(34),":",CHAR(34),VLOOKUP(F335,Injections!H:L,4, FALSE),CHAR(34),",", CHAR(34), "excitation",CHAR(34), ":", VLOOKUP(F335,Injections!H:L,5, FALSE), ",",  CHAR(34), "camera",CHAR(34), ":",
IF(VALUE(VLOOKUP(F335,Injections!H:L,5, FALSE))&lt;VALUE(VLOOKUP(V335,imaging_filters!A:K,11, FALSE)), CONCATENATE(CHAR(34),"CamA",CHAR(34)), CONCATENATE(CHAR(34),"CamB",CHAR(34))),"}"), ""),
 "]"), "[]")</f>
        <v>[]</v>
      </c>
      <c r="AA335" s="11" t="s">
        <v>654</v>
      </c>
    </row>
    <row r="336" spans="1:27" ht="15.75" customHeight="1" x14ac:dyDescent="0.15">
      <c r="A336" s="7">
        <f t="shared" si="9"/>
        <v>45688</v>
      </c>
      <c r="B336" s="1"/>
      <c r="C336" s="1" t="s">
        <v>107</v>
      </c>
      <c r="D336" s="1" t="s">
        <v>107</v>
      </c>
      <c r="F336" s="1" t="s">
        <v>655</v>
      </c>
      <c r="G336" s="8"/>
      <c r="H336" s="8"/>
      <c r="I336" s="8">
        <v>45687</v>
      </c>
      <c r="K336" s="1" t="s">
        <v>571</v>
      </c>
      <c r="L336" s="19">
        <v>45688</v>
      </c>
      <c r="M336" s="8">
        <v>45688</v>
      </c>
      <c r="O336" s="9">
        <v>0.6875</v>
      </c>
      <c r="P336" s="9">
        <v>0.75</v>
      </c>
      <c r="Q336" s="1" t="s">
        <v>656</v>
      </c>
      <c r="R336" s="10" t="str">
        <f ca="1">IFERROR(__xludf.DUMMYFUNCTION("JOIN("","", SORT(UNIQUE(TOCOL({VLOOKUP(D336,DM_fish!A:B,2,FALSE),VLOOKUP(C336,DM_fish!A:B,2,FALSE), ARRAYFORMULA(VLOOKUP(SPLIT(E336, "", ""),Injections!B:G,6,FALSE)), ARRAYFORMULA(VLOOKUP(SPLIT(F336, "", ""),Injections!H:M,6,FALSE)), ARRAYFORMULA(VLOOKUP("&amp;"SPLIT(G336, "", ""),Injections!N:S,6,FALSE)), ARRAYFORMULA(VLOOKUP(SPLIT(H336, "", ""),Injections!T:Y,6,FALSE)) },3))))"),"nuclei")</f>
        <v>nuclei</v>
      </c>
      <c r="S336" s="10" t="str">
        <f ca="1">IFERROR(__xludf.DUMMYFUNCTION("IFERROR(JOIN("","", SPLIT(R336, "","", TRUE ,TRUE)), """")"),"nuclei")</f>
        <v>nuclei</v>
      </c>
      <c r="T336" s="1" t="s">
        <v>657</v>
      </c>
      <c r="U336" s="1">
        <v>99</v>
      </c>
      <c r="V336" s="1" t="s">
        <v>203</v>
      </c>
      <c r="W336" s="12" t="str">
        <f ca="1">IFERROR(CONCATENATE("[", CONCATENATE(IF(VLOOKUP(D336,DM_fish!C:X,14, FALSE)&gt;0, CONCATENATE("{",CHAR(34),"target",CHAR(34),":",CHAR(34),VLOOKUP(D336,DM_fish!C:X,13, FALSE),CHAR(34),",", CHAR(34), "excitation",CHAR(34), ":", VLOOKUP(D336,DM_fish!C:X,14, FALSE), ",",  CHAR(34), "camera",CHAR(34), ":", IF(VALUE(VLOOKUP(D336,DM_fish!C:X,14, FALSE))&lt;VALUE(VLOOKUP(V336,imaging_filters!A:K,11, FALSE)), CONCATENATE(CHAR(34),"CamA",CHAR(34)), CONCATENATE(CHAR(34),"CamB",CHAR(34))),"}"), ""),IF(VLOOKUP(D336,DM_fish!C:X,16, FALSE)&gt;0, CONCATENATE(",{",CHAR(34),"target",CHAR(34),":",CHAR(34),VLOOKUP(D336,DM_fish!C:X,15, FALSE),CHAR(34),",", CHAR(34), "excitation",CHAR(34), ":", VLOOKUP(D336,DM_fish!C:X,16, FALSE), ",",  CHAR(34), "camera",CHAR(34), ":", IF(VALUE(VLOOKUP(D336,DM_fish!C:X,16, FALSE))&lt;VALUE(VLOOKUP(V336,imaging_filters!A:K,11, FALSE)), CONCATENATE(CHAR(34),"CamA",CHAR(34)), CONCATENATE(CHAR(34),"CamB",CHAR(34))),"}"), ""),IF(VLOOKUP(D336,DM_fish!C:X,18, FALSE)&gt;0, CONCATENATE(",{",CHAR(34),"target",CHAR(34),":",CHAR(34),VLOOKUP(D336,DM_fish!C:X,17, FALSE),CHAR(34),",", CHAR(34), "excitation",CHAR(34), ":", VLOOKUP(D336,DM_fish!C:X,18, FALSE), ",",  CHAR(34), "camera",CHAR(34), ":", IF(VALUE(VLOOKUP(D336,DM_fish!C:X,18, FALSE))&lt;VALUE(VLOOKUP(V336,imaging_filters!A:K,11, FALSE)), CONCATENATE(CHAR(34),"CamA",CHAR(34)), CONCATENATE(CHAR(34),"CamB",CHAR(34))),"}"), ""),IF(VLOOKUP(D336,DM_fish!C:X,20, FALSE)&gt;0, CONCATENATE(",{",CHAR(34),"target",CHAR(34),":",CHAR(34),VLOOKUP(D336,DM_fish!C:X,19, FALSE),CHAR(34),",", CHAR(34), "excitation",CHAR(34), ":", VLOOKUP(D336,DM_fish!C:X,20, FALSE), ",",  CHAR(34), "camera",CHAR(34), ":", IF(VALUE(VLOOKUP(D336,DM_fish!C:X,20, FALSE))&lt;VALUE(VLOOKUP(V336,imaging_filters!A:K,11, FALSE)), CONCATENATE(CHAR(34),"CamA",CHAR(34)), CONCATENATE(CHAR(34),"CamB",CHAR(34))),"}"), ""),IF(VLOOKUP(D336,DM_fish!C:X,22, FALSE)&gt;0, CONCATENATE(",{",CHAR(34),"target",CHAR(34),":",CHAR(34),VLOOKUP(D336,DM_fish!C:X,21, FALSE),CHAR(34),",", CHAR(34), "excitation",CHAR(34), ":", VLOOKUP(D336,DM_fish!C:X,22, FALSE), ",",  CHAR(34), "camera",CHAR(34), ":", IF(VALUE(VLOOKUP(D336,DM_fish!C:X,22, FALSE))&lt;VALUE(VLOOKUP(V336,imaging_filters!A:K,11, FALSE)), CONCATENATE(CHAR(34),"CamA",CHAR(34)), CONCATENATE(CHAR(34),"CamB",CHAR(34))),"}"), "")), "]"), "")</f>
        <v/>
      </c>
      <c r="X336" s="12" t="str">
        <f ca="1">IFERROR(
CONCATENATE("[", CONCATENATE(IF(VLOOKUP(C336,DM_fish!C:X,14, FALSE)&gt;0, CONCATENATE("{",CHAR(34),"target",CHAR(34),":",CHAR(34),VLOOKUP(C336,DM_fish!C:X,13, FALSE),CHAR(34),",", CHAR(34), "excitation",CHAR(34), ":", VLOOKUP(C336,DM_fish!C:X,14, FALSE), ",",  CHAR(34), "camera",CHAR(34), ":", IF(VALUE(VLOOKUP(C336,DM_fish!C:X,14, FALSE))&lt;VALUE(VLOOKUP(V336,imaging_filters!A:K,11, FALSE)), CONCATENATE(CHAR(34),"CamA",CHAR(34)), CONCATENATE(CHAR(34),"CamB",CHAR(34))),"}"), ""),IF(VLOOKUP(C336,DM_fish!C:X,16, FALSE)&gt;0, CONCATENATE(",{",CHAR(34),"target",CHAR(34),":",CHAR(34),VLOOKUP(C336,DM_fish!C:X,15, FALSE),CHAR(34),",", CHAR(34), "excitation",CHAR(34), ":", VLOOKUP(C336,DM_fish!C:X,16, FALSE), ",",  CHAR(34), "camera",CHAR(34), ":", IF(VALUE(VLOOKUP(C336,DM_fish!C:X,16, FALSE))&lt;VALUE(VLOOKUP(V336,imaging_filters!A:K,11, FALSE)), CONCATENATE(CHAR(34),"CamA",CHAR(34)), CONCATENATE(CHAR(34),"CamB",CHAR(34))),"}"), ""),IF(VLOOKUP(C336,DM_fish!C:X,18, FALSE)&gt;0, CONCATENATE(",{",CHAR(34),"target",CHAR(34),":",CHAR(34),VLOOKUP(C336,DM_fish!C:X,17, FALSE),CHAR(34),",", CHAR(34), "excitation",CHAR(34), ":", VLOOKUP(C336,DM_fish!C:X,18, FALSE), ",",  CHAR(34), "camera",CHAR(34), ":", IF(VALUE(VLOOKUP(C336,DM_fish!C:X,18, FALSE))&lt;VALUE(VLOOKUP(V336,imaging_filters!A:K,11, FALSE)), CONCATENATE(CHAR(34),"CamA",CHAR(34)), CONCATENATE(CHAR(34),"CamB",CHAR(34))),"}"), ""),IF(VLOOKUP(C336,DM_fish!C:X,20, FALSE)&gt;0, CONCATENATE(",{",CHAR(34),"target",CHAR(34),":",CHAR(34),VLOOKUP(C336,DM_fish!C:X,19, FALSE),CHAR(34),",", CHAR(34), "excitation",CHAR(34), ":", VLOOKUP(C336,DM_fish!C:X,20, FALSE), ",",  CHAR(34), "camera",CHAR(34), ":", IF(VALUE(VLOOKUP(C336,DM_fish!C:X,20, FALSE))&lt;VALUE(VLOOKUP(V336,imaging_filters!A:K,11, FALSE)), CONCATENATE(CHAR(34),"CamA",CHAR(34)), CONCATENATE(CHAR(34),"CamB",CHAR(34))),"}"), ""),IF(VLOOKUP(C336,DM_fish!C:X,22, FALSE)&gt;0, CONCATENATE(",{",CHAR(34),"target",CHAR(34),":",CHAR(34),VLOOKUP(C336,DM_fish!C:X,21, FALSE),CHAR(34),",", CHAR(34), "excitation",CHAR(34), ":", VLOOKUP(C336,DM_fish!C:X,22, FALSE), ",",  CHAR(34), "camera",CHAR(34), ":", IF(VALUE(VLOOKUP(C336,DM_fish!C:X,22, FALSE))&lt;VALUE(VLOOKUP(V336,imaging_filters!A:K,11, FALSE)), CONCATENATE(CHAR(34),"CamA",CHAR(34)), CONCATENATE(CHAR(34),"CamB",CHAR(34))),"}"), "")), "]"), "")</f>
        <v/>
      </c>
      <c r="Y336" s="11" t="str">
        <f ca="1">IFERROR(
CONCATENATE( "[",
IF(VLOOKUP(E336,Injections!B:F,3, FALSE)&gt;0, CONCATENATE( "{",CHAR(34),"target",CHAR(34),":",CHAR(34),VLOOKUP(E336,Injections!B:F,2, FALSE),CHAR(34),",", CHAR(34), "excitation",CHAR(34), ":", VLOOKUP(E336,Injections!B:F,3, FALSE), ",",  CHAR(34), "camera",CHAR(34), ":",
IF(VALUE(VLOOKUP(E336,Injections!B:F,3, FALSE))&lt;VALUE(VLOOKUP(V336,imaging_filters!A:C,2, FALSE)), CONCATENATE(CHAR(34),"CamA",CHAR(34)), CONCATENATE(CHAR(34),"CamB",CHAR(34))),"}"), ""),
IF(VLOOKUP(E336,Injections!B:F,5, FALSE)&gt;0, CONCATENATE(",{",CHAR(34),"target",CHAR(34),":",CHAR(34),VLOOKUP(E336,Injections!B:F,4, FALSE),CHAR(34),",", CHAR(34), "excitation",CHAR(34), ":", VLOOKUP(E336,Injections!B:F,5, FALSE), ",",  CHAR(34), "camera",CHAR(34), ":",
IF(VALUE(VLOOKUP(E336,Injections!B:F,5, FALSE))&lt;VALUE(VLOOKUP(V336,imaging_filters!A:C,2, FALSE)), CONCATENATE(CHAR(34),"CamA",CHAR(34)), CONCATENATE(CHAR(34),"CamB",CHAR(34))),"}"), ""),
 "]"), "[]")</f>
        <v>[]</v>
      </c>
      <c r="Z336" s="11" t="str">
        <f ca="1">IFERROR(
CONCATENATE( "[",
IF(VLOOKUP(F336,Injections!H:L,3, FALSE)&gt;0, CONCATENATE( "{",CHAR(34),"target",CHAR(34),":",CHAR(34),VLOOKUP(F336,Injections!H:L,2, FALSE),CHAR(34),",", CHAR(34), "excitation",CHAR(34), ":", VLOOKUP(F336,Injections!H:L,3, FALSE), ",",  CHAR(34), "camera",CHAR(34), ":",
IF(VALUE(VLOOKUP(F336,Injections!H:L,3, FALSE))&lt;VALUE(VLOOKUP(V336,imaging_filters!A:K,11, FALSE)), CONCATENATE(CHAR(34),"CamA",CHAR(34)), CONCATENATE(CHAR(34),"CamB",CHAR(34))),"}"), ""),
IF(VLOOKUP(F336,Injections!H:L,5, FALSE)&gt;0, CONCATENATE(",{",CHAR(34),"target",CHAR(34),":",CHAR(34),VLOOKUP(F336,Injections!H:L,4, FALSE),CHAR(34),",", CHAR(34), "excitation",CHAR(34), ":", VLOOKUP(F336,Injections!H:L,5, FALSE), ",",  CHAR(34), "camera",CHAR(34), ":",
IF(VALUE(VLOOKUP(F336,Injections!H:L,5, FALSE))&lt;VALUE(VLOOKUP(V336,imaging_filters!A:K,11, FALSE)), CONCATENATE(CHAR(34),"CamA",CHAR(34)), CONCATENATE(CHAR(34),"CamB",CHAR(34))),"}"), ""),
 "]"), "[]")</f>
        <v>[]</v>
      </c>
      <c r="AA336" s="11" t="s">
        <v>658</v>
      </c>
    </row>
    <row r="337" spans="1:27" ht="15.75" customHeight="1" x14ac:dyDescent="0.15">
      <c r="A337" s="7">
        <f t="shared" si="9"/>
        <v>45688</v>
      </c>
      <c r="B337" s="1"/>
      <c r="C337" s="1" t="s">
        <v>107</v>
      </c>
      <c r="D337" s="1" t="s">
        <v>107</v>
      </c>
      <c r="F337" s="1" t="s">
        <v>659</v>
      </c>
      <c r="G337" s="8"/>
      <c r="H337" s="8"/>
      <c r="I337" s="8">
        <v>45687</v>
      </c>
      <c r="K337" s="1" t="s">
        <v>571</v>
      </c>
      <c r="L337" s="19">
        <v>45688</v>
      </c>
      <c r="M337" s="8">
        <v>45688</v>
      </c>
      <c r="O337" s="9">
        <v>0.625</v>
      </c>
      <c r="P337" s="9">
        <v>0.6875</v>
      </c>
      <c r="Q337" s="1" t="s">
        <v>656</v>
      </c>
      <c r="R337" s="10" t="str">
        <f ca="1">IFERROR(__xludf.DUMMYFUNCTION("JOIN("","", SORT(UNIQUE(TOCOL({VLOOKUP(D337,DM_fish!A:B,2,FALSE),VLOOKUP(C337,DM_fish!A:B,2,FALSE), ARRAYFORMULA(VLOOKUP(SPLIT(E337, "", ""),Injections!B:G,6,FALSE)), ARRAYFORMULA(VLOOKUP(SPLIT(F337, "", ""),Injections!H:M,6,FALSE)), ARRAYFORMULA(VLOOKUP("&amp;"SPLIT(G337, "", ""),Injections!N:S,6,FALSE)), ARRAYFORMULA(VLOOKUP(SPLIT(H337, "", ""),Injections!T:Y,6,FALSE)) },3))))"),"nuclei")</f>
        <v>nuclei</v>
      </c>
      <c r="S337" s="10" t="str">
        <f ca="1">IFERROR(__xludf.DUMMYFUNCTION("IFERROR(JOIN("","", SPLIT(R337, "","", TRUE ,TRUE)), """")"),"nuclei")</f>
        <v>nuclei</v>
      </c>
      <c r="T337" s="1" t="s">
        <v>660</v>
      </c>
      <c r="U337" s="1">
        <v>72</v>
      </c>
      <c r="V337" s="1" t="s">
        <v>203</v>
      </c>
      <c r="W337" s="12" t="str">
        <f ca="1">IFERROR(CONCATENATE("[", CONCATENATE(IF(VLOOKUP(D337,DM_fish!C:X,14, FALSE)&gt;0, CONCATENATE("{",CHAR(34),"target",CHAR(34),":",CHAR(34),VLOOKUP(D337,DM_fish!C:X,13, FALSE),CHAR(34),",", CHAR(34), "excitation",CHAR(34), ":", VLOOKUP(D337,DM_fish!C:X,14, FALSE), ",",  CHAR(34), "camera",CHAR(34), ":", IF(VALUE(VLOOKUP(D337,DM_fish!C:X,14, FALSE))&lt;VALUE(VLOOKUP(V337,imaging_filters!A:K,11, FALSE)), CONCATENATE(CHAR(34),"CamA",CHAR(34)), CONCATENATE(CHAR(34),"CamB",CHAR(34))),"}"), ""),IF(VLOOKUP(D337,DM_fish!C:X,16, FALSE)&gt;0, CONCATENATE(",{",CHAR(34),"target",CHAR(34),":",CHAR(34),VLOOKUP(D337,DM_fish!C:X,15, FALSE),CHAR(34),",", CHAR(34), "excitation",CHAR(34), ":", VLOOKUP(D337,DM_fish!C:X,16, FALSE), ",",  CHAR(34), "camera",CHAR(34), ":", IF(VALUE(VLOOKUP(D337,DM_fish!C:X,16, FALSE))&lt;VALUE(VLOOKUP(V337,imaging_filters!A:K,11, FALSE)), CONCATENATE(CHAR(34),"CamA",CHAR(34)), CONCATENATE(CHAR(34),"CamB",CHAR(34))),"}"), ""),IF(VLOOKUP(D337,DM_fish!C:X,18, FALSE)&gt;0, CONCATENATE(",{",CHAR(34),"target",CHAR(34),":",CHAR(34),VLOOKUP(D337,DM_fish!C:X,17, FALSE),CHAR(34),",", CHAR(34), "excitation",CHAR(34), ":", VLOOKUP(D337,DM_fish!C:X,18, FALSE), ",",  CHAR(34), "camera",CHAR(34), ":", IF(VALUE(VLOOKUP(D337,DM_fish!C:X,18, FALSE))&lt;VALUE(VLOOKUP(V337,imaging_filters!A:K,11, FALSE)), CONCATENATE(CHAR(34),"CamA",CHAR(34)), CONCATENATE(CHAR(34),"CamB",CHAR(34))),"}"), ""),IF(VLOOKUP(D337,DM_fish!C:X,20, FALSE)&gt;0, CONCATENATE(",{",CHAR(34),"target",CHAR(34),":",CHAR(34),VLOOKUP(D337,DM_fish!C:X,19, FALSE),CHAR(34),",", CHAR(34), "excitation",CHAR(34), ":", VLOOKUP(D337,DM_fish!C:X,20, FALSE), ",",  CHAR(34), "camera",CHAR(34), ":", IF(VALUE(VLOOKUP(D337,DM_fish!C:X,20, FALSE))&lt;VALUE(VLOOKUP(V337,imaging_filters!A:K,11, FALSE)), CONCATENATE(CHAR(34),"CamA",CHAR(34)), CONCATENATE(CHAR(34),"CamB",CHAR(34))),"}"), ""),IF(VLOOKUP(D337,DM_fish!C:X,22, FALSE)&gt;0, CONCATENATE(",{",CHAR(34),"target",CHAR(34),":",CHAR(34),VLOOKUP(D337,DM_fish!C:X,21, FALSE),CHAR(34),",", CHAR(34), "excitation",CHAR(34), ":", VLOOKUP(D337,DM_fish!C:X,22, FALSE), ",",  CHAR(34), "camera",CHAR(34), ":", IF(VALUE(VLOOKUP(D337,DM_fish!C:X,22, FALSE))&lt;VALUE(VLOOKUP(V337,imaging_filters!A:K,11, FALSE)), CONCATENATE(CHAR(34),"CamA",CHAR(34)), CONCATENATE(CHAR(34),"CamB",CHAR(34))),"}"), "")), "]"), "")</f>
        <v/>
      </c>
      <c r="X337" s="12" t="str">
        <f ca="1">IFERROR(
CONCATENATE("[", CONCATENATE(IF(VLOOKUP(C337,DM_fish!C:X,14, FALSE)&gt;0, CONCATENATE("{",CHAR(34),"target",CHAR(34),":",CHAR(34),VLOOKUP(C337,DM_fish!C:X,13, FALSE),CHAR(34),",", CHAR(34), "excitation",CHAR(34), ":", VLOOKUP(C337,DM_fish!C:X,14, FALSE), ",",  CHAR(34), "camera",CHAR(34), ":", IF(VALUE(VLOOKUP(C337,DM_fish!C:X,14, FALSE))&lt;VALUE(VLOOKUP(V337,imaging_filters!A:K,11, FALSE)), CONCATENATE(CHAR(34),"CamA",CHAR(34)), CONCATENATE(CHAR(34),"CamB",CHAR(34))),"}"), ""),IF(VLOOKUP(C337,DM_fish!C:X,16, FALSE)&gt;0, CONCATENATE(",{",CHAR(34),"target",CHAR(34),":",CHAR(34),VLOOKUP(C337,DM_fish!C:X,15, FALSE),CHAR(34),",", CHAR(34), "excitation",CHAR(34), ":", VLOOKUP(C337,DM_fish!C:X,16, FALSE), ",",  CHAR(34), "camera",CHAR(34), ":", IF(VALUE(VLOOKUP(C337,DM_fish!C:X,16, FALSE))&lt;VALUE(VLOOKUP(V337,imaging_filters!A:K,11, FALSE)), CONCATENATE(CHAR(34),"CamA",CHAR(34)), CONCATENATE(CHAR(34),"CamB",CHAR(34))),"}"), ""),IF(VLOOKUP(C337,DM_fish!C:X,18, FALSE)&gt;0, CONCATENATE(",{",CHAR(34),"target",CHAR(34),":",CHAR(34),VLOOKUP(C337,DM_fish!C:X,17, FALSE),CHAR(34),",", CHAR(34), "excitation",CHAR(34), ":", VLOOKUP(C337,DM_fish!C:X,18, FALSE), ",",  CHAR(34), "camera",CHAR(34), ":", IF(VALUE(VLOOKUP(C337,DM_fish!C:X,18, FALSE))&lt;VALUE(VLOOKUP(V337,imaging_filters!A:K,11, FALSE)), CONCATENATE(CHAR(34),"CamA",CHAR(34)), CONCATENATE(CHAR(34),"CamB",CHAR(34))),"}"), ""),IF(VLOOKUP(C337,DM_fish!C:X,20, FALSE)&gt;0, CONCATENATE(",{",CHAR(34),"target",CHAR(34),":",CHAR(34),VLOOKUP(C337,DM_fish!C:X,19, FALSE),CHAR(34),",", CHAR(34), "excitation",CHAR(34), ":", VLOOKUP(C337,DM_fish!C:X,20, FALSE), ",",  CHAR(34), "camera",CHAR(34), ":", IF(VALUE(VLOOKUP(C337,DM_fish!C:X,20, FALSE))&lt;VALUE(VLOOKUP(V337,imaging_filters!A:K,11, FALSE)), CONCATENATE(CHAR(34),"CamA",CHAR(34)), CONCATENATE(CHAR(34),"CamB",CHAR(34))),"}"), ""),IF(VLOOKUP(C337,DM_fish!C:X,22, FALSE)&gt;0, CONCATENATE(",{",CHAR(34),"target",CHAR(34),":",CHAR(34),VLOOKUP(C337,DM_fish!C:X,21, FALSE),CHAR(34),",", CHAR(34), "excitation",CHAR(34), ":", VLOOKUP(C337,DM_fish!C:X,22, FALSE), ",",  CHAR(34), "camera",CHAR(34), ":", IF(VALUE(VLOOKUP(C337,DM_fish!C:X,22, FALSE))&lt;VALUE(VLOOKUP(V337,imaging_filters!A:K,11, FALSE)), CONCATENATE(CHAR(34),"CamA",CHAR(34)), CONCATENATE(CHAR(34),"CamB",CHAR(34))),"}"), "")), "]"), "")</f>
        <v/>
      </c>
      <c r="Y337" s="11" t="str">
        <f ca="1">IFERROR(
CONCATENATE( "[",
IF(VLOOKUP(E337,Injections!B:F,3, FALSE)&gt;0, CONCATENATE( "{",CHAR(34),"target",CHAR(34),":",CHAR(34),VLOOKUP(E337,Injections!B:F,2, FALSE),CHAR(34),",", CHAR(34), "excitation",CHAR(34), ":", VLOOKUP(E337,Injections!B:F,3, FALSE), ",",  CHAR(34), "camera",CHAR(34), ":",
IF(VALUE(VLOOKUP(E337,Injections!B:F,3, FALSE))&lt;VALUE(VLOOKUP(V337,imaging_filters!A:C,2, FALSE)), CONCATENATE(CHAR(34),"CamA",CHAR(34)), CONCATENATE(CHAR(34),"CamB",CHAR(34))),"}"), ""),
IF(VLOOKUP(E337,Injections!B:F,5, FALSE)&gt;0, CONCATENATE(",{",CHAR(34),"target",CHAR(34),":",CHAR(34),VLOOKUP(E337,Injections!B:F,4, FALSE),CHAR(34),",", CHAR(34), "excitation",CHAR(34), ":", VLOOKUP(E337,Injections!B:F,5, FALSE), ",",  CHAR(34), "camera",CHAR(34), ":",
IF(VALUE(VLOOKUP(E337,Injections!B:F,5, FALSE))&lt;VALUE(VLOOKUP(V337,imaging_filters!A:C,2, FALSE)), CONCATENATE(CHAR(34),"CamA",CHAR(34)), CONCATENATE(CHAR(34),"CamB",CHAR(34))),"}"), ""),
 "]"), "[]")</f>
        <v>[]</v>
      </c>
      <c r="Z337" s="11" t="str">
        <f ca="1">IFERROR(
CONCATENATE( "[",
IF(VLOOKUP(F337,Injections!H:L,3, FALSE)&gt;0, CONCATENATE( "{",CHAR(34),"target",CHAR(34),":",CHAR(34),VLOOKUP(F337,Injections!H:L,2, FALSE),CHAR(34),",", CHAR(34), "excitation",CHAR(34), ":", VLOOKUP(F337,Injections!H:L,3, FALSE), ",",  CHAR(34), "camera",CHAR(34), ":",
IF(VALUE(VLOOKUP(F337,Injections!H:L,3, FALSE))&lt;VALUE(VLOOKUP(V337,imaging_filters!A:K,11, FALSE)), CONCATENATE(CHAR(34),"CamA",CHAR(34)), CONCATENATE(CHAR(34),"CamB",CHAR(34))),"}"), ""),
IF(VLOOKUP(F337,Injections!H:L,5, FALSE)&gt;0, CONCATENATE(",{",CHAR(34),"target",CHAR(34),":",CHAR(34),VLOOKUP(F337,Injections!H:L,4, FALSE),CHAR(34),",", CHAR(34), "excitation",CHAR(34), ":", VLOOKUP(F337,Injections!H:L,5, FALSE), ",",  CHAR(34), "camera",CHAR(34), ":",
IF(VALUE(VLOOKUP(F337,Injections!H:L,5, FALSE))&lt;VALUE(VLOOKUP(V337,imaging_filters!A:K,11, FALSE)), CONCATENATE(CHAR(34),"CamA",CHAR(34)), CONCATENATE(CHAR(34),"CamB",CHAR(34))),"}"), ""),
 "]"), "[]")</f>
        <v>[]</v>
      </c>
      <c r="AA337" s="11" t="s">
        <v>658</v>
      </c>
    </row>
    <row r="338" spans="1:27" ht="15.75" customHeight="1" x14ac:dyDescent="0.15">
      <c r="A338" s="7">
        <f t="shared" si="9"/>
        <v>0</v>
      </c>
      <c r="B338" s="1"/>
      <c r="C338" s="1" t="s">
        <v>253</v>
      </c>
      <c r="D338" s="1" t="s">
        <v>107</v>
      </c>
      <c r="E338" s="1" t="s">
        <v>661</v>
      </c>
      <c r="F338" s="1" t="s">
        <v>662</v>
      </c>
      <c r="G338" s="8"/>
      <c r="H338" s="8"/>
      <c r="I338" s="8">
        <v>45688</v>
      </c>
      <c r="L338" s="1" t="s">
        <v>663</v>
      </c>
      <c r="M338" s="8"/>
      <c r="R338" s="10" t="str">
        <f ca="1">IFERROR(__xludf.DUMMYFUNCTION("JOIN("","", SORT(UNIQUE(TOCOL({VLOOKUP(D338,DM_fish!A:B,2,FALSE),VLOOKUP(C338,DM_fish!A:B,2,FALSE), ARRAYFORMULA(VLOOKUP(SPLIT(E338, "", ""),Injections!B:G,6,FALSE)), ARRAYFORMULA(VLOOKUP(SPLIT(F338, "", ""),Injections!H:M,6,FALSE)), ARRAYFORMULA(VLOOKUP("&amp;"SPLIT(G338, "", ""),Injections!N:S,6,FALSE)), ARRAYFORMULA(VLOOKUP(SPLIT(H338, "", ""),Injections!T:Y,6,FALSE)) },3))))"),"")</f>
        <v/>
      </c>
      <c r="S338" s="10" t="str">
        <f ca="1">IFERROR(__xludf.DUMMYFUNCTION("IFERROR(JOIN("","", SPLIT(R338, "","", TRUE ,TRUE)), """")"),"")</f>
        <v/>
      </c>
      <c r="T338" s="1"/>
      <c r="V338" s="1" t="s">
        <v>203</v>
      </c>
      <c r="W338" s="12" t="str">
        <f ca="1">IFERROR(CONCATENATE("[", CONCATENATE(IF(VLOOKUP(D338,DM_fish!C:X,14, FALSE)&gt;0, CONCATENATE("{",CHAR(34),"target",CHAR(34),":",CHAR(34),VLOOKUP(D338,DM_fish!C:X,13, FALSE),CHAR(34),",", CHAR(34), "excitation",CHAR(34), ":", VLOOKUP(D338,DM_fish!C:X,14, FALSE), ",",  CHAR(34), "camera",CHAR(34), ":", IF(VALUE(VLOOKUP(D338,DM_fish!C:X,14, FALSE))&lt;VALUE(VLOOKUP(V338,imaging_filters!A:K,11, FALSE)), CONCATENATE(CHAR(34),"CamA",CHAR(34)), CONCATENATE(CHAR(34),"CamB",CHAR(34))),"}"), ""),IF(VLOOKUP(D338,DM_fish!C:X,16, FALSE)&gt;0, CONCATENATE(",{",CHAR(34),"target",CHAR(34),":",CHAR(34),VLOOKUP(D338,DM_fish!C:X,15, FALSE),CHAR(34),",", CHAR(34), "excitation",CHAR(34), ":", VLOOKUP(D338,DM_fish!C:X,16, FALSE), ",",  CHAR(34), "camera",CHAR(34), ":", IF(VALUE(VLOOKUP(D338,DM_fish!C:X,16, FALSE))&lt;VALUE(VLOOKUP(V338,imaging_filters!A:K,11, FALSE)), CONCATENATE(CHAR(34),"CamA",CHAR(34)), CONCATENATE(CHAR(34),"CamB",CHAR(34))),"}"), ""),IF(VLOOKUP(D338,DM_fish!C:X,18, FALSE)&gt;0, CONCATENATE(",{",CHAR(34),"target",CHAR(34),":",CHAR(34),VLOOKUP(D338,DM_fish!C:X,17, FALSE),CHAR(34),",", CHAR(34), "excitation",CHAR(34), ":", VLOOKUP(D338,DM_fish!C:X,18, FALSE), ",",  CHAR(34), "camera",CHAR(34), ":", IF(VALUE(VLOOKUP(D338,DM_fish!C:X,18, FALSE))&lt;VALUE(VLOOKUP(V338,imaging_filters!A:K,11, FALSE)), CONCATENATE(CHAR(34),"CamA",CHAR(34)), CONCATENATE(CHAR(34),"CamB",CHAR(34))),"}"), ""),IF(VLOOKUP(D338,DM_fish!C:X,20, FALSE)&gt;0, CONCATENATE(",{",CHAR(34),"target",CHAR(34),":",CHAR(34),VLOOKUP(D338,DM_fish!C:X,19, FALSE),CHAR(34),",", CHAR(34), "excitation",CHAR(34), ":", VLOOKUP(D338,DM_fish!C:X,20, FALSE), ",",  CHAR(34), "camera",CHAR(34), ":", IF(VALUE(VLOOKUP(D338,DM_fish!C:X,20, FALSE))&lt;VALUE(VLOOKUP(V338,imaging_filters!A:K,11, FALSE)), CONCATENATE(CHAR(34),"CamA",CHAR(34)), CONCATENATE(CHAR(34),"CamB",CHAR(34))),"}"), ""),IF(VLOOKUP(D338,DM_fish!C:X,22, FALSE)&gt;0, CONCATENATE(",{",CHAR(34),"target",CHAR(34),":",CHAR(34),VLOOKUP(D338,DM_fish!C:X,21, FALSE),CHAR(34),",", CHAR(34), "excitation",CHAR(34), ":", VLOOKUP(D338,DM_fish!C:X,22, FALSE), ",",  CHAR(34), "camera",CHAR(34), ":", IF(VALUE(VLOOKUP(D338,DM_fish!C:X,22, FALSE))&lt;VALUE(VLOOKUP(V338,imaging_filters!A:K,11, FALSE)), CONCATENATE(CHAR(34),"CamA",CHAR(34)), CONCATENATE(CHAR(34),"CamB",CHAR(34))),"}"), "")), "]"), "")</f>
        <v/>
      </c>
      <c r="X338" s="12" t="str">
        <f ca="1">IFERROR(
CONCATENATE("[", CONCATENATE(IF(VLOOKUP(C338,DM_fish!C:X,14, FALSE)&gt;0, CONCATENATE("{",CHAR(34),"target",CHAR(34),":",CHAR(34),VLOOKUP(C338,DM_fish!C:X,13, FALSE),CHAR(34),",", CHAR(34), "excitation",CHAR(34), ":", VLOOKUP(C338,DM_fish!C:X,14, FALSE), ",",  CHAR(34), "camera",CHAR(34), ":", IF(VALUE(VLOOKUP(C338,DM_fish!C:X,14, FALSE))&lt;VALUE(VLOOKUP(V338,imaging_filters!A:K,11, FALSE)), CONCATENATE(CHAR(34),"CamA",CHAR(34)), CONCATENATE(CHAR(34),"CamB",CHAR(34))),"}"), ""),IF(VLOOKUP(C338,DM_fish!C:X,16, FALSE)&gt;0, CONCATENATE(",{",CHAR(34),"target",CHAR(34),":",CHAR(34),VLOOKUP(C338,DM_fish!C:X,15, FALSE),CHAR(34),",", CHAR(34), "excitation",CHAR(34), ":", VLOOKUP(C338,DM_fish!C:X,16, FALSE), ",",  CHAR(34), "camera",CHAR(34), ":", IF(VALUE(VLOOKUP(C338,DM_fish!C:X,16, FALSE))&lt;VALUE(VLOOKUP(V338,imaging_filters!A:K,11, FALSE)), CONCATENATE(CHAR(34),"CamA",CHAR(34)), CONCATENATE(CHAR(34),"CamB",CHAR(34))),"}"), ""),IF(VLOOKUP(C338,DM_fish!C:X,18, FALSE)&gt;0, CONCATENATE(",{",CHAR(34),"target",CHAR(34),":",CHAR(34),VLOOKUP(C338,DM_fish!C:X,17, FALSE),CHAR(34),",", CHAR(34), "excitation",CHAR(34), ":", VLOOKUP(C338,DM_fish!C:X,18, FALSE), ",",  CHAR(34), "camera",CHAR(34), ":", IF(VALUE(VLOOKUP(C338,DM_fish!C:X,18, FALSE))&lt;VALUE(VLOOKUP(V338,imaging_filters!A:K,11, FALSE)), CONCATENATE(CHAR(34),"CamA",CHAR(34)), CONCATENATE(CHAR(34),"CamB",CHAR(34))),"}"), ""),IF(VLOOKUP(C338,DM_fish!C:X,20, FALSE)&gt;0, CONCATENATE(",{",CHAR(34),"target",CHAR(34),":",CHAR(34),VLOOKUP(C338,DM_fish!C:X,19, FALSE),CHAR(34),",", CHAR(34), "excitation",CHAR(34), ":", VLOOKUP(C338,DM_fish!C:X,20, FALSE), ",",  CHAR(34), "camera",CHAR(34), ":", IF(VALUE(VLOOKUP(C338,DM_fish!C:X,20, FALSE))&lt;VALUE(VLOOKUP(V338,imaging_filters!A:K,11, FALSE)), CONCATENATE(CHAR(34),"CamA",CHAR(34)), CONCATENATE(CHAR(34),"CamB",CHAR(34))),"}"), ""),IF(VLOOKUP(C338,DM_fish!C:X,22, FALSE)&gt;0, CONCATENATE(",{",CHAR(34),"target",CHAR(34),":",CHAR(34),VLOOKUP(C338,DM_fish!C:X,21, FALSE),CHAR(34),",", CHAR(34), "excitation",CHAR(34), ":", VLOOKUP(C338,DM_fish!C:X,22, FALSE), ",",  CHAR(34), "camera",CHAR(34), ":", IF(VALUE(VLOOKUP(C338,DM_fish!C:X,22, FALSE))&lt;VALUE(VLOOKUP(V338,imaging_filters!A:K,11, FALSE)), CONCATENATE(CHAR(34),"CamA",CHAR(34)), CONCATENATE(CHAR(34),"CamB",CHAR(34))),"}"), "")), "]"), "")</f>
        <v/>
      </c>
      <c r="Y338" s="11" t="str">
        <f ca="1">IFERROR(
CONCATENATE( "[",
IF(VLOOKUP(E338,Injections!B:F,3, FALSE)&gt;0, CONCATENATE( "{",CHAR(34),"target",CHAR(34),":",CHAR(34),VLOOKUP(E338,Injections!B:F,2, FALSE),CHAR(34),",", CHAR(34), "excitation",CHAR(34), ":", VLOOKUP(E338,Injections!B:F,3, FALSE), ",",  CHAR(34), "camera",CHAR(34), ":",
IF(VALUE(VLOOKUP(E338,Injections!B:F,3, FALSE))&lt;VALUE(VLOOKUP(V338,imaging_filters!A:C,2, FALSE)), CONCATENATE(CHAR(34),"CamA",CHAR(34)), CONCATENATE(CHAR(34),"CamB",CHAR(34))),"}"), ""),
IF(VLOOKUP(E338,Injections!B:F,5, FALSE)&gt;0, CONCATENATE(",{",CHAR(34),"target",CHAR(34),":",CHAR(34),VLOOKUP(E338,Injections!B:F,4, FALSE),CHAR(34),",", CHAR(34), "excitation",CHAR(34), ":", VLOOKUP(E338,Injections!B:F,5, FALSE), ",",  CHAR(34), "camera",CHAR(34), ":",
IF(VALUE(VLOOKUP(E338,Injections!B:F,5, FALSE))&lt;VALUE(VLOOKUP(V338,imaging_filters!A:C,2, FALSE)), CONCATENATE(CHAR(34),"CamA",CHAR(34)), CONCATENATE(CHAR(34),"CamB",CHAR(34))),"}"), ""),
 "]"), "[]")</f>
        <v>[]</v>
      </c>
      <c r="Z338" s="11" t="str">
        <f ca="1">IFERROR(
CONCATENATE( "[",
IF(VLOOKUP(F338,Injections!H:L,3, FALSE)&gt;0, CONCATENATE( "{",CHAR(34),"target",CHAR(34),":",CHAR(34),VLOOKUP(F338,Injections!H:L,2, FALSE),CHAR(34),",", CHAR(34), "excitation",CHAR(34), ":", VLOOKUP(F338,Injections!H:L,3, FALSE), ",",  CHAR(34), "camera",CHAR(34), ":",
IF(VALUE(VLOOKUP(F338,Injections!H:L,3, FALSE))&lt;VALUE(VLOOKUP(V338,imaging_filters!A:K,11, FALSE)), CONCATENATE(CHAR(34),"CamA",CHAR(34)), CONCATENATE(CHAR(34),"CamB",CHAR(34))),"}"), ""),
IF(VLOOKUP(F338,Injections!H:L,5, FALSE)&gt;0, CONCATENATE(",{",CHAR(34),"target",CHAR(34),":",CHAR(34),VLOOKUP(F338,Injections!H:L,4, FALSE),CHAR(34),",", CHAR(34), "excitation",CHAR(34), ":", VLOOKUP(F338,Injections!H:L,5, FALSE), ",",  CHAR(34), "camera",CHAR(34), ":",
IF(VALUE(VLOOKUP(F338,Injections!H:L,5, FALSE))&lt;VALUE(VLOOKUP(V338,imaging_filters!A:K,11, FALSE)), CONCATENATE(CHAR(34),"CamA",CHAR(34)), CONCATENATE(CHAR(34),"CamB",CHAR(34))),"}"), ""),
 "]"), "[]")</f>
        <v>[]</v>
      </c>
      <c r="AA338" s="11" t="s">
        <v>664</v>
      </c>
    </row>
    <row r="339" spans="1:27" ht="15.75" customHeight="1" x14ac:dyDescent="0.15">
      <c r="A339" s="7">
        <f t="shared" si="9"/>
        <v>0</v>
      </c>
      <c r="B339" s="1"/>
      <c r="C339" s="1" t="s">
        <v>107</v>
      </c>
      <c r="D339" s="1" t="s">
        <v>665</v>
      </c>
      <c r="E339" s="1" t="s">
        <v>661</v>
      </c>
      <c r="F339" s="1" t="s">
        <v>662</v>
      </c>
      <c r="G339" s="8"/>
      <c r="H339" s="8"/>
      <c r="I339" s="8">
        <v>45688</v>
      </c>
      <c r="L339" s="1" t="s">
        <v>663</v>
      </c>
      <c r="M339" s="8"/>
      <c r="R339" s="10" t="str">
        <f ca="1">IFERROR(__xludf.DUMMYFUNCTION("JOIN("","", SORT(UNIQUE(TOCOL({VLOOKUP(D339,DM_fish!A:B,2,FALSE),VLOOKUP(C339,DM_fish!A:B,2,FALSE), ARRAYFORMULA(VLOOKUP(SPLIT(E339, "", ""),Injections!B:G,6,FALSE)), ARRAYFORMULA(VLOOKUP(SPLIT(F339, "", ""),Injections!H:M,6,FALSE)), ARRAYFORMULA(VLOOKUP("&amp;"SPLIT(G339, "", ""),Injections!N:S,6,FALSE)), ARRAYFORMULA(VLOOKUP(SPLIT(H339, "", ""),Injections!T:Y,6,FALSE)) },3))))"),"csp,male #23 - bright, low frequency transmission (&lt;10%),488")</f>
        <v>csp,male #23 - bright, low frequency transmission (&lt;10%),488</v>
      </c>
      <c r="S339" s="10" t="str">
        <f ca="1">IFERROR(__xludf.DUMMYFUNCTION("IFERROR(JOIN("","", SPLIT(R339, "","", TRUE ,TRUE)), """")"),"csp,male #23 - bright, low frequency transmission (&lt;10%),488")</f>
        <v>csp,male #23 - bright, low frequency transmission (&lt;10%),488</v>
      </c>
      <c r="T339" s="1"/>
      <c r="V339" s="1" t="s">
        <v>203</v>
      </c>
      <c r="W339" s="12" t="str">
        <f ca="1">IFERROR(CONCATENATE("[", CONCATENATE(IF(VLOOKUP(D339,DM_fish!C:X,14, FALSE)&gt;0, CONCATENATE("{",CHAR(34),"target",CHAR(34),":",CHAR(34),VLOOKUP(D339,DM_fish!C:X,13, FALSE),CHAR(34),",", CHAR(34), "excitation",CHAR(34), ":", VLOOKUP(D339,DM_fish!C:X,14, FALSE), ",",  CHAR(34), "camera",CHAR(34), ":", IF(VALUE(VLOOKUP(D339,DM_fish!C:X,14, FALSE))&lt;VALUE(VLOOKUP(V339,imaging_filters!A:K,11, FALSE)), CONCATENATE(CHAR(34),"CamA",CHAR(34)), CONCATENATE(CHAR(34),"CamB",CHAR(34))),"}"), ""),IF(VLOOKUP(D339,DM_fish!C:X,16, FALSE)&gt;0, CONCATENATE(",{",CHAR(34),"target",CHAR(34),":",CHAR(34),VLOOKUP(D339,DM_fish!C:X,15, FALSE),CHAR(34),",", CHAR(34), "excitation",CHAR(34), ":", VLOOKUP(D339,DM_fish!C:X,16, FALSE), ",",  CHAR(34), "camera",CHAR(34), ":", IF(VALUE(VLOOKUP(D339,DM_fish!C:X,16, FALSE))&lt;VALUE(VLOOKUP(V339,imaging_filters!A:K,11, FALSE)), CONCATENATE(CHAR(34),"CamA",CHAR(34)), CONCATENATE(CHAR(34),"CamB",CHAR(34))),"}"), ""),IF(VLOOKUP(D339,DM_fish!C:X,18, FALSE)&gt;0, CONCATENATE(",{",CHAR(34),"target",CHAR(34),":",CHAR(34),VLOOKUP(D339,DM_fish!C:X,17, FALSE),CHAR(34),",", CHAR(34), "excitation",CHAR(34), ":", VLOOKUP(D339,DM_fish!C:X,18, FALSE), ",",  CHAR(34), "camera",CHAR(34), ":", IF(VALUE(VLOOKUP(D339,DM_fish!C:X,18, FALSE))&lt;VALUE(VLOOKUP(V339,imaging_filters!A:K,11, FALSE)), CONCATENATE(CHAR(34),"CamA",CHAR(34)), CONCATENATE(CHAR(34),"CamB",CHAR(34))),"}"), ""),IF(VLOOKUP(D339,DM_fish!C:X,20, FALSE)&gt;0, CONCATENATE(",{",CHAR(34),"target",CHAR(34),":",CHAR(34),VLOOKUP(D339,DM_fish!C:X,19, FALSE),CHAR(34),",", CHAR(34), "excitation",CHAR(34), ":", VLOOKUP(D339,DM_fish!C:X,20, FALSE), ",",  CHAR(34), "camera",CHAR(34), ":", IF(VALUE(VLOOKUP(D339,DM_fish!C:X,20, FALSE))&lt;VALUE(VLOOKUP(V339,imaging_filters!A:K,11, FALSE)), CONCATENATE(CHAR(34),"CamA",CHAR(34)), CONCATENATE(CHAR(34),"CamB",CHAR(34))),"}"), ""),IF(VLOOKUP(D339,DM_fish!C:X,22, FALSE)&gt;0, CONCATENATE(",{",CHAR(34),"target",CHAR(34),":",CHAR(34),VLOOKUP(D339,DM_fish!C:X,21, FALSE),CHAR(34),",", CHAR(34), "excitation",CHAR(34), ":", VLOOKUP(D339,DM_fish!C:X,22, FALSE), ",",  CHAR(34), "camera",CHAR(34), ":", IF(VALUE(VLOOKUP(D339,DM_fish!C:X,22, FALSE))&lt;VALUE(VLOOKUP(V339,imaging_filters!A:K,11, FALSE)), CONCATENATE(CHAR(34),"CamA",CHAR(34)), CONCATENATE(CHAR(34),"CamB",CHAR(34))),"}"), "")), "]"), "")</f>
        <v/>
      </c>
      <c r="X339" s="12" t="str">
        <f ca="1">IFERROR(
CONCATENATE("[", CONCATENATE(IF(VLOOKUP(C339,DM_fish!C:X,14, FALSE)&gt;0, CONCATENATE("{",CHAR(34),"target",CHAR(34),":",CHAR(34),VLOOKUP(C339,DM_fish!C:X,13, FALSE),CHAR(34),",", CHAR(34), "excitation",CHAR(34), ":", VLOOKUP(C339,DM_fish!C:X,14, FALSE), ",",  CHAR(34), "camera",CHAR(34), ":", IF(VALUE(VLOOKUP(C339,DM_fish!C:X,14, FALSE))&lt;VALUE(VLOOKUP(V339,imaging_filters!A:K,11, FALSE)), CONCATENATE(CHAR(34),"CamA",CHAR(34)), CONCATENATE(CHAR(34),"CamB",CHAR(34))),"}"), ""),IF(VLOOKUP(C339,DM_fish!C:X,16, FALSE)&gt;0, CONCATENATE(",{",CHAR(34),"target",CHAR(34),":",CHAR(34),VLOOKUP(C339,DM_fish!C:X,15, FALSE),CHAR(34),",", CHAR(34), "excitation",CHAR(34), ":", VLOOKUP(C339,DM_fish!C:X,16, FALSE), ",",  CHAR(34), "camera",CHAR(34), ":", IF(VALUE(VLOOKUP(C339,DM_fish!C:X,16, FALSE))&lt;VALUE(VLOOKUP(V339,imaging_filters!A:K,11, FALSE)), CONCATENATE(CHAR(34),"CamA",CHAR(34)), CONCATENATE(CHAR(34),"CamB",CHAR(34))),"}"), ""),IF(VLOOKUP(C339,DM_fish!C:X,18, FALSE)&gt;0, CONCATENATE(",{",CHAR(34),"target",CHAR(34),":",CHAR(34),VLOOKUP(C339,DM_fish!C:X,17, FALSE),CHAR(34),",", CHAR(34), "excitation",CHAR(34), ":", VLOOKUP(C339,DM_fish!C:X,18, FALSE), ",",  CHAR(34), "camera",CHAR(34), ":", IF(VALUE(VLOOKUP(C339,DM_fish!C:X,18, FALSE))&lt;VALUE(VLOOKUP(V339,imaging_filters!A:K,11, FALSE)), CONCATENATE(CHAR(34),"CamA",CHAR(34)), CONCATENATE(CHAR(34),"CamB",CHAR(34))),"}"), ""),IF(VLOOKUP(C339,DM_fish!C:X,20, FALSE)&gt;0, CONCATENATE(",{",CHAR(34),"target",CHAR(34),":",CHAR(34),VLOOKUP(C339,DM_fish!C:X,19, FALSE),CHAR(34),",", CHAR(34), "excitation",CHAR(34), ":", VLOOKUP(C339,DM_fish!C:X,20, FALSE), ",",  CHAR(34), "camera",CHAR(34), ":", IF(VALUE(VLOOKUP(C339,DM_fish!C:X,20, FALSE))&lt;VALUE(VLOOKUP(V339,imaging_filters!A:K,11, FALSE)), CONCATENATE(CHAR(34),"CamA",CHAR(34)), CONCATENATE(CHAR(34),"CamB",CHAR(34))),"}"), ""),IF(VLOOKUP(C339,DM_fish!C:X,22, FALSE)&gt;0, CONCATENATE(",{",CHAR(34),"target",CHAR(34),":",CHAR(34),VLOOKUP(C339,DM_fish!C:X,21, FALSE),CHAR(34),",", CHAR(34), "excitation",CHAR(34), ":", VLOOKUP(C339,DM_fish!C:X,22, FALSE), ",",  CHAR(34), "camera",CHAR(34), ":", IF(VALUE(VLOOKUP(C339,DM_fish!C:X,22, FALSE))&lt;VALUE(VLOOKUP(V339,imaging_filters!A:K,11, FALSE)), CONCATENATE(CHAR(34),"CamA",CHAR(34)), CONCATENATE(CHAR(34),"CamB",CHAR(34))),"}"), "")), "]"), "")</f>
        <v/>
      </c>
      <c r="Y339" s="11" t="str">
        <f ca="1">IFERROR(
CONCATENATE( "[",
IF(VLOOKUP(E339,Injections!B:F,3, FALSE)&gt;0, CONCATENATE( "{",CHAR(34),"target",CHAR(34),":",CHAR(34),VLOOKUP(E339,Injections!B:F,2, FALSE),CHAR(34),",", CHAR(34), "excitation",CHAR(34), ":", VLOOKUP(E339,Injections!B:F,3, FALSE), ",",  CHAR(34), "camera",CHAR(34), ":",
IF(VALUE(VLOOKUP(E339,Injections!B:F,3, FALSE))&lt;VALUE(VLOOKUP(V339,imaging_filters!A:C,2, FALSE)), CONCATENATE(CHAR(34),"CamA",CHAR(34)), CONCATENATE(CHAR(34),"CamB",CHAR(34))),"}"), ""),
IF(VLOOKUP(E339,Injections!B:F,5, FALSE)&gt;0, CONCATENATE(",{",CHAR(34),"target",CHAR(34),":",CHAR(34),VLOOKUP(E339,Injections!B:F,4, FALSE),CHAR(34),",", CHAR(34), "excitation",CHAR(34), ":", VLOOKUP(E339,Injections!B:F,5, FALSE), ",",  CHAR(34), "camera",CHAR(34), ":",
IF(VALUE(VLOOKUP(E339,Injections!B:F,5, FALSE))&lt;VALUE(VLOOKUP(V339,imaging_filters!A:C,2, FALSE)), CONCATENATE(CHAR(34),"CamA",CHAR(34)), CONCATENATE(CHAR(34),"CamB",CHAR(34))),"}"), ""),
 "]"), "[]")</f>
        <v>[]</v>
      </c>
      <c r="Z339" s="11" t="str">
        <f ca="1">IFERROR(
CONCATENATE( "[",
IF(VLOOKUP(F339,Injections!H:L,3, FALSE)&gt;0, CONCATENATE( "{",CHAR(34),"target",CHAR(34),":",CHAR(34),VLOOKUP(F339,Injections!H:L,2, FALSE),CHAR(34),",", CHAR(34), "excitation",CHAR(34), ":", VLOOKUP(F339,Injections!H:L,3, FALSE), ",",  CHAR(34), "camera",CHAR(34), ":",
IF(VALUE(VLOOKUP(F339,Injections!H:L,3, FALSE))&lt;VALUE(VLOOKUP(V339,imaging_filters!A:K,11, FALSE)), CONCATENATE(CHAR(34),"CamA",CHAR(34)), CONCATENATE(CHAR(34),"CamB",CHAR(34))),"}"), ""),
IF(VLOOKUP(F339,Injections!H:L,5, FALSE)&gt;0, CONCATENATE(",{",CHAR(34),"target",CHAR(34),":",CHAR(34),VLOOKUP(F339,Injections!H:L,4, FALSE),CHAR(34),",", CHAR(34), "excitation",CHAR(34), ":", VLOOKUP(F339,Injections!H:L,5, FALSE), ",",  CHAR(34), "camera",CHAR(34), ":",
IF(VALUE(VLOOKUP(F339,Injections!H:L,5, FALSE))&lt;VALUE(VLOOKUP(V339,imaging_filters!A:K,11, FALSE)), CONCATENATE(CHAR(34),"CamA",CHAR(34)), CONCATENATE(CHAR(34),"CamB",CHAR(34))),"}"), ""),
 "]"), "[]")</f>
        <v>[]</v>
      </c>
      <c r="AA339" s="11"/>
    </row>
    <row r="340" spans="1:27" ht="15.75" customHeight="1" x14ac:dyDescent="0.15">
      <c r="A340" s="7">
        <f t="shared" si="9"/>
        <v>0</v>
      </c>
      <c r="B340" s="1"/>
      <c r="C340" s="1" t="s">
        <v>253</v>
      </c>
      <c r="D340" s="1" t="s">
        <v>107</v>
      </c>
      <c r="F340" s="1" t="s">
        <v>635</v>
      </c>
      <c r="G340" s="8"/>
      <c r="H340" s="8"/>
      <c r="I340" s="8">
        <v>45691</v>
      </c>
      <c r="J340" s="9">
        <v>0.4513888888888889</v>
      </c>
      <c r="K340" s="1" t="s">
        <v>551</v>
      </c>
      <c r="L340" s="19">
        <v>45692</v>
      </c>
      <c r="M340" s="8"/>
      <c r="N340" s="9">
        <v>0.4513888888888889</v>
      </c>
      <c r="O340" s="1" t="s">
        <v>666</v>
      </c>
      <c r="R340" s="10" t="str">
        <f ca="1">IFERROR(__xludf.DUMMYFUNCTION("JOIN("","", SORT(UNIQUE(TOCOL({VLOOKUP(D340,DM_fish!A:B,2,FALSE),VLOOKUP(C340,DM_fish!A:B,2,FALSE), ARRAYFORMULA(VLOOKUP(SPLIT(E340, "", ""),Injections!B:G,6,FALSE)), ARRAYFORMULA(VLOOKUP(SPLIT(F340, "", ""),Injections!H:M,6,FALSE)), ARRAYFORMULA(VLOOKUP("&amp;"SPLIT(G340, "", ""),Injections!N:S,6,FALSE)), ARRAYFORMULA(VLOOKUP(SPLIT(H340, "", ""),Injections!T:Y,6,FALSE)) },3))))"),"nuclei")</f>
        <v>nuclei</v>
      </c>
      <c r="S340" s="10" t="str">
        <f ca="1">IFERROR(__xludf.DUMMYFUNCTION("IFERROR(JOIN("","", SPLIT(R340, "","", TRUE ,TRUE)), """")"),"nuclei")</f>
        <v>nuclei</v>
      </c>
      <c r="T340" s="1"/>
      <c r="V340" s="1" t="s">
        <v>203</v>
      </c>
      <c r="W340" s="12" t="str">
        <f ca="1">IFERROR(CONCATENATE("[", CONCATENATE(IF(VLOOKUP(D340,DM_fish!C:X,14, FALSE)&gt;0, CONCATENATE("{",CHAR(34),"target",CHAR(34),":",CHAR(34),VLOOKUP(D340,DM_fish!C:X,13, FALSE),CHAR(34),",", CHAR(34), "excitation",CHAR(34), ":", VLOOKUP(D340,DM_fish!C:X,14, FALSE), ",",  CHAR(34), "camera",CHAR(34), ":", IF(VALUE(VLOOKUP(D340,DM_fish!C:X,14, FALSE))&lt;VALUE(VLOOKUP(V340,imaging_filters!A:K,11, FALSE)), CONCATENATE(CHAR(34),"CamA",CHAR(34)), CONCATENATE(CHAR(34),"CamB",CHAR(34))),"}"), ""),IF(VLOOKUP(D340,DM_fish!C:X,16, FALSE)&gt;0, CONCATENATE(",{",CHAR(34),"target",CHAR(34),":",CHAR(34),VLOOKUP(D340,DM_fish!C:X,15, FALSE),CHAR(34),",", CHAR(34), "excitation",CHAR(34), ":", VLOOKUP(D340,DM_fish!C:X,16, FALSE), ",",  CHAR(34), "camera",CHAR(34), ":", IF(VALUE(VLOOKUP(D340,DM_fish!C:X,16, FALSE))&lt;VALUE(VLOOKUP(V340,imaging_filters!A:K,11, FALSE)), CONCATENATE(CHAR(34),"CamA",CHAR(34)), CONCATENATE(CHAR(34),"CamB",CHAR(34))),"}"), ""),IF(VLOOKUP(D340,DM_fish!C:X,18, FALSE)&gt;0, CONCATENATE(",{",CHAR(34),"target",CHAR(34),":",CHAR(34),VLOOKUP(D340,DM_fish!C:X,17, FALSE),CHAR(34),",", CHAR(34), "excitation",CHAR(34), ":", VLOOKUP(D340,DM_fish!C:X,18, FALSE), ",",  CHAR(34), "camera",CHAR(34), ":", IF(VALUE(VLOOKUP(D340,DM_fish!C:X,18, FALSE))&lt;VALUE(VLOOKUP(V340,imaging_filters!A:K,11, FALSE)), CONCATENATE(CHAR(34),"CamA",CHAR(34)), CONCATENATE(CHAR(34),"CamB",CHAR(34))),"}"), ""),IF(VLOOKUP(D340,DM_fish!C:X,20, FALSE)&gt;0, CONCATENATE(",{",CHAR(34),"target",CHAR(34),":",CHAR(34),VLOOKUP(D340,DM_fish!C:X,19, FALSE),CHAR(34),",", CHAR(34), "excitation",CHAR(34), ":", VLOOKUP(D340,DM_fish!C:X,20, FALSE), ",",  CHAR(34), "camera",CHAR(34), ":", IF(VALUE(VLOOKUP(D340,DM_fish!C:X,20, FALSE))&lt;VALUE(VLOOKUP(V340,imaging_filters!A:K,11, FALSE)), CONCATENATE(CHAR(34),"CamA",CHAR(34)), CONCATENATE(CHAR(34),"CamB",CHAR(34))),"}"), ""),IF(VLOOKUP(D340,DM_fish!C:X,22, FALSE)&gt;0, CONCATENATE(",{",CHAR(34),"target",CHAR(34),":",CHAR(34),VLOOKUP(D340,DM_fish!C:X,21, FALSE),CHAR(34),",", CHAR(34), "excitation",CHAR(34), ":", VLOOKUP(D340,DM_fish!C:X,22, FALSE), ",",  CHAR(34), "camera",CHAR(34), ":", IF(VALUE(VLOOKUP(D340,DM_fish!C:X,22, FALSE))&lt;VALUE(VLOOKUP(V340,imaging_filters!A:K,11, FALSE)), CONCATENATE(CHAR(34),"CamA",CHAR(34)), CONCATENATE(CHAR(34),"CamB",CHAR(34))),"}"), "")), "]"), "")</f>
        <v/>
      </c>
      <c r="X340" s="12" t="str">
        <f ca="1">IFERROR(
CONCATENATE("[", CONCATENATE(IF(VLOOKUP(C340,DM_fish!C:X,14, FALSE)&gt;0, CONCATENATE("{",CHAR(34),"target",CHAR(34),":",CHAR(34),VLOOKUP(C340,DM_fish!C:X,13, FALSE),CHAR(34),",", CHAR(34), "excitation",CHAR(34), ":", VLOOKUP(C340,DM_fish!C:X,14, FALSE), ",",  CHAR(34), "camera",CHAR(34), ":", IF(VALUE(VLOOKUP(C340,DM_fish!C:X,14, FALSE))&lt;VALUE(VLOOKUP(V340,imaging_filters!A:K,11, FALSE)), CONCATENATE(CHAR(34),"CamA",CHAR(34)), CONCATENATE(CHAR(34),"CamB",CHAR(34))),"}"), ""),IF(VLOOKUP(C340,DM_fish!C:X,16, FALSE)&gt;0, CONCATENATE(",{",CHAR(34),"target",CHAR(34),":",CHAR(34),VLOOKUP(C340,DM_fish!C:X,15, FALSE),CHAR(34),",", CHAR(34), "excitation",CHAR(34), ":", VLOOKUP(C340,DM_fish!C:X,16, FALSE), ",",  CHAR(34), "camera",CHAR(34), ":", IF(VALUE(VLOOKUP(C340,DM_fish!C:X,16, FALSE))&lt;VALUE(VLOOKUP(V340,imaging_filters!A:K,11, FALSE)), CONCATENATE(CHAR(34),"CamA",CHAR(34)), CONCATENATE(CHAR(34),"CamB",CHAR(34))),"}"), ""),IF(VLOOKUP(C340,DM_fish!C:X,18, FALSE)&gt;0, CONCATENATE(",{",CHAR(34),"target",CHAR(34),":",CHAR(34),VLOOKUP(C340,DM_fish!C:X,17, FALSE),CHAR(34),",", CHAR(34), "excitation",CHAR(34), ":", VLOOKUP(C340,DM_fish!C:X,18, FALSE), ",",  CHAR(34), "camera",CHAR(34), ":", IF(VALUE(VLOOKUP(C340,DM_fish!C:X,18, FALSE))&lt;VALUE(VLOOKUP(V340,imaging_filters!A:K,11, FALSE)), CONCATENATE(CHAR(34),"CamA",CHAR(34)), CONCATENATE(CHAR(34),"CamB",CHAR(34))),"}"), ""),IF(VLOOKUP(C340,DM_fish!C:X,20, FALSE)&gt;0, CONCATENATE(",{",CHAR(34),"target",CHAR(34),":",CHAR(34),VLOOKUP(C340,DM_fish!C:X,19, FALSE),CHAR(34),",", CHAR(34), "excitation",CHAR(34), ":", VLOOKUP(C340,DM_fish!C:X,20, FALSE), ",",  CHAR(34), "camera",CHAR(34), ":", IF(VALUE(VLOOKUP(C340,DM_fish!C:X,20, FALSE))&lt;VALUE(VLOOKUP(V340,imaging_filters!A:K,11, FALSE)), CONCATENATE(CHAR(34),"CamA",CHAR(34)), CONCATENATE(CHAR(34),"CamB",CHAR(34))),"}"), ""),IF(VLOOKUP(C340,DM_fish!C:X,22, FALSE)&gt;0, CONCATENATE(",{",CHAR(34),"target",CHAR(34),":",CHAR(34),VLOOKUP(C340,DM_fish!C:X,21, FALSE),CHAR(34),",", CHAR(34), "excitation",CHAR(34), ":", VLOOKUP(C340,DM_fish!C:X,22, FALSE), ",",  CHAR(34), "camera",CHAR(34), ":", IF(VALUE(VLOOKUP(C340,DM_fish!C:X,22, FALSE))&lt;VALUE(VLOOKUP(V340,imaging_filters!A:K,11, FALSE)), CONCATENATE(CHAR(34),"CamA",CHAR(34)), CONCATENATE(CHAR(34),"CamB",CHAR(34))),"}"), "")), "]"), "")</f>
        <v/>
      </c>
      <c r="Y340" s="11" t="str">
        <f ca="1">IFERROR(
CONCATENATE( "[",
IF(VLOOKUP(E340,Injections!B:F,3, FALSE)&gt;0, CONCATENATE( "{",CHAR(34),"target",CHAR(34),":",CHAR(34),VLOOKUP(E340,Injections!B:F,2, FALSE),CHAR(34),",", CHAR(34), "excitation",CHAR(34), ":", VLOOKUP(E340,Injections!B:F,3, FALSE), ",",  CHAR(34), "camera",CHAR(34), ":",
IF(VALUE(VLOOKUP(E340,Injections!B:F,3, FALSE))&lt;VALUE(VLOOKUP(V340,imaging_filters!A:C,2, FALSE)), CONCATENATE(CHAR(34),"CamA",CHAR(34)), CONCATENATE(CHAR(34),"CamB",CHAR(34))),"}"), ""),
IF(VLOOKUP(E340,Injections!B:F,5, FALSE)&gt;0, CONCATENATE(",{",CHAR(34),"target",CHAR(34),":",CHAR(34),VLOOKUP(E340,Injections!B:F,4, FALSE),CHAR(34),",", CHAR(34), "excitation",CHAR(34), ":", VLOOKUP(E340,Injections!B:F,5, FALSE), ",",  CHAR(34), "camera",CHAR(34), ":",
IF(VALUE(VLOOKUP(E340,Injections!B:F,5, FALSE))&lt;VALUE(VLOOKUP(V340,imaging_filters!A:C,2, FALSE)), CONCATENATE(CHAR(34),"CamA",CHAR(34)), CONCATENATE(CHAR(34),"CamB",CHAR(34))),"}"), ""),
 "]"), "[]")</f>
        <v>[]</v>
      </c>
      <c r="Z340" s="11" t="str">
        <f ca="1">IFERROR(
CONCATENATE( "[",
IF(VLOOKUP(F340,Injections!H:L,3, FALSE)&gt;0, CONCATENATE( "{",CHAR(34),"target",CHAR(34),":",CHAR(34),VLOOKUP(F340,Injections!H:L,2, FALSE),CHAR(34),",", CHAR(34), "excitation",CHAR(34), ":", VLOOKUP(F340,Injections!H:L,3, FALSE), ",",  CHAR(34), "camera",CHAR(34), ":",
IF(VALUE(VLOOKUP(F340,Injections!H:L,3, FALSE))&lt;VALUE(VLOOKUP(V340,imaging_filters!A:K,11, FALSE)), CONCATENATE(CHAR(34),"CamA",CHAR(34)), CONCATENATE(CHAR(34),"CamB",CHAR(34))),"}"), ""),
IF(VLOOKUP(F340,Injections!H:L,5, FALSE)&gt;0, CONCATENATE(",{",CHAR(34),"target",CHAR(34),":",CHAR(34),VLOOKUP(F340,Injections!H:L,4, FALSE),CHAR(34),",", CHAR(34), "excitation",CHAR(34), ":", VLOOKUP(F340,Injections!H:L,5, FALSE), ",",  CHAR(34), "camera",CHAR(34), ":",
IF(VALUE(VLOOKUP(F340,Injections!H:L,5, FALSE))&lt;VALUE(VLOOKUP(V340,imaging_filters!A:K,11, FALSE)), CONCATENATE(CHAR(34),"CamA",CHAR(34)), CONCATENATE(CHAR(34),"CamB",CHAR(34))),"}"), ""),
 "]"), "[]")</f>
        <v>[]</v>
      </c>
      <c r="AA340" s="11" t="s">
        <v>667</v>
      </c>
    </row>
    <row r="341" spans="1:27" ht="15.75" customHeight="1" x14ac:dyDescent="0.15">
      <c r="A341" s="7">
        <f t="shared" si="9"/>
        <v>0</v>
      </c>
      <c r="B341" s="1"/>
      <c r="C341" s="1" t="s">
        <v>253</v>
      </c>
      <c r="D341" s="1" t="s">
        <v>107</v>
      </c>
      <c r="F341" s="1" t="s">
        <v>639</v>
      </c>
      <c r="G341" s="8"/>
      <c r="H341" s="8"/>
      <c r="I341" s="8">
        <v>45691</v>
      </c>
      <c r="J341" s="9">
        <v>0.4513888888888889</v>
      </c>
      <c r="K341" s="1" t="s">
        <v>551</v>
      </c>
      <c r="L341" s="19">
        <v>45692</v>
      </c>
      <c r="M341" s="8"/>
      <c r="N341" s="9">
        <v>0.4513888888888889</v>
      </c>
      <c r="O341" s="1" t="s">
        <v>666</v>
      </c>
      <c r="R341" s="10" t="str">
        <f ca="1">IFERROR(__xludf.DUMMYFUNCTION("JOIN("","", SORT(UNIQUE(TOCOL({VLOOKUP(D341,DM_fish!A:B,2,FALSE),VLOOKUP(C341,DM_fish!A:B,2,FALSE), ARRAYFORMULA(VLOOKUP(SPLIT(E341, "", ""),Injections!B:G,6,FALSE)), ARRAYFORMULA(VLOOKUP(SPLIT(F341, "", ""),Injections!H:M,6,FALSE)), ARRAYFORMULA(VLOOKUP("&amp;"SPLIT(G341, "", ""),Injections!N:S,6,FALSE)), ARRAYFORMULA(VLOOKUP(SPLIT(H341, "", ""),Injections!T:Y,6,FALSE)) },3))))"),"nuclei")</f>
        <v>nuclei</v>
      </c>
      <c r="S341" s="10" t="str">
        <f ca="1">IFERROR(__xludf.DUMMYFUNCTION("IFERROR(JOIN("","", SPLIT(R341, "","", TRUE ,TRUE)), """")"),"nuclei")</f>
        <v>nuclei</v>
      </c>
      <c r="T341" s="1"/>
      <c r="V341" s="1" t="s">
        <v>203</v>
      </c>
      <c r="W341" s="12" t="str">
        <f ca="1">IFERROR(CONCATENATE("[", CONCATENATE(IF(VLOOKUP(D341,DM_fish!C:X,14, FALSE)&gt;0, CONCATENATE("{",CHAR(34),"target",CHAR(34),":",CHAR(34),VLOOKUP(D341,DM_fish!C:X,13, FALSE),CHAR(34),",", CHAR(34), "excitation",CHAR(34), ":", VLOOKUP(D341,DM_fish!C:X,14, FALSE), ",",  CHAR(34), "camera",CHAR(34), ":", IF(VALUE(VLOOKUP(D341,DM_fish!C:X,14, FALSE))&lt;VALUE(VLOOKUP(V341,imaging_filters!A:K,11, FALSE)), CONCATENATE(CHAR(34),"CamA",CHAR(34)), CONCATENATE(CHAR(34),"CamB",CHAR(34))),"}"), ""),IF(VLOOKUP(D341,DM_fish!C:X,16, FALSE)&gt;0, CONCATENATE(",{",CHAR(34),"target",CHAR(34),":",CHAR(34),VLOOKUP(D341,DM_fish!C:X,15, FALSE),CHAR(34),",", CHAR(34), "excitation",CHAR(34), ":", VLOOKUP(D341,DM_fish!C:X,16, FALSE), ",",  CHAR(34), "camera",CHAR(34), ":", IF(VALUE(VLOOKUP(D341,DM_fish!C:X,16, FALSE))&lt;VALUE(VLOOKUP(V341,imaging_filters!A:K,11, FALSE)), CONCATENATE(CHAR(34),"CamA",CHAR(34)), CONCATENATE(CHAR(34),"CamB",CHAR(34))),"}"), ""),IF(VLOOKUP(D341,DM_fish!C:X,18, FALSE)&gt;0, CONCATENATE(",{",CHAR(34),"target",CHAR(34),":",CHAR(34),VLOOKUP(D341,DM_fish!C:X,17, FALSE),CHAR(34),",", CHAR(34), "excitation",CHAR(34), ":", VLOOKUP(D341,DM_fish!C:X,18, FALSE), ",",  CHAR(34), "camera",CHAR(34), ":", IF(VALUE(VLOOKUP(D341,DM_fish!C:X,18, FALSE))&lt;VALUE(VLOOKUP(V341,imaging_filters!A:K,11, FALSE)), CONCATENATE(CHAR(34),"CamA",CHAR(34)), CONCATENATE(CHAR(34),"CamB",CHAR(34))),"}"), ""),IF(VLOOKUP(D341,DM_fish!C:X,20, FALSE)&gt;0, CONCATENATE(",{",CHAR(34),"target",CHAR(34),":",CHAR(34),VLOOKUP(D341,DM_fish!C:X,19, FALSE),CHAR(34),",", CHAR(34), "excitation",CHAR(34), ":", VLOOKUP(D341,DM_fish!C:X,20, FALSE), ",",  CHAR(34), "camera",CHAR(34), ":", IF(VALUE(VLOOKUP(D341,DM_fish!C:X,20, FALSE))&lt;VALUE(VLOOKUP(V341,imaging_filters!A:K,11, FALSE)), CONCATENATE(CHAR(34),"CamA",CHAR(34)), CONCATENATE(CHAR(34),"CamB",CHAR(34))),"}"), ""),IF(VLOOKUP(D341,DM_fish!C:X,22, FALSE)&gt;0, CONCATENATE(",{",CHAR(34),"target",CHAR(34),":",CHAR(34),VLOOKUP(D341,DM_fish!C:X,21, FALSE),CHAR(34),",", CHAR(34), "excitation",CHAR(34), ":", VLOOKUP(D341,DM_fish!C:X,22, FALSE), ",",  CHAR(34), "camera",CHAR(34), ":", IF(VALUE(VLOOKUP(D341,DM_fish!C:X,22, FALSE))&lt;VALUE(VLOOKUP(V341,imaging_filters!A:K,11, FALSE)), CONCATENATE(CHAR(34),"CamA",CHAR(34)), CONCATENATE(CHAR(34),"CamB",CHAR(34))),"}"), "")), "]"), "")</f>
        <v/>
      </c>
      <c r="X341" s="12" t="str">
        <f ca="1">IFERROR(
CONCATENATE("[", CONCATENATE(IF(VLOOKUP(C341,DM_fish!C:X,14, FALSE)&gt;0, CONCATENATE("{",CHAR(34),"target",CHAR(34),":",CHAR(34),VLOOKUP(C341,DM_fish!C:X,13, FALSE),CHAR(34),",", CHAR(34), "excitation",CHAR(34), ":", VLOOKUP(C341,DM_fish!C:X,14, FALSE), ",",  CHAR(34), "camera",CHAR(34), ":", IF(VALUE(VLOOKUP(C341,DM_fish!C:X,14, FALSE))&lt;VALUE(VLOOKUP(V341,imaging_filters!A:K,11, FALSE)), CONCATENATE(CHAR(34),"CamA",CHAR(34)), CONCATENATE(CHAR(34),"CamB",CHAR(34))),"}"), ""),IF(VLOOKUP(C341,DM_fish!C:X,16, FALSE)&gt;0, CONCATENATE(",{",CHAR(34),"target",CHAR(34),":",CHAR(34),VLOOKUP(C341,DM_fish!C:X,15, FALSE),CHAR(34),",", CHAR(34), "excitation",CHAR(34), ":", VLOOKUP(C341,DM_fish!C:X,16, FALSE), ",",  CHAR(34), "camera",CHAR(34), ":", IF(VALUE(VLOOKUP(C341,DM_fish!C:X,16, FALSE))&lt;VALUE(VLOOKUP(V341,imaging_filters!A:K,11, FALSE)), CONCATENATE(CHAR(34),"CamA",CHAR(34)), CONCATENATE(CHAR(34),"CamB",CHAR(34))),"}"), ""),IF(VLOOKUP(C341,DM_fish!C:X,18, FALSE)&gt;0, CONCATENATE(",{",CHAR(34),"target",CHAR(34),":",CHAR(34),VLOOKUP(C341,DM_fish!C:X,17, FALSE),CHAR(34),",", CHAR(34), "excitation",CHAR(34), ":", VLOOKUP(C341,DM_fish!C:X,18, FALSE), ",",  CHAR(34), "camera",CHAR(34), ":", IF(VALUE(VLOOKUP(C341,DM_fish!C:X,18, FALSE))&lt;VALUE(VLOOKUP(V341,imaging_filters!A:K,11, FALSE)), CONCATENATE(CHAR(34),"CamA",CHAR(34)), CONCATENATE(CHAR(34),"CamB",CHAR(34))),"}"), ""),IF(VLOOKUP(C341,DM_fish!C:X,20, FALSE)&gt;0, CONCATENATE(",{",CHAR(34),"target",CHAR(34),":",CHAR(34),VLOOKUP(C341,DM_fish!C:X,19, FALSE),CHAR(34),",", CHAR(34), "excitation",CHAR(34), ":", VLOOKUP(C341,DM_fish!C:X,20, FALSE), ",",  CHAR(34), "camera",CHAR(34), ":", IF(VALUE(VLOOKUP(C341,DM_fish!C:X,20, FALSE))&lt;VALUE(VLOOKUP(V341,imaging_filters!A:K,11, FALSE)), CONCATENATE(CHAR(34),"CamA",CHAR(34)), CONCATENATE(CHAR(34),"CamB",CHAR(34))),"}"), ""),IF(VLOOKUP(C341,DM_fish!C:X,22, FALSE)&gt;0, CONCATENATE(",{",CHAR(34),"target",CHAR(34),":",CHAR(34),VLOOKUP(C341,DM_fish!C:X,21, FALSE),CHAR(34),",", CHAR(34), "excitation",CHAR(34), ":", VLOOKUP(C341,DM_fish!C:X,22, FALSE), ",",  CHAR(34), "camera",CHAR(34), ":", IF(VALUE(VLOOKUP(C341,DM_fish!C:X,22, FALSE))&lt;VALUE(VLOOKUP(V341,imaging_filters!A:K,11, FALSE)), CONCATENATE(CHAR(34),"CamA",CHAR(34)), CONCATENATE(CHAR(34),"CamB",CHAR(34))),"}"), "")), "]"), "")</f>
        <v/>
      </c>
      <c r="Y341" s="11" t="str">
        <f ca="1">IFERROR(
CONCATENATE( "[",
IF(VLOOKUP(E341,Injections!B:F,3, FALSE)&gt;0, CONCATENATE( "{",CHAR(34),"target",CHAR(34),":",CHAR(34),VLOOKUP(E341,Injections!B:F,2, FALSE),CHAR(34),",", CHAR(34), "excitation",CHAR(34), ":", VLOOKUP(E341,Injections!B:F,3, FALSE), ",",  CHAR(34), "camera",CHAR(34), ":",
IF(VALUE(VLOOKUP(E341,Injections!B:F,3, FALSE))&lt;VALUE(VLOOKUP(V341,imaging_filters!A:C,2, FALSE)), CONCATENATE(CHAR(34),"CamA",CHAR(34)), CONCATENATE(CHAR(34),"CamB",CHAR(34))),"}"), ""),
IF(VLOOKUP(E341,Injections!B:F,5, FALSE)&gt;0, CONCATENATE(",{",CHAR(34),"target",CHAR(34),":",CHAR(34),VLOOKUP(E341,Injections!B:F,4, FALSE),CHAR(34),",", CHAR(34), "excitation",CHAR(34), ":", VLOOKUP(E341,Injections!B:F,5, FALSE), ",",  CHAR(34), "camera",CHAR(34), ":",
IF(VALUE(VLOOKUP(E341,Injections!B:F,5, FALSE))&lt;VALUE(VLOOKUP(V341,imaging_filters!A:C,2, FALSE)), CONCATENATE(CHAR(34),"CamA",CHAR(34)), CONCATENATE(CHAR(34),"CamB",CHAR(34))),"}"), ""),
 "]"), "[]")</f>
        <v>[]</v>
      </c>
      <c r="Z341" s="11" t="str">
        <f ca="1">IFERROR(
CONCATENATE( "[",
IF(VLOOKUP(F341,Injections!H:L,3, FALSE)&gt;0, CONCATENATE( "{",CHAR(34),"target",CHAR(34),":",CHAR(34),VLOOKUP(F341,Injections!H:L,2, FALSE),CHAR(34),",", CHAR(34), "excitation",CHAR(34), ":", VLOOKUP(F341,Injections!H:L,3, FALSE), ",",  CHAR(34), "camera",CHAR(34), ":",
IF(VALUE(VLOOKUP(F341,Injections!H:L,3, FALSE))&lt;VALUE(VLOOKUP(V341,imaging_filters!A:K,11, FALSE)), CONCATENATE(CHAR(34),"CamA",CHAR(34)), CONCATENATE(CHAR(34),"CamB",CHAR(34))),"}"), ""),
IF(VLOOKUP(F341,Injections!H:L,5, FALSE)&gt;0, CONCATENATE(",{",CHAR(34),"target",CHAR(34),":",CHAR(34),VLOOKUP(F341,Injections!H:L,4, FALSE),CHAR(34),",", CHAR(34), "excitation",CHAR(34), ":", VLOOKUP(F341,Injections!H:L,5, FALSE), ",",  CHAR(34), "camera",CHAR(34), ":",
IF(VALUE(VLOOKUP(F341,Injections!H:L,5, FALSE))&lt;VALUE(VLOOKUP(V341,imaging_filters!A:K,11, FALSE)), CONCATENATE(CHAR(34),"CamA",CHAR(34)), CONCATENATE(CHAR(34),"CamB",CHAR(34))),"}"), ""),
 "]"), "[]")</f>
        <v>[]</v>
      </c>
      <c r="AA341" s="11" t="s">
        <v>667</v>
      </c>
    </row>
    <row r="342" spans="1:27" ht="15.75" customHeight="1" x14ac:dyDescent="0.15">
      <c r="A342" s="7">
        <f t="shared" si="9"/>
        <v>0</v>
      </c>
      <c r="B342" s="1"/>
      <c r="C342" s="1" t="s">
        <v>107</v>
      </c>
      <c r="D342" s="1" t="s">
        <v>668</v>
      </c>
      <c r="F342" s="1" t="s">
        <v>635</v>
      </c>
      <c r="G342" s="8"/>
      <c r="H342" s="8"/>
      <c r="I342" s="8">
        <v>45691</v>
      </c>
      <c r="M342" s="8"/>
      <c r="R342" s="10" t="str">
        <f ca="1">IFERROR(__xludf.DUMMYFUNCTION("JOIN("","", SORT(UNIQUE(TOCOL({VLOOKUP(D342,DM_fish!A:B,2,FALSE),VLOOKUP(C342,DM_fish!A:B,2,FALSE), ARRAYFORMULA(VLOOKUP(SPLIT(E342, "", ""),Injections!B:G,6,FALSE)), ARRAYFORMULA(VLOOKUP(SPLIT(F342, "", ""),Injections!H:M,6,FALSE)), ARRAYFORMULA(VLOOKUP("&amp;"SPLIT(G342, "", ""),Injections!N:S,6,FALSE)), ARRAYFORMULA(VLOOKUP(SPLIT(H342, "", ""),Injections!T:Y,6,FALSE)) },3))))"),"csp,male #26 - bright, low frequency transmission (&lt;10%),488,nuclei")</f>
        <v>csp,male #26 - bright, low frequency transmission (&lt;10%),488,nuclei</v>
      </c>
      <c r="S342" s="10" t="str">
        <f ca="1">IFERROR(__xludf.DUMMYFUNCTION("IFERROR(JOIN("","", SPLIT(R342, "","", TRUE ,TRUE)), """")"),"csp,male #26 - bright, low frequency transmission (&lt;10%),488,nuclei")</f>
        <v>csp,male #26 - bright, low frequency transmission (&lt;10%),488,nuclei</v>
      </c>
      <c r="T342" s="1"/>
      <c r="V342" s="1" t="s">
        <v>203</v>
      </c>
      <c r="W342" s="12" t="str">
        <f ca="1">IFERROR(CONCATENATE("[", CONCATENATE(IF(VLOOKUP(D342,DM_fish!C:X,14, FALSE)&gt;0, CONCATENATE("{",CHAR(34),"target",CHAR(34),":",CHAR(34),VLOOKUP(D342,DM_fish!C:X,13, FALSE),CHAR(34),",", CHAR(34), "excitation",CHAR(34), ":", VLOOKUP(D342,DM_fish!C:X,14, FALSE), ",",  CHAR(34), "camera",CHAR(34), ":", IF(VALUE(VLOOKUP(D342,DM_fish!C:X,14, FALSE))&lt;VALUE(VLOOKUP(V342,imaging_filters!A:K,11, FALSE)), CONCATENATE(CHAR(34),"CamA",CHAR(34)), CONCATENATE(CHAR(34),"CamB",CHAR(34))),"}"), ""),IF(VLOOKUP(D342,DM_fish!C:X,16, FALSE)&gt;0, CONCATENATE(",{",CHAR(34),"target",CHAR(34),":",CHAR(34),VLOOKUP(D342,DM_fish!C:X,15, FALSE),CHAR(34),",", CHAR(34), "excitation",CHAR(34), ":", VLOOKUP(D342,DM_fish!C:X,16, FALSE), ",",  CHAR(34), "camera",CHAR(34), ":", IF(VALUE(VLOOKUP(D342,DM_fish!C:X,16, FALSE))&lt;VALUE(VLOOKUP(V342,imaging_filters!A:K,11, FALSE)), CONCATENATE(CHAR(34),"CamA",CHAR(34)), CONCATENATE(CHAR(34),"CamB",CHAR(34))),"}"), ""),IF(VLOOKUP(D342,DM_fish!C:X,18, FALSE)&gt;0, CONCATENATE(",{",CHAR(34),"target",CHAR(34),":",CHAR(34),VLOOKUP(D342,DM_fish!C:X,17, FALSE),CHAR(34),",", CHAR(34), "excitation",CHAR(34), ":", VLOOKUP(D342,DM_fish!C:X,18, FALSE), ",",  CHAR(34), "camera",CHAR(34), ":", IF(VALUE(VLOOKUP(D342,DM_fish!C:X,18, FALSE))&lt;VALUE(VLOOKUP(V342,imaging_filters!A:K,11, FALSE)), CONCATENATE(CHAR(34),"CamA",CHAR(34)), CONCATENATE(CHAR(34),"CamB",CHAR(34))),"}"), ""),IF(VLOOKUP(D342,DM_fish!C:X,20, FALSE)&gt;0, CONCATENATE(",{",CHAR(34),"target",CHAR(34),":",CHAR(34),VLOOKUP(D342,DM_fish!C:X,19, FALSE),CHAR(34),",", CHAR(34), "excitation",CHAR(34), ":", VLOOKUP(D342,DM_fish!C:X,20, FALSE), ",",  CHAR(34), "camera",CHAR(34), ":", IF(VALUE(VLOOKUP(D342,DM_fish!C:X,20, FALSE))&lt;VALUE(VLOOKUP(V342,imaging_filters!A:K,11, FALSE)), CONCATENATE(CHAR(34),"CamA",CHAR(34)), CONCATENATE(CHAR(34),"CamB",CHAR(34))),"}"), ""),IF(VLOOKUP(D342,DM_fish!C:X,22, FALSE)&gt;0, CONCATENATE(",{",CHAR(34),"target",CHAR(34),":",CHAR(34),VLOOKUP(D342,DM_fish!C:X,21, FALSE),CHAR(34),",", CHAR(34), "excitation",CHAR(34), ":", VLOOKUP(D342,DM_fish!C:X,22, FALSE), ",",  CHAR(34), "camera",CHAR(34), ":", IF(VALUE(VLOOKUP(D342,DM_fish!C:X,22, FALSE))&lt;VALUE(VLOOKUP(V342,imaging_filters!A:K,11, FALSE)), CONCATENATE(CHAR(34),"CamA",CHAR(34)), CONCATENATE(CHAR(34),"CamB",CHAR(34))),"}"), "")), "]"), "")</f>
        <v/>
      </c>
      <c r="X342" s="12" t="str">
        <f ca="1">IFERROR(
CONCATENATE("[", CONCATENATE(IF(VLOOKUP(C342,DM_fish!C:X,14, FALSE)&gt;0, CONCATENATE("{",CHAR(34),"target",CHAR(34),":",CHAR(34),VLOOKUP(C342,DM_fish!C:X,13, FALSE),CHAR(34),",", CHAR(34), "excitation",CHAR(34), ":", VLOOKUP(C342,DM_fish!C:X,14, FALSE), ",",  CHAR(34), "camera",CHAR(34), ":", IF(VALUE(VLOOKUP(C342,DM_fish!C:X,14, FALSE))&lt;VALUE(VLOOKUP(V342,imaging_filters!A:K,11, FALSE)), CONCATENATE(CHAR(34),"CamA",CHAR(34)), CONCATENATE(CHAR(34),"CamB",CHAR(34))),"}"), ""),IF(VLOOKUP(C342,DM_fish!C:X,16, FALSE)&gt;0, CONCATENATE(",{",CHAR(34),"target",CHAR(34),":",CHAR(34),VLOOKUP(C342,DM_fish!C:X,15, FALSE),CHAR(34),",", CHAR(34), "excitation",CHAR(34), ":", VLOOKUP(C342,DM_fish!C:X,16, FALSE), ",",  CHAR(34), "camera",CHAR(34), ":", IF(VALUE(VLOOKUP(C342,DM_fish!C:X,16, FALSE))&lt;VALUE(VLOOKUP(V342,imaging_filters!A:K,11, FALSE)), CONCATENATE(CHAR(34),"CamA",CHAR(34)), CONCATENATE(CHAR(34),"CamB",CHAR(34))),"}"), ""),IF(VLOOKUP(C342,DM_fish!C:X,18, FALSE)&gt;0, CONCATENATE(",{",CHAR(34),"target",CHAR(34),":",CHAR(34),VLOOKUP(C342,DM_fish!C:X,17, FALSE),CHAR(34),",", CHAR(34), "excitation",CHAR(34), ":", VLOOKUP(C342,DM_fish!C:X,18, FALSE), ",",  CHAR(34), "camera",CHAR(34), ":", IF(VALUE(VLOOKUP(C342,DM_fish!C:X,18, FALSE))&lt;VALUE(VLOOKUP(V342,imaging_filters!A:K,11, FALSE)), CONCATENATE(CHAR(34),"CamA",CHAR(34)), CONCATENATE(CHAR(34),"CamB",CHAR(34))),"}"), ""),IF(VLOOKUP(C342,DM_fish!C:X,20, FALSE)&gt;0, CONCATENATE(",{",CHAR(34),"target",CHAR(34),":",CHAR(34),VLOOKUP(C342,DM_fish!C:X,19, FALSE),CHAR(34),",", CHAR(34), "excitation",CHAR(34), ":", VLOOKUP(C342,DM_fish!C:X,20, FALSE), ",",  CHAR(34), "camera",CHAR(34), ":", IF(VALUE(VLOOKUP(C342,DM_fish!C:X,20, FALSE))&lt;VALUE(VLOOKUP(V342,imaging_filters!A:K,11, FALSE)), CONCATENATE(CHAR(34),"CamA",CHAR(34)), CONCATENATE(CHAR(34),"CamB",CHAR(34))),"}"), ""),IF(VLOOKUP(C342,DM_fish!C:X,22, FALSE)&gt;0, CONCATENATE(",{",CHAR(34),"target",CHAR(34),":",CHAR(34),VLOOKUP(C342,DM_fish!C:X,21, FALSE),CHAR(34),",", CHAR(34), "excitation",CHAR(34), ":", VLOOKUP(C342,DM_fish!C:X,22, FALSE), ",",  CHAR(34), "camera",CHAR(34), ":", IF(VALUE(VLOOKUP(C342,DM_fish!C:X,22, FALSE))&lt;VALUE(VLOOKUP(V342,imaging_filters!A:K,11, FALSE)), CONCATENATE(CHAR(34),"CamA",CHAR(34)), CONCATENATE(CHAR(34),"CamB",CHAR(34))),"}"), "")), "]"), "")</f>
        <v/>
      </c>
      <c r="Y342" s="11" t="str">
        <f ca="1">IFERROR(
CONCATENATE( "[",
IF(VLOOKUP(E342,Injections!B:F,3, FALSE)&gt;0, CONCATENATE( "{",CHAR(34),"target",CHAR(34),":",CHAR(34),VLOOKUP(E342,Injections!B:F,2, FALSE),CHAR(34),",", CHAR(34), "excitation",CHAR(34), ":", VLOOKUP(E342,Injections!B:F,3, FALSE), ",",  CHAR(34), "camera",CHAR(34), ":",
IF(VALUE(VLOOKUP(E342,Injections!B:F,3, FALSE))&lt;VALUE(VLOOKUP(V342,imaging_filters!A:C,2, FALSE)), CONCATENATE(CHAR(34),"CamA",CHAR(34)), CONCATENATE(CHAR(34),"CamB",CHAR(34))),"}"), ""),
IF(VLOOKUP(E342,Injections!B:F,5, FALSE)&gt;0, CONCATENATE(",{",CHAR(34),"target",CHAR(34),":",CHAR(34),VLOOKUP(E342,Injections!B:F,4, FALSE),CHAR(34),",", CHAR(34), "excitation",CHAR(34), ":", VLOOKUP(E342,Injections!B:F,5, FALSE), ",",  CHAR(34), "camera",CHAR(34), ":",
IF(VALUE(VLOOKUP(E342,Injections!B:F,5, FALSE))&lt;VALUE(VLOOKUP(V342,imaging_filters!A:C,2, FALSE)), CONCATENATE(CHAR(34),"CamA",CHAR(34)), CONCATENATE(CHAR(34),"CamB",CHAR(34))),"}"), ""),
 "]"), "[]")</f>
        <v>[]</v>
      </c>
      <c r="Z342" s="11" t="str">
        <f ca="1">IFERROR(
CONCATENATE( "[",
IF(VLOOKUP(F342,Injections!H:L,3, FALSE)&gt;0, CONCATENATE( "{",CHAR(34),"target",CHAR(34),":",CHAR(34),VLOOKUP(F342,Injections!H:L,2, FALSE),CHAR(34),",", CHAR(34), "excitation",CHAR(34), ":", VLOOKUP(F342,Injections!H:L,3, FALSE), ",",  CHAR(34), "camera",CHAR(34), ":",
IF(VALUE(VLOOKUP(F342,Injections!H:L,3, FALSE))&lt;VALUE(VLOOKUP(V342,imaging_filters!A:K,11, FALSE)), CONCATENATE(CHAR(34),"CamA",CHAR(34)), CONCATENATE(CHAR(34),"CamB",CHAR(34))),"}"), ""),
IF(VLOOKUP(F342,Injections!H:L,5, FALSE)&gt;0, CONCATENATE(",{",CHAR(34),"target",CHAR(34),":",CHAR(34),VLOOKUP(F342,Injections!H:L,4, FALSE),CHAR(34),",", CHAR(34), "excitation",CHAR(34), ":", VLOOKUP(F342,Injections!H:L,5, FALSE), ",",  CHAR(34), "camera",CHAR(34), ":",
IF(VALUE(VLOOKUP(F342,Injections!H:L,5, FALSE))&lt;VALUE(VLOOKUP(V342,imaging_filters!A:K,11, FALSE)), CONCATENATE(CHAR(34),"CamA",CHAR(34)), CONCATENATE(CHAR(34),"CamB",CHAR(34))),"}"), ""),
 "]"), "[]")</f>
        <v>[]</v>
      </c>
      <c r="AA342" s="11"/>
    </row>
    <row r="343" spans="1:27" ht="15.75" customHeight="1" x14ac:dyDescent="0.15">
      <c r="A343" s="7">
        <f t="shared" si="9"/>
        <v>0</v>
      </c>
      <c r="B343" s="1"/>
      <c r="C343" s="1" t="s">
        <v>107</v>
      </c>
      <c r="D343" s="1" t="s">
        <v>668</v>
      </c>
      <c r="F343" s="1" t="s">
        <v>639</v>
      </c>
      <c r="G343" s="8"/>
      <c r="H343" s="8"/>
      <c r="I343" s="8">
        <v>45691</v>
      </c>
      <c r="M343" s="8"/>
      <c r="R343" s="10" t="str">
        <f ca="1">IFERROR(__xludf.DUMMYFUNCTION("JOIN("","", SORT(UNIQUE(TOCOL({VLOOKUP(D343,DM_fish!A:B,2,FALSE),VLOOKUP(C343,DM_fish!A:B,2,FALSE), ARRAYFORMULA(VLOOKUP(SPLIT(E343, "", ""),Injections!B:G,6,FALSE)), ARRAYFORMULA(VLOOKUP(SPLIT(F343, "", ""),Injections!H:M,6,FALSE)), ARRAYFORMULA(VLOOKUP("&amp;"SPLIT(G343, "", ""),Injections!N:S,6,FALSE)), ARRAYFORMULA(VLOOKUP(SPLIT(H343, "", ""),Injections!T:Y,6,FALSE)) },3))))"),"csp,male #26 - bright, low frequency transmission (&lt;10%),488,nuclei")</f>
        <v>csp,male #26 - bright, low frequency transmission (&lt;10%),488,nuclei</v>
      </c>
      <c r="S343" s="10" t="str">
        <f ca="1">IFERROR(__xludf.DUMMYFUNCTION("IFERROR(JOIN("","", SPLIT(R343, "","", TRUE ,TRUE)), """")"),"csp,male #26 - bright, low frequency transmission (&lt;10%),488,nuclei")</f>
        <v>csp,male #26 - bright, low frequency transmission (&lt;10%),488,nuclei</v>
      </c>
      <c r="T343" s="1"/>
      <c r="V343" s="1" t="s">
        <v>203</v>
      </c>
      <c r="W343" s="12" t="str">
        <f ca="1">IFERROR(CONCATENATE("[", CONCATENATE(IF(VLOOKUP(D343,DM_fish!C:X,14, FALSE)&gt;0, CONCATENATE("{",CHAR(34),"target",CHAR(34),":",CHAR(34),VLOOKUP(D343,DM_fish!C:X,13, FALSE),CHAR(34),",", CHAR(34), "excitation",CHAR(34), ":", VLOOKUP(D343,DM_fish!C:X,14, FALSE), ",",  CHAR(34), "camera",CHAR(34), ":", IF(VALUE(VLOOKUP(D343,DM_fish!C:X,14, FALSE))&lt;VALUE(VLOOKUP(V343,imaging_filters!A:K,11, FALSE)), CONCATENATE(CHAR(34),"CamA",CHAR(34)), CONCATENATE(CHAR(34),"CamB",CHAR(34))),"}"), ""),IF(VLOOKUP(D343,DM_fish!C:X,16, FALSE)&gt;0, CONCATENATE(",{",CHAR(34),"target",CHAR(34),":",CHAR(34),VLOOKUP(D343,DM_fish!C:X,15, FALSE),CHAR(34),",", CHAR(34), "excitation",CHAR(34), ":", VLOOKUP(D343,DM_fish!C:X,16, FALSE), ",",  CHAR(34), "camera",CHAR(34), ":", IF(VALUE(VLOOKUP(D343,DM_fish!C:X,16, FALSE))&lt;VALUE(VLOOKUP(V343,imaging_filters!A:K,11, FALSE)), CONCATENATE(CHAR(34),"CamA",CHAR(34)), CONCATENATE(CHAR(34),"CamB",CHAR(34))),"}"), ""),IF(VLOOKUP(D343,DM_fish!C:X,18, FALSE)&gt;0, CONCATENATE(",{",CHAR(34),"target",CHAR(34),":",CHAR(34),VLOOKUP(D343,DM_fish!C:X,17, FALSE),CHAR(34),",", CHAR(34), "excitation",CHAR(34), ":", VLOOKUP(D343,DM_fish!C:X,18, FALSE), ",",  CHAR(34), "camera",CHAR(34), ":", IF(VALUE(VLOOKUP(D343,DM_fish!C:X,18, FALSE))&lt;VALUE(VLOOKUP(V343,imaging_filters!A:K,11, FALSE)), CONCATENATE(CHAR(34),"CamA",CHAR(34)), CONCATENATE(CHAR(34),"CamB",CHAR(34))),"}"), ""),IF(VLOOKUP(D343,DM_fish!C:X,20, FALSE)&gt;0, CONCATENATE(",{",CHAR(34),"target",CHAR(34),":",CHAR(34),VLOOKUP(D343,DM_fish!C:X,19, FALSE),CHAR(34),",", CHAR(34), "excitation",CHAR(34), ":", VLOOKUP(D343,DM_fish!C:X,20, FALSE), ",",  CHAR(34), "camera",CHAR(34), ":", IF(VALUE(VLOOKUP(D343,DM_fish!C:X,20, FALSE))&lt;VALUE(VLOOKUP(V343,imaging_filters!A:K,11, FALSE)), CONCATENATE(CHAR(34),"CamA",CHAR(34)), CONCATENATE(CHAR(34),"CamB",CHAR(34))),"}"), ""),IF(VLOOKUP(D343,DM_fish!C:X,22, FALSE)&gt;0, CONCATENATE(",{",CHAR(34),"target",CHAR(34),":",CHAR(34),VLOOKUP(D343,DM_fish!C:X,21, FALSE),CHAR(34),",", CHAR(34), "excitation",CHAR(34), ":", VLOOKUP(D343,DM_fish!C:X,22, FALSE), ",",  CHAR(34), "camera",CHAR(34), ":", IF(VALUE(VLOOKUP(D343,DM_fish!C:X,22, FALSE))&lt;VALUE(VLOOKUP(V343,imaging_filters!A:K,11, FALSE)), CONCATENATE(CHAR(34),"CamA",CHAR(34)), CONCATENATE(CHAR(34),"CamB",CHAR(34))),"}"), "")), "]"), "")</f>
        <v/>
      </c>
      <c r="X343" s="12" t="str">
        <f ca="1">IFERROR(
CONCATENATE("[", CONCATENATE(IF(VLOOKUP(C343,DM_fish!C:X,14, FALSE)&gt;0, CONCATENATE("{",CHAR(34),"target",CHAR(34),":",CHAR(34),VLOOKUP(C343,DM_fish!C:X,13, FALSE),CHAR(34),",", CHAR(34), "excitation",CHAR(34), ":", VLOOKUP(C343,DM_fish!C:X,14, FALSE), ",",  CHAR(34), "camera",CHAR(34), ":", IF(VALUE(VLOOKUP(C343,DM_fish!C:X,14, FALSE))&lt;VALUE(VLOOKUP(V343,imaging_filters!A:K,11, FALSE)), CONCATENATE(CHAR(34),"CamA",CHAR(34)), CONCATENATE(CHAR(34),"CamB",CHAR(34))),"}"), ""),IF(VLOOKUP(C343,DM_fish!C:X,16, FALSE)&gt;0, CONCATENATE(",{",CHAR(34),"target",CHAR(34),":",CHAR(34),VLOOKUP(C343,DM_fish!C:X,15, FALSE),CHAR(34),",", CHAR(34), "excitation",CHAR(34), ":", VLOOKUP(C343,DM_fish!C:X,16, FALSE), ",",  CHAR(34), "camera",CHAR(34), ":", IF(VALUE(VLOOKUP(C343,DM_fish!C:X,16, FALSE))&lt;VALUE(VLOOKUP(V343,imaging_filters!A:K,11, FALSE)), CONCATENATE(CHAR(34),"CamA",CHAR(34)), CONCATENATE(CHAR(34),"CamB",CHAR(34))),"}"), ""),IF(VLOOKUP(C343,DM_fish!C:X,18, FALSE)&gt;0, CONCATENATE(",{",CHAR(34),"target",CHAR(34),":",CHAR(34),VLOOKUP(C343,DM_fish!C:X,17, FALSE),CHAR(34),",", CHAR(34), "excitation",CHAR(34), ":", VLOOKUP(C343,DM_fish!C:X,18, FALSE), ",",  CHAR(34), "camera",CHAR(34), ":", IF(VALUE(VLOOKUP(C343,DM_fish!C:X,18, FALSE))&lt;VALUE(VLOOKUP(V343,imaging_filters!A:K,11, FALSE)), CONCATENATE(CHAR(34),"CamA",CHAR(34)), CONCATENATE(CHAR(34),"CamB",CHAR(34))),"}"), ""),IF(VLOOKUP(C343,DM_fish!C:X,20, FALSE)&gt;0, CONCATENATE(",{",CHAR(34),"target",CHAR(34),":",CHAR(34),VLOOKUP(C343,DM_fish!C:X,19, FALSE),CHAR(34),",", CHAR(34), "excitation",CHAR(34), ":", VLOOKUP(C343,DM_fish!C:X,20, FALSE), ",",  CHAR(34), "camera",CHAR(34), ":", IF(VALUE(VLOOKUP(C343,DM_fish!C:X,20, FALSE))&lt;VALUE(VLOOKUP(V343,imaging_filters!A:K,11, FALSE)), CONCATENATE(CHAR(34),"CamA",CHAR(34)), CONCATENATE(CHAR(34),"CamB",CHAR(34))),"}"), ""),IF(VLOOKUP(C343,DM_fish!C:X,22, FALSE)&gt;0, CONCATENATE(",{",CHAR(34),"target",CHAR(34),":",CHAR(34),VLOOKUP(C343,DM_fish!C:X,21, FALSE),CHAR(34),",", CHAR(34), "excitation",CHAR(34), ":", VLOOKUP(C343,DM_fish!C:X,22, FALSE), ",",  CHAR(34), "camera",CHAR(34), ":", IF(VALUE(VLOOKUP(C343,DM_fish!C:X,22, FALSE))&lt;VALUE(VLOOKUP(V343,imaging_filters!A:K,11, FALSE)), CONCATENATE(CHAR(34),"CamA",CHAR(34)), CONCATENATE(CHAR(34),"CamB",CHAR(34))),"}"), "")), "]"), "")</f>
        <v/>
      </c>
      <c r="Y343" s="11" t="str">
        <f ca="1">IFERROR(
CONCATENATE( "[",
IF(VLOOKUP(E343,Injections!B:F,3, FALSE)&gt;0, CONCATENATE( "{",CHAR(34),"target",CHAR(34),":",CHAR(34),VLOOKUP(E343,Injections!B:F,2, FALSE),CHAR(34),",", CHAR(34), "excitation",CHAR(34), ":", VLOOKUP(E343,Injections!B:F,3, FALSE), ",",  CHAR(34), "camera",CHAR(34), ":",
IF(VALUE(VLOOKUP(E343,Injections!B:F,3, FALSE))&lt;VALUE(VLOOKUP(V343,imaging_filters!A:C,2, FALSE)), CONCATENATE(CHAR(34),"CamA",CHAR(34)), CONCATENATE(CHAR(34),"CamB",CHAR(34))),"}"), ""),
IF(VLOOKUP(E343,Injections!B:F,5, FALSE)&gt;0, CONCATENATE(",{",CHAR(34),"target",CHAR(34),":",CHAR(34),VLOOKUP(E343,Injections!B:F,4, FALSE),CHAR(34),",", CHAR(34), "excitation",CHAR(34), ":", VLOOKUP(E343,Injections!B:F,5, FALSE), ",",  CHAR(34), "camera",CHAR(34), ":",
IF(VALUE(VLOOKUP(E343,Injections!B:F,5, FALSE))&lt;VALUE(VLOOKUP(V343,imaging_filters!A:C,2, FALSE)), CONCATENATE(CHAR(34),"CamA",CHAR(34)), CONCATENATE(CHAR(34),"CamB",CHAR(34))),"}"), ""),
 "]"), "[]")</f>
        <v>[]</v>
      </c>
      <c r="Z343" s="11" t="str">
        <f ca="1">IFERROR(
CONCATENATE( "[",
IF(VLOOKUP(F343,Injections!H:L,3, FALSE)&gt;0, CONCATENATE( "{",CHAR(34),"target",CHAR(34),":",CHAR(34),VLOOKUP(F343,Injections!H:L,2, FALSE),CHAR(34),",", CHAR(34), "excitation",CHAR(34), ":", VLOOKUP(F343,Injections!H:L,3, FALSE), ",",  CHAR(34), "camera",CHAR(34), ":",
IF(VALUE(VLOOKUP(F343,Injections!H:L,3, FALSE))&lt;VALUE(VLOOKUP(V343,imaging_filters!A:K,11, FALSE)), CONCATENATE(CHAR(34),"CamA",CHAR(34)), CONCATENATE(CHAR(34),"CamB",CHAR(34))),"}"), ""),
IF(VLOOKUP(F343,Injections!H:L,5, FALSE)&gt;0, CONCATENATE(",{",CHAR(34),"target",CHAR(34),":",CHAR(34),VLOOKUP(F343,Injections!H:L,4, FALSE),CHAR(34),",", CHAR(34), "excitation",CHAR(34), ":", VLOOKUP(F343,Injections!H:L,5, FALSE), ",",  CHAR(34), "camera",CHAR(34), ":",
IF(VALUE(VLOOKUP(F343,Injections!H:L,5, FALSE))&lt;VALUE(VLOOKUP(V343,imaging_filters!A:K,11, FALSE)), CONCATENATE(CHAR(34),"CamA",CHAR(34)), CONCATENATE(CHAR(34),"CamB",CHAR(34))),"}"), ""),
 "]"), "[]")</f>
        <v>[]</v>
      </c>
      <c r="AA343" s="11"/>
    </row>
    <row r="344" spans="1:27" ht="15.75" customHeight="1" x14ac:dyDescent="0.15">
      <c r="A344" s="7">
        <f t="shared" si="9"/>
        <v>0</v>
      </c>
      <c r="B344" s="1"/>
      <c r="C344" s="1" t="s">
        <v>107</v>
      </c>
      <c r="D344" s="1" t="s">
        <v>668</v>
      </c>
      <c r="E344" s="1" t="s">
        <v>661</v>
      </c>
      <c r="F344" s="1" t="s">
        <v>662</v>
      </c>
      <c r="G344" s="8"/>
      <c r="H344" s="8"/>
      <c r="I344" s="8">
        <v>45691</v>
      </c>
      <c r="M344" s="8"/>
      <c r="R344" s="10" t="str">
        <f ca="1">IFERROR(__xludf.DUMMYFUNCTION("JOIN("","", SORT(UNIQUE(TOCOL({VLOOKUP(D344,DM_fish!A:B,2,FALSE),VLOOKUP(C344,DM_fish!A:B,2,FALSE), ARRAYFORMULA(VLOOKUP(SPLIT(E344, "", ""),Injections!B:G,6,FALSE)), ARRAYFORMULA(VLOOKUP(SPLIT(F344, "", ""),Injections!H:M,6,FALSE)), ARRAYFORMULA(VLOOKUP("&amp;"SPLIT(G344, "", ""),Injections!N:S,6,FALSE)), ARRAYFORMULA(VLOOKUP(SPLIT(H344, "", ""),Injections!T:Y,6,FALSE)) },3))))"),"csp,male #26 - bright, low frequency transmission (&lt;10%),488")</f>
        <v>csp,male #26 - bright, low frequency transmission (&lt;10%),488</v>
      </c>
      <c r="S344" s="10" t="str">
        <f ca="1">IFERROR(__xludf.DUMMYFUNCTION("IFERROR(JOIN("","", SPLIT(R344, "","", TRUE ,TRUE)), """")"),"csp,male #26 - bright, low frequency transmission (&lt;10%),488")</f>
        <v>csp,male #26 - bright, low frequency transmission (&lt;10%),488</v>
      </c>
      <c r="T344" s="1"/>
      <c r="V344" s="1" t="s">
        <v>203</v>
      </c>
      <c r="W344" s="12" t="str">
        <f ca="1">IFERROR(CONCATENATE("[", CONCATENATE(IF(VLOOKUP(D344,DM_fish!C:X,14, FALSE)&gt;0, CONCATENATE("{",CHAR(34),"target",CHAR(34),":",CHAR(34),VLOOKUP(D344,DM_fish!C:X,13, FALSE),CHAR(34),",", CHAR(34), "excitation",CHAR(34), ":", VLOOKUP(D344,DM_fish!C:X,14, FALSE), ",",  CHAR(34), "camera",CHAR(34), ":", IF(VALUE(VLOOKUP(D344,DM_fish!C:X,14, FALSE))&lt;VALUE(VLOOKUP(V344,imaging_filters!A:K,11, FALSE)), CONCATENATE(CHAR(34),"CamA",CHAR(34)), CONCATENATE(CHAR(34),"CamB",CHAR(34))),"}"), ""),IF(VLOOKUP(D344,DM_fish!C:X,16, FALSE)&gt;0, CONCATENATE(",{",CHAR(34),"target",CHAR(34),":",CHAR(34),VLOOKUP(D344,DM_fish!C:X,15, FALSE),CHAR(34),",", CHAR(34), "excitation",CHAR(34), ":", VLOOKUP(D344,DM_fish!C:X,16, FALSE), ",",  CHAR(34), "camera",CHAR(34), ":", IF(VALUE(VLOOKUP(D344,DM_fish!C:X,16, FALSE))&lt;VALUE(VLOOKUP(V344,imaging_filters!A:K,11, FALSE)), CONCATENATE(CHAR(34),"CamA",CHAR(34)), CONCATENATE(CHAR(34),"CamB",CHAR(34))),"}"), ""),IF(VLOOKUP(D344,DM_fish!C:X,18, FALSE)&gt;0, CONCATENATE(",{",CHAR(34),"target",CHAR(34),":",CHAR(34),VLOOKUP(D344,DM_fish!C:X,17, FALSE),CHAR(34),",", CHAR(34), "excitation",CHAR(34), ":", VLOOKUP(D344,DM_fish!C:X,18, FALSE), ",",  CHAR(34), "camera",CHAR(34), ":", IF(VALUE(VLOOKUP(D344,DM_fish!C:X,18, FALSE))&lt;VALUE(VLOOKUP(V344,imaging_filters!A:K,11, FALSE)), CONCATENATE(CHAR(34),"CamA",CHAR(34)), CONCATENATE(CHAR(34),"CamB",CHAR(34))),"}"), ""),IF(VLOOKUP(D344,DM_fish!C:X,20, FALSE)&gt;0, CONCATENATE(",{",CHAR(34),"target",CHAR(34),":",CHAR(34),VLOOKUP(D344,DM_fish!C:X,19, FALSE),CHAR(34),",", CHAR(34), "excitation",CHAR(34), ":", VLOOKUP(D344,DM_fish!C:X,20, FALSE), ",",  CHAR(34), "camera",CHAR(34), ":", IF(VALUE(VLOOKUP(D344,DM_fish!C:X,20, FALSE))&lt;VALUE(VLOOKUP(V344,imaging_filters!A:K,11, FALSE)), CONCATENATE(CHAR(34),"CamA",CHAR(34)), CONCATENATE(CHAR(34),"CamB",CHAR(34))),"}"), ""),IF(VLOOKUP(D344,DM_fish!C:X,22, FALSE)&gt;0, CONCATENATE(",{",CHAR(34),"target",CHAR(34),":",CHAR(34),VLOOKUP(D344,DM_fish!C:X,21, FALSE),CHAR(34),",", CHAR(34), "excitation",CHAR(34), ":", VLOOKUP(D344,DM_fish!C:X,22, FALSE), ",",  CHAR(34), "camera",CHAR(34), ":", IF(VALUE(VLOOKUP(D344,DM_fish!C:X,22, FALSE))&lt;VALUE(VLOOKUP(V344,imaging_filters!A:K,11, FALSE)), CONCATENATE(CHAR(34),"CamA",CHAR(34)), CONCATENATE(CHAR(34),"CamB",CHAR(34))),"}"), "")), "]"), "")</f>
        <v/>
      </c>
      <c r="X344" s="12" t="str">
        <f ca="1">IFERROR(
CONCATENATE("[", CONCATENATE(IF(VLOOKUP(C344,DM_fish!C:X,14, FALSE)&gt;0, CONCATENATE("{",CHAR(34),"target",CHAR(34),":",CHAR(34),VLOOKUP(C344,DM_fish!C:X,13, FALSE),CHAR(34),",", CHAR(34), "excitation",CHAR(34), ":", VLOOKUP(C344,DM_fish!C:X,14, FALSE), ",",  CHAR(34), "camera",CHAR(34), ":", IF(VALUE(VLOOKUP(C344,DM_fish!C:X,14, FALSE))&lt;VALUE(VLOOKUP(V344,imaging_filters!A:K,11, FALSE)), CONCATENATE(CHAR(34),"CamA",CHAR(34)), CONCATENATE(CHAR(34),"CamB",CHAR(34))),"}"), ""),IF(VLOOKUP(C344,DM_fish!C:X,16, FALSE)&gt;0, CONCATENATE(",{",CHAR(34),"target",CHAR(34),":",CHAR(34),VLOOKUP(C344,DM_fish!C:X,15, FALSE),CHAR(34),",", CHAR(34), "excitation",CHAR(34), ":", VLOOKUP(C344,DM_fish!C:X,16, FALSE), ",",  CHAR(34), "camera",CHAR(34), ":", IF(VALUE(VLOOKUP(C344,DM_fish!C:X,16, FALSE))&lt;VALUE(VLOOKUP(V344,imaging_filters!A:K,11, FALSE)), CONCATENATE(CHAR(34),"CamA",CHAR(34)), CONCATENATE(CHAR(34),"CamB",CHAR(34))),"}"), ""),IF(VLOOKUP(C344,DM_fish!C:X,18, FALSE)&gt;0, CONCATENATE(",{",CHAR(34),"target",CHAR(34),":",CHAR(34),VLOOKUP(C344,DM_fish!C:X,17, FALSE),CHAR(34),",", CHAR(34), "excitation",CHAR(34), ":", VLOOKUP(C344,DM_fish!C:X,18, FALSE), ",",  CHAR(34), "camera",CHAR(34), ":", IF(VALUE(VLOOKUP(C344,DM_fish!C:X,18, FALSE))&lt;VALUE(VLOOKUP(V344,imaging_filters!A:K,11, FALSE)), CONCATENATE(CHAR(34),"CamA",CHAR(34)), CONCATENATE(CHAR(34),"CamB",CHAR(34))),"}"), ""),IF(VLOOKUP(C344,DM_fish!C:X,20, FALSE)&gt;0, CONCATENATE(",{",CHAR(34),"target",CHAR(34),":",CHAR(34),VLOOKUP(C344,DM_fish!C:X,19, FALSE),CHAR(34),",", CHAR(34), "excitation",CHAR(34), ":", VLOOKUP(C344,DM_fish!C:X,20, FALSE), ",",  CHAR(34), "camera",CHAR(34), ":", IF(VALUE(VLOOKUP(C344,DM_fish!C:X,20, FALSE))&lt;VALUE(VLOOKUP(V344,imaging_filters!A:K,11, FALSE)), CONCATENATE(CHAR(34),"CamA",CHAR(34)), CONCATENATE(CHAR(34),"CamB",CHAR(34))),"}"), ""),IF(VLOOKUP(C344,DM_fish!C:X,22, FALSE)&gt;0, CONCATENATE(",{",CHAR(34),"target",CHAR(34),":",CHAR(34),VLOOKUP(C344,DM_fish!C:X,21, FALSE),CHAR(34),",", CHAR(34), "excitation",CHAR(34), ":", VLOOKUP(C344,DM_fish!C:X,22, FALSE), ",",  CHAR(34), "camera",CHAR(34), ":", IF(VALUE(VLOOKUP(C344,DM_fish!C:X,22, FALSE))&lt;VALUE(VLOOKUP(V344,imaging_filters!A:K,11, FALSE)), CONCATENATE(CHAR(34),"CamA",CHAR(34)), CONCATENATE(CHAR(34),"CamB",CHAR(34))),"}"), "")), "]"), "")</f>
        <v/>
      </c>
      <c r="Y344" s="11" t="str">
        <f ca="1">IFERROR(
CONCATENATE( "[",
IF(VLOOKUP(E344,Injections!B:F,3, FALSE)&gt;0, CONCATENATE( "{",CHAR(34),"target",CHAR(34),":",CHAR(34),VLOOKUP(E344,Injections!B:F,2, FALSE),CHAR(34),",", CHAR(34), "excitation",CHAR(34), ":", VLOOKUP(E344,Injections!B:F,3, FALSE), ",",  CHAR(34), "camera",CHAR(34), ":",
IF(VALUE(VLOOKUP(E344,Injections!B:F,3, FALSE))&lt;VALUE(VLOOKUP(V344,imaging_filters!A:C,2, FALSE)), CONCATENATE(CHAR(34),"CamA",CHAR(34)), CONCATENATE(CHAR(34),"CamB",CHAR(34))),"}"), ""),
IF(VLOOKUP(E344,Injections!B:F,5, FALSE)&gt;0, CONCATENATE(",{",CHAR(34),"target",CHAR(34),":",CHAR(34),VLOOKUP(E344,Injections!B:F,4, FALSE),CHAR(34),",", CHAR(34), "excitation",CHAR(34), ":", VLOOKUP(E344,Injections!B:F,5, FALSE), ",",  CHAR(34), "camera",CHAR(34), ":",
IF(VALUE(VLOOKUP(E344,Injections!B:F,5, FALSE))&lt;VALUE(VLOOKUP(V344,imaging_filters!A:C,2, FALSE)), CONCATENATE(CHAR(34),"CamA",CHAR(34)), CONCATENATE(CHAR(34),"CamB",CHAR(34))),"}"), ""),
 "]"), "[]")</f>
        <v>[]</v>
      </c>
      <c r="Z344" s="11" t="str">
        <f ca="1">IFERROR(
CONCATENATE( "[",
IF(VLOOKUP(F344,Injections!H:L,3, FALSE)&gt;0, CONCATENATE( "{",CHAR(34),"target",CHAR(34),":",CHAR(34),VLOOKUP(F344,Injections!H:L,2, FALSE),CHAR(34),",", CHAR(34), "excitation",CHAR(34), ":", VLOOKUP(F344,Injections!H:L,3, FALSE), ",",  CHAR(34), "camera",CHAR(34), ":",
IF(VALUE(VLOOKUP(F344,Injections!H:L,3, FALSE))&lt;VALUE(VLOOKUP(V344,imaging_filters!A:K,11, FALSE)), CONCATENATE(CHAR(34),"CamA",CHAR(34)), CONCATENATE(CHAR(34),"CamB",CHAR(34))),"}"), ""),
IF(VLOOKUP(F344,Injections!H:L,5, FALSE)&gt;0, CONCATENATE(",{",CHAR(34),"target",CHAR(34),":",CHAR(34),VLOOKUP(F344,Injections!H:L,4, FALSE),CHAR(34),",", CHAR(34), "excitation",CHAR(34), ":", VLOOKUP(F344,Injections!H:L,5, FALSE), ",",  CHAR(34), "camera",CHAR(34), ":",
IF(VALUE(VLOOKUP(F344,Injections!H:L,5, FALSE))&lt;VALUE(VLOOKUP(V344,imaging_filters!A:K,11, FALSE)), CONCATENATE(CHAR(34),"CamA",CHAR(34)), CONCATENATE(CHAR(34),"CamB",CHAR(34))),"}"), ""),
 "]"), "[]")</f>
        <v>[]</v>
      </c>
      <c r="AA344" s="11"/>
    </row>
    <row r="345" spans="1:27" ht="15.75" customHeight="1" x14ac:dyDescent="0.15">
      <c r="A345" s="7">
        <f t="shared" si="9"/>
        <v>0</v>
      </c>
      <c r="B345" s="1"/>
      <c r="C345" s="1" t="s">
        <v>107</v>
      </c>
      <c r="D345" s="1" t="s">
        <v>39</v>
      </c>
      <c r="F345" s="1" t="s">
        <v>635</v>
      </c>
      <c r="G345" s="8"/>
      <c r="H345" s="8"/>
      <c r="I345" s="8">
        <v>45693</v>
      </c>
      <c r="J345" s="9">
        <v>0.50555555555555554</v>
      </c>
      <c r="K345" s="1" t="s">
        <v>564</v>
      </c>
      <c r="L345" s="19">
        <v>45694</v>
      </c>
      <c r="M345" s="8"/>
      <c r="R345" s="10" t="str">
        <f ca="1">IFERROR(__xludf.DUMMYFUNCTION("JOIN("","", SORT(UNIQUE(TOCOL({VLOOKUP(D345,DM_fish!A:B,2,FALSE),VLOOKUP(C345,DM_fish!A:B,2,FALSE), ARRAYFORMULA(VLOOKUP(SPLIT(E345, "", ""),Injections!B:G,6,FALSE)), ARRAYFORMULA(VLOOKUP(SPLIT(F345, "", ""),Injections!H:M,6,FALSE)), ARRAYFORMULA(VLOOKUP("&amp;"SPLIT(G345, "", ""),Injections!N:S,6,FALSE)), ARRAYFORMULA(VLOOKUP(SPLIT(H345, "", ""),Injections!T:Y,6,FALSE)) },3))))"),"csp,male #8 - best founder (40-50% transmission, multiple alleles, bright!!!),488,nuclei")</f>
        <v>csp,male #8 - best founder (40-50% transmission, multiple alleles, bright!!!),488,nuclei</v>
      </c>
      <c r="S345" s="10" t="str">
        <f ca="1">IFERROR(__xludf.DUMMYFUNCTION("IFERROR(JOIN("","", SPLIT(R345, "","", TRUE ,TRUE)), """")"),"csp,male #8 - best founder (40-50% transmission, multiple alleles, bright!!!),488,nuclei")</f>
        <v>csp,male #8 - best founder (40-50% transmission, multiple alleles, bright!!!),488,nuclei</v>
      </c>
      <c r="T345" s="1"/>
      <c r="V345" s="1" t="s">
        <v>203</v>
      </c>
      <c r="W345" s="12" t="str">
        <f ca="1">IFERROR(CONCATENATE("[", CONCATENATE(IF(VLOOKUP(D345,DM_fish!C:X,14, FALSE)&gt;0, CONCATENATE("{",CHAR(34),"target",CHAR(34),":",CHAR(34),VLOOKUP(D345,DM_fish!C:X,13, FALSE),CHAR(34),",", CHAR(34), "excitation",CHAR(34), ":", VLOOKUP(D345,DM_fish!C:X,14, FALSE), ",",  CHAR(34), "camera",CHAR(34), ":", IF(VALUE(VLOOKUP(D345,DM_fish!C:X,14, FALSE))&lt;VALUE(VLOOKUP(V345,imaging_filters!A:K,11, FALSE)), CONCATENATE(CHAR(34),"CamA",CHAR(34)), CONCATENATE(CHAR(34),"CamB",CHAR(34))),"}"), ""),IF(VLOOKUP(D345,DM_fish!C:X,16, FALSE)&gt;0, CONCATENATE(",{",CHAR(34),"target",CHAR(34),":",CHAR(34),VLOOKUP(D345,DM_fish!C:X,15, FALSE),CHAR(34),",", CHAR(34), "excitation",CHAR(34), ":", VLOOKUP(D345,DM_fish!C:X,16, FALSE), ",",  CHAR(34), "camera",CHAR(34), ":", IF(VALUE(VLOOKUP(D345,DM_fish!C:X,16, FALSE))&lt;VALUE(VLOOKUP(V345,imaging_filters!A:K,11, FALSE)), CONCATENATE(CHAR(34),"CamA",CHAR(34)), CONCATENATE(CHAR(34),"CamB",CHAR(34))),"}"), ""),IF(VLOOKUP(D345,DM_fish!C:X,18, FALSE)&gt;0, CONCATENATE(",{",CHAR(34),"target",CHAR(34),":",CHAR(34),VLOOKUP(D345,DM_fish!C:X,17, FALSE),CHAR(34),",", CHAR(34), "excitation",CHAR(34), ":", VLOOKUP(D345,DM_fish!C:X,18, FALSE), ",",  CHAR(34), "camera",CHAR(34), ":", IF(VALUE(VLOOKUP(D345,DM_fish!C:X,18, FALSE))&lt;VALUE(VLOOKUP(V345,imaging_filters!A:K,11, FALSE)), CONCATENATE(CHAR(34),"CamA",CHAR(34)), CONCATENATE(CHAR(34),"CamB",CHAR(34))),"}"), ""),IF(VLOOKUP(D345,DM_fish!C:X,20, FALSE)&gt;0, CONCATENATE(",{",CHAR(34),"target",CHAR(34),":",CHAR(34),VLOOKUP(D345,DM_fish!C:X,19, FALSE),CHAR(34),",", CHAR(34), "excitation",CHAR(34), ":", VLOOKUP(D345,DM_fish!C:X,20, FALSE), ",",  CHAR(34), "camera",CHAR(34), ":", IF(VALUE(VLOOKUP(D345,DM_fish!C:X,20, FALSE))&lt;VALUE(VLOOKUP(V345,imaging_filters!A:K,11, FALSE)), CONCATENATE(CHAR(34),"CamA",CHAR(34)), CONCATENATE(CHAR(34),"CamB",CHAR(34))),"}"), ""),IF(VLOOKUP(D345,DM_fish!C:X,22, FALSE)&gt;0, CONCATENATE(",{",CHAR(34),"target",CHAR(34),":",CHAR(34),VLOOKUP(D345,DM_fish!C:X,21, FALSE),CHAR(34),",", CHAR(34), "excitation",CHAR(34), ":", VLOOKUP(D345,DM_fish!C:X,22, FALSE), ",",  CHAR(34), "camera",CHAR(34), ":", IF(VALUE(VLOOKUP(D345,DM_fish!C:X,22, FALSE))&lt;VALUE(VLOOKUP(V345,imaging_filters!A:K,11, FALSE)), CONCATENATE(CHAR(34),"CamA",CHAR(34)), CONCATENATE(CHAR(34),"CamB",CHAR(34))),"}"), "")), "]"), "")</f>
        <v/>
      </c>
      <c r="X345" s="12" t="str">
        <f ca="1">IFERROR(
CONCATENATE("[", CONCATENATE(IF(VLOOKUP(C345,DM_fish!C:X,14, FALSE)&gt;0, CONCATENATE("{",CHAR(34),"target",CHAR(34),":",CHAR(34),VLOOKUP(C345,DM_fish!C:X,13, FALSE),CHAR(34),",", CHAR(34), "excitation",CHAR(34), ":", VLOOKUP(C345,DM_fish!C:X,14, FALSE), ",",  CHAR(34), "camera",CHAR(34), ":", IF(VALUE(VLOOKUP(C345,DM_fish!C:X,14, FALSE))&lt;VALUE(VLOOKUP(V345,imaging_filters!A:K,11, FALSE)), CONCATENATE(CHAR(34),"CamA",CHAR(34)), CONCATENATE(CHAR(34),"CamB",CHAR(34))),"}"), ""),IF(VLOOKUP(C345,DM_fish!C:X,16, FALSE)&gt;0, CONCATENATE(",{",CHAR(34),"target",CHAR(34),":",CHAR(34),VLOOKUP(C345,DM_fish!C:X,15, FALSE),CHAR(34),",", CHAR(34), "excitation",CHAR(34), ":", VLOOKUP(C345,DM_fish!C:X,16, FALSE), ",",  CHAR(34), "camera",CHAR(34), ":", IF(VALUE(VLOOKUP(C345,DM_fish!C:X,16, FALSE))&lt;VALUE(VLOOKUP(V345,imaging_filters!A:K,11, FALSE)), CONCATENATE(CHAR(34),"CamA",CHAR(34)), CONCATENATE(CHAR(34),"CamB",CHAR(34))),"}"), ""),IF(VLOOKUP(C345,DM_fish!C:X,18, FALSE)&gt;0, CONCATENATE(",{",CHAR(34),"target",CHAR(34),":",CHAR(34),VLOOKUP(C345,DM_fish!C:X,17, FALSE),CHAR(34),",", CHAR(34), "excitation",CHAR(34), ":", VLOOKUP(C345,DM_fish!C:X,18, FALSE), ",",  CHAR(34), "camera",CHAR(34), ":", IF(VALUE(VLOOKUP(C345,DM_fish!C:X,18, FALSE))&lt;VALUE(VLOOKUP(V345,imaging_filters!A:K,11, FALSE)), CONCATENATE(CHAR(34),"CamA",CHAR(34)), CONCATENATE(CHAR(34),"CamB",CHAR(34))),"}"), ""),IF(VLOOKUP(C345,DM_fish!C:X,20, FALSE)&gt;0, CONCATENATE(",{",CHAR(34),"target",CHAR(34),":",CHAR(34),VLOOKUP(C345,DM_fish!C:X,19, FALSE),CHAR(34),",", CHAR(34), "excitation",CHAR(34), ":", VLOOKUP(C345,DM_fish!C:X,20, FALSE), ",",  CHAR(34), "camera",CHAR(34), ":", IF(VALUE(VLOOKUP(C345,DM_fish!C:X,20, FALSE))&lt;VALUE(VLOOKUP(V345,imaging_filters!A:K,11, FALSE)), CONCATENATE(CHAR(34),"CamA",CHAR(34)), CONCATENATE(CHAR(34),"CamB",CHAR(34))),"}"), ""),IF(VLOOKUP(C345,DM_fish!C:X,22, FALSE)&gt;0, CONCATENATE(",{",CHAR(34),"target",CHAR(34),":",CHAR(34),VLOOKUP(C345,DM_fish!C:X,21, FALSE),CHAR(34),",", CHAR(34), "excitation",CHAR(34), ":", VLOOKUP(C345,DM_fish!C:X,22, FALSE), ",",  CHAR(34), "camera",CHAR(34), ":", IF(VALUE(VLOOKUP(C345,DM_fish!C:X,22, FALSE))&lt;VALUE(VLOOKUP(V345,imaging_filters!A:K,11, FALSE)), CONCATENATE(CHAR(34),"CamA",CHAR(34)), CONCATENATE(CHAR(34),"CamB",CHAR(34))),"}"), "")), "]"), "")</f>
        <v/>
      </c>
      <c r="Y345" s="11" t="str">
        <f ca="1">IFERROR(
CONCATENATE( "[",
IF(VLOOKUP(E345,Injections!B:F,3, FALSE)&gt;0, CONCATENATE( "{",CHAR(34),"target",CHAR(34),":",CHAR(34),VLOOKUP(E345,Injections!B:F,2, FALSE),CHAR(34),",", CHAR(34), "excitation",CHAR(34), ":", VLOOKUP(E345,Injections!B:F,3, FALSE), ",",  CHAR(34), "camera",CHAR(34), ":",
IF(VALUE(VLOOKUP(E345,Injections!B:F,3, FALSE))&lt;VALUE(VLOOKUP(V345,imaging_filters!A:C,2, FALSE)), CONCATENATE(CHAR(34),"CamA",CHAR(34)), CONCATENATE(CHAR(34),"CamB",CHAR(34))),"}"), ""),
IF(VLOOKUP(E345,Injections!B:F,5, FALSE)&gt;0, CONCATENATE(",{",CHAR(34),"target",CHAR(34),":",CHAR(34),VLOOKUP(E345,Injections!B:F,4, FALSE),CHAR(34),",", CHAR(34), "excitation",CHAR(34), ":", VLOOKUP(E345,Injections!B:F,5, FALSE), ",",  CHAR(34), "camera",CHAR(34), ":",
IF(VALUE(VLOOKUP(E345,Injections!B:F,5, FALSE))&lt;VALUE(VLOOKUP(V345,imaging_filters!A:C,2, FALSE)), CONCATENATE(CHAR(34),"CamA",CHAR(34)), CONCATENATE(CHAR(34),"CamB",CHAR(34))),"}"), ""),
 "]"), "[]")</f>
        <v>[]</v>
      </c>
      <c r="Z345" s="11" t="str">
        <f ca="1">IFERROR(
CONCATENATE( "[",
IF(VLOOKUP(F345,Injections!H:L,3, FALSE)&gt;0, CONCATENATE( "{",CHAR(34),"target",CHAR(34),":",CHAR(34),VLOOKUP(F345,Injections!H:L,2, FALSE),CHAR(34),",", CHAR(34), "excitation",CHAR(34), ":", VLOOKUP(F345,Injections!H:L,3, FALSE), ",",  CHAR(34), "camera",CHAR(34), ":",
IF(VALUE(VLOOKUP(F345,Injections!H:L,3, FALSE))&lt;VALUE(VLOOKUP(V345,imaging_filters!A:K,11, FALSE)), CONCATENATE(CHAR(34),"CamA",CHAR(34)), CONCATENATE(CHAR(34),"CamB",CHAR(34))),"}"), ""),
IF(VLOOKUP(F345,Injections!H:L,5, FALSE)&gt;0, CONCATENATE(",{",CHAR(34),"target",CHAR(34),":",CHAR(34),VLOOKUP(F345,Injections!H:L,4, FALSE),CHAR(34),",", CHAR(34), "excitation",CHAR(34), ":", VLOOKUP(F345,Injections!H:L,5, FALSE), ",",  CHAR(34), "camera",CHAR(34), ":",
IF(VALUE(VLOOKUP(F345,Injections!H:L,5, FALSE))&lt;VALUE(VLOOKUP(V345,imaging_filters!A:K,11, FALSE)), CONCATENATE(CHAR(34),"CamA",CHAR(34)), CONCATENATE(CHAR(34),"CamB",CHAR(34))),"}"), ""),
 "]"), "[]")</f>
        <v>[]</v>
      </c>
      <c r="AA345" s="11"/>
    </row>
    <row r="346" spans="1:27" ht="15.75" customHeight="1" x14ac:dyDescent="0.15">
      <c r="A346" s="7">
        <f t="shared" si="9"/>
        <v>0</v>
      </c>
      <c r="B346" s="1"/>
      <c r="C346" s="1" t="s">
        <v>107</v>
      </c>
      <c r="D346" s="1" t="s">
        <v>39</v>
      </c>
      <c r="F346" s="1" t="s">
        <v>635</v>
      </c>
      <c r="G346" s="8"/>
      <c r="H346" s="8"/>
      <c r="I346" s="8">
        <v>45693</v>
      </c>
      <c r="J346" s="9">
        <v>0.77222222222222225</v>
      </c>
      <c r="K346" s="1" t="s">
        <v>357</v>
      </c>
      <c r="L346" s="19">
        <v>45694</v>
      </c>
      <c r="M346" s="8"/>
      <c r="R346" s="10" t="str">
        <f ca="1">IFERROR(__xludf.DUMMYFUNCTION("JOIN("","", SORT(UNIQUE(TOCOL({VLOOKUP(D346,DM_fish!A:B,2,FALSE),VLOOKUP(C346,DM_fish!A:B,2,FALSE), ARRAYFORMULA(VLOOKUP(SPLIT(E346, "", ""),Injections!B:G,6,FALSE)), ARRAYFORMULA(VLOOKUP(SPLIT(F346, "", ""),Injections!H:M,6,FALSE)), ARRAYFORMULA(VLOOKUP("&amp;"SPLIT(G346, "", ""),Injections!N:S,6,FALSE)), ARRAYFORMULA(VLOOKUP(SPLIT(H346, "", ""),Injections!T:Y,6,FALSE)) },3))))"),"csp,male #8 - best founder (40-50% transmission, multiple alleles, bright!!!),488,nuclei")</f>
        <v>csp,male #8 - best founder (40-50% transmission, multiple alleles, bright!!!),488,nuclei</v>
      </c>
      <c r="S346" s="10" t="str">
        <f ca="1">IFERROR(__xludf.DUMMYFUNCTION("IFERROR(JOIN("","", SPLIT(R346, "","", TRUE ,TRUE)), """")"),"csp,male #8 - best founder (40-50% transmission, multiple alleles, bright!!!),488,nuclei")</f>
        <v>csp,male #8 - best founder (40-50% transmission, multiple alleles, bright!!!),488,nuclei</v>
      </c>
      <c r="T346" s="1"/>
      <c r="V346" s="1" t="s">
        <v>203</v>
      </c>
      <c r="W346" s="12" t="str">
        <f ca="1">IFERROR(CONCATENATE("[", CONCATENATE(IF(VLOOKUP(D346,DM_fish!C:X,14, FALSE)&gt;0, CONCATENATE("{",CHAR(34),"target",CHAR(34),":",CHAR(34),VLOOKUP(D346,DM_fish!C:X,13, FALSE),CHAR(34),",", CHAR(34), "excitation",CHAR(34), ":", VLOOKUP(D346,DM_fish!C:X,14, FALSE), ",",  CHAR(34), "camera",CHAR(34), ":", IF(VALUE(VLOOKUP(D346,DM_fish!C:X,14, FALSE))&lt;VALUE(VLOOKUP(V346,imaging_filters!A:K,11, FALSE)), CONCATENATE(CHAR(34),"CamA",CHAR(34)), CONCATENATE(CHAR(34),"CamB",CHAR(34))),"}"), ""),IF(VLOOKUP(D346,DM_fish!C:X,16, FALSE)&gt;0, CONCATENATE(",{",CHAR(34),"target",CHAR(34),":",CHAR(34),VLOOKUP(D346,DM_fish!C:X,15, FALSE),CHAR(34),",", CHAR(34), "excitation",CHAR(34), ":", VLOOKUP(D346,DM_fish!C:X,16, FALSE), ",",  CHAR(34), "camera",CHAR(34), ":", IF(VALUE(VLOOKUP(D346,DM_fish!C:X,16, FALSE))&lt;VALUE(VLOOKUP(V346,imaging_filters!A:K,11, FALSE)), CONCATENATE(CHAR(34),"CamA",CHAR(34)), CONCATENATE(CHAR(34),"CamB",CHAR(34))),"}"), ""),IF(VLOOKUP(D346,DM_fish!C:X,18, FALSE)&gt;0, CONCATENATE(",{",CHAR(34),"target",CHAR(34),":",CHAR(34),VLOOKUP(D346,DM_fish!C:X,17, FALSE),CHAR(34),",", CHAR(34), "excitation",CHAR(34), ":", VLOOKUP(D346,DM_fish!C:X,18, FALSE), ",",  CHAR(34), "camera",CHAR(34), ":", IF(VALUE(VLOOKUP(D346,DM_fish!C:X,18, FALSE))&lt;VALUE(VLOOKUP(V346,imaging_filters!A:K,11, FALSE)), CONCATENATE(CHAR(34),"CamA",CHAR(34)), CONCATENATE(CHAR(34),"CamB",CHAR(34))),"}"), ""),IF(VLOOKUP(D346,DM_fish!C:X,20, FALSE)&gt;0, CONCATENATE(",{",CHAR(34),"target",CHAR(34),":",CHAR(34),VLOOKUP(D346,DM_fish!C:X,19, FALSE),CHAR(34),",", CHAR(34), "excitation",CHAR(34), ":", VLOOKUP(D346,DM_fish!C:X,20, FALSE), ",",  CHAR(34), "camera",CHAR(34), ":", IF(VALUE(VLOOKUP(D346,DM_fish!C:X,20, FALSE))&lt;VALUE(VLOOKUP(V346,imaging_filters!A:K,11, FALSE)), CONCATENATE(CHAR(34),"CamA",CHAR(34)), CONCATENATE(CHAR(34),"CamB",CHAR(34))),"}"), ""),IF(VLOOKUP(D346,DM_fish!C:X,22, FALSE)&gt;0, CONCATENATE(",{",CHAR(34),"target",CHAR(34),":",CHAR(34),VLOOKUP(D346,DM_fish!C:X,21, FALSE),CHAR(34),",", CHAR(34), "excitation",CHAR(34), ":", VLOOKUP(D346,DM_fish!C:X,22, FALSE), ",",  CHAR(34), "camera",CHAR(34), ":", IF(VALUE(VLOOKUP(D346,DM_fish!C:X,22, FALSE))&lt;VALUE(VLOOKUP(V346,imaging_filters!A:K,11, FALSE)), CONCATENATE(CHAR(34),"CamA",CHAR(34)), CONCATENATE(CHAR(34),"CamB",CHAR(34))),"}"), "")), "]"), "")</f>
        <v/>
      </c>
      <c r="X346" s="12" t="str">
        <f ca="1">IFERROR(
CONCATENATE("[", CONCATENATE(IF(VLOOKUP(C346,DM_fish!C:X,14, FALSE)&gt;0, CONCATENATE("{",CHAR(34),"target",CHAR(34),":",CHAR(34),VLOOKUP(C346,DM_fish!C:X,13, FALSE),CHAR(34),",", CHAR(34), "excitation",CHAR(34), ":", VLOOKUP(C346,DM_fish!C:X,14, FALSE), ",",  CHAR(34), "camera",CHAR(34), ":", IF(VALUE(VLOOKUP(C346,DM_fish!C:X,14, FALSE))&lt;VALUE(VLOOKUP(V346,imaging_filters!A:K,11, FALSE)), CONCATENATE(CHAR(34),"CamA",CHAR(34)), CONCATENATE(CHAR(34),"CamB",CHAR(34))),"}"), ""),IF(VLOOKUP(C346,DM_fish!C:X,16, FALSE)&gt;0, CONCATENATE(",{",CHAR(34),"target",CHAR(34),":",CHAR(34),VLOOKUP(C346,DM_fish!C:X,15, FALSE),CHAR(34),",", CHAR(34), "excitation",CHAR(34), ":", VLOOKUP(C346,DM_fish!C:X,16, FALSE), ",",  CHAR(34), "camera",CHAR(34), ":", IF(VALUE(VLOOKUP(C346,DM_fish!C:X,16, FALSE))&lt;VALUE(VLOOKUP(V346,imaging_filters!A:K,11, FALSE)), CONCATENATE(CHAR(34),"CamA",CHAR(34)), CONCATENATE(CHAR(34),"CamB",CHAR(34))),"}"), ""),IF(VLOOKUP(C346,DM_fish!C:X,18, FALSE)&gt;0, CONCATENATE(",{",CHAR(34),"target",CHAR(34),":",CHAR(34),VLOOKUP(C346,DM_fish!C:X,17, FALSE),CHAR(34),",", CHAR(34), "excitation",CHAR(34), ":", VLOOKUP(C346,DM_fish!C:X,18, FALSE), ",",  CHAR(34), "camera",CHAR(34), ":", IF(VALUE(VLOOKUP(C346,DM_fish!C:X,18, FALSE))&lt;VALUE(VLOOKUP(V346,imaging_filters!A:K,11, FALSE)), CONCATENATE(CHAR(34),"CamA",CHAR(34)), CONCATENATE(CHAR(34),"CamB",CHAR(34))),"}"), ""),IF(VLOOKUP(C346,DM_fish!C:X,20, FALSE)&gt;0, CONCATENATE(",{",CHAR(34),"target",CHAR(34),":",CHAR(34),VLOOKUP(C346,DM_fish!C:X,19, FALSE),CHAR(34),",", CHAR(34), "excitation",CHAR(34), ":", VLOOKUP(C346,DM_fish!C:X,20, FALSE), ",",  CHAR(34), "camera",CHAR(34), ":", IF(VALUE(VLOOKUP(C346,DM_fish!C:X,20, FALSE))&lt;VALUE(VLOOKUP(V346,imaging_filters!A:K,11, FALSE)), CONCATENATE(CHAR(34),"CamA",CHAR(34)), CONCATENATE(CHAR(34),"CamB",CHAR(34))),"}"), ""),IF(VLOOKUP(C346,DM_fish!C:X,22, FALSE)&gt;0, CONCATENATE(",{",CHAR(34),"target",CHAR(34),":",CHAR(34),VLOOKUP(C346,DM_fish!C:X,21, FALSE),CHAR(34),",", CHAR(34), "excitation",CHAR(34), ":", VLOOKUP(C346,DM_fish!C:X,22, FALSE), ",",  CHAR(34), "camera",CHAR(34), ":", IF(VALUE(VLOOKUP(C346,DM_fish!C:X,22, FALSE))&lt;VALUE(VLOOKUP(V346,imaging_filters!A:K,11, FALSE)), CONCATENATE(CHAR(34),"CamA",CHAR(34)), CONCATENATE(CHAR(34),"CamB",CHAR(34))),"}"), "")), "]"), "")</f>
        <v/>
      </c>
      <c r="Y346" s="11" t="str">
        <f ca="1">IFERROR(
CONCATENATE( "[",
IF(VLOOKUP(E346,Injections!B:F,3, FALSE)&gt;0, CONCATENATE( "{",CHAR(34),"target",CHAR(34),":",CHAR(34),VLOOKUP(E346,Injections!B:F,2, FALSE),CHAR(34),",", CHAR(34), "excitation",CHAR(34), ":", VLOOKUP(E346,Injections!B:F,3, FALSE), ",",  CHAR(34), "camera",CHAR(34), ":",
IF(VALUE(VLOOKUP(E346,Injections!B:F,3, FALSE))&lt;VALUE(VLOOKUP(V346,imaging_filters!A:C,2, FALSE)), CONCATENATE(CHAR(34),"CamA",CHAR(34)), CONCATENATE(CHAR(34),"CamB",CHAR(34))),"}"), ""),
IF(VLOOKUP(E346,Injections!B:F,5, FALSE)&gt;0, CONCATENATE(",{",CHAR(34),"target",CHAR(34),":",CHAR(34),VLOOKUP(E346,Injections!B:F,4, FALSE),CHAR(34),",", CHAR(34), "excitation",CHAR(34), ":", VLOOKUP(E346,Injections!B:F,5, FALSE), ",",  CHAR(34), "camera",CHAR(34), ":",
IF(VALUE(VLOOKUP(E346,Injections!B:F,5, FALSE))&lt;VALUE(VLOOKUP(V346,imaging_filters!A:C,2, FALSE)), CONCATENATE(CHAR(34),"CamA",CHAR(34)), CONCATENATE(CHAR(34),"CamB",CHAR(34))),"}"), ""),
 "]"), "[]")</f>
        <v>[]</v>
      </c>
      <c r="Z346" s="11" t="str">
        <f ca="1">IFERROR(
CONCATENATE( "[",
IF(VLOOKUP(F346,Injections!H:L,3, FALSE)&gt;0, CONCATENATE( "{",CHAR(34),"target",CHAR(34),":",CHAR(34),VLOOKUP(F346,Injections!H:L,2, FALSE),CHAR(34),",", CHAR(34), "excitation",CHAR(34), ":", VLOOKUP(F346,Injections!H:L,3, FALSE), ",",  CHAR(34), "camera",CHAR(34), ":",
IF(VALUE(VLOOKUP(F346,Injections!H:L,3, FALSE))&lt;VALUE(VLOOKUP(V346,imaging_filters!A:K,11, FALSE)), CONCATENATE(CHAR(34),"CamA",CHAR(34)), CONCATENATE(CHAR(34),"CamB",CHAR(34))),"}"), ""),
IF(VLOOKUP(F346,Injections!H:L,5, FALSE)&gt;0, CONCATENATE(",{",CHAR(34),"target",CHAR(34),":",CHAR(34),VLOOKUP(F346,Injections!H:L,4, FALSE),CHAR(34),",", CHAR(34), "excitation",CHAR(34), ":", VLOOKUP(F346,Injections!H:L,5, FALSE), ",",  CHAR(34), "camera",CHAR(34), ":",
IF(VALUE(VLOOKUP(F346,Injections!H:L,5, FALSE))&lt;VALUE(VLOOKUP(V346,imaging_filters!A:K,11, FALSE)), CONCATENATE(CHAR(34),"CamA",CHAR(34)), CONCATENATE(CHAR(34),"CamB",CHAR(34))),"}"), ""),
 "]"), "[]")</f>
        <v>[]</v>
      </c>
      <c r="AA346" s="11"/>
    </row>
    <row r="347" spans="1:27" ht="15.75" customHeight="1" x14ac:dyDescent="0.15">
      <c r="A347" s="7">
        <f t="shared" si="9"/>
        <v>0</v>
      </c>
      <c r="B347" s="1"/>
      <c r="C347" s="1" t="s">
        <v>107</v>
      </c>
      <c r="D347" s="1" t="s">
        <v>39</v>
      </c>
      <c r="F347" s="1" t="s">
        <v>635</v>
      </c>
      <c r="G347" s="8"/>
      <c r="H347" s="8"/>
      <c r="I347" s="8">
        <v>45693</v>
      </c>
      <c r="J347" s="9">
        <v>0.77222222222222225</v>
      </c>
      <c r="K347" s="1" t="s">
        <v>357</v>
      </c>
      <c r="L347" s="19">
        <v>45694</v>
      </c>
      <c r="M347" s="8"/>
      <c r="R347" s="10" t="str">
        <f ca="1">IFERROR(__xludf.DUMMYFUNCTION("JOIN("","", SORT(UNIQUE(TOCOL({VLOOKUP(D347,DM_fish!A:B,2,FALSE),VLOOKUP(C347,DM_fish!A:B,2,FALSE), ARRAYFORMULA(VLOOKUP(SPLIT(E347, "", ""),Injections!B:G,6,FALSE)), ARRAYFORMULA(VLOOKUP(SPLIT(F347, "", ""),Injections!H:M,6,FALSE)), ARRAYFORMULA(VLOOKUP("&amp;"SPLIT(G347, "", ""),Injections!N:S,6,FALSE)), ARRAYFORMULA(VLOOKUP(SPLIT(H347, "", ""),Injections!T:Y,6,FALSE)) },3))))"),"csp,male #8 - best founder (40-50% transmission, multiple alleles, bright!!!),488,nuclei")</f>
        <v>csp,male #8 - best founder (40-50% transmission, multiple alleles, bright!!!),488,nuclei</v>
      </c>
      <c r="S347" s="10" t="str">
        <f ca="1">IFERROR(__xludf.DUMMYFUNCTION("IFERROR(JOIN("","", SPLIT(R347, "","", TRUE ,TRUE)), """")"),"csp,male #8 - best founder (40-50% transmission, multiple alleles, bright!!!),488,nuclei")</f>
        <v>csp,male #8 - best founder (40-50% transmission, multiple alleles, bright!!!),488,nuclei</v>
      </c>
      <c r="T347" s="1"/>
      <c r="V347" s="1" t="s">
        <v>203</v>
      </c>
      <c r="W347" s="12" t="str">
        <f ca="1">IFERROR(CONCATENATE("[", CONCATENATE(IF(VLOOKUP(D347,DM_fish!C:X,14, FALSE)&gt;0, CONCATENATE("{",CHAR(34),"target",CHAR(34),":",CHAR(34),VLOOKUP(D347,DM_fish!C:X,13, FALSE),CHAR(34),",", CHAR(34), "excitation",CHAR(34), ":", VLOOKUP(D347,DM_fish!C:X,14, FALSE), ",",  CHAR(34), "camera",CHAR(34), ":", IF(VALUE(VLOOKUP(D347,DM_fish!C:X,14, FALSE))&lt;VALUE(VLOOKUP(V347,imaging_filters!A:K,11, FALSE)), CONCATENATE(CHAR(34),"CamA",CHAR(34)), CONCATENATE(CHAR(34),"CamB",CHAR(34))),"}"), ""),IF(VLOOKUP(D347,DM_fish!C:X,16, FALSE)&gt;0, CONCATENATE(",{",CHAR(34),"target",CHAR(34),":",CHAR(34),VLOOKUP(D347,DM_fish!C:X,15, FALSE),CHAR(34),",", CHAR(34), "excitation",CHAR(34), ":", VLOOKUP(D347,DM_fish!C:X,16, FALSE), ",",  CHAR(34), "camera",CHAR(34), ":", IF(VALUE(VLOOKUP(D347,DM_fish!C:X,16, FALSE))&lt;VALUE(VLOOKUP(V347,imaging_filters!A:K,11, FALSE)), CONCATENATE(CHAR(34),"CamA",CHAR(34)), CONCATENATE(CHAR(34),"CamB",CHAR(34))),"}"), ""),IF(VLOOKUP(D347,DM_fish!C:X,18, FALSE)&gt;0, CONCATENATE(",{",CHAR(34),"target",CHAR(34),":",CHAR(34),VLOOKUP(D347,DM_fish!C:X,17, FALSE),CHAR(34),",", CHAR(34), "excitation",CHAR(34), ":", VLOOKUP(D347,DM_fish!C:X,18, FALSE), ",",  CHAR(34), "camera",CHAR(34), ":", IF(VALUE(VLOOKUP(D347,DM_fish!C:X,18, FALSE))&lt;VALUE(VLOOKUP(V347,imaging_filters!A:K,11, FALSE)), CONCATENATE(CHAR(34),"CamA",CHAR(34)), CONCATENATE(CHAR(34),"CamB",CHAR(34))),"}"), ""),IF(VLOOKUP(D347,DM_fish!C:X,20, FALSE)&gt;0, CONCATENATE(",{",CHAR(34),"target",CHAR(34),":",CHAR(34),VLOOKUP(D347,DM_fish!C:X,19, FALSE),CHAR(34),",", CHAR(34), "excitation",CHAR(34), ":", VLOOKUP(D347,DM_fish!C:X,20, FALSE), ",",  CHAR(34), "camera",CHAR(34), ":", IF(VALUE(VLOOKUP(D347,DM_fish!C:X,20, FALSE))&lt;VALUE(VLOOKUP(V347,imaging_filters!A:K,11, FALSE)), CONCATENATE(CHAR(34),"CamA",CHAR(34)), CONCATENATE(CHAR(34),"CamB",CHAR(34))),"}"), ""),IF(VLOOKUP(D347,DM_fish!C:X,22, FALSE)&gt;0, CONCATENATE(",{",CHAR(34),"target",CHAR(34),":",CHAR(34),VLOOKUP(D347,DM_fish!C:X,21, FALSE),CHAR(34),",", CHAR(34), "excitation",CHAR(34), ":", VLOOKUP(D347,DM_fish!C:X,22, FALSE), ",",  CHAR(34), "camera",CHAR(34), ":", IF(VALUE(VLOOKUP(D347,DM_fish!C:X,22, FALSE))&lt;VALUE(VLOOKUP(V347,imaging_filters!A:K,11, FALSE)), CONCATENATE(CHAR(34),"CamA",CHAR(34)), CONCATENATE(CHAR(34),"CamB",CHAR(34))),"}"), "")), "]"), "")</f>
        <v/>
      </c>
      <c r="X347" s="12" t="str">
        <f ca="1">IFERROR(
CONCATENATE("[", CONCATENATE(IF(VLOOKUP(C347,DM_fish!C:X,14, FALSE)&gt;0, CONCATENATE("{",CHAR(34),"target",CHAR(34),":",CHAR(34),VLOOKUP(C347,DM_fish!C:X,13, FALSE),CHAR(34),",", CHAR(34), "excitation",CHAR(34), ":", VLOOKUP(C347,DM_fish!C:X,14, FALSE), ",",  CHAR(34), "camera",CHAR(34), ":", IF(VALUE(VLOOKUP(C347,DM_fish!C:X,14, FALSE))&lt;VALUE(VLOOKUP(V347,imaging_filters!A:K,11, FALSE)), CONCATENATE(CHAR(34),"CamA",CHAR(34)), CONCATENATE(CHAR(34),"CamB",CHAR(34))),"}"), ""),IF(VLOOKUP(C347,DM_fish!C:X,16, FALSE)&gt;0, CONCATENATE(",{",CHAR(34),"target",CHAR(34),":",CHAR(34),VLOOKUP(C347,DM_fish!C:X,15, FALSE),CHAR(34),",", CHAR(34), "excitation",CHAR(34), ":", VLOOKUP(C347,DM_fish!C:X,16, FALSE), ",",  CHAR(34), "camera",CHAR(34), ":", IF(VALUE(VLOOKUP(C347,DM_fish!C:X,16, FALSE))&lt;VALUE(VLOOKUP(V347,imaging_filters!A:K,11, FALSE)), CONCATENATE(CHAR(34),"CamA",CHAR(34)), CONCATENATE(CHAR(34),"CamB",CHAR(34))),"}"), ""),IF(VLOOKUP(C347,DM_fish!C:X,18, FALSE)&gt;0, CONCATENATE(",{",CHAR(34),"target",CHAR(34),":",CHAR(34),VLOOKUP(C347,DM_fish!C:X,17, FALSE),CHAR(34),",", CHAR(34), "excitation",CHAR(34), ":", VLOOKUP(C347,DM_fish!C:X,18, FALSE), ",",  CHAR(34), "camera",CHAR(34), ":", IF(VALUE(VLOOKUP(C347,DM_fish!C:X,18, FALSE))&lt;VALUE(VLOOKUP(V347,imaging_filters!A:K,11, FALSE)), CONCATENATE(CHAR(34),"CamA",CHAR(34)), CONCATENATE(CHAR(34),"CamB",CHAR(34))),"}"), ""),IF(VLOOKUP(C347,DM_fish!C:X,20, FALSE)&gt;0, CONCATENATE(",{",CHAR(34),"target",CHAR(34),":",CHAR(34),VLOOKUP(C347,DM_fish!C:X,19, FALSE),CHAR(34),",", CHAR(34), "excitation",CHAR(34), ":", VLOOKUP(C347,DM_fish!C:X,20, FALSE), ",",  CHAR(34), "camera",CHAR(34), ":", IF(VALUE(VLOOKUP(C347,DM_fish!C:X,20, FALSE))&lt;VALUE(VLOOKUP(V347,imaging_filters!A:K,11, FALSE)), CONCATENATE(CHAR(34),"CamA",CHAR(34)), CONCATENATE(CHAR(34),"CamB",CHAR(34))),"}"), ""),IF(VLOOKUP(C347,DM_fish!C:X,22, FALSE)&gt;0, CONCATENATE(",{",CHAR(34),"target",CHAR(34),":",CHAR(34),VLOOKUP(C347,DM_fish!C:X,21, FALSE),CHAR(34),",", CHAR(34), "excitation",CHAR(34), ":", VLOOKUP(C347,DM_fish!C:X,22, FALSE), ",",  CHAR(34), "camera",CHAR(34), ":", IF(VALUE(VLOOKUP(C347,DM_fish!C:X,22, FALSE))&lt;VALUE(VLOOKUP(V347,imaging_filters!A:K,11, FALSE)), CONCATENATE(CHAR(34),"CamA",CHAR(34)), CONCATENATE(CHAR(34),"CamB",CHAR(34))),"}"), "")), "]"), "")</f>
        <v/>
      </c>
      <c r="Y347" s="11" t="str">
        <f ca="1">IFERROR(
CONCATENATE( "[",
IF(VLOOKUP(E347,Injections!B:F,3, FALSE)&gt;0, CONCATENATE( "{",CHAR(34),"target",CHAR(34),":",CHAR(34),VLOOKUP(E347,Injections!B:F,2, FALSE),CHAR(34),",", CHAR(34), "excitation",CHAR(34), ":", VLOOKUP(E347,Injections!B:F,3, FALSE), ",",  CHAR(34), "camera",CHAR(34), ":",
IF(VALUE(VLOOKUP(E347,Injections!B:F,3, FALSE))&lt;VALUE(VLOOKUP(V347,imaging_filters!A:C,2, FALSE)), CONCATENATE(CHAR(34),"CamA",CHAR(34)), CONCATENATE(CHAR(34),"CamB",CHAR(34))),"}"), ""),
IF(VLOOKUP(E347,Injections!B:F,5, FALSE)&gt;0, CONCATENATE(",{",CHAR(34),"target",CHAR(34),":",CHAR(34),VLOOKUP(E347,Injections!B:F,4, FALSE),CHAR(34),",", CHAR(34), "excitation",CHAR(34), ":", VLOOKUP(E347,Injections!B:F,5, FALSE), ",",  CHAR(34), "camera",CHAR(34), ":",
IF(VALUE(VLOOKUP(E347,Injections!B:F,5, FALSE))&lt;VALUE(VLOOKUP(V347,imaging_filters!A:C,2, FALSE)), CONCATENATE(CHAR(34),"CamA",CHAR(34)), CONCATENATE(CHAR(34),"CamB",CHAR(34))),"}"), ""),
 "]"), "[]")</f>
        <v>[]</v>
      </c>
      <c r="Z347" s="11" t="str">
        <f ca="1">IFERROR(
CONCATENATE( "[",
IF(VLOOKUP(F347,Injections!H:L,3, FALSE)&gt;0, CONCATENATE( "{",CHAR(34),"target",CHAR(34),":",CHAR(34),VLOOKUP(F347,Injections!H:L,2, FALSE),CHAR(34),",", CHAR(34), "excitation",CHAR(34), ":", VLOOKUP(F347,Injections!H:L,3, FALSE), ",",  CHAR(34), "camera",CHAR(34), ":",
IF(VALUE(VLOOKUP(F347,Injections!H:L,3, FALSE))&lt;VALUE(VLOOKUP(V347,imaging_filters!A:K,11, FALSE)), CONCATENATE(CHAR(34),"CamA",CHAR(34)), CONCATENATE(CHAR(34),"CamB",CHAR(34))),"}"), ""),
IF(VLOOKUP(F347,Injections!H:L,5, FALSE)&gt;0, CONCATENATE(",{",CHAR(34),"target",CHAR(34),":",CHAR(34),VLOOKUP(F347,Injections!H:L,4, FALSE),CHAR(34),",", CHAR(34), "excitation",CHAR(34), ":", VLOOKUP(F347,Injections!H:L,5, FALSE), ",",  CHAR(34), "camera",CHAR(34), ":",
IF(VALUE(VLOOKUP(F347,Injections!H:L,5, FALSE))&lt;VALUE(VLOOKUP(V347,imaging_filters!A:K,11, FALSE)), CONCATENATE(CHAR(34),"CamA",CHAR(34)), CONCATENATE(CHAR(34),"CamB",CHAR(34))),"}"), ""),
 "]"), "[]")</f>
        <v>[]</v>
      </c>
      <c r="AA347" s="11"/>
    </row>
    <row r="348" spans="1:27" ht="15.75" customHeight="1" x14ac:dyDescent="0.15">
      <c r="A348" s="7"/>
      <c r="B348" s="1"/>
      <c r="C348" s="1" t="s">
        <v>107</v>
      </c>
      <c r="D348" s="1" t="s">
        <v>39</v>
      </c>
      <c r="F348" s="1" t="s">
        <v>635</v>
      </c>
      <c r="G348" s="8"/>
      <c r="H348" s="8"/>
      <c r="I348" s="8">
        <v>45693</v>
      </c>
      <c r="J348" s="9">
        <v>0.50069444444444444</v>
      </c>
      <c r="K348" s="1" t="s">
        <v>571</v>
      </c>
      <c r="L348" s="19">
        <v>45695</v>
      </c>
      <c r="M348" s="8"/>
      <c r="R348" s="10" t="str">
        <f ca="1">IFERROR(__xludf.DUMMYFUNCTION("JOIN("","", SORT(UNIQUE(TOCOL({VLOOKUP(D348,DM_fish!A:B,2,FALSE),VLOOKUP(C348,DM_fish!A:B,2,FALSE), ARRAYFORMULA(VLOOKUP(SPLIT(E348, "", ""),Injections!B:G,6,FALSE)), ARRAYFORMULA(VLOOKUP(SPLIT(F348, "", ""),Injections!H:M,6,FALSE)), ARRAYFORMULA(VLOOKUP("&amp;"SPLIT(G348, "", ""),Injections!N:S,6,FALSE)), ARRAYFORMULA(VLOOKUP(SPLIT(H348, "", ""),Injections!T:Y,6,FALSE)) },3))))"),"csp,male #8 - best founder (40-50% transmission, multiple alleles, bright!!!),488,nuclei")</f>
        <v>csp,male #8 - best founder (40-50% transmission, multiple alleles, bright!!!),488,nuclei</v>
      </c>
      <c r="S348" s="10" t="str">
        <f ca="1">IFERROR(__xludf.DUMMYFUNCTION("IFERROR(JOIN("","", SPLIT(R348, "","", TRUE ,TRUE)), """")"),"csp,male #8 - best founder (40-50% transmission, multiple alleles, bright!!!),488,nuclei")</f>
        <v>csp,male #8 - best founder (40-50% transmission, multiple alleles, bright!!!),488,nuclei</v>
      </c>
      <c r="T348" s="1"/>
      <c r="V348" s="1" t="s">
        <v>203</v>
      </c>
      <c r="W348" s="12" t="str">
        <f ca="1">IFERROR(CONCATENATE("[", CONCATENATE(IF(VLOOKUP(D348,DM_fish!C:X,14, FALSE)&gt;0, CONCATENATE("{",CHAR(34),"target",CHAR(34),":",CHAR(34),VLOOKUP(D348,DM_fish!C:X,13, FALSE),CHAR(34),",", CHAR(34), "excitation",CHAR(34), ":", VLOOKUP(D348,DM_fish!C:X,14, FALSE), ",",  CHAR(34), "camera",CHAR(34), ":", IF(VALUE(VLOOKUP(D348,DM_fish!C:X,14, FALSE))&lt;VALUE(VLOOKUP(V348,imaging_filters!A:K,11, FALSE)), CONCATENATE(CHAR(34),"CamA",CHAR(34)), CONCATENATE(CHAR(34),"CamB",CHAR(34))),"}"), ""),IF(VLOOKUP(D348,DM_fish!C:X,16, FALSE)&gt;0, CONCATENATE(",{",CHAR(34),"target",CHAR(34),":",CHAR(34),VLOOKUP(D348,DM_fish!C:X,15, FALSE),CHAR(34),",", CHAR(34), "excitation",CHAR(34), ":", VLOOKUP(D348,DM_fish!C:X,16, FALSE), ",",  CHAR(34), "camera",CHAR(34), ":", IF(VALUE(VLOOKUP(D348,DM_fish!C:X,16, FALSE))&lt;VALUE(VLOOKUP(V348,imaging_filters!A:K,11, FALSE)), CONCATENATE(CHAR(34),"CamA",CHAR(34)), CONCATENATE(CHAR(34),"CamB",CHAR(34))),"}"), ""),IF(VLOOKUP(D348,DM_fish!C:X,18, FALSE)&gt;0, CONCATENATE(",{",CHAR(34),"target",CHAR(34),":",CHAR(34),VLOOKUP(D348,DM_fish!C:X,17, FALSE),CHAR(34),",", CHAR(34), "excitation",CHAR(34), ":", VLOOKUP(D348,DM_fish!C:X,18, FALSE), ",",  CHAR(34), "camera",CHAR(34), ":", IF(VALUE(VLOOKUP(D348,DM_fish!C:X,18, FALSE))&lt;VALUE(VLOOKUP(V348,imaging_filters!A:K,11, FALSE)), CONCATENATE(CHAR(34),"CamA",CHAR(34)), CONCATENATE(CHAR(34),"CamB",CHAR(34))),"}"), ""),IF(VLOOKUP(D348,DM_fish!C:X,20, FALSE)&gt;0, CONCATENATE(",{",CHAR(34),"target",CHAR(34),":",CHAR(34),VLOOKUP(D348,DM_fish!C:X,19, FALSE),CHAR(34),",", CHAR(34), "excitation",CHAR(34), ":", VLOOKUP(D348,DM_fish!C:X,20, FALSE), ",",  CHAR(34), "camera",CHAR(34), ":", IF(VALUE(VLOOKUP(D348,DM_fish!C:X,20, FALSE))&lt;VALUE(VLOOKUP(V348,imaging_filters!A:K,11, FALSE)), CONCATENATE(CHAR(34),"CamA",CHAR(34)), CONCATENATE(CHAR(34),"CamB",CHAR(34))),"}"), ""),IF(VLOOKUP(D348,DM_fish!C:X,22, FALSE)&gt;0, CONCATENATE(",{",CHAR(34),"target",CHAR(34),":",CHAR(34),VLOOKUP(D348,DM_fish!C:X,21, FALSE),CHAR(34),",", CHAR(34), "excitation",CHAR(34), ":", VLOOKUP(D348,DM_fish!C:X,22, FALSE), ",",  CHAR(34), "camera",CHAR(34), ":", IF(VALUE(VLOOKUP(D348,DM_fish!C:X,22, FALSE))&lt;VALUE(VLOOKUP(V348,imaging_filters!A:K,11, FALSE)), CONCATENATE(CHAR(34),"CamA",CHAR(34)), CONCATENATE(CHAR(34),"CamB",CHAR(34))),"}"), "")), "]"), "")</f>
        <v/>
      </c>
      <c r="X348" s="12" t="str">
        <f ca="1">IFERROR(
CONCATENATE("[", CONCATENATE(IF(VLOOKUP(C348,DM_fish!C:X,14, FALSE)&gt;0, CONCATENATE("{",CHAR(34),"target",CHAR(34),":",CHAR(34),VLOOKUP(C348,DM_fish!C:X,13, FALSE),CHAR(34),",", CHAR(34), "excitation",CHAR(34), ":", VLOOKUP(C348,DM_fish!C:X,14, FALSE), ",",  CHAR(34), "camera",CHAR(34), ":", IF(VALUE(VLOOKUP(C348,DM_fish!C:X,14, FALSE))&lt;VALUE(VLOOKUP(V348,imaging_filters!A:K,11, FALSE)), CONCATENATE(CHAR(34),"CamA",CHAR(34)), CONCATENATE(CHAR(34),"CamB",CHAR(34))),"}"), ""),IF(VLOOKUP(C348,DM_fish!C:X,16, FALSE)&gt;0, CONCATENATE(",{",CHAR(34),"target",CHAR(34),":",CHAR(34),VLOOKUP(C348,DM_fish!C:X,15, FALSE),CHAR(34),",", CHAR(34), "excitation",CHAR(34), ":", VLOOKUP(C348,DM_fish!C:X,16, FALSE), ",",  CHAR(34), "camera",CHAR(34), ":", IF(VALUE(VLOOKUP(C348,DM_fish!C:X,16, FALSE))&lt;VALUE(VLOOKUP(V348,imaging_filters!A:K,11, FALSE)), CONCATENATE(CHAR(34),"CamA",CHAR(34)), CONCATENATE(CHAR(34),"CamB",CHAR(34))),"}"), ""),IF(VLOOKUP(C348,DM_fish!C:X,18, FALSE)&gt;0, CONCATENATE(",{",CHAR(34),"target",CHAR(34),":",CHAR(34),VLOOKUP(C348,DM_fish!C:X,17, FALSE),CHAR(34),",", CHAR(34), "excitation",CHAR(34), ":", VLOOKUP(C348,DM_fish!C:X,18, FALSE), ",",  CHAR(34), "camera",CHAR(34), ":", IF(VALUE(VLOOKUP(C348,DM_fish!C:X,18, FALSE))&lt;VALUE(VLOOKUP(V348,imaging_filters!A:K,11, FALSE)), CONCATENATE(CHAR(34),"CamA",CHAR(34)), CONCATENATE(CHAR(34),"CamB",CHAR(34))),"}"), ""),IF(VLOOKUP(C348,DM_fish!C:X,20, FALSE)&gt;0, CONCATENATE(",{",CHAR(34),"target",CHAR(34),":",CHAR(34),VLOOKUP(C348,DM_fish!C:X,19, FALSE),CHAR(34),",", CHAR(34), "excitation",CHAR(34), ":", VLOOKUP(C348,DM_fish!C:X,20, FALSE), ",",  CHAR(34), "camera",CHAR(34), ":", IF(VALUE(VLOOKUP(C348,DM_fish!C:X,20, FALSE))&lt;VALUE(VLOOKUP(V348,imaging_filters!A:K,11, FALSE)), CONCATENATE(CHAR(34),"CamA",CHAR(34)), CONCATENATE(CHAR(34),"CamB",CHAR(34))),"}"), ""),IF(VLOOKUP(C348,DM_fish!C:X,22, FALSE)&gt;0, CONCATENATE(",{",CHAR(34),"target",CHAR(34),":",CHAR(34),VLOOKUP(C348,DM_fish!C:X,21, FALSE),CHAR(34),",", CHAR(34), "excitation",CHAR(34), ":", VLOOKUP(C348,DM_fish!C:X,22, FALSE), ",",  CHAR(34), "camera",CHAR(34), ":", IF(VALUE(VLOOKUP(C348,DM_fish!C:X,22, FALSE))&lt;VALUE(VLOOKUP(V348,imaging_filters!A:K,11, FALSE)), CONCATENATE(CHAR(34),"CamA",CHAR(34)), CONCATENATE(CHAR(34),"CamB",CHAR(34))),"}"), "")), "]"), "")</f>
        <v/>
      </c>
      <c r="Y348" s="11" t="str">
        <f ca="1">IFERROR(
CONCATENATE( "[",
IF(VLOOKUP(E348,Injections!B:F,3, FALSE)&gt;0, CONCATENATE( "{",CHAR(34),"target",CHAR(34),":",CHAR(34),VLOOKUP(E348,Injections!B:F,2, FALSE),CHAR(34),",", CHAR(34), "excitation",CHAR(34), ":", VLOOKUP(E348,Injections!B:F,3, FALSE), ",",  CHAR(34), "camera",CHAR(34), ":",
IF(VALUE(VLOOKUP(E348,Injections!B:F,3, FALSE))&lt;VALUE(VLOOKUP(V348,imaging_filters!A:C,2, FALSE)), CONCATENATE(CHAR(34),"CamA",CHAR(34)), CONCATENATE(CHAR(34),"CamB",CHAR(34))),"}"), ""),
IF(VLOOKUP(E348,Injections!B:F,5, FALSE)&gt;0, CONCATENATE(",{",CHAR(34),"target",CHAR(34),":",CHAR(34),VLOOKUP(E348,Injections!B:F,4, FALSE),CHAR(34),",", CHAR(34), "excitation",CHAR(34), ":", VLOOKUP(E348,Injections!B:F,5, FALSE), ",",  CHAR(34), "camera",CHAR(34), ":",
IF(VALUE(VLOOKUP(E348,Injections!B:F,5, FALSE))&lt;VALUE(VLOOKUP(V348,imaging_filters!A:C,2, FALSE)), CONCATENATE(CHAR(34),"CamA",CHAR(34)), CONCATENATE(CHAR(34),"CamB",CHAR(34))),"}"), ""),
 "]"), "[]")</f>
        <v>[]</v>
      </c>
      <c r="Z348" s="11" t="str">
        <f ca="1">IFERROR(
CONCATENATE( "[",
IF(VLOOKUP(F348,Injections!H:L,3, FALSE)&gt;0, CONCATENATE( "{",CHAR(34),"target",CHAR(34),":",CHAR(34),VLOOKUP(F348,Injections!H:L,2, FALSE),CHAR(34),",", CHAR(34), "excitation",CHAR(34), ":", VLOOKUP(F348,Injections!H:L,3, FALSE), ",",  CHAR(34), "camera",CHAR(34), ":",
IF(VALUE(VLOOKUP(F348,Injections!H:L,3, FALSE))&lt;VALUE(VLOOKUP(V348,imaging_filters!A:K,11, FALSE)), CONCATENATE(CHAR(34),"CamA",CHAR(34)), CONCATENATE(CHAR(34),"CamB",CHAR(34))),"}"), ""),
IF(VLOOKUP(F348,Injections!H:L,5, FALSE)&gt;0, CONCATENATE(",{",CHAR(34),"target",CHAR(34),":",CHAR(34),VLOOKUP(F348,Injections!H:L,4, FALSE),CHAR(34),",", CHAR(34), "excitation",CHAR(34), ":", VLOOKUP(F348,Injections!H:L,5, FALSE), ",",  CHAR(34), "camera",CHAR(34), ":",
IF(VALUE(VLOOKUP(F348,Injections!H:L,5, FALSE))&lt;VALUE(VLOOKUP(V348,imaging_filters!A:K,11, FALSE)), CONCATENATE(CHAR(34),"CamA",CHAR(34)), CONCATENATE(CHAR(34),"CamB",CHAR(34))),"}"), ""),
 "]"), "[]")</f>
        <v>[]</v>
      </c>
      <c r="AA348" s="11"/>
    </row>
    <row r="349" spans="1:27" ht="15.75" customHeight="1" x14ac:dyDescent="0.15">
      <c r="A349" s="7">
        <f t="shared" ref="A349:A519" si="10">M349</f>
        <v>0</v>
      </c>
      <c r="G349" s="8"/>
      <c r="H349" s="8"/>
      <c r="I349" s="8"/>
      <c r="J349" s="1" t="s">
        <v>669</v>
      </c>
      <c r="K349" s="1" t="s">
        <v>564</v>
      </c>
      <c r="M349" s="8"/>
      <c r="R349" s="10" t="str">
        <f ca="1">IFERROR(__xludf.DUMMYFUNCTION("JOIN("","", SORT(UNIQUE(TOCOL({VLOOKUP(D349,DM_fish!A:B,2,FALSE),VLOOKUP(C349,DM_fish!A:B,2,FALSE), ARRAYFORMULA(VLOOKUP(SPLIT(E349, "", ""),Injections!B:G,6,FALSE)), ARRAYFORMULA(VLOOKUP(SPLIT(F349, "", ""),Injections!H:M,6,FALSE)), ARRAYFORMULA(VLOOKUP("&amp;"SPLIT(G349, "", ""),Injections!N:S,6,FALSE)), ARRAYFORMULA(VLOOKUP(SPLIT(H349, "", ""),Injections!T:Y,6,FALSE)) },3))))"),"")</f>
        <v/>
      </c>
      <c r="S349" s="10" t="str">
        <f ca="1">IFERROR(__xludf.DUMMYFUNCTION("IFERROR(JOIN("","", SPLIT(R349, "","", TRUE ,TRUE)), """")"),"")</f>
        <v/>
      </c>
      <c r="T349" s="1"/>
      <c r="V349" s="1" t="s">
        <v>203</v>
      </c>
      <c r="W349" s="12" t="str">
        <f ca="1">IFERROR(CONCATENATE("[", CONCATENATE(IF(VLOOKUP(D349,DM_fish!C:X,14, FALSE)&gt;0, CONCATENATE("{",CHAR(34),"target",CHAR(34),":",CHAR(34),VLOOKUP(D349,DM_fish!C:X,13, FALSE),CHAR(34),",", CHAR(34), "excitation",CHAR(34), ":", VLOOKUP(D349,DM_fish!C:X,14, FALSE), ",",  CHAR(34), "camera",CHAR(34), ":", IF(VALUE(VLOOKUP(D349,DM_fish!C:X,14, FALSE))&lt;VALUE(VLOOKUP(V349,imaging_filters!A:K,11, FALSE)), CONCATENATE(CHAR(34),"CamA",CHAR(34)), CONCATENATE(CHAR(34),"CamB",CHAR(34))),"}"), ""),IF(VLOOKUP(D349,DM_fish!C:X,16, FALSE)&gt;0, CONCATENATE(",{",CHAR(34),"target",CHAR(34),":",CHAR(34),VLOOKUP(D349,DM_fish!C:X,15, FALSE),CHAR(34),",", CHAR(34), "excitation",CHAR(34), ":", VLOOKUP(D349,DM_fish!C:X,16, FALSE), ",",  CHAR(34), "camera",CHAR(34), ":", IF(VALUE(VLOOKUP(D349,DM_fish!C:X,16, FALSE))&lt;VALUE(VLOOKUP(V349,imaging_filters!A:K,11, FALSE)), CONCATENATE(CHAR(34),"CamA",CHAR(34)), CONCATENATE(CHAR(34),"CamB",CHAR(34))),"}"), ""),IF(VLOOKUP(D349,DM_fish!C:X,18, FALSE)&gt;0, CONCATENATE(",{",CHAR(34),"target",CHAR(34),":",CHAR(34),VLOOKUP(D349,DM_fish!C:X,17, FALSE),CHAR(34),",", CHAR(34), "excitation",CHAR(34), ":", VLOOKUP(D349,DM_fish!C:X,18, FALSE), ",",  CHAR(34), "camera",CHAR(34), ":", IF(VALUE(VLOOKUP(D349,DM_fish!C:X,18, FALSE))&lt;VALUE(VLOOKUP(V349,imaging_filters!A:K,11, FALSE)), CONCATENATE(CHAR(34),"CamA",CHAR(34)), CONCATENATE(CHAR(34),"CamB",CHAR(34))),"}"), ""),IF(VLOOKUP(D349,DM_fish!C:X,20, FALSE)&gt;0, CONCATENATE(",{",CHAR(34),"target",CHAR(34),":",CHAR(34),VLOOKUP(D349,DM_fish!C:X,19, FALSE),CHAR(34),",", CHAR(34), "excitation",CHAR(34), ":", VLOOKUP(D349,DM_fish!C:X,20, FALSE), ",",  CHAR(34), "camera",CHAR(34), ":", IF(VALUE(VLOOKUP(D349,DM_fish!C:X,20, FALSE))&lt;VALUE(VLOOKUP(V349,imaging_filters!A:K,11, FALSE)), CONCATENATE(CHAR(34),"CamA",CHAR(34)), CONCATENATE(CHAR(34),"CamB",CHAR(34))),"}"), ""),IF(VLOOKUP(D349,DM_fish!C:X,22, FALSE)&gt;0, CONCATENATE(",{",CHAR(34),"target",CHAR(34),":",CHAR(34),VLOOKUP(D349,DM_fish!C:X,21, FALSE),CHAR(34),",", CHAR(34), "excitation",CHAR(34), ":", VLOOKUP(D349,DM_fish!C:X,22, FALSE), ",",  CHAR(34), "camera",CHAR(34), ":", IF(VALUE(VLOOKUP(D349,DM_fish!C:X,22, FALSE))&lt;VALUE(VLOOKUP(V349,imaging_filters!A:K,11, FALSE)), CONCATENATE(CHAR(34),"CamA",CHAR(34)), CONCATENATE(CHAR(34),"CamB",CHAR(34))),"}"), "")), "]"), "")</f>
        <v/>
      </c>
      <c r="X349" s="12" t="str">
        <f ca="1">IFERROR(
CONCATENATE("[", CONCATENATE(IF(VLOOKUP(C349,DM_fish!C:X,14, FALSE)&gt;0, CONCATENATE("{",CHAR(34),"target",CHAR(34),":",CHAR(34),VLOOKUP(C349,DM_fish!C:X,13, FALSE),CHAR(34),",", CHAR(34), "excitation",CHAR(34), ":", VLOOKUP(C349,DM_fish!C:X,14, FALSE), ",",  CHAR(34), "camera",CHAR(34), ":", IF(VALUE(VLOOKUP(C349,DM_fish!C:X,14, FALSE))&lt;VALUE(VLOOKUP(V349,imaging_filters!A:K,11, FALSE)), CONCATENATE(CHAR(34),"CamA",CHAR(34)), CONCATENATE(CHAR(34),"CamB",CHAR(34))),"}"), ""),IF(VLOOKUP(C349,DM_fish!C:X,16, FALSE)&gt;0, CONCATENATE(",{",CHAR(34),"target",CHAR(34),":",CHAR(34),VLOOKUP(C349,DM_fish!C:X,15, FALSE),CHAR(34),",", CHAR(34), "excitation",CHAR(34), ":", VLOOKUP(C349,DM_fish!C:X,16, FALSE), ",",  CHAR(34), "camera",CHAR(34), ":", IF(VALUE(VLOOKUP(C349,DM_fish!C:X,16, FALSE))&lt;VALUE(VLOOKUP(V349,imaging_filters!A:K,11, FALSE)), CONCATENATE(CHAR(34),"CamA",CHAR(34)), CONCATENATE(CHAR(34),"CamB",CHAR(34))),"}"), ""),IF(VLOOKUP(C349,DM_fish!C:X,18, FALSE)&gt;0, CONCATENATE(",{",CHAR(34),"target",CHAR(34),":",CHAR(34),VLOOKUP(C349,DM_fish!C:X,17, FALSE),CHAR(34),",", CHAR(34), "excitation",CHAR(34), ":", VLOOKUP(C349,DM_fish!C:X,18, FALSE), ",",  CHAR(34), "camera",CHAR(34), ":", IF(VALUE(VLOOKUP(C349,DM_fish!C:X,18, FALSE))&lt;VALUE(VLOOKUP(V349,imaging_filters!A:K,11, FALSE)), CONCATENATE(CHAR(34),"CamA",CHAR(34)), CONCATENATE(CHAR(34),"CamB",CHAR(34))),"}"), ""),IF(VLOOKUP(C349,DM_fish!C:X,20, FALSE)&gt;0, CONCATENATE(",{",CHAR(34),"target",CHAR(34),":",CHAR(34),VLOOKUP(C349,DM_fish!C:X,19, FALSE),CHAR(34),",", CHAR(34), "excitation",CHAR(34), ":", VLOOKUP(C349,DM_fish!C:X,20, FALSE), ",",  CHAR(34), "camera",CHAR(34), ":", IF(VALUE(VLOOKUP(C349,DM_fish!C:X,20, FALSE))&lt;VALUE(VLOOKUP(V349,imaging_filters!A:K,11, FALSE)), CONCATENATE(CHAR(34),"CamA",CHAR(34)), CONCATENATE(CHAR(34),"CamB",CHAR(34))),"}"), ""),IF(VLOOKUP(C349,DM_fish!C:X,22, FALSE)&gt;0, CONCATENATE(",{",CHAR(34),"target",CHAR(34),":",CHAR(34),VLOOKUP(C349,DM_fish!C:X,21, FALSE),CHAR(34),",", CHAR(34), "excitation",CHAR(34), ":", VLOOKUP(C349,DM_fish!C:X,22, FALSE), ",",  CHAR(34), "camera",CHAR(34), ":", IF(VALUE(VLOOKUP(C349,DM_fish!C:X,22, FALSE))&lt;VALUE(VLOOKUP(V349,imaging_filters!A:K,11, FALSE)), CONCATENATE(CHAR(34),"CamA",CHAR(34)), CONCATENATE(CHAR(34),"CamB",CHAR(34))),"}"), "")), "]"), "")</f>
        <v/>
      </c>
      <c r="Y349" s="11" t="str">
        <f ca="1">IFERROR(
CONCATENATE( "[",
IF(VLOOKUP(E349,Injections!B:F,3, FALSE)&gt;0, CONCATENATE( "{",CHAR(34),"target",CHAR(34),":",CHAR(34),VLOOKUP(E349,Injections!B:F,2, FALSE),CHAR(34),",", CHAR(34), "excitation",CHAR(34), ":", VLOOKUP(E349,Injections!B:F,3, FALSE), ",",  CHAR(34), "camera",CHAR(34), ":",
IF(VALUE(VLOOKUP(E349,Injections!B:F,3, FALSE))&lt;VALUE(VLOOKUP(V349,imaging_filters!A:C,2, FALSE)), CONCATENATE(CHAR(34),"CamA",CHAR(34)), CONCATENATE(CHAR(34),"CamB",CHAR(34))),"}"), ""),
IF(VLOOKUP(E349,Injections!B:F,5, FALSE)&gt;0, CONCATENATE(",{",CHAR(34),"target",CHAR(34),":",CHAR(34),VLOOKUP(E349,Injections!B:F,4, FALSE),CHAR(34),",", CHAR(34), "excitation",CHAR(34), ":", VLOOKUP(E349,Injections!B:F,5, FALSE), ",",  CHAR(34), "camera",CHAR(34), ":",
IF(VALUE(VLOOKUP(E349,Injections!B:F,5, FALSE))&lt;VALUE(VLOOKUP(V349,imaging_filters!A:C,2, FALSE)), CONCATENATE(CHAR(34),"CamA",CHAR(34)), CONCATENATE(CHAR(34),"CamB",CHAR(34))),"}"), ""),
 "]"), "[]")</f>
        <v>[]</v>
      </c>
      <c r="Z349" s="11" t="str">
        <f ca="1">IFERROR(
CONCATENATE( "[",
IF(VLOOKUP(F349,Injections!H:L,3, FALSE)&gt;0, CONCATENATE( "{",CHAR(34),"target",CHAR(34),":",CHAR(34),VLOOKUP(F349,Injections!H:L,2, FALSE),CHAR(34),",", CHAR(34), "excitation",CHAR(34), ":", VLOOKUP(F349,Injections!H:L,3, FALSE), ",",  CHAR(34), "camera",CHAR(34), ":",
IF(VALUE(VLOOKUP(F349,Injections!H:L,3, FALSE))&lt;VALUE(VLOOKUP(V349,imaging_filters!A:K,11, FALSE)), CONCATENATE(CHAR(34),"CamA",CHAR(34)), CONCATENATE(CHAR(34),"CamB",CHAR(34))),"}"), ""),
IF(VLOOKUP(F349,Injections!H:L,5, FALSE)&gt;0, CONCATENATE(",{",CHAR(34),"target",CHAR(34),":",CHAR(34),VLOOKUP(F349,Injections!H:L,4, FALSE),CHAR(34),",", CHAR(34), "excitation",CHAR(34), ":", VLOOKUP(F349,Injections!H:L,5, FALSE), ",",  CHAR(34), "camera",CHAR(34), ":",
IF(VALUE(VLOOKUP(F349,Injections!H:L,5, FALSE))&lt;VALUE(VLOOKUP(V349,imaging_filters!A:K,11, FALSE)), CONCATENATE(CHAR(34),"CamA",CHAR(34)), CONCATENATE(CHAR(34),"CamB",CHAR(34))),"}"), ""),
 "]"), "[]")</f>
        <v>[]</v>
      </c>
      <c r="AA349" s="11"/>
    </row>
    <row r="350" spans="1:27" ht="15.75" customHeight="1" x14ac:dyDescent="0.15">
      <c r="A350" s="7">
        <f t="shared" si="10"/>
        <v>0</v>
      </c>
      <c r="G350" s="8"/>
      <c r="H350" s="8"/>
      <c r="I350" s="8"/>
      <c r="J350" s="1" t="s">
        <v>669</v>
      </c>
      <c r="K350" s="1" t="s">
        <v>564</v>
      </c>
      <c r="M350" s="8"/>
      <c r="R350" s="10" t="str">
        <f ca="1">IFERROR(__xludf.DUMMYFUNCTION("JOIN("","", SORT(UNIQUE(TOCOL({VLOOKUP(D350,DM_fish!A:B,2,FALSE),VLOOKUP(C350,DM_fish!A:B,2,FALSE), ARRAYFORMULA(VLOOKUP(SPLIT(E350, "", ""),Injections!B:G,6,FALSE)), ARRAYFORMULA(VLOOKUP(SPLIT(F350, "", ""),Injections!H:M,6,FALSE)), ARRAYFORMULA(VLOOKUP("&amp;"SPLIT(G350, "", ""),Injections!N:S,6,FALSE)), ARRAYFORMULA(VLOOKUP(SPLIT(H350, "", ""),Injections!T:Y,6,FALSE)) },3))))"),"")</f>
        <v/>
      </c>
      <c r="S350" s="10" t="str">
        <f ca="1">IFERROR(__xludf.DUMMYFUNCTION("IFERROR(JOIN("","", SPLIT(R350, "","", TRUE ,TRUE)), """")"),"")</f>
        <v/>
      </c>
      <c r="T350" s="1"/>
      <c r="V350" s="1" t="s">
        <v>203</v>
      </c>
      <c r="W350" s="12" t="str">
        <f ca="1">IFERROR(CONCATENATE("[", CONCATENATE(IF(VLOOKUP(D350,DM_fish!C:X,14, FALSE)&gt;0, CONCATENATE("{",CHAR(34),"target",CHAR(34),":",CHAR(34),VLOOKUP(D350,DM_fish!C:X,13, FALSE),CHAR(34),",", CHAR(34), "excitation",CHAR(34), ":", VLOOKUP(D350,DM_fish!C:X,14, FALSE), ",",  CHAR(34), "camera",CHAR(34), ":", IF(VALUE(VLOOKUP(D350,DM_fish!C:X,14, FALSE))&lt;VALUE(VLOOKUP(V350,imaging_filters!A:K,11, FALSE)), CONCATENATE(CHAR(34),"CamA",CHAR(34)), CONCATENATE(CHAR(34),"CamB",CHAR(34))),"}"), ""),IF(VLOOKUP(D350,DM_fish!C:X,16, FALSE)&gt;0, CONCATENATE(",{",CHAR(34),"target",CHAR(34),":",CHAR(34),VLOOKUP(D350,DM_fish!C:X,15, FALSE),CHAR(34),",", CHAR(34), "excitation",CHAR(34), ":", VLOOKUP(D350,DM_fish!C:X,16, FALSE), ",",  CHAR(34), "camera",CHAR(34), ":", IF(VALUE(VLOOKUP(D350,DM_fish!C:X,16, FALSE))&lt;VALUE(VLOOKUP(V350,imaging_filters!A:K,11, FALSE)), CONCATENATE(CHAR(34),"CamA",CHAR(34)), CONCATENATE(CHAR(34),"CamB",CHAR(34))),"}"), ""),IF(VLOOKUP(D350,DM_fish!C:X,18, FALSE)&gt;0, CONCATENATE(",{",CHAR(34),"target",CHAR(34),":",CHAR(34),VLOOKUP(D350,DM_fish!C:X,17, FALSE),CHAR(34),",", CHAR(34), "excitation",CHAR(34), ":", VLOOKUP(D350,DM_fish!C:X,18, FALSE), ",",  CHAR(34), "camera",CHAR(34), ":", IF(VALUE(VLOOKUP(D350,DM_fish!C:X,18, FALSE))&lt;VALUE(VLOOKUP(V350,imaging_filters!A:K,11, FALSE)), CONCATENATE(CHAR(34),"CamA",CHAR(34)), CONCATENATE(CHAR(34),"CamB",CHAR(34))),"}"), ""),IF(VLOOKUP(D350,DM_fish!C:X,20, FALSE)&gt;0, CONCATENATE(",{",CHAR(34),"target",CHAR(34),":",CHAR(34),VLOOKUP(D350,DM_fish!C:X,19, FALSE),CHAR(34),",", CHAR(34), "excitation",CHAR(34), ":", VLOOKUP(D350,DM_fish!C:X,20, FALSE), ",",  CHAR(34), "camera",CHAR(34), ":", IF(VALUE(VLOOKUP(D350,DM_fish!C:X,20, FALSE))&lt;VALUE(VLOOKUP(V350,imaging_filters!A:K,11, FALSE)), CONCATENATE(CHAR(34),"CamA",CHAR(34)), CONCATENATE(CHAR(34),"CamB",CHAR(34))),"}"), ""),IF(VLOOKUP(D350,DM_fish!C:X,22, FALSE)&gt;0, CONCATENATE(",{",CHAR(34),"target",CHAR(34),":",CHAR(34),VLOOKUP(D350,DM_fish!C:X,21, FALSE),CHAR(34),",", CHAR(34), "excitation",CHAR(34), ":", VLOOKUP(D350,DM_fish!C:X,22, FALSE), ",",  CHAR(34), "camera",CHAR(34), ":", IF(VALUE(VLOOKUP(D350,DM_fish!C:X,22, FALSE))&lt;VALUE(VLOOKUP(V350,imaging_filters!A:K,11, FALSE)), CONCATENATE(CHAR(34),"CamA",CHAR(34)), CONCATENATE(CHAR(34),"CamB",CHAR(34))),"}"), "")), "]"), "")</f>
        <v/>
      </c>
      <c r="X350" s="12" t="str">
        <f ca="1">IFERROR(
CONCATENATE("[", CONCATENATE(IF(VLOOKUP(C350,DM_fish!C:X,14, FALSE)&gt;0, CONCATENATE("{",CHAR(34),"target",CHAR(34),":",CHAR(34),VLOOKUP(C350,DM_fish!C:X,13, FALSE),CHAR(34),",", CHAR(34), "excitation",CHAR(34), ":", VLOOKUP(C350,DM_fish!C:X,14, FALSE), ",",  CHAR(34), "camera",CHAR(34), ":", IF(VALUE(VLOOKUP(C350,DM_fish!C:X,14, FALSE))&lt;VALUE(VLOOKUP(V350,imaging_filters!A:K,11, FALSE)), CONCATENATE(CHAR(34),"CamA",CHAR(34)), CONCATENATE(CHAR(34),"CamB",CHAR(34))),"}"), ""),IF(VLOOKUP(C350,DM_fish!C:X,16, FALSE)&gt;0, CONCATENATE(",{",CHAR(34),"target",CHAR(34),":",CHAR(34),VLOOKUP(C350,DM_fish!C:X,15, FALSE),CHAR(34),",", CHAR(34), "excitation",CHAR(34), ":", VLOOKUP(C350,DM_fish!C:X,16, FALSE), ",",  CHAR(34), "camera",CHAR(34), ":", IF(VALUE(VLOOKUP(C350,DM_fish!C:X,16, FALSE))&lt;VALUE(VLOOKUP(V350,imaging_filters!A:K,11, FALSE)), CONCATENATE(CHAR(34),"CamA",CHAR(34)), CONCATENATE(CHAR(34),"CamB",CHAR(34))),"}"), ""),IF(VLOOKUP(C350,DM_fish!C:X,18, FALSE)&gt;0, CONCATENATE(",{",CHAR(34),"target",CHAR(34),":",CHAR(34),VLOOKUP(C350,DM_fish!C:X,17, FALSE),CHAR(34),",", CHAR(34), "excitation",CHAR(34), ":", VLOOKUP(C350,DM_fish!C:X,18, FALSE), ",",  CHAR(34), "camera",CHAR(34), ":", IF(VALUE(VLOOKUP(C350,DM_fish!C:X,18, FALSE))&lt;VALUE(VLOOKUP(V350,imaging_filters!A:K,11, FALSE)), CONCATENATE(CHAR(34),"CamA",CHAR(34)), CONCATENATE(CHAR(34),"CamB",CHAR(34))),"}"), ""),IF(VLOOKUP(C350,DM_fish!C:X,20, FALSE)&gt;0, CONCATENATE(",{",CHAR(34),"target",CHAR(34),":",CHAR(34),VLOOKUP(C350,DM_fish!C:X,19, FALSE),CHAR(34),",", CHAR(34), "excitation",CHAR(34), ":", VLOOKUP(C350,DM_fish!C:X,20, FALSE), ",",  CHAR(34), "camera",CHAR(34), ":", IF(VALUE(VLOOKUP(C350,DM_fish!C:X,20, FALSE))&lt;VALUE(VLOOKUP(V350,imaging_filters!A:K,11, FALSE)), CONCATENATE(CHAR(34),"CamA",CHAR(34)), CONCATENATE(CHAR(34),"CamB",CHAR(34))),"}"), ""),IF(VLOOKUP(C350,DM_fish!C:X,22, FALSE)&gt;0, CONCATENATE(",{",CHAR(34),"target",CHAR(34),":",CHAR(34),VLOOKUP(C350,DM_fish!C:X,21, FALSE),CHAR(34),",", CHAR(34), "excitation",CHAR(34), ":", VLOOKUP(C350,DM_fish!C:X,22, FALSE), ",",  CHAR(34), "camera",CHAR(34), ":", IF(VALUE(VLOOKUP(C350,DM_fish!C:X,22, FALSE))&lt;VALUE(VLOOKUP(V350,imaging_filters!A:K,11, FALSE)), CONCATENATE(CHAR(34),"CamA",CHAR(34)), CONCATENATE(CHAR(34),"CamB",CHAR(34))),"}"), "")), "]"), "")</f>
        <v/>
      </c>
      <c r="Y350" s="11" t="str">
        <f ca="1">IFERROR(
CONCATENATE( "[",
IF(VLOOKUP(E350,Injections!B:F,3, FALSE)&gt;0, CONCATENATE( "{",CHAR(34),"target",CHAR(34),":",CHAR(34),VLOOKUP(E350,Injections!B:F,2, FALSE),CHAR(34),",", CHAR(34), "excitation",CHAR(34), ":", VLOOKUP(E350,Injections!B:F,3, FALSE), ",",  CHAR(34), "camera",CHAR(34), ":",
IF(VALUE(VLOOKUP(E350,Injections!B:F,3, FALSE))&lt;VALUE(VLOOKUP(V350,imaging_filters!A:C,2, FALSE)), CONCATENATE(CHAR(34),"CamA",CHAR(34)), CONCATENATE(CHAR(34),"CamB",CHAR(34))),"}"), ""),
IF(VLOOKUP(E350,Injections!B:F,5, FALSE)&gt;0, CONCATENATE(",{",CHAR(34),"target",CHAR(34),":",CHAR(34),VLOOKUP(E350,Injections!B:F,4, FALSE),CHAR(34),",", CHAR(34), "excitation",CHAR(34), ":", VLOOKUP(E350,Injections!B:F,5, FALSE), ",",  CHAR(34), "camera",CHAR(34), ":",
IF(VALUE(VLOOKUP(E350,Injections!B:F,5, FALSE))&lt;VALUE(VLOOKUP(V350,imaging_filters!A:C,2, FALSE)), CONCATENATE(CHAR(34),"CamA",CHAR(34)), CONCATENATE(CHAR(34),"CamB",CHAR(34))),"}"), ""),
 "]"), "[]")</f>
        <v>[]</v>
      </c>
      <c r="Z350" s="11" t="str">
        <f ca="1">IFERROR(
CONCATENATE( "[",
IF(VLOOKUP(F350,Injections!H:L,3, FALSE)&gt;0, CONCATENATE( "{",CHAR(34),"target",CHAR(34),":",CHAR(34),VLOOKUP(F350,Injections!H:L,2, FALSE),CHAR(34),",", CHAR(34), "excitation",CHAR(34), ":", VLOOKUP(F350,Injections!H:L,3, FALSE), ",",  CHAR(34), "camera",CHAR(34), ":",
IF(VALUE(VLOOKUP(F350,Injections!H:L,3, FALSE))&lt;VALUE(VLOOKUP(V350,imaging_filters!A:K,11, FALSE)), CONCATENATE(CHAR(34),"CamA",CHAR(34)), CONCATENATE(CHAR(34),"CamB",CHAR(34))),"}"), ""),
IF(VLOOKUP(F350,Injections!H:L,5, FALSE)&gt;0, CONCATENATE(",{",CHAR(34),"target",CHAR(34),":",CHAR(34),VLOOKUP(F350,Injections!H:L,4, FALSE),CHAR(34),",", CHAR(34), "excitation",CHAR(34), ":", VLOOKUP(F350,Injections!H:L,5, FALSE), ",",  CHAR(34), "camera",CHAR(34), ":",
IF(VALUE(VLOOKUP(F350,Injections!H:L,5, FALSE))&lt;VALUE(VLOOKUP(V350,imaging_filters!A:K,11, FALSE)), CONCATENATE(CHAR(34),"CamA",CHAR(34)), CONCATENATE(CHAR(34),"CamB",CHAR(34))),"}"), ""),
 "]"), "[]")</f>
        <v>[]</v>
      </c>
      <c r="AA350" s="11"/>
    </row>
    <row r="351" spans="1:27" ht="15.75" customHeight="1" x14ac:dyDescent="0.15">
      <c r="A351" s="7">
        <f t="shared" si="10"/>
        <v>0</v>
      </c>
      <c r="B351" s="1"/>
      <c r="C351" s="1" t="s">
        <v>253</v>
      </c>
      <c r="D351" s="1" t="s">
        <v>164</v>
      </c>
      <c r="F351" s="1" t="s">
        <v>595</v>
      </c>
      <c r="G351" s="8"/>
      <c r="H351" s="8"/>
      <c r="I351" s="8"/>
      <c r="M351" s="8"/>
      <c r="R351" s="10" t="str">
        <f ca="1">IFERROR(__xludf.DUMMYFUNCTION("JOIN("","", SORT(UNIQUE(TOCOL({VLOOKUP(D351,DM_fish!A:B,2,FALSE),VLOOKUP(C351,DM_fish!A:B,2,FALSE), ARRAYFORMULA(VLOOKUP(SPLIT(E351, "", ""),Injections!B:G,6,FALSE)), ARRAYFORMULA(VLOOKUP(SPLIT(F351, "", ""),Injections!H:M,6,FALSE)), ARRAYFORMULA(VLOOKUP("&amp;"SPLIT(G351, "", ""),Injections!N:S,6,FALSE)), ARRAYFORMULA(VLOOKUP(SPLIT(H351, "", ""),Injections!T:Y,6,FALSE)) },3))))"),",csp,male #5 25%+ positive rate - currently best founder (but 2 alleles, one dim one bright(er)?,405,445")</f>
        <v>,csp,male #5 25%+ positive rate - currently best founder (but 2 alleles, one dim one bright(er)?,405,445</v>
      </c>
      <c r="S351" s="10" t="str">
        <f ca="1">IFERROR(__xludf.DUMMYFUNCTION("IFERROR(JOIN("","", SPLIT(R351, "","", TRUE ,TRUE)), """")"),"csp,male #5 25%+ positive rate - currently best founder (but 2 alleles, one dim one bright(er)?,405,445")</f>
        <v>csp,male #5 25%+ positive rate - currently best founder (but 2 alleles, one dim one bright(er)?,405,445</v>
      </c>
      <c r="T351" s="1"/>
      <c r="V351" s="1" t="s">
        <v>280</v>
      </c>
      <c r="W351" s="12" t="str">
        <f ca="1">IFERROR(CONCATENATE("[", CONCATENATE(IF(VLOOKUP(D351,DM_fish!C:X,14, FALSE)&gt;0, CONCATENATE("{",CHAR(34),"target",CHAR(34),":",CHAR(34),VLOOKUP(D351,DM_fish!C:X,13, FALSE),CHAR(34),",", CHAR(34), "excitation",CHAR(34), ":", VLOOKUP(D351,DM_fish!C:X,14, FALSE), ",",  CHAR(34), "camera",CHAR(34), ":", IF(VALUE(VLOOKUP(D351,DM_fish!C:X,14, FALSE))&lt;VALUE(VLOOKUP(V351,imaging_filters!A:K,11, FALSE)), CONCATENATE(CHAR(34),"CamA",CHAR(34)), CONCATENATE(CHAR(34),"CamB",CHAR(34))),"}"), ""),IF(VLOOKUP(D351,DM_fish!C:X,16, FALSE)&gt;0, CONCATENATE(",{",CHAR(34),"target",CHAR(34),":",CHAR(34),VLOOKUP(D351,DM_fish!C:X,15, FALSE),CHAR(34),",", CHAR(34), "excitation",CHAR(34), ":", VLOOKUP(D351,DM_fish!C:X,16, FALSE), ",",  CHAR(34), "camera",CHAR(34), ":", IF(VALUE(VLOOKUP(D351,DM_fish!C:X,16, FALSE))&lt;VALUE(VLOOKUP(V351,imaging_filters!A:K,11, FALSE)), CONCATENATE(CHAR(34),"CamA",CHAR(34)), CONCATENATE(CHAR(34),"CamB",CHAR(34))),"}"), ""),IF(VLOOKUP(D351,DM_fish!C:X,18, FALSE)&gt;0, CONCATENATE(",{",CHAR(34),"target",CHAR(34),":",CHAR(34),VLOOKUP(D351,DM_fish!C:X,17, FALSE),CHAR(34),",", CHAR(34), "excitation",CHAR(34), ":", VLOOKUP(D351,DM_fish!C:X,18, FALSE), ",",  CHAR(34), "camera",CHAR(34), ":", IF(VALUE(VLOOKUP(D351,DM_fish!C:X,18, FALSE))&lt;VALUE(VLOOKUP(V351,imaging_filters!A:K,11, FALSE)), CONCATENATE(CHAR(34),"CamA",CHAR(34)), CONCATENATE(CHAR(34),"CamB",CHAR(34))),"}"), ""),IF(VLOOKUP(D351,DM_fish!C:X,20, FALSE)&gt;0, CONCATENATE(",{",CHAR(34),"target",CHAR(34),":",CHAR(34),VLOOKUP(D351,DM_fish!C:X,19, FALSE),CHAR(34),",", CHAR(34), "excitation",CHAR(34), ":", VLOOKUP(D351,DM_fish!C:X,20, FALSE), ",",  CHAR(34), "camera",CHAR(34), ":", IF(VALUE(VLOOKUP(D351,DM_fish!C:X,20, FALSE))&lt;VALUE(VLOOKUP(V351,imaging_filters!A:K,11, FALSE)), CONCATENATE(CHAR(34),"CamA",CHAR(34)), CONCATENATE(CHAR(34),"CamB",CHAR(34))),"}"), ""),IF(VLOOKUP(D351,DM_fish!C:X,22, FALSE)&gt;0, CONCATENATE(",{",CHAR(34),"target",CHAR(34),":",CHAR(34),VLOOKUP(D351,DM_fish!C:X,21, FALSE),CHAR(34),",", CHAR(34), "excitation",CHAR(34), ":", VLOOKUP(D351,DM_fish!C:X,22, FALSE), ",",  CHAR(34), "camera",CHAR(34), ":", IF(VALUE(VLOOKUP(D351,DM_fish!C:X,22, FALSE))&lt;VALUE(VLOOKUP(V351,imaging_filters!A:K,11, FALSE)), CONCATENATE(CHAR(34),"CamA",CHAR(34)), CONCATENATE(CHAR(34),"CamB",CHAR(34))),"}"), "")), "]"), "")</f>
        <v/>
      </c>
      <c r="X351" s="12" t="str">
        <f ca="1">IFERROR(
CONCATENATE("[", CONCATENATE(IF(VLOOKUP(C351,DM_fish!C:X,14, FALSE)&gt;0, CONCATENATE("{",CHAR(34),"target",CHAR(34),":",CHAR(34),VLOOKUP(C351,DM_fish!C:X,13, FALSE),CHAR(34),",", CHAR(34), "excitation",CHAR(34), ":", VLOOKUP(C351,DM_fish!C:X,14, FALSE), ",",  CHAR(34), "camera",CHAR(34), ":", IF(VALUE(VLOOKUP(C351,DM_fish!C:X,14, FALSE))&lt;VALUE(VLOOKUP(V351,imaging_filters!A:K,11, FALSE)), CONCATENATE(CHAR(34),"CamA",CHAR(34)), CONCATENATE(CHAR(34),"CamB",CHAR(34))),"}"), ""),IF(VLOOKUP(C351,DM_fish!C:X,16, FALSE)&gt;0, CONCATENATE(",{",CHAR(34),"target",CHAR(34),":",CHAR(34),VLOOKUP(C351,DM_fish!C:X,15, FALSE),CHAR(34),",", CHAR(34), "excitation",CHAR(34), ":", VLOOKUP(C351,DM_fish!C:X,16, FALSE), ",",  CHAR(34), "camera",CHAR(34), ":", IF(VALUE(VLOOKUP(C351,DM_fish!C:X,16, FALSE))&lt;VALUE(VLOOKUP(V351,imaging_filters!A:K,11, FALSE)), CONCATENATE(CHAR(34),"CamA",CHAR(34)), CONCATENATE(CHAR(34),"CamB",CHAR(34))),"}"), ""),IF(VLOOKUP(C351,DM_fish!C:X,18, FALSE)&gt;0, CONCATENATE(",{",CHAR(34),"target",CHAR(34),":",CHAR(34),VLOOKUP(C351,DM_fish!C:X,17, FALSE),CHAR(34),",", CHAR(34), "excitation",CHAR(34), ":", VLOOKUP(C351,DM_fish!C:X,18, FALSE), ",",  CHAR(34), "camera",CHAR(34), ":", IF(VALUE(VLOOKUP(C351,DM_fish!C:X,18, FALSE))&lt;VALUE(VLOOKUP(V351,imaging_filters!A:K,11, FALSE)), CONCATENATE(CHAR(34),"CamA",CHAR(34)), CONCATENATE(CHAR(34),"CamB",CHAR(34))),"}"), ""),IF(VLOOKUP(C351,DM_fish!C:X,20, FALSE)&gt;0, CONCATENATE(",{",CHAR(34),"target",CHAR(34),":",CHAR(34),VLOOKUP(C351,DM_fish!C:X,19, FALSE),CHAR(34),",", CHAR(34), "excitation",CHAR(34), ":", VLOOKUP(C351,DM_fish!C:X,20, FALSE), ",",  CHAR(34), "camera",CHAR(34), ":", IF(VALUE(VLOOKUP(C351,DM_fish!C:X,20, FALSE))&lt;VALUE(VLOOKUP(V351,imaging_filters!A:K,11, FALSE)), CONCATENATE(CHAR(34),"CamA",CHAR(34)), CONCATENATE(CHAR(34),"CamB",CHAR(34))),"}"), ""),IF(VLOOKUP(C351,DM_fish!C:X,22, FALSE)&gt;0, CONCATENATE(",{",CHAR(34),"target",CHAR(34),":",CHAR(34),VLOOKUP(C351,DM_fish!C:X,21, FALSE),CHAR(34),",", CHAR(34), "excitation",CHAR(34), ":", VLOOKUP(C351,DM_fish!C:X,22, FALSE), ",",  CHAR(34), "camera",CHAR(34), ":", IF(VALUE(VLOOKUP(C351,DM_fish!C:X,22, FALSE))&lt;VALUE(VLOOKUP(V351,imaging_filters!A:K,11, FALSE)), CONCATENATE(CHAR(34),"CamA",CHAR(34)), CONCATENATE(CHAR(34),"CamB",CHAR(34))),"}"), "")), "]"), "")</f>
        <v/>
      </c>
      <c r="Y351" s="11" t="str">
        <f ca="1">IFERROR(
CONCATENATE( "[",
IF(VLOOKUP(E351,Injections!B:F,3, FALSE)&gt;0, CONCATENATE( "{",CHAR(34),"target",CHAR(34),":",CHAR(34),VLOOKUP(E351,Injections!B:F,2, FALSE),CHAR(34),",", CHAR(34), "excitation",CHAR(34), ":", VLOOKUP(E351,Injections!B:F,3, FALSE), ",",  CHAR(34), "camera",CHAR(34), ":",
IF(VALUE(VLOOKUP(E351,Injections!B:F,3, FALSE))&lt;VALUE(VLOOKUP(V351,imaging_filters!A:C,2, FALSE)), CONCATENATE(CHAR(34),"CamA",CHAR(34)), CONCATENATE(CHAR(34),"CamB",CHAR(34))),"}"), ""),
IF(VLOOKUP(E351,Injections!B:F,5, FALSE)&gt;0, CONCATENATE(",{",CHAR(34),"target",CHAR(34),":",CHAR(34),VLOOKUP(E351,Injections!B:F,4, FALSE),CHAR(34),",", CHAR(34), "excitation",CHAR(34), ":", VLOOKUP(E351,Injections!B:F,5, FALSE), ",",  CHAR(34), "camera",CHAR(34), ":",
IF(VALUE(VLOOKUP(E351,Injections!B:F,5, FALSE))&lt;VALUE(VLOOKUP(V351,imaging_filters!A:C,2, FALSE)), CONCATENATE(CHAR(34),"CamA",CHAR(34)), CONCATENATE(CHAR(34),"CamB",CHAR(34))),"}"), ""),
 "]"), "[]")</f>
        <v>[]</v>
      </c>
      <c r="Z351" s="11" t="str">
        <f ca="1">IFERROR(
CONCATENATE( "[",
IF(VLOOKUP(F351,Injections!H:L,3, FALSE)&gt;0, CONCATENATE( "{",CHAR(34),"target",CHAR(34),":",CHAR(34),VLOOKUP(F351,Injections!H:L,2, FALSE),CHAR(34),",", CHAR(34), "excitation",CHAR(34), ":", VLOOKUP(F351,Injections!H:L,3, FALSE), ",",  CHAR(34), "camera",CHAR(34), ":",
IF(VALUE(VLOOKUP(F351,Injections!H:L,3, FALSE))&lt;VALUE(VLOOKUP(V351,imaging_filters!A:K,11, FALSE)), CONCATENATE(CHAR(34),"CamA",CHAR(34)), CONCATENATE(CHAR(34),"CamB",CHAR(34))),"}"), ""),
IF(VLOOKUP(F351,Injections!H:L,5, FALSE)&gt;0, CONCATENATE(",{",CHAR(34),"target",CHAR(34),":",CHAR(34),VLOOKUP(F351,Injections!H:L,4, FALSE),CHAR(34),",", CHAR(34), "excitation",CHAR(34), ":", VLOOKUP(F351,Injections!H:L,5, FALSE), ",",  CHAR(34), "camera",CHAR(34), ":",
IF(VALUE(VLOOKUP(F351,Injections!H:L,5, FALSE))&lt;VALUE(VLOOKUP(V351,imaging_filters!A:K,11, FALSE)), CONCATENATE(CHAR(34),"CamA",CHAR(34)), CONCATENATE(CHAR(34),"CamB",CHAR(34))),"}"), ""),
 "]"), "[]")</f>
        <v>[]</v>
      </c>
      <c r="AA351" s="11" t="s">
        <v>670</v>
      </c>
    </row>
    <row r="352" spans="1:27" ht="13" x14ac:dyDescent="0.15">
      <c r="A352" s="7">
        <f t="shared" si="10"/>
        <v>0</v>
      </c>
      <c r="G352" s="8"/>
      <c r="H352" s="8"/>
      <c r="I352" s="8"/>
      <c r="K352" s="1"/>
      <c r="M352" s="8"/>
      <c r="R352" s="10" t="str">
        <f ca="1">IFERROR(__xludf.DUMMYFUNCTION("JOIN("","", SORT(UNIQUE(TOCOL({VLOOKUP(D352,DM_fish!A:B,2,FALSE),VLOOKUP(C352,DM_fish!A:B,2,FALSE), ARRAYFORMULA(VLOOKUP(SPLIT(E352, "", ""),Injections!B:G,6,FALSE)), ARRAYFORMULA(VLOOKUP(SPLIT(F352, "", ""),Injections!H:M,6,FALSE)), ARRAYFORMULA(VLOOKUP("&amp;"SPLIT(G352, "", ""),Injections!N:S,6,FALSE)), ARRAYFORMULA(VLOOKUP(SPLIT(H352, "", ""),Injections!T:Y,6,FALSE)) },3))))"),"")</f>
        <v/>
      </c>
      <c r="S352" s="10"/>
      <c r="T352" s="1"/>
      <c r="V352" s="11"/>
      <c r="W352" s="12"/>
      <c r="X352" s="12"/>
      <c r="Y352" s="11"/>
      <c r="Z352" s="11"/>
      <c r="AA352" s="11"/>
    </row>
    <row r="353" spans="1:27" ht="13" x14ac:dyDescent="0.15">
      <c r="A353" s="7">
        <f t="shared" si="10"/>
        <v>0</v>
      </c>
      <c r="G353" s="8"/>
      <c r="H353" s="8"/>
      <c r="I353" s="8"/>
      <c r="K353" s="1"/>
      <c r="M353" s="8"/>
      <c r="R353" s="10" t="str">
        <f ca="1">IFERROR(__xludf.DUMMYFUNCTION("JOIN("","", SORT(UNIQUE(TOCOL({VLOOKUP(D353,DM_fish!A:B,2,FALSE),VLOOKUP(C353,DM_fish!A:B,2,FALSE), ARRAYFORMULA(VLOOKUP(SPLIT(E353, "", ""),Injections!B:G,6,FALSE)), ARRAYFORMULA(VLOOKUP(SPLIT(F353, "", ""),Injections!H:M,6,FALSE)), ARRAYFORMULA(VLOOKUP("&amp;"SPLIT(G353, "", ""),Injections!N:S,6,FALSE)), ARRAYFORMULA(VLOOKUP(SPLIT(H353, "", ""),Injections!T:Y,6,FALSE)) },3))))"),"")</f>
        <v/>
      </c>
      <c r="S353" s="10"/>
      <c r="T353" s="1"/>
      <c r="V353" s="11"/>
      <c r="W353" s="12"/>
      <c r="X353" s="12"/>
      <c r="Y353" s="11"/>
      <c r="Z353" s="11"/>
      <c r="AA353" s="11"/>
    </row>
    <row r="354" spans="1:27" ht="13" x14ac:dyDescent="0.15">
      <c r="A354" s="7">
        <f t="shared" si="10"/>
        <v>0</v>
      </c>
      <c r="G354" s="8"/>
      <c r="H354" s="8"/>
      <c r="I354" s="8"/>
      <c r="K354" s="1"/>
      <c r="M354" s="8"/>
      <c r="R354" s="10" t="str">
        <f ca="1">IFERROR(__xludf.DUMMYFUNCTION("JOIN("","", SORT(UNIQUE(TOCOL({VLOOKUP(D354,DM_fish!A:B,2,FALSE),VLOOKUP(C354,DM_fish!A:B,2,FALSE), ARRAYFORMULA(VLOOKUP(SPLIT(E354, "", ""),Injections!B:G,6,FALSE)), ARRAYFORMULA(VLOOKUP(SPLIT(F354, "", ""),Injections!H:M,6,FALSE)), ARRAYFORMULA(VLOOKUP("&amp;"SPLIT(G354, "", ""),Injections!N:S,6,FALSE)), ARRAYFORMULA(VLOOKUP(SPLIT(H354, "", ""),Injections!T:Y,6,FALSE)) },3))))"),"")</f>
        <v/>
      </c>
      <c r="S354" s="10"/>
      <c r="T354" s="1"/>
      <c r="V354" s="11"/>
      <c r="W354" s="12"/>
      <c r="X354" s="12"/>
      <c r="Y354" s="11"/>
      <c r="Z354" s="11"/>
      <c r="AA354" s="11"/>
    </row>
    <row r="355" spans="1:27" ht="13" x14ac:dyDescent="0.15">
      <c r="A355" s="7">
        <f t="shared" si="10"/>
        <v>0</v>
      </c>
      <c r="G355" s="8"/>
      <c r="H355" s="8"/>
      <c r="I355" s="8"/>
      <c r="K355" s="1"/>
      <c r="M355" s="8"/>
      <c r="R355" s="10" t="str">
        <f ca="1">IFERROR(__xludf.DUMMYFUNCTION("JOIN("","", SORT(UNIQUE(TOCOL({VLOOKUP(D355,DM_fish!A:B,2,FALSE),VLOOKUP(C355,DM_fish!A:B,2,FALSE), ARRAYFORMULA(VLOOKUP(SPLIT(E355, "", ""),Injections!B:G,6,FALSE)), ARRAYFORMULA(VLOOKUP(SPLIT(F355, "", ""),Injections!H:M,6,FALSE)), ARRAYFORMULA(VLOOKUP("&amp;"SPLIT(G355, "", ""),Injections!N:S,6,FALSE)), ARRAYFORMULA(VLOOKUP(SPLIT(H355, "", ""),Injections!T:Y,6,FALSE)) },3))))"),"")</f>
        <v/>
      </c>
      <c r="S355" s="10"/>
      <c r="T355" s="1"/>
      <c r="V355" s="11"/>
      <c r="W355" s="12"/>
      <c r="X355" s="12"/>
      <c r="Y355" s="11"/>
      <c r="Z355" s="11"/>
      <c r="AA355" s="11"/>
    </row>
    <row r="356" spans="1:27" ht="13" x14ac:dyDescent="0.15">
      <c r="A356" s="7">
        <f t="shared" si="10"/>
        <v>0</v>
      </c>
      <c r="G356" s="8"/>
      <c r="H356" s="8"/>
      <c r="I356" s="8"/>
      <c r="K356" s="1"/>
      <c r="M356" s="8"/>
      <c r="R356" s="10" t="str">
        <f ca="1">IFERROR(__xludf.DUMMYFUNCTION("JOIN("","", SORT(UNIQUE(TOCOL({VLOOKUP(D356,DM_fish!A:B,2,FALSE),VLOOKUP(C356,DM_fish!A:B,2,FALSE), ARRAYFORMULA(VLOOKUP(SPLIT(E356, "", ""),Injections!B:G,6,FALSE)), ARRAYFORMULA(VLOOKUP(SPLIT(F356, "", ""),Injections!H:M,6,FALSE)), ARRAYFORMULA(VLOOKUP("&amp;"SPLIT(G356, "", ""),Injections!N:S,6,FALSE)), ARRAYFORMULA(VLOOKUP(SPLIT(H356, "", ""),Injections!T:Y,6,FALSE)) },3))))"),"")</f>
        <v/>
      </c>
      <c r="S356" s="10"/>
      <c r="T356" s="1"/>
      <c r="V356" s="11"/>
      <c r="W356" s="12"/>
      <c r="X356" s="12"/>
      <c r="Y356" s="11"/>
      <c r="Z356" s="11"/>
      <c r="AA356" s="11"/>
    </row>
    <row r="357" spans="1:27" ht="13" x14ac:dyDescent="0.15">
      <c r="A357" s="7">
        <f t="shared" si="10"/>
        <v>0</v>
      </c>
      <c r="G357" s="8"/>
      <c r="H357" s="8"/>
      <c r="I357" s="8"/>
      <c r="K357" s="1"/>
      <c r="M357" s="8"/>
      <c r="R357" s="10" t="str">
        <f ca="1">IFERROR(__xludf.DUMMYFUNCTION("JOIN("","", SORT(UNIQUE(TOCOL({VLOOKUP(D357,DM_fish!A:B,2,FALSE),VLOOKUP(C357,DM_fish!A:B,2,FALSE), ARRAYFORMULA(VLOOKUP(SPLIT(E357, "", ""),Injections!B:G,6,FALSE)), ARRAYFORMULA(VLOOKUP(SPLIT(F357, "", ""),Injections!H:M,6,FALSE)), ARRAYFORMULA(VLOOKUP("&amp;"SPLIT(G357, "", ""),Injections!N:S,6,FALSE)), ARRAYFORMULA(VLOOKUP(SPLIT(H357, "", ""),Injections!T:Y,6,FALSE)) },3))))"),"")</f>
        <v/>
      </c>
      <c r="S357" s="10"/>
      <c r="T357" s="1"/>
      <c r="V357" s="11"/>
      <c r="W357" s="12"/>
      <c r="X357" s="12"/>
      <c r="Y357" s="11"/>
      <c r="Z357" s="11"/>
      <c r="AA357" s="11"/>
    </row>
    <row r="358" spans="1:27" ht="13" x14ac:dyDescent="0.15">
      <c r="A358" s="7">
        <f t="shared" si="10"/>
        <v>0</v>
      </c>
      <c r="G358" s="8"/>
      <c r="H358" s="8"/>
      <c r="I358" s="8"/>
      <c r="K358" s="1"/>
      <c r="M358" s="8"/>
      <c r="R358" s="10" t="str">
        <f ca="1">IFERROR(__xludf.DUMMYFUNCTION("JOIN("","", SORT(UNIQUE(TOCOL({VLOOKUP(D358,DM_fish!A:B,2,FALSE),VLOOKUP(C358,DM_fish!A:B,2,FALSE), ARRAYFORMULA(VLOOKUP(SPLIT(E358, "", ""),Injections!B:G,6,FALSE)), ARRAYFORMULA(VLOOKUP(SPLIT(F358, "", ""),Injections!H:M,6,FALSE)), ARRAYFORMULA(VLOOKUP("&amp;"SPLIT(G358, "", ""),Injections!N:S,6,FALSE)), ARRAYFORMULA(VLOOKUP(SPLIT(H358, "", ""),Injections!T:Y,6,FALSE)) },3))))"),"")</f>
        <v/>
      </c>
      <c r="S358" s="10"/>
      <c r="T358" s="1"/>
      <c r="V358" s="11"/>
      <c r="W358" s="12"/>
      <c r="X358" s="12"/>
      <c r="Y358" s="11"/>
      <c r="Z358" s="11"/>
      <c r="AA358" s="11"/>
    </row>
    <row r="359" spans="1:27" ht="13" x14ac:dyDescent="0.15">
      <c r="A359" s="7">
        <f t="shared" si="10"/>
        <v>0</v>
      </c>
      <c r="G359" s="8"/>
      <c r="H359" s="8"/>
      <c r="I359" s="8"/>
      <c r="K359" s="1"/>
      <c r="M359" s="8"/>
      <c r="R359" s="10" t="str">
        <f ca="1">IFERROR(__xludf.DUMMYFUNCTION("JOIN("","", SORT(UNIQUE(TOCOL({VLOOKUP(D359,DM_fish!A:B,2,FALSE),VLOOKUP(C359,DM_fish!A:B,2,FALSE), ARRAYFORMULA(VLOOKUP(SPLIT(E359, "", ""),Injections!B:G,6,FALSE)), ARRAYFORMULA(VLOOKUP(SPLIT(F359, "", ""),Injections!H:M,6,FALSE)), ARRAYFORMULA(VLOOKUP("&amp;"SPLIT(G359, "", ""),Injections!N:S,6,FALSE)), ARRAYFORMULA(VLOOKUP(SPLIT(H359, "", ""),Injections!T:Y,6,FALSE)) },3))))"),"")</f>
        <v/>
      </c>
      <c r="S359" s="10"/>
      <c r="T359" s="1"/>
      <c r="V359" s="11"/>
      <c r="W359" s="12"/>
      <c r="X359" s="12"/>
      <c r="Y359" s="11"/>
      <c r="Z359" s="11"/>
      <c r="AA359" s="11"/>
    </row>
    <row r="360" spans="1:27" ht="13" x14ac:dyDescent="0.15">
      <c r="A360" s="7">
        <f t="shared" si="10"/>
        <v>0</v>
      </c>
      <c r="G360" s="8"/>
      <c r="H360" s="8"/>
      <c r="I360" s="8"/>
      <c r="K360" s="1"/>
      <c r="M360" s="8"/>
      <c r="R360" s="10" t="str">
        <f ca="1">IFERROR(__xludf.DUMMYFUNCTION("JOIN("","", SORT(UNIQUE(TOCOL({VLOOKUP(D360,DM_fish!A:B,2,FALSE),VLOOKUP(C360,DM_fish!A:B,2,FALSE), ARRAYFORMULA(VLOOKUP(SPLIT(E360, "", ""),Injections!B:G,6,FALSE)), ARRAYFORMULA(VLOOKUP(SPLIT(F360, "", ""),Injections!H:M,6,FALSE)), ARRAYFORMULA(VLOOKUP("&amp;"SPLIT(G360, "", ""),Injections!N:S,6,FALSE)), ARRAYFORMULA(VLOOKUP(SPLIT(H360, "", ""),Injections!T:Y,6,FALSE)) },3))))"),"")</f>
        <v/>
      </c>
      <c r="S360" s="10"/>
      <c r="T360" s="1"/>
      <c r="V360" s="11"/>
      <c r="W360" s="12"/>
      <c r="X360" s="12"/>
      <c r="Y360" s="11"/>
      <c r="Z360" s="11"/>
      <c r="AA360" s="11"/>
    </row>
    <row r="361" spans="1:27" ht="13" x14ac:dyDescent="0.15">
      <c r="A361" s="7">
        <f t="shared" si="10"/>
        <v>0</v>
      </c>
      <c r="G361" s="8"/>
      <c r="H361" s="8"/>
      <c r="I361" s="8"/>
      <c r="K361" s="1"/>
      <c r="M361" s="8"/>
      <c r="R361" s="10" t="str">
        <f ca="1">IFERROR(__xludf.DUMMYFUNCTION("JOIN("","", SORT(UNIQUE(TOCOL({VLOOKUP(D361,DM_fish!A:B,2,FALSE),VLOOKUP(C361,DM_fish!A:B,2,FALSE), ARRAYFORMULA(VLOOKUP(SPLIT(E361, "", ""),Injections!B:G,6,FALSE)), ARRAYFORMULA(VLOOKUP(SPLIT(F361, "", ""),Injections!H:M,6,FALSE)), ARRAYFORMULA(VLOOKUP("&amp;"SPLIT(G361, "", ""),Injections!N:S,6,FALSE)), ARRAYFORMULA(VLOOKUP(SPLIT(H361, "", ""),Injections!T:Y,6,FALSE)) },3))))"),"")</f>
        <v/>
      </c>
      <c r="S361" s="10"/>
      <c r="T361" s="1"/>
      <c r="V361" s="11"/>
      <c r="W361" s="12"/>
      <c r="X361" s="12"/>
      <c r="Y361" s="11"/>
      <c r="Z361" s="11"/>
      <c r="AA361" s="11"/>
    </row>
    <row r="362" spans="1:27" ht="13" x14ac:dyDescent="0.15">
      <c r="A362" s="7">
        <f t="shared" si="10"/>
        <v>0</v>
      </c>
      <c r="G362" s="8"/>
      <c r="H362" s="8"/>
      <c r="I362" s="8"/>
      <c r="K362" s="1"/>
      <c r="M362" s="8"/>
      <c r="R362" s="10" t="str">
        <f ca="1">IFERROR(__xludf.DUMMYFUNCTION("JOIN("","", SORT(UNIQUE(TOCOL({VLOOKUP(D362,DM_fish!A:B,2,FALSE),VLOOKUP(C362,DM_fish!A:B,2,FALSE), ARRAYFORMULA(VLOOKUP(SPLIT(E362, "", ""),Injections!B:G,6,FALSE)), ARRAYFORMULA(VLOOKUP(SPLIT(F362, "", ""),Injections!H:M,6,FALSE)), ARRAYFORMULA(VLOOKUP("&amp;"SPLIT(G362, "", ""),Injections!N:S,6,FALSE)), ARRAYFORMULA(VLOOKUP(SPLIT(H362, "", ""),Injections!T:Y,6,FALSE)) },3))))"),"")</f>
        <v/>
      </c>
      <c r="S362" s="10"/>
      <c r="T362" s="1"/>
      <c r="V362" s="11"/>
      <c r="W362" s="12"/>
      <c r="X362" s="12"/>
      <c r="Y362" s="11"/>
      <c r="Z362" s="11"/>
      <c r="AA362" s="11"/>
    </row>
    <row r="363" spans="1:27" ht="13" x14ac:dyDescent="0.15">
      <c r="A363" s="7">
        <f t="shared" si="10"/>
        <v>0</v>
      </c>
      <c r="G363" s="8"/>
      <c r="H363" s="8"/>
      <c r="I363" s="8"/>
      <c r="M363" s="8"/>
      <c r="R363" s="10" t="str">
        <f ca="1">IFERROR(__xludf.DUMMYFUNCTION("JOIN("","", SORT(UNIQUE(TOCOL({VLOOKUP(D363,DM_fish!A:B,2,FALSE),VLOOKUP(C363,DM_fish!A:B,2,FALSE), ARRAYFORMULA(VLOOKUP(SPLIT(E363, "", ""),Injections!B:G,6,FALSE)), ARRAYFORMULA(VLOOKUP(SPLIT(F363, "", ""),Injections!H:M,6,FALSE)), ARRAYFORMULA(VLOOKUP("&amp;"SPLIT(G363, "", ""),Injections!N:S,6,FALSE)), ARRAYFORMULA(VLOOKUP(SPLIT(H363, "", ""),Injections!T:Y,6,FALSE)) },3))))"),"")</f>
        <v/>
      </c>
      <c r="S363" s="10"/>
      <c r="T363" s="1"/>
      <c r="V363" s="11"/>
      <c r="W363" s="12"/>
      <c r="X363" s="12"/>
      <c r="Y363" s="11"/>
      <c r="Z363" s="11"/>
      <c r="AA363" s="11"/>
    </row>
    <row r="364" spans="1:27" ht="13" x14ac:dyDescent="0.15">
      <c r="A364" s="7">
        <f t="shared" si="10"/>
        <v>0</v>
      </c>
      <c r="G364" s="8"/>
      <c r="H364" s="8"/>
      <c r="I364" s="8"/>
      <c r="M364" s="8"/>
      <c r="R364" s="10" t="str">
        <f ca="1">IFERROR(__xludf.DUMMYFUNCTION("JOIN("","", SORT(UNIQUE(TOCOL({VLOOKUP(D364,DM_fish!A:B,2,FALSE),VLOOKUP(C364,DM_fish!A:B,2,FALSE), ARRAYFORMULA(VLOOKUP(SPLIT(E364, "", ""),Injections!B:G,6,FALSE)), ARRAYFORMULA(VLOOKUP(SPLIT(F364, "", ""),Injections!H:M,6,FALSE)), ARRAYFORMULA(VLOOKUP("&amp;"SPLIT(G364, "", ""),Injections!N:S,6,FALSE)), ARRAYFORMULA(VLOOKUP(SPLIT(H364, "", ""),Injections!T:Y,6,FALSE)) },3))))"),"")</f>
        <v/>
      </c>
      <c r="S364" s="10"/>
      <c r="T364" s="1"/>
      <c r="V364" s="11"/>
      <c r="W364" s="12"/>
      <c r="X364" s="12"/>
      <c r="Y364" s="11"/>
      <c r="Z364" s="11"/>
      <c r="AA364" s="11"/>
    </row>
    <row r="365" spans="1:27" ht="13" x14ac:dyDescent="0.15">
      <c r="A365" s="7">
        <f t="shared" si="10"/>
        <v>0</v>
      </c>
      <c r="G365" s="8"/>
      <c r="H365" s="8"/>
      <c r="I365" s="8"/>
      <c r="M365" s="8"/>
      <c r="R365" s="10" t="str">
        <f ca="1">IFERROR(__xludf.DUMMYFUNCTION("JOIN("","", SORT(UNIQUE(TOCOL({VLOOKUP(D365,DM_fish!A:B,2,FALSE),VLOOKUP(C365,DM_fish!A:B,2,FALSE), ARRAYFORMULA(VLOOKUP(SPLIT(E365, "", ""),Injections!B:G,6,FALSE)), ARRAYFORMULA(VLOOKUP(SPLIT(F365, "", ""),Injections!H:M,6,FALSE)), ARRAYFORMULA(VLOOKUP("&amp;"SPLIT(G365, "", ""),Injections!N:S,6,FALSE)), ARRAYFORMULA(VLOOKUP(SPLIT(H365, "", ""),Injections!T:Y,6,FALSE)) },3))))"),"")</f>
        <v/>
      </c>
      <c r="S365" s="10"/>
      <c r="T365" s="1"/>
      <c r="V365" s="11"/>
      <c r="W365" s="12"/>
      <c r="X365" s="12"/>
      <c r="Y365" s="11"/>
      <c r="Z365" s="11"/>
      <c r="AA365" s="11"/>
    </row>
    <row r="366" spans="1:27" ht="13" x14ac:dyDescent="0.15">
      <c r="A366" s="7">
        <f t="shared" si="10"/>
        <v>0</v>
      </c>
      <c r="G366" s="8"/>
      <c r="H366" s="8"/>
      <c r="I366" s="8"/>
      <c r="M366" s="8"/>
      <c r="R366" s="10" t="str">
        <f ca="1">IFERROR(__xludf.DUMMYFUNCTION("JOIN("","", SORT(UNIQUE(TOCOL({VLOOKUP(D366,DM_fish!A:B,2,FALSE),VLOOKUP(C366,DM_fish!A:B,2,FALSE), ARRAYFORMULA(VLOOKUP(SPLIT(E366, "", ""),Injections!B:G,6,FALSE)), ARRAYFORMULA(VLOOKUP(SPLIT(F366, "", ""),Injections!H:M,6,FALSE)), ARRAYFORMULA(VLOOKUP("&amp;"SPLIT(G366, "", ""),Injections!N:S,6,FALSE)), ARRAYFORMULA(VLOOKUP(SPLIT(H366, "", ""),Injections!T:Y,6,FALSE)) },3))))"),"")</f>
        <v/>
      </c>
      <c r="S366" s="10"/>
      <c r="T366" s="1"/>
      <c r="V366" s="11"/>
      <c r="W366" s="12"/>
      <c r="X366" s="12"/>
      <c r="Y366" s="11"/>
      <c r="Z366" s="11"/>
      <c r="AA366" s="11"/>
    </row>
    <row r="367" spans="1:27" ht="13" x14ac:dyDescent="0.15">
      <c r="A367" s="7">
        <f t="shared" si="10"/>
        <v>0</v>
      </c>
      <c r="G367" s="8"/>
      <c r="H367" s="8"/>
      <c r="I367" s="8"/>
      <c r="M367" s="8"/>
      <c r="R367" s="10" t="str">
        <f ca="1">IFERROR(__xludf.DUMMYFUNCTION("JOIN("","", SORT(UNIQUE(TOCOL({VLOOKUP(D367,DM_fish!A:B,2,FALSE),VLOOKUP(C367,DM_fish!A:B,2,FALSE), ARRAYFORMULA(VLOOKUP(SPLIT(E367, "", ""),Injections!B:G,6,FALSE)), ARRAYFORMULA(VLOOKUP(SPLIT(F367, "", ""),Injections!H:M,6,FALSE)), ARRAYFORMULA(VLOOKUP("&amp;"SPLIT(G367, "", ""),Injections!N:S,6,FALSE)), ARRAYFORMULA(VLOOKUP(SPLIT(H367, "", ""),Injections!T:Y,6,FALSE)) },3))))"),"")</f>
        <v/>
      </c>
      <c r="S367" s="10"/>
      <c r="T367" s="1"/>
      <c r="V367" s="11"/>
      <c r="W367" s="12"/>
      <c r="X367" s="12"/>
      <c r="Y367" s="11"/>
      <c r="Z367" s="11"/>
      <c r="AA367" s="11"/>
    </row>
    <row r="368" spans="1:27" ht="13" x14ac:dyDescent="0.15">
      <c r="A368" s="7">
        <f t="shared" si="10"/>
        <v>0</v>
      </c>
      <c r="G368" s="8"/>
      <c r="H368" s="8"/>
      <c r="I368" s="8"/>
      <c r="M368" s="8"/>
      <c r="R368" s="10" t="str">
        <f ca="1">IFERROR(__xludf.DUMMYFUNCTION("JOIN("","", SORT(UNIQUE(TOCOL({VLOOKUP(D368,DM_fish!A:B,2,FALSE),VLOOKUP(C368,DM_fish!A:B,2,FALSE), ARRAYFORMULA(VLOOKUP(SPLIT(E368, "", ""),Injections!B:G,6,FALSE)), ARRAYFORMULA(VLOOKUP(SPLIT(F368, "", ""),Injections!H:M,6,FALSE)), ARRAYFORMULA(VLOOKUP("&amp;"SPLIT(G368, "", ""),Injections!N:S,6,FALSE)), ARRAYFORMULA(VLOOKUP(SPLIT(H368, "", ""),Injections!T:Y,6,FALSE)) },3))))"),"")</f>
        <v/>
      </c>
      <c r="S368" s="10"/>
      <c r="T368" s="1"/>
      <c r="V368" s="11"/>
      <c r="W368" s="12"/>
      <c r="X368" s="12"/>
      <c r="Y368" s="11"/>
      <c r="Z368" s="11"/>
      <c r="AA368" s="11"/>
    </row>
    <row r="369" spans="1:27" ht="13" x14ac:dyDescent="0.15">
      <c r="A369" s="7">
        <f t="shared" si="10"/>
        <v>0</v>
      </c>
      <c r="G369" s="8"/>
      <c r="H369" s="8"/>
      <c r="I369" s="8"/>
      <c r="M369" s="8"/>
      <c r="R369" s="10" t="str">
        <f ca="1">IFERROR(__xludf.DUMMYFUNCTION("JOIN("","", SORT(UNIQUE(TOCOL({VLOOKUP(D369,DM_fish!A:B,2,FALSE),VLOOKUP(C369,DM_fish!A:B,2,FALSE), ARRAYFORMULA(VLOOKUP(SPLIT(E369, "", ""),Injections!B:G,6,FALSE)), ARRAYFORMULA(VLOOKUP(SPLIT(F369, "", ""),Injections!H:M,6,FALSE)), ARRAYFORMULA(VLOOKUP("&amp;"SPLIT(G369, "", ""),Injections!N:S,6,FALSE)), ARRAYFORMULA(VLOOKUP(SPLIT(H369, "", ""),Injections!T:Y,6,FALSE)) },3))))"),"")</f>
        <v/>
      </c>
      <c r="S369" s="10"/>
      <c r="T369" s="1"/>
      <c r="V369" s="11"/>
      <c r="W369" s="12"/>
      <c r="X369" s="12"/>
      <c r="Y369" s="11"/>
      <c r="Z369" s="11"/>
      <c r="AA369" s="11"/>
    </row>
    <row r="370" spans="1:27" ht="13" x14ac:dyDescent="0.15">
      <c r="A370" s="7">
        <f t="shared" si="10"/>
        <v>0</v>
      </c>
      <c r="G370" s="8"/>
      <c r="H370" s="8"/>
      <c r="I370" s="8"/>
      <c r="M370" s="8"/>
      <c r="R370" s="10" t="str">
        <f ca="1">IFERROR(__xludf.DUMMYFUNCTION("JOIN("","", SORT(UNIQUE(TOCOL({VLOOKUP(D370,DM_fish!A:B,2,FALSE),VLOOKUP(C370,DM_fish!A:B,2,FALSE), ARRAYFORMULA(VLOOKUP(SPLIT(E370, "", ""),Injections!B:G,6,FALSE)), ARRAYFORMULA(VLOOKUP(SPLIT(F370, "", ""),Injections!H:M,6,FALSE)), ARRAYFORMULA(VLOOKUP("&amp;"SPLIT(G370, "", ""),Injections!N:S,6,FALSE)), ARRAYFORMULA(VLOOKUP(SPLIT(H370, "", ""),Injections!T:Y,6,FALSE)) },3))))"),"")</f>
        <v/>
      </c>
      <c r="S370" s="10"/>
      <c r="T370" s="1"/>
      <c r="V370" s="11"/>
      <c r="W370" s="12"/>
      <c r="X370" s="12"/>
      <c r="Y370" s="11"/>
      <c r="Z370" s="11"/>
      <c r="AA370" s="11"/>
    </row>
    <row r="371" spans="1:27" ht="13" x14ac:dyDescent="0.15">
      <c r="A371" s="7">
        <f t="shared" si="10"/>
        <v>0</v>
      </c>
      <c r="G371" s="8"/>
      <c r="H371" s="8"/>
      <c r="I371" s="8"/>
      <c r="M371" s="8"/>
      <c r="R371" s="10" t="str">
        <f ca="1">IFERROR(__xludf.DUMMYFUNCTION("JOIN("","", SORT(UNIQUE(TOCOL({VLOOKUP(D371,DM_fish!A:B,2,FALSE),VLOOKUP(C371,DM_fish!A:B,2,FALSE), ARRAYFORMULA(VLOOKUP(SPLIT(E371, "", ""),Injections!B:G,6,FALSE)), ARRAYFORMULA(VLOOKUP(SPLIT(F371, "", ""),Injections!H:M,6,FALSE)), ARRAYFORMULA(VLOOKUP("&amp;"SPLIT(G371, "", ""),Injections!N:S,6,FALSE)), ARRAYFORMULA(VLOOKUP(SPLIT(H371, "", ""),Injections!T:Y,6,FALSE)) },3))))"),"")</f>
        <v/>
      </c>
      <c r="S371" s="10"/>
      <c r="T371" s="1"/>
      <c r="V371" s="11"/>
      <c r="W371" s="12"/>
      <c r="X371" s="12"/>
      <c r="Y371" s="11"/>
      <c r="Z371" s="11"/>
      <c r="AA371" s="11"/>
    </row>
    <row r="372" spans="1:27" ht="13" x14ac:dyDescent="0.15">
      <c r="A372" s="7">
        <f t="shared" si="10"/>
        <v>0</v>
      </c>
      <c r="G372" s="8"/>
      <c r="H372" s="8"/>
      <c r="I372" s="8"/>
      <c r="M372" s="8"/>
      <c r="R372" s="10" t="str">
        <f ca="1">IFERROR(__xludf.DUMMYFUNCTION("JOIN("","", SORT(UNIQUE(TOCOL({VLOOKUP(D372,DM_fish!A:B,2,FALSE),VLOOKUP(C372,DM_fish!A:B,2,FALSE), ARRAYFORMULA(VLOOKUP(SPLIT(E372, "", ""),Injections!B:G,6,FALSE)), ARRAYFORMULA(VLOOKUP(SPLIT(F372, "", ""),Injections!H:M,6,FALSE)), ARRAYFORMULA(VLOOKUP("&amp;"SPLIT(G372, "", ""),Injections!N:S,6,FALSE)), ARRAYFORMULA(VLOOKUP(SPLIT(H372, "", ""),Injections!T:Y,6,FALSE)) },3))))"),"")</f>
        <v/>
      </c>
      <c r="S372" s="10"/>
      <c r="T372" s="1"/>
      <c r="V372" s="11"/>
      <c r="W372" s="12"/>
      <c r="X372" s="12"/>
      <c r="Y372" s="11"/>
      <c r="Z372" s="11"/>
      <c r="AA372" s="11"/>
    </row>
    <row r="373" spans="1:27" ht="13" x14ac:dyDescent="0.15">
      <c r="A373" s="7">
        <f t="shared" si="10"/>
        <v>0</v>
      </c>
      <c r="G373" s="8"/>
      <c r="H373" s="8"/>
      <c r="I373" s="8"/>
      <c r="M373" s="8"/>
      <c r="R373" s="10" t="str">
        <f ca="1">IFERROR(__xludf.DUMMYFUNCTION("JOIN("","", SORT(UNIQUE(TOCOL({VLOOKUP(D373,DM_fish!A:B,2,FALSE),VLOOKUP(C373,DM_fish!A:B,2,FALSE), ARRAYFORMULA(VLOOKUP(SPLIT(E373, "", ""),Injections!B:G,6,FALSE)), ARRAYFORMULA(VLOOKUP(SPLIT(F373, "", ""),Injections!H:M,6,FALSE)), ARRAYFORMULA(VLOOKUP("&amp;"SPLIT(G373, "", ""),Injections!N:S,6,FALSE)), ARRAYFORMULA(VLOOKUP(SPLIT(H373, "", ""),Injections!T:Y,6,FALSE)) },3))))"),"")</f>
        <v/>
      </c>
      <c r="S373" s="10"/>
      <c r="T373" s="1"/>
      <c r="V373" s="11"/>
      <c r="W373" s="12"/>
      <c r="X373" s="12"/>
      <c r="Y373" s="11"/>
      <c r="Z373" s="11"/>
      <c r="AA373" s="11"/>
    </row>
    <row r="374" spans="1:27" ht="13" x14ac:dyDescent="0.15">
      <c r="A374" s="7">
        <f t="shared" si="10"/>
        <v>0</v>
      </c>
      <c r="G374" s="8"/>
      <c r="H374" s="8"/>
      <c r="I374" s="8"/>
      <c r="M374" s="8"/>
      <c r="R374" s="10" t="str">
        <f ca="1">IFERROR(__xludf.DUMMYFUNCTION("JOIN("","", SORT(UNIQUE(TOCOL({VLOOKUP(D374,DM_fish!A:B,2,FALSE),VLOOKUP(C374,DM_fish!A:B,2,FALSE), ARRAYFORMULA(VLOOKUP(SPLIT(E374, "", ""),Injections!B:G,6,FALSE)), ARRAYFORMULA(VLOOKUP(SPLIT(F374, "", ""),Injections!H:M,6,FALSE)), ARRAYFORMULA(VLOOKUP("&amp;"SPLIT(G374, "", ""),Injections!N:S,6,FALSE)), ARRAYFORMULA(VLOOKUP(SPLIT(H374, "", ""),Injections!T:Y,6,FALSE)) },3))))"),"")</f>
        <v/>
      </c>
      <c r="S374" s="10"/>
      <c r="T374" s="1"/>
      <c r="V374" s="11"/>
      <c r="W374" s="12"/>
      <c r="X374" s="12"/>
      <c r="Y374" s="11"/>
      <c r="Z374" s="11"/>
      <c r="AA374" s="11"/>
    </row>
    <row r="375" spans="1:27" ht="13" x14ac:dyDescent="0.15">
      <c r="A375" s="7">
        <f t="shared" si="10"/>
        <v>0</v>
      </c>
      <c r="G375" s="8"/>
      <c r="H375" s="8"/>
      <c r="I375" s="8"/>
      <c r="M375" s="8"/>
      <c r="R375" s="10" t="str">
        <f ca="1">IFERROR(__xludf.DUMMYFUNCTION("JOIN("","", SORT(UNIQUE(TOCOL({VLOOKUP(D375,DM_fish!A:B,2,FALSE),VLOOKUP(C375,DM_fish!A:B,2,FALSE), ARRAYFORMULA(VLOOKUP(SPLIT(E375, "", ""),Injections!B:G,6,FALSE)), ARRAYFORMULA(VLOOKUP(SPLIT(F375, "", ""),Injections!H:M,6,FALSE)), ARRAYFORMULA(VLOOKUP("&amp;"SPLIT(G375, "", ""),Injections!N:S,6,FALSE)), ARRAYFORMULA(VLOOKUP(SPLIT(H375, "", ""),Injections!T:Y,6,FALSE)) },3))))"),"")</f>
        <v/>
      </c>
      <c r="S375" s="10"/>
      <c r="T375" s="1"/>
      <c r="V375" s="11"/>
      <c r="W375" s="12"/>
      <c r="X375" s="12"/>
      <c r="Y375" s="11"/>
      <c r="Z375" s="11"/>
      <c r="AA375" s="11"/>
    </row>
    <row r="376" spans="1:27" ht="13" x14ac:dyDescent="0.15">
      <c r="A376" s="7">
        <f t="shared" si="10"/>
        <v>0</v>
      </c>
      <c r="G376" s="8"/>
      <c r="H376" s="8"/>
      <c r="I376" s="8"/>
      <c r="M376" s="8"/>
      <c r="R376" s="10" t="str">
        <f ca="1">IFERROR(__xludf.DUMMYFUNCTION("JOIN("","", SORT(UNIQUE(TOCOL({VLOOKUP(D376,DM_fish!A:B,2,FALSE),VLOOKUP(C376,DM_fish!A:B,2,FALSE), ARRAYFORMULA(VLOOKUP(SPLIT(E376, "", ""),Injections!B:G,6,FALSE)), ARRAYFORMULA(VLOOKUP(SPLIT(F376, "", ""),Injections!H:M,6,FALSE)), ARRAYFORMULA(VLOOKUP("&amp;"SPLIT(G376, "", ""),Injections!N:S,6,FALSE)), ARRAYFORMULA(VLOOKUP(SPLIT(H376, "", ""),Injections!T:Y,6,FALSE)) },3))))"),"")</f>
        <v/>
      </c>
      <c r="S376" s="10"/>
      <c r="T376" s="1"/>
      <c r="V376" s="11"/>
      <c r="W376" s="12"/>
      <c r="X376" s="12"/>
      <c r="Y376" s="11"/>
      <c r="Z376" s="11"/>
      <c r="AA376" s="11"/>
    </row>
    <row r="377" spans="1:27" ht="13" x14ac:dyDescent="0.15">
      <c r="A377" s="7">
        <f t="shared" si="10"/>
        <v>0</v>
      </c>
      <c r="G377" s="8"/>
      <c r="H377" s="8"/>
      <c r="I377" s="8"/>
      <c r="M377" s="8"/>
      <c r="R377" s="10" t="str">
        <f ca="1">IFERROR(__xludf.DUMMYFUNCTION("JOIN("","", SORT(UNIQUE(TOCOL({VLOOKUP(D377,DM_fish!A:B,2,FALSE),VLOOKUP(C377,DM_fish!A:B,2,FALSE), ARRAYFORMULA(VLOOKUP(SPLIT(E377, "", ""),Injections!B:G,6,FALSE)), ARRAYFORMULA(VLOOKUP(SPLIT(F377, "", ""),Injections!H:M,6,FALSE)), ARRAYFORMULA(VLOOKUP("&amp;"SPLIT(G377, "", ""),Injections!N:S,6,FALSE)), ARRAYFORMULA(VLOOKUP(SPLIT(H377, "", ""),Injections!T:Y,6,FALSE)) },3))))"),"")</f>
        <v/>
      </c>
      <c r="S377" s="10"/>
      <c r="T377" s="1"/>
      <c r="V377" s="11"/>
      <c r="W377" s="12"/>
      <c r="X377" s="12"/>
      <c r="Y377" s="11"/>
      <c r="Z377" s="11"/>
      <c r="AA377" s="11"/>
    </row>
    <row r="378" spans="1:27" ht="13" x14ac:dyDescent="0.15">
      <c r="A378" s="7">
        <f t="shared" si="10"/>
        <v>0</v>
      </c>
      <c r="G378" s="8"/>
      <c r="H378" s="8"/>
      <c r="I378" s="8"/>
      <c r="M378" s="8"/>
      <c r="R378" s="10" t="str">
        <f ca="1">IFERROR(__xludf.DUMMYFUNCTION("JOIN("","", SORT(UNIQUE(TOCOL({VLOOKUP(D378,DM_fish!A:B,2,FALSE),VLOOKUP(C378,DM_fish!A:B,2,FALSE), ARRAYFORMULA(VLOOKUP(SPLIT(E378, "", ""),Injections!B:G,6,FALSE)), ARRAYFORMULA(VLOOKUP(SPLIT(F378, "", ""),Injections!H:M,6,FALSE)), ARRAYFORMULA(VLOOKUP("&amp;"SPLIT(G378, "", ""),Injections!N:S,6,FALSE)), ARRAYFORMULA(VLOOKUP(SPLIT(H378, "", ""),Injections!T:Y,6,FALSE)) },3))))"),"")</f>
        <v/>
      </c>
      <c r="S378" s="10"/>
      <c r="T378" s="1"/>
      <c r="V378" s="11"/>
      <c r="W378" s="12"/>
      <c r="X378" s="12"/>
      <c r="Y378" s="11"/>
      <c r="Z378" s="11"/>
      <c r="AA378" s="11"/>
    </row>
    <row r="379" spans="1:27" ht="13" x14ac:dyDescent="0.15">
      <c r="A379" s="7">
        <f t="shared" si="10"/>
        <v>0</v>
      </c>
      <c r="G379" s="8"/>
      <c r="H379" s="8"/>
      <c r="I379" s="8"/>
      <c r="M379" s="8"/>
      <c r="R379" s="10" t="str">
        <f ca="1">IFERROR(__xludf.DUMMYFUNCTION("JOIN("","", SORT(UNIQUE(TOCOL({VLOOKUP(D379,DM_fish!A:B,2,FALSE),VLOOKUP(C379,DM_fish!A:B,2,FALSE), ARRAYFORMULA(VLOOKUP(SPLIT(E379, "", ""),Injections!B:G,6,FALSE)), ARRAYFORMULA(VLOOKUP(SPLIT(F379, "", ""),Injections!H:M,6,FALSE)), ARRAYFORMULA(VLOOKUP("&amp;"SPLIT(G379, "", ""),Injections!N:S,6,FALSE)), ARRAYFORMULA(VLOOKUP(SPLIT(H379, "", ""),Injections!T:Y,6,FALSE)) },3))))"),"")</f>
        <v/>
      </c>
      <c r="S379" s="10"/>
      <c r="T379" s="1"/>
      <c r="V379" s="11"/>
      <c r="W379" s="12"/>
      <c r="X379" s="12"/>
      <c r="Y379" s="11"/>
      <c r="Z379" s="11"/>
      <c r="AA379" s="11"/>
    </row>
    <row r="380" spans="1:27" ht="13" x14ac:dyDescent="0.15">
      <c r="A380" s="7">
        <f t="shared" si="10"/>
        <v>0</v>
      </c>
      <c r="G380" s="8"/>
      <c r="H380" s="8"/>
      <c r="I380" s="8"/>
      <c r="M380" s="8"/>
      <c r="R380" s="10" t="str">
        <f ca="1">IFERROR(__xludf.DUMMYFUNCTION("JOIN("","", SORT(UNIQUE(TOCOL({VLOOKUP(D380,DM_fish!A:B,2,FALSE),VLOOKUP(C380,DM_fish!A:B,2,FALSE), ARRAYFORMULA(VLOOKUP(SPLIT(E380, "", ""),Injections!B:G,6,FALSE)), ARRAYFORMULA(VLOOKUP(SPLIT(F380, "", ""),Injections!H:M,6,FALSE)), ARRAYFORMULA(VLOOKUP("&amp;"SPLIT(G380, "", ""),Injections!N:S,6,FALSE)), ARRAYFORMULA(VLOOKUP(SPLIT(H380, "", ""),Injections!T:Y,6,FALSE)) },3))))"),"")</f>
        <v/>
      </c>
      <c r="S380" s="10"/>
      <c r="T380" s="1"/>
      <c r="V380" s="11"/>
      <c r="W380" s="12"/>
      <c r="X380" s="12"/>
      <c r="Y380" s="11"/>
      <c r="Z380" s="11"/>
      <c r="AA380" s="11"/>
    </row>
    <row r="381" spans="1:27" ht="13" x14ac:dyDescent="0.15">
      <c r="A381" s="7">
        <f t="shared" si="10"/>
        <v>0</v>
      </c>
      <c r="G381" s="8"/>
      <c r="H381" s="8"/>
      <c r="I381" s="8"/>
      <c r="M381" s="8"/>
      <c r="R381" s="10" t="str">
        <f ca="1">IFERROR(__xludf.DUMMYFUNCTION("JOIN("","", SORT(UNIQUE(TOCOL({VLOOKUP(D381,DM_fish!A:B,2,FALSE),VLOOKUP(C381,DM_fish!A:B,2,FALSE), ARRAYFORMULA(VLOOKUP(SPLIT(E381, "", ""),Injections!B:G,6,FALSE)), ARRAYFORMULA(VLOOKUP(SPLIT(F381, "", ""),Injections!H:M,6,FALSE)), ARRAYFORMULA(VLOOKUP("&amp;"SPLIT(G381, "", ""),Injections!N:S,6,FALSE)), ARRAYFORMULA(VLOOKUP(SPLIT(H381, "", ""),Injections!T:Y,6,FALSE)) },3))))"),"")</f>
        <v/>
      </c>
      <c r="S381" s="10"/>
      <c r="T381" s="1"/>
      <c r="V381" s="11"/>
      <c r="W381" s="12"/>
      <c r="X381" s="12"/>
      <c r="Y381" s="11"/>
      <c r="Z381" s="11"/>
      <c r="AA381" s="11"/>
    </row>
    <row r="382" spans="1:27" ht="13" x14ac:dyDescent="0.15">
      <c r="A382" s="7">
        <f t="shared" si="10"/>
        <v>0</v>
      </c>
      <c r="G382" s="8"/>
      <c r="H382" s="8"/>
      <c r="I382" s="8"/>
      <c r="M382" s="8"/>
      <c r="R382" s="10" t="str">
        <f ca="1">IFERROR(__xludf.DUMMYFUNCTION("JOIN("","", SORT(UNIQUE(TOCOL({VLOOKUP(D382,DM_fish!A:B,2,FALSE),VLOOKUP(C382,DM_fish!A:B,2,FALSE), ARRAYFORMULA(VLOOKUP(SPLIT(E382, "", ""),Injections!B:G,6,FALSE)), ARRAYFORMULA(VLOOKUP(SPLIT(F382, "", ""),Injections!H:M,6,FALSE)), ARRAYFORMULA(VLOOKUP("&amp;"SPLIT(G382, "", ""),Injections!N:S,6,FALSE)), ARRAYFORMULA(VLOOKUP(SPLIT(H382, "", ""),Injections!T:Y,6,FALSE)) },3))))"),"")</f>
        <v/>
      </c>
      <c r="S382" s="10"/>
      <c r="T382" s="1"/>
      <c r="V382" s="11"/>
      <c r="W382" s="12"/>
      <c r="X382" s="12"/>
      <c r="Y382" s="11"/>
      <c r="Z382" s="11"/>
      <c r="AA382" s="11"/>
    </row>
    <row r="383" spans="1:27" ht="13" x14ac:dyDescent="0.15">
      <c r="A383" s="7">
        <f t="shared" si="10"/>
        <v>0</v>
      </c>
      <c r="G383" s="8"/>
      <c r="H383" s="8"/>
      <c r="I383" s="8"/>
      <c r="M383" s="8"/>
      <c r="R383" s="10" t="str">
        <f ca="1">IFERROR(__xludf.DUMMYFUNCTION("JOIN("","", SORT(UNIQUE(TOCOL({VLOOKUP(D383,DM_fish!A:B,2,FALSE),VLOOKUP(C383,DM_fish!A:B,2,FALSE), ARRAYFORMULA(VLOOKUP(SPLIT(E383, "", ""),Injections!B:G,6,FALSE)), ARRAYFORMULA(VLOOKUP(SPLIT(F383, "", ""),Injections!H:M,6,FALSE)), ARRAYFORMULA(VLOOKUP("&amp;"SPLIT(G383, "", ""),Injections!N:S,6,FALSE)), ARRAYFORMULA(VLOOKUP(SPLIT(H383, "", ""),Injections!T:Y,6,FALSE)) },3))))"),"")</f>
        <v/>
      </c>
      <c r="S383" s="10"/>
      <c r="T383" s="1"/>
      <c r="V383" s="11"/>
      <c r="W383" s="12"/>
      <c r="X383" s="12"/>
      <c r="Y383" s="11"/>
      <c r="Z383" s="11"/>
      <c r="AA383" s="11"/>
    </row>
    <row r="384" spans="1:27" ht="13" x14ac:dyDescent="0.15">
      <c r="A384" s="7">
        <f t="shared" si="10"/>
        <v>0</v>
      </c>
      <c r="G384" s="8"/>
      <c r="H384" s="8"/>
      <c r="I384" s="8"/>
      <c r="M384" s="8"/>
      <c r="R384" s="10" t="str">
        <f ca="1">IFERROR(__xludf.DUMMYFUNCTION("JOIN("","", SORT(UNIQUE(TOCOL({VLOOKUP(D384,DM_fish!A:B,2,FALSE),VLOOKUP(C384,DM_fish!A:B,2,FALSE), ARRAYFORMULA(VLOOKUP(SPLIT(E384, "", ""),Injections!B:G,6,FALSE)), ARRAYFORMULA(VLOOKUP(SPLIT(F384, "", ""),Injections!H:M,6,FALSE)), ARRAYFORMULA(VLOOKUP("&amp;"SPLIT(G384, "", ""),Injections!N:S,6,FALSE)), ARRAYFORMULA(VLOOKUP(SPLIT(H384, "", ""),Injections!T:Y,6,FALSE)) },3))))"),"")</f>
        <v/>
      </c>
      <c r="S384" s="10"/>
      <c r="T384" s="1"/>
      <c r="V384" s="11"/>
      <c r="W384" s="12"/>
      <c r="X384" s="12"/>
      <c r="Y384" s="11"/>
      <c r="Z384" s="11"/>
      <c r="AA384" s="11"/>
    </row>
    <row r="385" spans="1:27" ht="13" x14ac:dyDescent="0.15">
      <c r="A385" s="7">
        <f t="shared" si="10"/>
        <v>0</v>
      </c>
      <c r="G385" s="8"/>
      <c r="H385" s="8"/>
      <c r="I385" s="8"/>
      <c r="M385" s="8"/>
      <c r="R385" s="10" t="str">
        <f ca="1">IFERROR(__xludf.DUMMYFUNCTION("JOIN("","", SORT(UNIQUE(TOCOL({VLOOKUP(D385,DM_fish!A:B,2,FALSE),VLOOKUP(C385,DM_fish!A:B,2,FALSE), ARRAYFORMULA(VLOOKUP(SPLIT(E385, "", ""),Injections!B:G,6,FALSE)), ARRAYFORMULA(VLOOKUP(SPLIT(F385, "", ""),Injections!H:M,6,FALSE)), ARRAYFORMULA(VLOOKUP("&amp;"SPLIT(G385, "", ""),Injections!N:S,6,FALSE)), ARRAYFORMULA(VLOOKUP(SPLIT(H385, "", ""),Injections!T:Y,6,FALSE)) },3))))"),"")</f>
        <v/>
      </c>
      <c r="S385" s="10"/>
      <c r="T385" s="1"/>
      <c r="U385" s="1">
        <f>SUM(U107:U225)</f>
        <v>130697</v>
      </c>
      <c r="V385" s="11"/>
      <c r="W385" s="12"/>
      <c r="X385" s="12"/>
      <c r="Y385" s="11"/>
      <c r="Z385" s="11"/>
      <c r="AA385" s="11"/>
    </row>
    <row r="386" spans="1:27" ht="13" x14ac:dyDescent="0.15">
      <c r="A386" s="7">
        <f t="shared" si="10"/>
        <v>0</v>
      </c>
      <c r="G386" s="8"/>
      <c r="H386" s="8"/>
      <c r="I386" s="8"/>
      <c r="M386" s="8"/>
      <c r="R386" s="10" t="str">
        <f ca="1">IFERROR(__xludf.DUMMYFUNCTION("JOIN("","", SORT(UNIQUE(TOCOL({VLOOKUP(D386,DM_fish!A:B,2,FALSE),VLOOKUP(C386,DM_fish!A:B,2,FALSE), ARRAYFORMULA(VLOOKUP(SPLIT(E386, "", ""),Injections!B:G,6,FALSE)), ARRAYFORMULA(VLOOKUP(SPLIT(F386, "", ""),Injections!H:M,6,FALSE)), ARRAYFORMULA(VLOOKUP("&amp;"SPLIT(G386, "", ""),Injections!N:S,6,FALSE)), ARRAYFORMULA(VLOOKUP(SPLIT(H386, "", ""),Injections!T:Y,6,FALSE)) },3))))"),"")</f>
        <v/>
      </c>
      <c r="S386" s="10"/>
      <c r="T386" s="1"/>
      <c r="V386" s="11"/>
      <c r="W386" s="12"/>
      <c r="X386" s="12"/>
      <c r="Y386" s="11"/>
      <c r="Z386" s="11"/>
      <c r="AA386" s="11"/>
    </row>
    <row r="387" spans="1:27" ht="13" x14ac:dyDescent="0.15">
      <c r="A387" s="7">
        <f t="shared" si="10"/>
        <v>0</v>
      </c>
      <c r="G387" s="8"/>
      <c r="H387" s="8"/>
      <c r="I387" s="8"/>
      <c r="M387" s="8"/>
      <c r="R387" s="10" t="str">
        <f ca="1">IFERROR(__xludf.DUMMYFUNCTION("JOIN("","", SORT(UNIQUE(TOCOL({VLOOKUP(D387,DM_fish!A:B,2,FALSE),VLOOKUP(C387,DM_fish!A:B,2,FALSE), ARRAYFORMULA(VLOOKUP(SPLIT(E387, "", ""),Injections!B:G,6,FALSE)), ARRAYFORMULA(VLOOKUP(SPLIT(F387, "", ""),Injections!H:M,6,FALSE)), ARRAYFORMULA(VLOOKUP("&amp;"SPLIT(G387, "", ""),Injections!N:S,6,FALSE)), ARRAYFORMULA(VLOOKUP(SPLIT(H387, "", ""),Injections!T:Y,6,FALSE)) },3))))"),"")</f>
        <v/>
      </c>
      <c r="S387" s="10"/>
      <c r="T387" s="1"/>
      <c r="V387" s="11"/>
      <c r="W387" s="12"/>
      <c r="X387" s="12"/>
      <c r="Y387" s="11"/>
      <c r="Z387" s="11"/>
      <c r="AA387" s="11"/>
    </row>
    <row r="388" spans="1:27" ht="13" x14ac:dyDescent="0.15">
      <c r="A388" s="7">
        <f t="shared" si="10"/>
        <v>0</v>
      </c>
      <c r="G388" s="8"/>
      <c r="H388" s="8"/>
      <c r="I388" s="8"/>
      <c r="M388" s="8"/>
      <c r="R388" s="10" t="str">
        <f ca="1">IFERROR(__xludf.DUMMYFUNCTION("JOIN("","", SORT(UNIQUE(TOCOL({VLOOKUP(D388,DM_fish!A:B,2,FALSE),VLOOKUP(C388,DM_fish!A:B,2,FALSE), ARRAYFORMULA(VLOOKUP(SPLIT(E388, "", ""),Injections!B:G,6,FALSE)), ARRAYFORMULA(VLOOKUP(SPLIT(F388, "", ""),Injections!H:M,6,FALSE)), ARRAYFORMULA(VLOOKUP("&amp;"SPLIT(G388, "", ""),Injections!N:S,6,FALSE)), ARRAYFORMULA(VLOOKUP(SPLIT(H388, "", ""),Injections!T:Y,6,FALSE)) },3))))"),"")</f>
        <v/>
      </c>
      <c r="S388" s="10"/>
      <c r="T388" s="1"/>
      <c r="V388" s="11"/>
      <c r="W388" s="12"/>
      <c r="X388" s="12"/>
      <c r="Y388" s="11"/>
      <c r="Z388" s="11"/>
      <c r="AA388" s="11"/>
    </row>
    <row r="389" spans="1:27" ht="13" x14ac:dyDescent="0.15">
      <c r="A389" s="7">
        <f t="shared" si="10"/>
        <v>0</v>
      </c>
      <c r="G389" s="8"/>
      <c r="H389" s="8"/>
      <c r="I389" s="8"/>
      <c r="M389" s="8"/>
      <c r="R389" s="10" t="str">
        <f ca="1">IFERROR(__xludf.DUMMYFUNCTION("JOIN("","", SORT(UNIQUE(TOCOL({VLOOKUP(D389,DM_fish!A:B,2,FALSE),VLOOKUP(C389,DM_fish!A:B,2,FALSE), ARRAYFORMULA(VLOOKUP(SPLIT(E389, "", ""),Injections!B:G,6,FALSE)), ARRAYFORMULA(VLOOKUP(SPLIT(F389, "", ""),Injections!H:M,6,FALSE)), ARRAYFORMULA(VLOOKUP("&amp;"SPLIT(G389, "", ""),Injections!N:S,6,FALSE)), ARRAYFORMULA(VLOOKUP(SPLIT(H389, "", ""),Injections!T:Y,6,FALSE)) },3))))"),"")</f>
        <v/>
      </c>
      <c r="S389" s="10"/>
      <c r="T389" s="1"/>
      <c r="V389" s="11"/>
      <c r="W389" s="12"/>
      <c r="X389" s="12"/>
      <c r="Y389" s="11"/>
      <c r="Z389" s="11"/>
      <c r="AA389" s="11"/>
    </row>
    <row r="390" spans="1:27" ht="13" x14ac:dyDescent="0.15">
      <c r="A390" s="7">
        <f t="shared" si="10"/>
        <v>0</v>
      </c>
      <c r="G390" s="8"/>
      <c r="H390" s="8"/>
      <c r="I390" s="8"/>
      <c r="M390" s="8"/>
      <c r="R390" s="10" t="str">
        <f ca="1">IFERROR(__xludf.DUMMYFUNCTION("JOIN("","", SORT(UNIQUE(TOCOL({VLOOKUP(D390,DM_fish!A:B,2,FALSE),VLOOKUP(C390,DM_fish!A:B,2,FALSE), ARRAYFORMULA(VLOOKUP(SPLIT(E390, "", ""),Injections!B:G,6,FALSE)), ARRAYFORMULA(VLOOKUP(SPLIT(F390, "", ""),Injections!H:M,6,FALSE)), ARRAYFORMULA(VLOOKUP("&amp;"SPLIT(G390, "", ""),Injections!N:S,6,FALSE)), ARRAYFORMULA(VLOOKUP(SPLIT(H390, "", ""),Injections!T:Y,6,FALSE)) },3))))"),"")</f>
        <v/>
      </c>
      <c r="S390" s="10"/>
      <c r="T390" s="1"/>
      <c r="V390" s="11"/>
      <c r="W390" s="12"/>
      <c r="X390" s="12"/>
      <c r="Y390" s="11"/>
      <c r="Z390" s="11"/>
      <c r="AA390" s="11"/>
    </row>
    <row r="391" spans="1:27" ht="13" x14ac:dyDescent="0.15">
      <c r="A391" s="7">
        <f t="shared" si="10"/>
        <v>0</v>
      </c>
      <c r="G391" s="8"/>
      <c r="H391" s="8"/>
      <c r="I391" s="8"/>
      <c r="M391" s="8"/>
      <c r="R391" s="10" t="str">
        <f ca="1">IFERROR(__xludf.DUMMYFUNCTION("JOIN("","", SORT(UNIQUE(TOCOL({VLOOKUP(D391,DM_fish!A:B,2,FALSE),VLOOKUP(C391,DM_fish!A:B,2,FALSE), ARRAYFORMULA(VLOOKUP(SPLIT(E391, "", ""),Injections!B:G,6,FALSE)), ARRAYFORMULA(VLOOKUP(SPLIT(F391, "", ""),Injections!H:M,6,FALSE)), ARRAYFORMULA(VLOOKUP("&amp;"SPLIT(G391, "", ""),Injections!N:S,6,FALSE)), ARRAYFORMULA(VLOOKUP(SPLIT(H391, "", ""),Injections!T:Y,6,FALSE)) },3))))"),"")</f>
        <v/>
      </c>
      <c r="S391" s="10"/>
      <c r="T391" s="1"/>
      <c r="V391" s="11"/>
      <c r="W391" s="12"/>
      <c r="X391" s="12"/>
      <c r="Y391" s="11"/>
      <c r="Z391" s="11"/>
      <c r="AA391" s="11"/>
    </row>
    <row r="392" spans="1:27" ht="13" x14ac:dyDescent="0.15">
      <c r="A392" s="7">
        <f t="shared" si="10"/>
        <v>0</v>
      </c>
      <c r="G392" s="8"/>
      <c r="H392" s="8"/>
      <c r="I392" s="8"/>
      <c r="M392" s="8"/>
      <c r="R392" s="10" t="str">
        <f ca="1">IFERROR(__xludf.DUMMYFUNCTION("JOIN("","", SORT(UNIQUE(TOCOL({VLOOKUP(D392,DM_fish!A:B,2,FALSE),VLOOKUP(C392,DM_fish!A:B,2,FALSE), ARRAYFORMULA(VLOOKUP(SPLIT(E392, "", ""),Injections!B:G,6,FALSE)), ARRAYFORMULA(VLOOKUP(SPLIT(F392, "", ""),Injections!H:M,6,FALSE)), ARRAYFORMULA(VLOOKUP("&amp;"SPLIT(G392, "", ""),Injections!N:S,6,FALSE)), ARRAYFORMULA(VLOOKUP(SPLIT(H392, "", ""),Injections!T:Y,6,FALSE)) },3))))"),"")</f>
        <v/>
      </c>
      <c r="S392" s="10"/>
      <c r="T392" s="1"/>
      <c r="V392" s="11"/>
      <c r="W392" s="12"/>
      <c r="X392" s="12"/>
      <c r="Y392" s="11"/>
      <c r="Z392" s="11"/>
      <c r="AA392" s="11"/>
    </row>
    <row r="393" spans="1:27" ht="13" x14ac:dyDescent="0.15">
      <c r="A393" s="7">
        <f t="shared" si="10"/>
        <v>0</v>
      </c>
      <c r="G393" s="8"/>
      <c r="H393" s="8"/>
      <c r="I393" s="8"/>
      <c r="M393" s="8"/>
      <c r="R393" s="10" t="str">
        <f ca="1">IFERROR(__xludf.DUMMYFUNCTION("JOIN("","", SORT(UNIQUE(TOCOL({VLOOKUP(D393,DM_fish!A:B,2,FALSE),VLOOKUP(C393,DM_fish!A:B,2,FALSE), ARRAYFORMULA(VLOOKUP(SPLIT(E393, "", ""),Injections!B:G,6,FALSE)), ARRAYFORMULA(VLOOKUP(SPLIT(F393, "", ""),Injections!H:M,6,FALSE)), ARRAYFORMULA(VLOOKUP("&amp;"SPLIT(G393, "", ""),Injections!N:S,6,FALSE)), ARRAYFORMULA(VLOOKUP(SPLIT(H393, "", ""),Injections!T:Y,6,FALSE)) },3))))"),"")</f>
        <v/>
      </c>
      <c r="S393" s="10"/>
      <c r="T393" s="1"/>
      <c r="V393" s="11"/>
      <c r="W393" s="12"/>
      <c r="X393" s="12"/>
      <c r="Y393" s="11"/>
      <c r="Z393" s="11"/>
      <c r="AA393" s="11"/>
    </row>
    <row r="394" spans="1:27" ht="13" x14ac:dyDescent="0.15">
      <c r="A394" s="7">
        <f t="shared" si="10"/>
        <v>0</v>
      </c>
      <c r="G394" s="8"/>
      <c r="H394" s="8"/>
      <c r="I394" s="8"/>
      <c r="M394" s="8"/>
      <c r="R394" s="10" t="str">
        <f ca="1">IFERROR(__xludf.DUMMYFUNCTION("JOIN("","", SORT(UNIQUE(TOCOL({VLOOKUP(D394,DM_fish!A:B,2,FALSE),VLOOKUP(C394,DM_fish!A:B,2,FALSE), ARRAYFORMULA(VLOOKUP(SPLIT(E394, "", ""),Injections!B:G,6,FALSE)), ARRAYFORMULA(VLOOKUP(SPLIT(F394, "", ""),Injections!H:M,6,FALSE)), ARRAYFORMULA(VLOOKUP("&amp;"SPLIT(G394, "", ""),Injections!N:S,6,FALSE)), ARRAYFORMULA(VLOOKUP(SPLIT(H394, "", ""),Injections!T:Y,6,FALSE)) },3))))"),"")</f>
        <v/>
      </c>
      <c r="S394" s="10"/>
      <c r="T394" s="1"/>
      <c r="V394" s="11"/>
      <c r="W394" s="12"/>
      <c r="X394" s="12"/>
      <c r="Y394" s="11"/>
      <c r="Z394" s="11"/>
      <c r="AA394" s="11"/>
    </row>
    <row r="395" spans="1:27" ht="13" x14ac:dyDescent="0.15">
      <c r="A395" s="7">
        <f t="shared" si="10"/>
        <v>0</v>
      </c>
      <c r="G395" s="8"/>
      <c r="H395" s="8"/>
      <c r="I395" s="8"/>
      <c r="M395" s="8"/>
      <c r="R395" s="10" t="str">
        <f ca="1">IFERROR(__xludf.DUMMYFUNCTION("JOIN("","", SORT(UNIQUE(TOCOL({VLOOKUP(D395,DM_fish!A:B,2,FALSE),VLOOKUP(C395,DM_fish!A:B,2,FALSE), ARRAYFORMULA(VLOOKUP(SPLIT(E395, "", ""),Injections!B:G,6,FALSE)), ARRAYFORMULA(VLOOKUP(SPLIT(F395, "", ""),Injections!H:M,6,FALSE)), ARRAYFORMULA(VLOOKUP("&amp;"SPLIT(G395, "", ""),Injections!N:S,6,FALSE)), ARRAYFORMULA(VLOOKUP(SPLIT(H395, "", ""),Injections!T:Y,6,FALSE)) },3))))"),"")</f>
        <v/>
      </c>
      <c r="S395" s="10"/>
      <c r="T395" s="1"/>
      <c r="V395" s="11"/>
      <c r="W395" s="12"/>
      <c r="X395" s="12"/>
      <c r="Y395" s="11"/>
      <c r="Z395" s="11"/>
      <c r="AA395" s="11"/>
    </row>
    <row r="396" spans="1:27" ht="13" x14ac:dyDescent="0.15">
      <c r="A396" s="7">
        <f t="shared" si="10"/>
        <v>0</v>
      </c>
      <c r="G396" s="8"/>
      <c r="H396" s="8"/>
      <c r="I396" s="8"/>
      <c r="M396" s="8"/>
      <c r="R396" s="10" t="str">
        <f ca="1">IFERROR(__xludf.DUMMYFUNCTION("JOIN("","", SORT(UNIQUE(TOCOL({VLOOKUP(D396,DM_fish!A:B,2,FALSE),VLOOKUP(C396,DM_fish!A:B,2,FALSE), ARRAYFORMULA(VLOOKUP(SPLIT(E396, "", ""),Injections!B:G,6,FALSE)), ARRAYFORMULA(VLOOKUP(SPLIT(F396, "", ""),Injections!H:M,6,FALSE)), ARRAYFORMULA(VLOOKUP("&amp;"SPLIT(G396, "", ""),Injections!N:S,6,FALSE)), ARRAYFORMULA(VLOOKUP(SPLIT(H396, "", ""),Injections!T:Y,6,FALSE)) },3))))"),"")</f>
        <v/>
      </c>
      <c r="S396" s="10"/>
      <c r="T396" s="1"/>
      <c r="V396" s="11"/>
      <c r="W396" s="12"/>
      <c r="X396" s="12"/>
      <c r="Y396" s="11"/>
      <c r="Z396" s="11"/>
      <c r="AA396" s="11"/>
    </row>
    <row r="397" spans="1:27" ht="13" x14ac:dyDescent="0.15">
      <c r="A397" s="7">
        <f t="shared" si="10"/>
        <v>0</v>
      </c>
      <c r="G397" s="8"/>
      <c r="H397" s="8"/>
      <c r="I397" s="8"/>
      <c r="M397" s="8"/>
      <c r="R397" s="10" t="str">
        <f ca="1">IFERROR(__xludf.DUMMYFUNCTION("JOIN("","", SORT(UNIQUE(TOCOL({VLOOKUP(D397,DM_fish!A:B,2,FALSE),VLOOKUP(C397,DM_fish!A:B,2,FALSE), ARRAYFORMULA(VLOOKUP(SPLIT(E397, "", ""),Injections!B:G,6,FALSE)), ARRAYFORMULA(VLOOKUP(SPLIT(F397, "", ""),Injections!H:M,6,FALSE)), ARRAYFORMULA(VLOOKUP("&amp;"SPLIT(G397, "", ""),Injections!N:S,6,FALSE)), ARRAYFORMULA(VLOOKUP(SPLIT(H397, "", ""),Injections!T:Y,6,FALSE)) },3))))"),"")</f>
        <v/>
      </c>
      <c r="S397" s="10"/>
      <c r="T397" s="1"/>
      <c r="V397" s="11"/>
      <c r="W397" s="12"/>
      <c r="X397" s="12"/>
      <c r="Y397" s="11"/>
      <c r="Z397" s="11"/>
      <c r="AA397" s="11"/>
    </row>
    <row r="398" spans="1:27" ht="13" x14ac:dyDescent="0.15">
      <c r="A398" s="7">
        <f t="shared" si="10"/>
        <v>0</v>
      </c>
      <c r="G398" s="8"/>
      <c r="H398" s="8"/>
      <c r="I398" s="8"/>
      <c r="M398" s="8"/>
      <c r="R398" s="10" t="str">
        <f ca="1">IFERROR(__xludf.DUMMYFUNCTION("JOIN("","", SORT(UNIQUE(TOCOL({VLOOKUP(D398,DM_fish!A:B,2,FALSE),VLOOKUP(C398,DM_fish!A:B,2,FALSE), ARRAYFORMULA(VLOOKUP(SPLIT(E398, "", ""),Injections!B:G,6,FALSE)), ARRAYFORMULA(VLOOKUP(SPLIT(F398, "", ""),Injections!H:M,6,FALSE)), ARRAYFORMULA(VLOOKUP("&amp;"SPLIT(G398, "", ""),Injections!N:S,6,FALSE)), ARRAYFORMULA(VLOOKUP(SPLIT(H398, "", ""),Injections!T:Y,6,FALSE)) },3))))"),"")</f>
        <v/>
      </c>
      <c r="S398" s="10"/>
      <c r="T398" s="1"/>
      <c r="V398" s="11"/>
      <c r="W398" s="12"/>
      <c r="X398" s="12"/>
      <c r="Y398" s="11"/>
      <c r="Z398" s="11"/>
      <c r="AA398" s="11"/>
    </row>
    <row r="399" spans="1:27" ht="13" x14ac:dyDescent="0.15">
      <c r="A399" s="7">
        <f t="shared" si="10"/>
        <v>0</v>
      </c>
      <c r="G399" s="8"/>
      <c r="H399" s="8"/>
      <c r="I399" s="8"/>
      <c r="M399" s="8"/>
      <c r="R399" s="10" t="str">
        <f ca="1">IFERROR(__xludf.DUMMYFUNCTION("JOIN("","", SORT(UNIQUE(TOCOL({VLOOKUP(D399,DM_fish!A:B,2,FALSE),VLOOKUP(C399,DM_fish!A:B,2,FALSE), ARRAYFORMULA(VLOOKUP(SPLIT(E399, "", ""),Injections!B:G,6,FALSE)), ARRAYFORMULA(VLOOKUP(SPLIT(F399, "", ""),Injections!H:M,6,FALSE)), ARRAYFORMULA(VLOOKUP("&amp;"SPLIT(G399, "", ""),Injections!N:S,6,FALSE)), ARRAYFORMULA(VLOOKUP(SPLIT(H399, "", ""),Injections!T:Y,6,FALSE)) },3))))"),"")</f>
        <v/>
      </c>
      <c r="S399" s="10"/>
      <c r="T399" s="1"/>
      <c r="V399" s="11"/>
      <c r="W399" s="12"/>
      <c r="X399" s="12"/>
      <c r="Y399" s="11"/>
      <c r="Z399" s="11"/>
      <c r="AA399" s="11"/>
    </row>
    <row r="400" spans="1:27" ht="13" x14ac:dyDescent="0.15">
      <c r="A400" s="7">
        <f t="shared" si="10"/>
        <v>0</v>
      </c>
      <c r="G400" s="8"/>
      <c r="H400" s="8"/>
      <c r="I400" s="8"/>
      <c r="M400" s="8"/>
      <c r="R400" s="10" t="str">
        <f ca="1">IFERROR(__xludf.DUMMYFUNCTION("JOIN("","", SORT(UNIQUE(TOCOL({VLOOKUP(D400,DM_fish!A:B,2,FALSE),VLOOKUP(C400,DM_fish!A:B,2,FALSE), ARRAYFORMULA(VLOOKUP(SPLIT(E400, "", ""),Injections!B:G,6,FALSE)), ARRAYFORMULA(VLOOKUP(SPLIT(F400, "", ""),Injections!H:M,6,FALSE)), ARRAYFORMULA(VLOOKUP("&amp;"SPLIT(G400, "", ""),Injections!N:S,6,FALSE)), ARRAYFORMULA(VLOOKUP(SPLIT(H400, "", ""),Injections!T:Y,6,FALSE)) },3))))"),"")</f>
        <v/>
      </c>
      <c r="S400" s="10"/>
      <c r="T400" s="1"/>
      <c r="V400" s="11"/>
      <c r="W400" s="12"/>
      <c r="X400" s="12"/>
      <c r="Y400" s="11"/>
      <c r="Z400" s="11"/>
      <c r="AA400" s="11"/>
    </row>
    <row r="401" spans="1:27" ht="13" x14ac:dyDescent="0.15">
      <c r="A401" s="7">
        <f t="shared" si="10"/>
        <v>0</v>
      </c>
      <c r="G401" s="8"/>
      <c r="H401" s="8"/>
      <c r="I401" s="8"/>
      <c r="M401" s="8"/>
      <c r="R401" s="10" t="str">
        <f ca="1">IFERROR(__xludf.DUMMYFUNCTION("JOIN("","", SORT(UNIQUE(TOCOL({VLOOKUP(D401,DM_fish!A:B,2,FALSE),VLOOKUP(C401,DM_fish!A:B,2,FALSE), ARRAYFORMULA(VLOOKUP(SPLIT(E401, "", ""),Injections!B:G,6,FALSE)), ARRAYFORMULA(VLOOKUP(SPLIT(F401, "", ""),Injections!H:M,6,FALSE)), ARRAYFORMULA(VLOOKUP("&amp;"SPLIT(G401, "", ""),Injections!N:S,6,FALSE)), ARRAYFORMULA(VLOOKUP(SPLIT(H401, "", ""),Injections!T:Y,6,FALSE)) },3))))"),"")</f>
        <v/>
      </c>
      <c r="S401" s="10"/>
      <c r="T401" s="1"/>
      <c r="V401" s="11"/>
      <c r="W401" s="12"/>
      <c r="X401" s="12"/>
      <c r="Y401" s="11"/>
      <c r="Z401" s="11"/>
      <c r="AA401" s="11"/>
    </row>
    <row r="402" spans="1:27" ht="13" x14ac:dyDescent="0.15">
      <c r="A402" s="7">
        <f t="shared" si="10"/>
        <v>0</v>
      </c>
      <c r="G402" s="8"/>
      <c r="H402" s="8"/>
      <c r="I402" s="8"/>
      <c r="M402" s="8"/>
      <c r="R402" s="10" t="str">
        <f ca="1">IFERROR(__xludf.DUMMYFUNCTION("JOIN("","", SORT(UNIQUE(TOCOL({VLOOKUP(D402,DM_fish!A:B,2,FALSE),VLOOKUP(C402,DM_fish!A:B,2,FALSE), ARRAYFORMULA(VLOOKUP(SPLIT(E402, "", ""),Injections!B:G,6,FALSE)), ARRAYFORMULA(VLOOKUP(SPLIT(F402, "", ""),Injections!H:M,6,FALSE)), ARRAYFORMULA(VLOOKUP("&amp;"SPLIT(G402, "", ""),Injections!N:S,6,FALSE)), ARRAYFORMULA(VLOOKUP(SPLIT(H402, "", ""),Injections!T:Y,6,FALSE)) },3))))"),"")</f>
        <v/>
      </c>
      <c r="S402" s="10"/>
      <c r="T402" s="1"/>
      <c r="V402" s="11"/>
      <c r="W402" s="12"/>
      <c r="X402" s="12"/>
      <c r="Y402" s="11"/>
      <c r="Z402" s="11"/>
      <c r="AA402" s="11"/>
    </row>
    <row r="403" spans="1:27" ht="13" x14ac:dyDescent="0.15">
      <c r="A403" s="7">
        <f t="shared" si="10"/>
        <v>0</v>
      </c>
      <c r="G403" s="8"/>
      <c r="H403" s="8"/>
      <c r="I403" s="8"/>
      <c r="M403" s="8"/>
      <c r="R403" s="10" t="str">
        <f ca="1">IFERROR(__xludf.DUMMYFUNCTION("JOIN("","", SORT(UNIQUE(TOCOL({VLOOKUP(D403,DM_fish!A:B,2,FALSE),VLOOKUP(C403,DM_fish!A:B,2,FALSE), ARRAYFORMULA(VLOOKUP(SPLIT(E403, "", ""),Injections!B:G,6,FALSE)), ARRAYFORMULA(VLOOKUP(SPLIT(F403, "", ""),Injections!H:M,6,FALSE)), ARRAYFORMULA(VLOOKUP("&amp;"SPLIT(G403, "", ""),Injections!N:S,6,FALSE)), ARRAYFORMULA(VLOOKUP(SPLIT(H403, "", ""),Injections!T:Y,6,FALSE)) },3))))"),"")</f>
        <v/>
      </c>
      <c r="S403" s="10"/>
      <c r="T403" s="1"/>
      <c r="V403" s="11"/>
      <c r="W403" s="12"/>
      <c r="X403" s="12"/>
      <c r="Y403" s="11"/>
      <c r="Z403" s="11"/>
      <c r="AA403" s="11"/>
    </row>
    <row r="404" spans="1:27" ht="13" x14ac:dyDescent="0.15">
      <c r="A404" s="7">
        <f t="shared" si="10"/>
        <v>0</v>
      </c>
      <c r="G404" s="8"/>
      <c r="H404" s="8"/>
      <c r="I404" s="8"/>
      <c r="M404" s="8"/>
      <c r="R404" s="10" t="str">
        <f ca="1">IFERROR(__xludf.DUMMYFUNCTION("JOIN("","", SORT(UNIQUE(TOCOL({VLOOKUP(D404,DM_fish!A:B,2,FALSE),VLOOKUP(C404,DM_fish!A:B,2,FALSE), ARRAYFORMULA(VLOOKUP(SPLIT(E404, "", ""),Injections!B:G,6,FALSE)), ARRAYFORMULA(VLOOKUP(SPLIT(F404, "", ""),Injections!H:M,6,FALSE)), ARRAYFORMULA(VLOOKUP("&amp;"SPLIT(G404, "", ""),Injections!N:S,6,FALSE)), ARRAYFORMULA(VLOOKUP(SPLIT(H404, "", ""),Injections!T:Y,6,FALSE)) },3))))"),"")</f>
        <v/>
      </c>
      <c r="S404" s="10"/>
      <c r="T404" s="1"/>
      <c r="V404" s="11"/>
      <c r="W404" s="12"/>
      <c r="X404" s="12"/>
      <c r="Y404" s="11"/>
      <c r="Z404" s="11"/>
      <c r="AA404" s="11"/>
    </row>
    <row r="405" spans="1:27" ht="13" x14ac:dyDescent="0.15">
      <c r="A405" s="7">
        <f t="shared" si="10"/>
        <v>0</v>
      </c>
      <c r="G405" s="8"/>
      <c r="H405" s="8"/>
      <c r="I405" s="8"/>
      <c r="M405" s="8"/>
      <c r="R405" s="10" t="str">
        <f ca="1">IFERROR(__xludf.DUMMYFUNCTION("JOIN("","", SORT(UNIQUE(TOCOL({VLOOKUP(D405,DM_fish!A:B,2,FALSE),VLOOKUP(C405,DM_fish!A:B,2,FALSE), ARRAYFORMULA(VLOOKUP(SPLIT(E405, "", ""),Injections!B:G,6,FALSE)), ARRAYFORMULA(VLOOKUP(SPLIT(F405, "", ""),Injections!H:M,6,FALSE)), ARRAYFORMULA(VLOOKUP("&amp;"SPLIT(G405, "", ""),Injections!N:S,6,FALSE)), ARRAYFORMULA(VLOOKUP(SPLIT(H405, "", ""),Injections!T:Y,6,FALSE)) },3))))"),"")</f>
        <v/>
      </c>
      <c r="S405" s="10"/>
      <c r="T405" s="1"/>
      <c r="V405" s="11"/>
      <c r="W405" s="12"/>
      <c r="X405" s="12"/>
      <c r="Y405" s="11"/>
      <c r="Z405" s="11"/>
      <c r="AA405" s="11"/>
    </row>
    <row r="406" spans="1:27" ht="13" x14ac:dyDescent="0.15">
      <c r="A406" s="7">
        <f t="shared" si="10"/>
        <v>0</v>
      </c>
      <c r="G406" s="8"/>
      <c r="H406" s="8"/>
      <c r="I406" s="8"/>
      <c r="M406" s="8"/>
      <c r="R406" s="10" t="str">
        <f ca="1">IFERROR(__xludf.DUMMYFUNCTION("JOIN("","", SORT(UNIQUE(TOCOL({VLOOKUP(D406,DM_fish!A:B,2,FALSE),VLOOKUP(C406,DM_fish!A:B,2,FALSE), ARRAYFORMULA(VLOOKUP(SPLIT(E406, "", ""),Injections!B:G,6,FALSE)), ARRAYFORMULA(VLOOKUP(SPLIT(F406, "", ""),Injections!H:M,6,FALSE)), ARRAYFORMULA(VLOOKUP("&amp;"SPLIT(G406, "", ""),Injections!N:S,6,FALSE)), ARRAYFORMULA(VLOOKUP(SPLIT(H406, "", ""),Injections!T:Y,6,FALSE)) },3))))"),"")</f>
        <v/>
      </c>
      <c r="S406" s="10"/>
      <c r="T406" s="1"/>
      <c r="V406" s="11"/>
      <c r="W406" s="12"/>
      <c r="X406" s="12"/>
      <c r="Y406" s="11"/>
      <c r="Z406" s="11"/>
      <c r="AA406" s="11"/>
    </row>
    <row r="407" spans="1:27" ht="13" x14ac:dyDescent="0.15">
      <c r="A407" s="7">
        <f t="shared" si="10"/>
        <v>0</v>
      </c>
      <c r="G407" s="8"/>
      <c r="H407" s="8"/>
      <c r="I407" s="8"/>
      <c r="M407" s="8"/>
      <c r="R407" s="10" t="str">
        <f ca="1">IFERROR(__xludf.DUMMYFUNCTION("JOIN("","", SORT(UNIQUE(TOCOL({VLOOKUP(D407,DM_fish!A:B,2,FALSE),VLOOKUP(C407,DM_fish!A:B,2,FALSE), ARRAYFORMULA(VLOOKUP(SPLIT(E407, "", ""),Injections!B:G,6,FALSE)), ARRAYFORMULA(VLOOKUP(SPLIT(F407, "", ""),Injections!H:M,6,FALSE)), ARRAYFORMULA(VLOOKUP("&amp;"SPLIT(G407, "", ""),Injections!N:S,6,FALSE)), ARRAYFORMULA(VLOOKUP(SPLIT(H407, "", ""),Injections!T:Y,6,FALSE)) },3))))"),"")</f>
        <v/>
      </c>
      <c r="S407" s="10"/>
      <c r="T407" s="1"/>
      <c r="V407" s="11"/>
      <c r="W407" s="12"/>
      <c r="X407" s="12"/>
      <c r="Y407" s="11"/>
      <c r="Z407" s="11"/>
      <c r="AA407" s="11"/>
    </row>
    <row r="408" spans="1:27" ht="13" x14ac:dyDescent="0.15">
      <c r="A408" s="7">
        <f t="shared" si="10"/>
        <v>0</v>
      </c>
      <c r="G408" s="8"/>
      <c r="H408" s="8"/>
      <c r="I408" s="8"/>
      <c r="M408" s="8"/>
      <c r="R408" s="10" t="str">
        <f ca="1">IFERROR(__xludf.DUMMYFUNCTION("JOIN("","", SORT(UNIQUE(TOCOL({VLOOKUP(D408,DM_fish!A:B,2,FALSE),VLOOKUP(C408,DM_fish!A:B,2,FALSE), ARRAYFORMULA(VLOOKUP(SPLIT(E408, "", ""),Injections!B:G,6,FALSE)), ARRAYFORMULA(VLOOKUP(SPLIT(F408, "", ""),Injections!H:M,6,FALSE)), ARRAYFORMULA(VLOOKUP("&amp;"SPLIT(G408, "", ""),Injections!N:S,6,FALSE)), ARRAYFORMULA(VLOOKUP(SPLIT(H408, "", ""),Injections!T:Y,6,FALSE)) },3))))"),"")</f>
        <v/>
      </c>
      <c r="S408" s="10"/>
      <c r="T408" s="1"/>
      <c r="V408" s="11"/>
      <c r="W408" s="12"/>
      <c r="X408" s="12"/>
      <c r="Y408" s="11"/>
      <c r="Z408" s="11"/>
      <c r="AA408" s="11"/>
    </row>
    <row r="409" spans="1:27" ht="13" x14ac:dyDescent="0.15">
      <c r="A409" s="7">
        <f t="shared" si="10"/>
        <v>0</v>
      </c>
      <c r="G409" s="8"/>
      <c r="H409" s="8"/>
      <c r="I409" s="8"/>
      <c r="M409" s="8"/>
      <c r="R409" s="10" t="str">
        <f ca="1">IFERROR(__xludf.DUMMYFUNCTION("JOIN("","", SORT(UNIQUE(TOCOL({VLOOKUP(D409,DM_fish!A:B,2,FALSE),VLOOKUP(C409,DM_fish!A:B,2,FALSE), ARRAYFORMULA(VLOOKUP(SPLIT(E409, "", ""),Injections!B:G,6,FALSE)), ARRAYFORMULA(VLOOKUP(SPLIT(F409, "", ""),Injections!H:M,6,FALSE)), ARRAYFORMULA(VLOOKUP("&amp;"SPLIT(G409, "", ""),Injections!N:S,6,FALSE)), ARRAYFORMULA(VLOOKUP(SPLIT(H409, "", ""),Injections!T:Y,6,FALSE)) },3))))"),"")</f>
        <v/>
      </c>
      <c r="S409" s="10"/>
      <c r="T409" s="1"/>
      <c r="V409" s="11"/>
      <c r="W409" s="12"/>
      <c r="X409" s="12"/>
      <c r="Y409" s="11"/>
      <c r="Z409" s="11"/>
      <c r="AA409" s="11"/>
    </row>
    <row r="410" spans="1:27" ht="13" x14ac:dyDescent="0.15">
      <c r="A410" s="7">
        <f t="shared" si="10"/>
        <v>0</v>
      </c>
      <c r="G410" s="8"/>
      <c r="H410" s="8"/>
      <c r="I410" s="8"/>
      <c r="M410" s="8"/>
      <c r="R410" s="10" t="str">
        <f ca="1">IFERROR(__xludf.DUMMYFUNCTION("JOIN("","", SORT(UNIQUE(TOCOL({VLOOKUP(D410,DM_fish!A:B,2,FALSE),VLOOKUP(C410,DM_fish!A:B,2,FALSE), ARRAYFORMULA(VLOOKUP(SPLIT(E410, "", ""),Injections!B:G,6,FALSE)), ARRAYFORMULA(VLOOKUP(SPLIT(F410, "", ""),Injections!H:M,6,FALSE)), ARRAYFORMULA(VLOOKUP("&amp;"SPLIT(G410, "", ""),Injections!N:S,6,FALSE)), ARRAYFORMULA(VLOOKUP(SPLIT(H410, "", ""),Injections!T:Y,6,FALSE)) },3))))"),"")</f>
        <v/>
      </c>
      <c r="S410" s="10"/>
      <c r="T410" s="1"/>
      <c r="V410" s="11"/>
      <c r="W410" s="12"/>
      <c r="X410" s="12"/>
      <c r="Y410" s="11"/>
      <c r="Z410" s="11"/>
      <c r="AA410" s="11"/>
    </row>
    <row r="411" spans="1:27" ht="13" x14ac:dyDescent="0.15">
      <c r="A411" s="7">
        <f t="shared" si="10"/>
        <v>0</v>
      </c>
      <c r="G411" s="8"/>
      <c r="H411" s="8"/>
      <c r="I411" s="8"/>
      <c r="M411" s="8"/>
      <c r="R411" s="10" t="str">
        <f ca="1">IFERROR(__xludf.DUMMYFUNCTION("JOIN("","", SORT(UNIQUE(TOCOL({VLOOKUP(D411,DM_fish!A:B,2,FALSE),VLOOKUP(C411,DM_fish!A:B,2,FALSE), ARRAYFORMULA(VLOOKUP(SPLIT(E411, "", ""),Injections!B:G,6,FALSE)), ARRAYFORMULA(VLOOKUP(SPLIT(F411, "", ""),Injections!H:M,6,FALSE)), ARRAYFORMULA(VLOOKUP("&amp;"SPLIT(G411, "", ""),Injections!N:S,6,FALSE)), ARRAYFORMULA(VLOOKUP(SPLIT(H411, "", ""),Injections!T:Y,6,FALSE)) },3))))"),"")</f>
        <v/>
      </c>
      <c r="S411" s="10"/>
      <c r="T411" s="1"/>
      <c r="V411" s="11"/>
      <c r="W411" s="12"/>
      <c r="X411" s="12"/>
      <c r="Y411" s="11"/>
      <c r="Z411" s="11"/>
      <c r="AA411" s="11"/>
    </row>
    <row r="412" spans="1:27" ht="13" x14ac:dyDescent="0.15">
      <c r="A412" s="7">
        <f t="shared" si="10"/>
        <v>0</v>
      </c>
      <c r="G412" s="8"/>
      <c r="H412" s="8"/>
      <c r="I412" s="8"/>
      <c r="M412" s="8"/>
      <c r="R412" s="10" t="str">
        <f ca="1">IFERROR(__xludf.DUMMYFUNCTION("JOIN("","", SORT(UNIQUE(TOCOL({VLOOKUP(D412,DM_fish!A:B,2,FALSE),VLOOKUP(C412,DM_fish!A:B,2,FALSE), ARRAYFORMULA(VLOOKUP(SPLIT(E412, "", ""),Injections!B:G,6,FALSE)), ARRAYFORMULA(VLOOKUP(SPLIT(F412, "", ""),Injections!H:M,6,FALSE)), ARRAYFORMULA(VLOOKUP("&amp;"SPLIT(G412, "", ""),Injections!N:S,6,FALSE)), ARRAYFORMULA(VLOOKUP(SPLIT(H412, "", ""),Injections!T:Y,6,FALSE)) },3))))"),"")</f>
        <v/>
      </c>
      <c r="S412" s="10"/>
      <c r="T412" s="1"/>
      <c r="V412" s="11"/>
      <c r="W412" s="12"/>
      <c r="X412" s="12"/>
      <c r="Y412" s="11"/>
      <c r="Z412" s="11"/>
      <c r="AA412" s="11"/>
    </row>
    <row r="413" spans="1:27" ht="13" x14ac:dyDescent="0.15">
      <c r="A413" s="7">
        <f t="shared" si="10"/>
        <v>0</v>
      </c>
      <c r="G413" s="8"/>
      <c r="H413" s="8"/>
      <c r="I413" s="8"/>
      <c r="M413" s="8"/>
      <c r="R413" s="10" t="str">
        <f ca="1">IFERROR(__xludf.DUMMYFUNCTION("JOIN("","", SORT(UNIQUE(TOCOL({VLOOKUP(D413,DM_fish!A:B,2,FALSE),VLOOKUP(C413,DM_fish!A:B,2,FALSE), ARRAYFORMULA(VLOOKUP(SPLIT(E413, "", ""),Injections!B:G,6,FALSE)), ARRAYFORMULA(VLOOKUP(SPLIT(F413, "", ""),Injections!H:M,6,FALSE)), ARRAYFORMULA(VLOOKUP("&amp;"SPLIT(G413, "", ""),Injections!N:S,6,FALSE)), ARRAYFORMULA(VLOOKUP(SPLIT(H413, "", ""),Injections!T:Y,6,FALSE)) },3))))"),"")</f>
        <v/>
      </c>
      <c r="S413" s="10"/>
      <c r="T413" s="1"/>
      <c r="V413" s="11"/>
      <c r="W413" s="12"/>
      <c r="X413" s="12"/>
      <c r="Y413" s="11"/>
      <c r="Z413" s="11"/>
      <c r="AA413" s="11"/>
    </row>
    <row r="414" spans="1:27" ht="13" x14ac:dyDescent="0.15">
      <c r="A414" s="7">
        <f t="shared" si="10"/>
        <v>0</v>
      </c>
      <c r="G414" s="8"/>
      <c r="H414" s="8"/>
      <c r="I414" s="8"/>
      <c r="M414" s="8"/>
      <c r="R414" s="10" t="str">
        <f ca="1">IFERROR(__xludf.DUMMYFUNCTION("JOIN("","", SORT(UNIQUE(TOCOL({VLOOKUP(D414,DM_fish!A:B,2,FALSE),VLOOKUP(C414,DM_fish!A:B,2,FALSE), ARRAYFORMULA(VLOOKUP(SPLIT(E414, "", ""),Injections!B:G,6,FALSE)), ARRAYFORMULA(VLOOKUP(SPLIT(F414, "", ""),Injections!H:M,6,FALSE)), ARRAYFORMULA(VLOOKUP("&amp;"SPLIT(G414, "", ""),Injections!N:S,6,FALSE)), ARRAYFORMULA(VLOOKUP(SPLIT(H414, "", ""),Injections!T:Y,6,FALSE)) },3))))"),"")</f>
        <v/>
      </c>
      <c r="S414" s="10"/>
      <c r="T414" s="1"/>
      <c r="V414" s="11"/>
      <c r="W414" s="12"/>
      <c r="X414" s="12"/>
      <c r="Y414" s="11"/>
      <c r="Z414" s="11"/>
      <c r="AA414" s="11"/>
    </row>
    <row r="415" spans="1:27" ht="13" x14ac:dyDescent="0.15">
      <c r="A415" s="7">
        <f t="shared" si="10"/>
        <v>0</v>
      </c>
      <c r="G415" s="8"/>
      <c r="H415" s="8"/>
      <c r="I415" s="8"/>
      <c r="M415" s="8"/>
      <c r="R415" s="10" t="str">
        <f ca="1">IFERROR(__xludf.DUMMYFUNCTION("JOIN("","", SORT(UNIQUE(TOCOL({VLOOKUP(D415,DM_fish!A:B,2,FALSE),VLOOKUP(C415,DM_fish!A:B,2,FALSE), ARRAYFORMULA(VLOOKUP(SPLIT(E415, "", ""),Injections!B:G,6,FALSE)), ARRAYFORMULA(VLOOKUP(SPLIT(F415, "", ""),Injections!H:M,6,FALSE)), ARRAYFORMULA(VLOOKUP("&amp;"SPLIT(G415, "", ""),Injections!N:S,6,FALSE)), ARRAYFORMULA(VLOOKUP(SPLIT(H415, "", ""),Injections!T:Y,6,FALSE)) },3))))"),"")</f>
        <v/>
      </c>
      <c r="S415" s="10"/>
      <c r="T415" s="1"/>
      <c r="V415" s="11"/>
      <c r="W415" s="12"/>
      <c r="X415" s="12"/>
      <c r="Y415" s="11"/>
      <c r="Z415" s="11"/>
      <c r="AA415" s="11"/>
    </row>
    <row r="416" spans="1:27" ht="13" x14ac:dyDescent="0.15">
      <c r="A416" s="7">
        <f t="shared" si="10"/>
        <v>0</v>
      </c>
      <c r="G416" s="8"/>
      <c r="H416" s="8"/>
      <c r="I416" s="8"/>
      <c r="M416" s="8"/>
      <c r="R416" s="10" t="str">
        <f ca="1">IFERROR(__xludf.DUMMYFUNCTION("JOIN("","", SORT(UNIQUE(TOCOL({VLOOKUP(D416,DM_fish!A:B,2,FALSE),VLOOKUP(C416,DM_fish!A:B,2,FALSE), ARRAYFORMULA(VLOOKUP(SPLIT(E416, "", ""),Injections!B:G,6,FALSE)), ARRAYFORMULA(VLOOKUP(SPLIT(F416, "", ""),Injections!H:M,6,FALSE)), ARRAYFORMULA(VLOOKUP("&amp;"SPLIT(G416, "", ""),Injections!N:S,6,FALSE)), ARRAYFORMULA(VLOOKUP(SPLIT(H416, "", ""),Injections!T:Y,6,FALSE)) },3))))"),"")</f>
        <v/>
      </c>
      <c r="S416" s="10"/>
      <c r="T416" s="1"/>
      <c r="V416" s="11"/>
      <c r="W416" s="12"/>
      <c r="X416" s="12"/>
      <c r="Y416" s="11"/>
      <c r="Z416" s="11"/>
      <c r="AA416" s="11"/>
    </row>
    <row r="417" spans="1:27" ht="13" x14ac:dyDescent="0.15">
      <c r="A417" s="7">
        <f t="shared" si="10"/>
        <v>0</v>
      </c>
      <c r="G417" s="8"/>
      <c r="H417" s="8"/>
      <c r="I417" s="8"/>
      <c r="M417" s="8"/>
      <c r="R417" s="10" t="str">
        <f ca="1">IFERROR(__xludf.DUMMYFUNCTION("JOIN("","", SORT(UNIQUE(TOCOL({VLOOKUP(D417,DM_fish!A:B,2,FALSE),VLOOKUP(C417,DM_fish!A:B,2,FALSE), ARRAYFORMULA(VLOOKUP(SPLIT(E417, "", ""),Injections!B:G,6,FALSE)), ARRAYFORMULA(VLOOKUP(SPLIT(F417, "", ""),Injections!H:M,6,FALSE)), ARRAYFORMULA(VLOOKUP("&amp;"SPLIT(G417, "", ""),Injections!N:S,6,FALSE)), ARRAYFORMULA(VLOOKUP(SPLIT(H417, "", ""),Injections!T:Y,6,FALSE)) },3))))"),"")</f>
        <v/>
      </c>
      <c r="S417" s="10"/>
      <c r="T417" s="1"/>
      <c r="V417" s="11"/>
      <c r="W417" s="12"/>
      <c r="X417" s="12"/>
      <c r="Y417" s="11"/>
      <c r="Z417" s="11"/>
      <c r="AA417" s="11"/>
    </row>
    <row r="418" spans="1:27" ht="13" x14ac:dyDescent="0.15">
      <c r="A418" s="7">
        <f t="shared" si="10"/>
        <v>0</v>
      </c>
      <c r="G418" s="8"/>
      <c r="H418" s="8"/>
      <c r="I418" s="8"/>
      <c r="M418" s="8"/>
      <c r="R418" s="10" t="str">
        <f ca="1">IFERROR(__xludf.DUMMYFUNCTION("JOIN("","", SORT(UNIQUE(TOCOL({VLOOKUP(D418,DM_fish!A:B,2,FALSE),VLOOKUP(C418,DM_fish!A:B,2,FALSE), ARRAYFORMULA(VLOOKUP(SPLIT(E418, "", ""),Injections!B:G,6,FALSE)), ARRAYFORMULA(VLOOKUP(SPLIT(F418, "", ""),Injections!H:M,6,FALSE)), ARRAYFORMULA(VLOOKUP("&amp;"SPLIT(G418, "", ""),Injections!N:S,6,FALSE)), ARRAYFORMULA(VLOOKUP(SPLIT(H418, "", ""),Injections!T:Y,6,FALSE)) },3))))"),"")</f>
        <v/>
      </c>
      <c r="S418" s="10"/>
      <c r="T418" s="1"/>
      <c r="V418" s="11"/>
      <c r="W418" s="12"/>
      <c r="X418" s="12"/>
      <c r="Y418" s="11"/>
      <c r="Z418" s="11"/>
      <c r="AA418" s="11"/>
    </row>
    <row r="419" spans="1:27" ht="13" x14ac:dyDescent="0.15">
      <c r="A419" s="7">
        <f t="shared" si="10"/>
        <v>0</v>
      </c>
      <c r="G419" s="8"/>
      <c r="H419" s="8"/>
      <c r="I419" s="8"/>
      <c r="M419" s="8"/>
      <c r="R419" s="10" t="str">
        <f ca="1">IFERROR(__xludf.DUMMYFUNCTION("JOIN("","", SORT(UNIQUE(TOCOL({VLOOKUP(D419,DM_fish!A:B,2,FALSE),VLOOKUP(C419,DM_fish!A:B,2,FALSE), ARRAYFORMULA(VLOOKUP(SPLIT(E419, "", ""),Injections!B:G,6,FALSE)), ARRAYFORMULA(VLOOKUP(SPLIT(F419, "", ""),Injections!H:M,6,FALSE)), ARRAYFORMULA(VLOOKUP("&amp;"SPLIT(G419, "", ""),Injections!N:S,6,FALSE)), ARRAYFORMULA(VLOOKUP(SPLIT(H419, "", ""),Injections!T:Y,6,FALSE)) },3))))"),"")</f>
        <v/>
      </c>
      <c r="S419" s="10"/>
      <c r="T419" s="1"/>
      <c r="V419" s="11"/>
      <c r="W419" s="12"/>
      <c r="X419" s="12"/>
      <c r="Y419" s="11"/>
      <c r="Z419" s="11"/>
      <c r="AA419" s="11"/>
    </row>
    <row r="420" spans="1:27" ht="13" x14ac:dyDescent="0.15">
      <c r="A420" s="7">
        <f t="shared" si="10"/>
        <v>0</v>
      </c>
      <c r="G420" s="8"/>
      <c r="H420" s="8"/>
      <c r="I420" s="8"/>
      <c r="M420" s="8"/>
      <c r="R420" s="10" t="str">
        <f ca="1">IFERROR(__xludf.DUMMYFUNCTION("JOIN("","", SORT(UNIQUE(TOCOL({VLOOKUP(D420,DM_fish!A:B,2,FALSE),VLOOKUP(C420,DM_fish!A:B,2,FALSE), ARRAYFORMULA(VLOOKUP(SPLIT(E420, "", ""),Injections!B:G,6,FALSE)), ARRAYFORMULA(VLOOKUP(SPLIT(F420, "", ""),Injections!H:M,6,FALSE)), ARRAYFORMULA(VLOOKUP("&amp;"SPLIT(G420, "", ""),Injections!N:S,6,FALSE)), ARRAYFORMULA(VLOOKUP(SPLIT(H420, "", ""),Injections!T:Y,6,FALSE)) },3))))"),"")</f>
        <v/>
      </c>
      <c r="S420" s="10"/>
      <c r="T420" s="1"/>
      <c r="V420" s="11"/>
      <c r="W420" s="12"/>
      <c r="X420" s="12"/>
      <c r="Y420" s="11"/>
      <c r="Z420" s="11"/>
      <c r="AA420" s="11"/>
    </row>
    <row r="421" spans="1:27" ht="13" x14ac:dyDescent="0.15">
      <c r="A421" s="7">
        <f t="shared" si="10"/>
        <v>0</v>
      </c>
      <c r="G421" s="8"/>
      <c r="H421" s="8"/>
      <c r="I421" s="8"/>
      <c r="M421" s="8"/>
      <c r="R421" s="10" t="str">
        <f ca="1">IFERROR(__xludf.DUMMYFUNCTION("JOIN("","", SORT(UNIQUE(TOCOL({VLOOKUP(D421,DM_fish!A:B,2,FALSE),VLOOKUP(C421,DM_fish!A:B,2,FALSE), ARRAYFORMULA(VLOOKUP(SPLIT(E421, "", ""),Injections!B:G,6,FALSE)), ARRAYFORMULA(VLOOKUP(SPLIT(F421, "", ""),Injections!H:M,6,FALSE)), ARRAYFORMULA(VLOOKUP("&amp;"SPLIT(G421, "", ""),Injections!N:S,6,FALSE)), ARRAYFORMULA(VLOOKUP(SPLIT(H421, "", ""),Injections!T:Y,6,FALSE)) },3))))"),"")</f>
        <v/>
      </c>
      <c r="S421" s="10"/>
      <c r="T421" s="1"/>
      <c r="V421" s="11"/>
      <c r="W421" s="12"/>
      <c r="X421" s="12"/>
      <c r="Y421" s="11"/>
      <c r="Z421" s="11"/>
      <c r="AA421" s="11"/>
    </row>
    <row r="422" spans="1:27" ht="13" x14ac:dyDescent="0.15">
      <c r="A422" s="7">
        <f t="shared" si="10"/>
        <v>0</v>
      </c>
      <c r="G422" s="8"/>
      <c r="H422" s="8"/>
      <c r="I422" s="8"/>
      <c r="M422" s="8"/>
      <c r="R422" s="10" t="str">
        <f ca="1">IFERROR(__xludf.DUMMYFUNCTION("JOIN("","", SORT(UNIQUE(TOCOL({VLOOKUP(D422,DM_fish!A:B,2,FALSE),VLOOKUP(C422,DM_fish!A:B,2,FALSE), ARRAYFORMULA(VLOOKUP(SPLIT(E422, "", ""),Injections!B:G,6,FALSE)), ARRAYFORMULA(VLOOKUP(SPLIT(F422, "", ""),Injections!H:M,6,FALSE)), ARRAYFORMULA(VLOOKUP("&amp;"SPLIT(G422, "", ""),Injections!N:S,6,FALSE)), ARRAYFORMULA(VLOOKUP(SPLIT(H422, "", ""),Injections!T:Y,6,FALSE)) },3))))"),"")</f>
        <v/>
      </c>
      <c r="S422" s="10"/>
      <c r="T422" s="1"/>
      <c r="V422" s="11"/>
      <c r="W422" s="12"/>
      <c r="X422" s="12"/>
      <c r="Y422" s="11"/>
      <c r="Z422" s="11"/>
      <c r="AA422" s="11"/>
    </row>
    <row r="423" spans="1:27" ht="13" x14ac:dyDescent="0.15">
      <c r="A423" s="7">
        <f t="shared" si="10"/>
        <v>0</v>
      </c>
      <c r="G423" s="8"/>
      <c r="H423" s="8"/>
      <c r="I423" s="8"/>
      <c r="M423" s="8"/>
      <c r="R423" s="10" t="str">
        <f ca="1">IFERROR(__xludf.DUMMYFUNCTION("JOIN("","", SORT(UNIQUE(TOCOL({VLOOKUP(D423,DM_fish!A:B,2,FALSE),VLOOKUP(C423,DM_fish!A:B,2,FALSE), ARRAYFORMULA(VLOOKUP(SPLIT(E423, "", ""),Injections!B:G,6,FALSE)), ARRAYFORMULA(VLOOKUP(SPLIT(F423, "", ""),Injections!H:M,6,FALSE)), ARRAYFORMULA(VLOOKUP("&amp;"SPLIT(G423, "", ""),Injections!N:S,6,FALSE)), ARRAYFORMULA(VLOOKUP(SPLIT(H423, "", ""),Injections!T:Y,6,FALSE)) },3))))"),"")</f>
        <v/>
      </c>
      <c r="S423" s="10"/>
      <c r="T423" s="1"/>
      <c r="V423" s="11"/>
      <c r="W423" s="12"/>
      <c r="X423" s="12"/>
      <c r="Y423" s="11"/>
      <c r="Z423" s="11"/>
      <c r="AA423" s="11"/>
    </row>
    <row r="424" spans="1:27" ht="13" x14ac:dyDescent="0.15">
      <c r="A424" s="7">
        <f t="shared" si="10"/>
        <v>0</v>
      </c>
      <c r="G424" s="8"/>
      <c r="H424" s="8"/>
      <c r="I424" s="8"/>
      <c r="M424" s="8"/>
      <c r="R424" s="10" t="str">
        <f ca="1">IFERROR(__xludf.DUMMYFUNCTION("JOIN("","", SORT(UNIQUE(TOCOL({VLOOKUP(D424,DM_fish!A:B,2,FALSE),VLOOKUP(C424,DM_fish!A:B,2,FALSE), ARRAYFORMULA(VLOOKUP(SPLIT(E424, "", ""),Injections!B:G,6,FALSE)), ARRAYFORMULA(VLOOKUP(SPLIT(F424, "", ""),Injections!H:M,6,FALSE)), ARRAYFORMULA(VLOOKUP("&amp;"SPLIT(G424, "", ""),Injections!N:S,6,FALSE)), ARRAYFORMULA(VLOOKUP(SPLIT(H424, "", ""),Injections!T:Y,6,FALSE)) },3))))"),"")</f>
        <v/>
      </c>
      <c r="S424" s="10"/>
      <c r="T424" s="1"/>
      <c r="V424" s="11"/>
      <c r="W424" s="12"/>
      <c r="X424" s="12"/>
      <c r="Y424" s="11"/>
      <c r="Z424" s="11"/>
      <c r="AA424" s="11"/>
    </row>
    <row r="425" spans="1:27" ht="13" x14ac:dyDescent="0.15">
      <c r="A425" s="7">
        <f t="shared" si="10"/>
        <v>0</v>
      </c>
      <c r="G425" s="8"/>
      <c r="H425" s="8"/>
      <c r="I425" s="8"/>
      <c r="M425" s="8"/>
      <c r="R425" s="10" t="str">
        <f ca="1">IFERROR(__xludf.DUMMYFUNCTION("JOIN("","", SORT(UNIQUE(TOCOL({VLOOKUP(D425,DM_fish!A:B,2,FALSE),VLOOKUP(C425,DM_fish!A:B,2,FALSE), ARRAYFORMULA(VLOOKUP(SPLIT(E425, "", ""),Injections!B:G,6,FALSE)), ARRAYFORMULA(VLOOKUP(SPLIT(F425, "", ""),Injections!H:M,6,FALSE)), ARRAYFORMULA(VLOOKUP("&amp;"SPLIT(G425, "", ""),Injections!N:S,6,FALSE)), ARRAYFORMULA(VLOOKUP(SPLIT(H425, "", ""),Injections!T:Y,6,FALSE)) },3))))"),"")</f>
        <v/>
      </c>
      <c r="S425" s="10"/>
      <c r="T425" s="1"/>
      <c r="V425" s="11"/>
      <c r="W425" s="12"/>
      <c r="X425" s="12"/>
      <c r="Y425" s="11"/>
      <c r="Z425" s="11"/>
      <c r="AA425" s="11"/>
    </row>
    <row r="426" spans="1:27" ht="13" x14ac:dyDescent="0.15">
      <c r="A426" s="7">
        <f t="shared" si="10"/>
        <v>0</v>
      </c>
      <c r="G426" s="8"/>
      <c r="H426" s="8"/>
      <c r="I426" s="8"/>
      <c r="M426" s="8"/>
      <c r="R426" s="10" t="str">
        <f ca="1">IFERROR(__xludf.DUMMYFUNCTION("JOIN("","", SORT(UNIQUE(TOCOL({VLOOKUP(D426,DM_fish!A:B,2,FALSE),VLOOKUP(C426,DM_fish!A:B,2,FALSE), ARRAYFORMULA(VLOOKUP(SPLIT(E426, "", ""),Injections!B:G,6,FALSE)), ARRAYFORMULA(VLOOKUP(SPLIT(F426, "", ""),Injections!H:M,6,FALSE)), ARRAYFORMULA(VLOOKUP("&amp;"SPLIT(G426, "", ""),Injections!N:S,6,FALSE)), ARRAYFORMULA(VLOOKUP(SPLIT(H426, "", ""),Injections!T:Y,6,FALSE)) },3))))"),"")</f>
        <v/>
      </c>
      <c r="S426" s="10"/>
      <c r="T426" s="1"/>
      <c r="V426" s="11"/>
      <c r="W426" s="12"/>
      <c r="X426" s="12"/>
      <c r="Y426" s="11"/>
      <c r="Z426" s="11"/>
      <c r="AA426" s="11"/>
    </row>
    <row r="427" spans="1:27" ht="13" x14ac:dyDescent="0.15">
      <c r="A427" s="7">
        <f t="shared" si="10"/>
        <v>0</v>
      </c>
      <c r="G427" s="8"/>
      <c r="H427" s="8"/>
      <c r="I427" s="8"/>
      <c r="M427" s="8"/>
      <c r="R427" s="10" t="str">
        <f ca="1">IFERROR(__xludf.DUMMYFUNCTION("JOIN("","", SORT(UNIQUE(TOCOL({VLOOKUP(D427,DM_fish!A:B,2,FALSE),VLOOKUP(C427,DM_fish!A:B,2,FALSE), ARRAYFORMULA(VLOOKUP(SPLIT(E427, "", ""),Injections!B:G,6,FALSE)), ARRAYFORMULA(VLOOKUP(SPLIT(F427, "", ""),Injections!H:M,6,FALSE)), ARRAYFORMULA(VLOOKUP("&amp;"SPLIT(G427, "", ""),Injections!N:S,6,FALSE)), ARRAYFORMULA(VLOOKUP(SPLIT(H427, "", ""),Injections!T:Y,6,FALSE)) },3))))"),"")</f>
        <v/>
      </c>
      <c r="S427" s="10"/>
      <c r="T427" s="1"/>
      <c r="V427" s="11"/>
      <c r="W427" s="12"/>
      <c r="X427" s="12"/>
      <c r="Y427" s="11"/>
      <c r="Z427" s="11"/>
      <c r="AA427" s="11"/>
    </row>
    <row r="428" spans="1:27" ht="13" x14ac:dyDescent="0.15">
      <c r="A428" s="7">
        <f t="shared" si="10"/>
        <v>0</v>
      </c>
      <c r="G428" s="8"/>
      <c r="H428" s="8"/>
      <c r="I428" s="8"/>
      <c r="M428" s="8"/>
      <c r="R428" s="10" t="str">
        <f ca="1">IFERROR(__xludf.DUMMYFUNCTION("JOIN("","", SORT(UNIQUE(TOCOL({VLOOKUP(D428,DM_fish!A:B,2,FALSE),VLOOKUP(C428,DM_fish!A:B,2,FALSE), ARRAYFORMULA(VLOOKUP(SPLIT(E428, "", ""),Injections!B:G,6,FALSE)), ARRAYFORMULA(VLOOKUP(SPLIT(F428, "", ""),Injections!H:M,6,FALSE)), ARRAYFORMULA(VLOOKUP("&amp;"SPLIT(G428, "", ""),Injections!N:S,6,FALSE)), ARRAYFORMULA(VLOOKUP(SPLIT(H428, "", ""),Injections!T:Y,6,FALSE)) },3))))"),"")</f>
        <v/>
      </c>
      <c r="S428" s="10"/>
      <c r="T428" s="1"/>
      <c r="V428" s="11"/>
      <c r="W428" s="12"/>
      <c r="X428" s="12"/>
      <c r="Y428" s="11"/>
      <c r="Z428" s="11"/>
      <c r="AA428" s="11"/>
    </row>
    <row r="429" spans="1:27" ht="13" x14ac:dyDescent="0.15">
      <c r="A429" s="7">
        <f t="shared" si="10"/>
        <v>0</v>
      </c>
      <c r="G429" s="8"/>
      <c r="H429" s="8"/>
      <c r="I429" s="8"/>
      <c r="M429" s="8"/>
      <c r="R429" s="10" t="str">
        <f ca="1">IFERROR(__xludf.DUMMYFUNCTION("JOIN("","", SORT(UNIQUE(TOCOL({VLOOKUP(D429,DM_fish!A:B,2,FALSE),VLOOKUP(C429,DM_fish!A:B,2,FALSE), ARRAYFORMULA(VLOOKUP(SPLIT(E429, "", ""),Injections!B:G,6,FALSE)), ARRAYFORMULA(VLOOKUP(SPLIT(F429, "", ""),Injections!H:M,6,FALSE)), ARRAYFORMULA(VLOOKUP("&amp;"SPLIT(G429, "", ""),Injections!N:S,6,FALSE)), ARRAYFORMULA(VLOOKUP(SPLIT(H429, "", ""),Injections!T:Y,6,FALSE)) },3))))"),"")</f>
        <v/>
      </c>
      <c r="S429" s="10"/>
      <c r="T429" s="1"/>
      <c r="V429" s="11"/>
      <c r="W429" s="12"/>
      <c r="X429" s="12"/>
      <c r="Y429" s="11"/>
      <c r="Z429" s="11"/>
      <c r="AA429" s="11"/>
    </row>
    <row r="430" spans="1:27" ht="13" x14ac:dyDescent="0.15">
      <c r="A430" s="7">
        <f t="shared" si="10"/>
        <v>0</v>
      </c>
      <c r="G430" s="8"/>
      <c r="H430" s="8"/>
      <c r="I430" s="8"/>
      <c r="M430" s="8"/>
      <c r="R430" s="10" t="str">
        <f ca="1">IFERROR(__xludf.DUMMYFUNCTION("JOIN("","", SORT(UNIQUE(TOCOL({VLOOKUP(D430,DM_fish!A:B,2,FALSE),VLOOKUP(C430,DM_fish!A:B,2,FALSE), ARRAYFORMULA(VLOOKUP(SPLIT(E430, "", ""),Injections!B:G,6,FALSE)), ARRAYFORMULA(VLOOKUP(SPLIT(F430, "", ""),Injections!H:M,6,FALSE)), ARRAYFORMULA(VLOOKUP("&amp;"SPLIT(G430, "", ""),Injections!N:S,6,FALSE)), ARRAYFORMULA(VLOOKUP(SPLIT(H430, "", ""),Injections!T:Y,6,FALSE)) },3))))"),"")</f>
        <v/>
      </c>
      <c r="S430" s="10"/>
      <c r="T430" s="1"/>
      <c r="V430" s="11"/>
      <c r="W430" s="12"/>
      <c r="X430" s="12"/>
      <c r="Y430" s="11"/>
      <c r="Z430" s="11"/>
      <c r="AA430" s="11"/>
    </row>
    <row r="431" spans="1:27" ht="13" x14ac:dyDescent="0.15">
      <c r="A431" s="7">
        <f t="shared" si="10"/>
        <v>0</v>
      </c>
      <c r="G431" s="8"/>
      <c r="H431" s="8"/>
      <c r="I431" s="8"/>
      <c r="M431" s="8"/>
      <c r="R431" s="10" t="str">
        <f ca="1">IFERROR(__xludf.DUMMYFUNCTION("JOIN("","", SORT(UNIQUE(TOCOL({VLOOKUP(D431,DM_fish!A:B,2,FALSE),VLOOKUP(C431,DM_fish!A:B,2,FALSE), ARRAYFORMULA(VLOOKUP(SPLIT(E431, "", ""),Injections!B:G,6,FALSE)), ARRAYFORMULA(VLOOKUP(SPLIT(F431, "", ""),Injections!H:M,6,FALSE)), ARRAYFORMULA(VLOOKUP("&amp;"SPLIT(G431, "", ""),Injections!N:S,6,FALSE)), ARRAYFORMULA(VLOOKUP(SPLIT(H431, "", ""),Injections!T:Y,6,FALSE)) },3))))"),"")</f>
        <v/>
      </c>
      <c r="S431" s="10"/>
      <c r="T431" s="1"/>
      <c r="V431" s="11"/>
      <c r="W431" s="12"/>
      <c r="X431" s="12"/>
      <c r="Y431" s="11"/>
      <c r="Z431" s="11"/>
      <c r="AA431" s="11"/>
    </row>
    <row r="432" spans="1:27" ht="13" x14ac:dyDescent="0.15">
      <c r="A432" s="7">
        <f t="shared" si="10"/>
        <v>0</v>
      </c>
      <c r="G432" s="8"/>
      <c r="H432" s="8"/>
      <c r="I432" s="8"/>
      <c r="M432" s="8"/>
      <c r="R432" s="10" t="str">
        <f ca="1">IFERROR(__xludf.DUMMYFUNCTION("JOIN("","", SORT(UNIQUE(TOCOL({VLOOKUP(D432,DM_fish!A:B,2,FALSE),VLOOKUP(C432,DM_fish!A:B,2,FALSE), ARRAYFORMULA(VLOOKUP(SPLIT(E432, "", ""),Injections!B:G,6,FALSE)), ARRAYFORMULA(VLOOKUP(SPLIT(F432, "", ""),Injections!H:M,6,FALSE)), ARRAYFORMULA(VLOOKUP("&amp;"SPLIT(G432, "", ""),Injections!N:S,6,FALSE)), ARRAYFORMULA(VLOOKUP(SPLIT(H432, "", ""),Injections!T:Y,6,FALSE)) },3))))"),"")</f>
        <v/>
      </c>
      <c r="S432" s="10"/>
      <c r="T432" s="1"/>
      <c r="V432" s="11"/>
      <c r="W432" s="12"/>
      <c r="X432" s="12"/>
      <c r="Y432" s="11"/>
      <c r="Z432" s="11"/>
      <c r="AA432" s="11"/>
    </row>
    <row r="433" spans="1:27" ht="13" x14ac:dyDescent="0.15">
      <c r="A433" s="7">
        <f t="shared" si="10"/>
        <v>0</v>
      </c>
      <c r="G433" s="8"/>
      <c r="H433" s="8"/>
      <c r="I433" s="8"/>
      <c r="M433" s="8"/>
      <c r="R433" s="10" t="str">
        <f ca="1">IFERROR(__xludf.DUMMYFUNCTION("JOIN("","", SORT(UNIQUE(TOCOL({VLOOKUP(D433,DM_fish!A:B,2,FALSE),VLOOKUP(C433,DM_fish!A:B,2,FALSE), ARRAYFORMULA(VLOOKUP(SPLIT(E433, "", ""),Injections!B:G,6,FALSE)), ARRAYFORMULA(VLOOKUP(SPLIT(F433, "", ""),Injections!H:M,6,FALSE)), ARRAYFORMULA(VLOOKUP("&amp;"SPLIT(G433, "", ""),Injections!N:S,6,FALSE)), ARRAYFORMULA(VLOOKUP(SPLIT(H433, "", ""),Injections!T:Y,6,FALSE)) },3))))"),"")</f>
        <v/>
      </c>
      <c r="S433" s="10"/>
      <c r="T433" s="1"/>
      <c r="V433" s="11"/>
      <c r="W433" s="12"/>
      <c r="X433" s="12"/>
      <c r="Y433" s="11"/>
      <c r="Z433" s="11"/>
      <c r="AA433" s="11"/>
    </row>
    <row r="434" spans="1:27" ht="13" x14ac:dyDescent="0.15">
      <c r="A434" s="7">
        <f t="shared" si="10"/>
        <v>0</v>
      </c>
      <c r="G434" s="8"/>
      <c r="H434" s="8"/>
      <c r="I434" s="8"/>
      <c r="M434" s="8"/>
      <c r="R434" s="10" t="str">
        <f ca="1">IFERROR(__xludf.DUMMYFUNCTION("JOIN("","", SORT(UNIQUE(TOCOL({VLOOKUP(D434,DM_fish!A:B,2,FALSE),VLOOKUP(C434,DM_fish!A:B,2,FALSE), ARRAYFORMULA(VLOOKUP(SPLIT(E434, "", ""),Injections!B:G,6,FALSE)), ARRAYFORMULA(VLOOKUP(SPLIT(F434, "", ""),Injections!H:M,6,FALSE)), ARRAYFORMULA(VLOOKUP("&amp;"SPLIT(G434, "", ""),Injections!N:S,6,FALSE)), ARRAYFORMULA(VLOOKUP(SPLIT(H434, "", ""),Injections!T:Y,6,FALSE)) },3))))"),"")</f>
        <v/>
      </c>
      <c r="S434" s="10"/>
      <c r="T434" s="1"/>
      <c r="V434" s="11"/>
      <c r="W434" s="12"/>
      <c r="X434" s="12"/>
      <c r="Y434" s="11"/>
      <c r="Z434" s="11"/>
      <c r="AA434" s="11"/>
    </row>
    <row r="435" spans="1:27" ht="13" x14ac:dyDescent="0.15">
      <c r="A435" s="7">
        <f t="shared" si="10"/>
        <v>0</v>
      </c>
      <c r="G435" s="8"/>
      <c r="H435" s="8"/>
      <c r="I435" s="8"/>
      <c r="M435" s="8"/>
      <c r="R435" s="10" t="str">
        <f ca="1">IFERROR(__xludf.DUMMYFUNCTION("JOIN("","", SORT(UNIQUE(TOCOL({VLOOKUP(D435,DM_fish!A:B,2,FALSE),VLOOKUP(C435,DM_fish!A:B,2,FALSE), ARRAYFORMULA(VLOOKUP(SPLIT(E435, "", ""),Injections!B:G,6,FALSE)), ARRAYFORMULA(VLOOKUP(SPLIT(F435, "", ""),Injections!H:M,6,FALSE)), ARRAYFORMULA(VLOOKUP("&amp;"SPLIT(G435, "", ""),Injections!N:S,6,FALSE)), ARRAYFORMULA(VLOOKUP(SPLIT(H435, "", ""),Injections!T:Y,6,FALSE)) },3))))"),"")</f>
        <v/>
      </c>
      <c r="S435" s="10"/>
      <c r="T435" s="1"/>
      <c r="V435" s="11"/>
      <c r="W435" s="12"/>
      <c r="X435" s="12"/>
      <c r="Y435" s="11"/>
      <c r="Z435" s="11"/>
      <c r="AA435" s="11"/>
    </row>
    <row r="436" spans="1:27" ht="13" x14ac:dyDescent="0.15">
      <c r="A436" s="7">
        <f t="shared" si="10"/>
        <v>0</v>
      </c>
      <c r="G436" s="8"/>
      <c r="H436" s="8"/>
      <c r="I436" s="8"/>
      <c r="M436" s="8"/>
      <c r="R436" s="10" t="str">
        <f ca="1">IFERROR(__xludf.DUMMYFUNCTION("JOIN("","", SORT(UNIQUE(TOCOL({VLOOKUP(D436,DM_fish!A:B,2,FALSE),VLOOKUP(C436,DM_fish!A:B,2,FALSE), ARRAYFORMULA(VLOOKUP(SPLIT(E436, "", ""),Injections!B:G,6,FALSE)), ARRAYFORMULA(VLOOKUP(SPLIT(F436, "", ""),Injections!H:M,6,FALSE)), ARRAYFORMULA(VLOOKUP("&amp;"SPLIT(G436, "", ""),Injections!N:S,6,FALSE)), ARRAYFORMULA(VLOOKUP(SPLIT(H436, "", ""),Injections!T:Y,6,FALSE)) },3))))"),"")</f>
        <v/>
      </c>
      <c r="S436" s="10"/>
      <c r="T436" s="1"/>
      <c r="V436" s="11"/>
      <c r="W436" s="12"/>
      <c r="X436" s="12"/>
      <c r="Y436" s="11"/>
      <c r="Z436" s="11"/>
      <c r="AA436" s="11"/>
    </row>
    <row r="437" spans="1:27" ht="13" x14ac:dyDescent="0.15">
      <c r="A437" s="7">
        <f t="shared" si="10"/>
        <v>0</v>
      </c>
      <c r="G437" s="8"/>
      <c r="H437" s="8"/>
      <c r="I437" s="8"/>
      <c r="M437" s="8"/>
      <c r="R437" s="10" t="str">
        <f ca="1">IFERROR(__xludf.DUMMYFUNCTION("JOIN("","", SORT(UNIQUE(TOCOL({VLOOKUP(D437,DM_fish!A:B,2,FALSE),VLOOKUP(C437,DM_fish!A:B,2,FALSE), ARRAYFORMULA(VLOOKUP(SPLIT(E437, "", ""),Injections!B:G,6,FALSE)), ARRAYFORMULA(VLOOKUP(SPLIT(F437, "", ""),Injections!H:M,6,FALSE)), ARRAYFORMULA(VLOOKUP("&amp;"SPLIT(G437, "", ""),Injections!N:S,6,FALSE)), ARRAYFORMULA(VLOOKUP(SPLIT(H437, "", ""),Injections!T:Y,6,FALSE)) },3))))"),"")</f>
        <v/>
      </c>
      <c r="S437" s="10"/>
      <c r="T437" s="1"/>
      <c r="V437" s="11"/>
      <c r="W437" s="12"/>
      <c r="X437" s="12"/>
      <c r="Y437" s="11"/>
      <c r="Z437" s="11"/>
      <c r="AA437" s="11"/>
    </row>
    <row r="438" spans="1:27" ht="13" x14ac:dyDescent="0.15">
      <c r="A438" s="7">
        <f t="shared" si="10"/>
        <v>0</v>
      </c>
      <c r="G438" s="8"/>
      <c r="H438" s="8"/>
      <c r="I438" s="8"/>
      <c r="M438" s="8"/>
      <c r="R438" s="10" t="str">
        <f ca="1">IFERROR(__xludf.DUMMYFUNCTION("JOIN("","", SORT(UNIQUE(TOCOL({VLOOKUP(D438,DM_fish!A:B,2,FALSE),VLOOKUP(C438,DM_fish!A:B,2,FALSE), ARRAYFORMULA(VLOOKUP(SPLIT(E438, "", ""),Injections!B:G,6,FALSE)), ARRAYFORMULA(VLOOKUP(SPLIT(F438, "", ""),Injections!H:M,6,FALSE)), ARRAYFORMULA(VLOOKUP("&amp;"SPLIT(G438, "", ""),Injections!N:S,6,FALSE)), ARRAYFORMULA(VLOOKUP(SPLIT(H438, "", ""),Injections!T:Y,6,FALSE)) },3))))"),"")</f>
        <v/>
      </c>
      <c r="S438" s="10"/>
      <c r="T438" s="1"/>
      <c r="V438" s="11"/>
      <c r="W438" s="12"/>
      <c r="X438" s="12"/>
      <c r="Y438" s="11"/>
      <c r="Z438" s="11"/>
      <c r="AA438" s="11"/>
    </row>
    <row r="439" spans="1:27" ht="13" x14ac:dyDescent="0.15">
      <c r="A439" s="7">
        <f t="shared" si="10"/>
        <v>0</v>
      </c>
      <c r="G439" s="8"/>
      <c r="H439" s="8"/>
      <c r="I439" s="8"/>
      <c r="M439" s="8"/>
      <c r="R439" s="10" t="str">
        <f ca="1">IFERROR(__xludf.DUMMYFUNCTION("JOIN("","", SORT(UNIQUE(TOCOL({VLOOKUP(D439,DM_fish!A:B,2,FALSE),VLOOKUP(C439,DM_fish!A:B,2,FALSE), ARRAYFORMULA(VLOOKUP(SPLIT(E439, "", ""),Injections!B:G,6,FALSE)), ARRAYFORMULA(VLOOKUP(SPLIT(F439, "", ""),Injections!H:M,6,FALSE)), ARRAYFORMULA(VLOOKUP("&amp;"SPLIT(G439, "", ""),Injections!N:S,6,FALSE)), ARRAYFORMULA(VLOOKUP(SPLIT(H439, "", ""),Injections!T:Y,6,FALSE)) },3))))"),"")</f>
        <v/>
      </c>
      <c r="S439" s="10"/>
      <c r="T439" s="1"/>
      <c r="V439" s="11"/>
      <c r="W439" s="12"/>
      <c r="X439" s="12"/>
      <c r="Y439" s="11"/>
      <c r="Z439" s="11"/>
      <c r="AA439" s="11"/>
    </row>
    <row r="440" spans="1:27" ht="13" x14ac:dyDescent="0.15">
      <c r="A440" s="7">
        <f t="shared" si="10"/>
        <v>0</v>
      </c>
      <c r="G440" s="8"/>
      <c r="H440" s="8"/>
      <c r="I440" s="8"/>
      <c r="M440" s="8"/>
      <c r="R440" s="10" t="str">
        <f ca="1">IFERROR(__xludf.DUMMYFUNCTION("JOIN("","", SORT(UNIQUE(TOCOL({VLOOKUP(D440,DM_fish!A:B,2,FALSE),VLOOKUP(C440,DM_fish!A:B,2,FALSE), ARRAYFORMULA(VLOOKUP(SPLIT(E440, "", ""),Injections!B:G,6,FALSE)), ARRAYFORMULA(VLOOKUP(SPLIT(F440, "", ""),Injections!H:M,6,FALSE)), ARRAYFORMULA(VLOOKUP("&amp;"SPLIT(G440, "", ""),Injections!N:S,6,FALSE)), ARRAYFORMULA(VLOOKUP(SPLIT(H440, "", ""),Injections!T:Y,6,FALSE)) },3))))"),"")</f>
        <v/>
      </c>
      <c r="S440" s="10"/>
      <c r="T440" s="1"/>
      <c r="V440" s="11"/>
      <c r="W440" s="12"/>
      <c r="X440" s="12"/>
      <c r="Y440" s="11"/>
      <c r="Z440" s="11"/>
      <c r="AA440" s="11"/>
    </row>
    <row r="441" spans="1:27" ht="13" x14ac:dyDescent="0.15">
      <c r="A441" s="7">
        <f t="shared" si="10"/>
        <v>0</v>
      </c>
      <c r="G441" s="8"/>
      <c r="H441" s="8"/>
      <c r="I441" s="8"/>
      <c r="M441" s="8"/>
      <c r="R441" s="10" t="str">
        <f ca="1">IFERROR(__xludf.DUMMYFUNCTION("JOIN("","", SORT(UNIQUE(TOCOL({VLOOKUP(D441,DM_fish!A:B,2,FALSE),VLOOKUP(C441,DM_fish!A:B,2,FALSE), ARRAYFORMULA(VLOOKUP(SPLIT(E441, "", ""),Injections!B:G,6,FALSE)), ARRAYFORMULA(VLOOKUP(SPLIT(F441, "", ""),Injections!H:M,6,FALSE)), ARRAYFORMULA(VLOOKUP("&amp;"SPLIT(G441, "", ""),Injections!N:S,6,FALSE)), ARRAYFORMULA(VLOOKUP(SPLIT(H441, "", ""),Injections!T:Y,6,FALSE)) },3))))"),"")</f>
        <v/>
      </c>
      <c r="S441" s="10"/>
      <c r="T441" s="1"/>
      <c r="V441" s="11"/>
      <c r="W441" s="12"/>
      <c r="X441" s="12"/>
      <c r="Y441" s="11"/>
      <c r="Z441" s="11"/>
      <c r="AA441" s="11"/>
    </row>
    <row r="442" spans="1:27" ht="13" x14ac:dyDescent="0.15">
      <c r="A442" s="7">
        <f t="shared" si="10"/>
        <v>0</v>
      </c>
      <c r="G442" s="8"/>
      <c r="H442" s="8"/>
      <c r="I442" s="8"/>
      <c r="M442" s="8"/>
      <c r="R442" s="10" t="str">
        <f ca="1">IFERROR(__xludf.DUMMYFUNCTION("JOIN("","", SORT(UNIQUE(TOCOL({VLOOKUP(D442,DM_fish!A:B,2,FALSE),VLOOKUP(C442,DM_fish!A:B,2,FALSE), ARRAYFORMULA(VLOOKUP(SPLIT(E442, "", ""),Injections!B:G,6,FALSE)), ARRAYFORMULA(VLOOKUP(SPLIT(F442, "", ""),Injections!H:M,6,FALSE)), ARRAYFORMULA(VLOOKUP("&amp;"SPLIT(G442, "", ""),Injections!N:S,6,FALSE)), ARRAYFORMULA(VLOOKUP(SPLIT(H442, "", ""),Injections!T:Y,6,FALSE)) },3))))"),"")</f>
        <v/>
      </c>
      <c r="S442" s="10"/>
      <c r="T442" s="1"/>
      <c r="V442" s="11"/>
      <c r="W442" s="12"/>
      <c r="X442" s="12"/>
      <c r="Y442" s="11"/>
      <c r="Z442" s="11"/>
      <c r="AA442" s="11"/>
    </row>
    <row r="443" spans="1:27" ht="13" x14ac:dyDescent="0.15">
      <c r="A443" s="7">
        <f t="shared" si="10"/>
        <v>0</v>
      </c>
      <c r="G443" s="8"/>
      <c r="H443" s="8"/>
      <c r="I443" s="8"/>
      <c r="M443" s="8"/>
      <c r="R443" s="10" t="str">
        <f ca="1">IFERROR(__xludf.DUMMYFUNCTION("JOIN("","", SORT(UNIQUE(TOCOL({VLOOKUP(D443,DM_fish!A:B,2,FALSE),VLOOKUP(C443,DM_fish!A:B,2,FALSE), ARRAYFORMULA(VLOOKUP(SPLIT(E443, "", ""),Injections!B:G,6,FALSE)), ARRAYFORMULA(VLOOKUP(SPLIT(F443, "", ""),Injections!H:M,6,FALSE)), ARRAYFORMULA(VLOOKUP("&amp;"SPLIT(G443, "", ""),Injections!N:S,6,FALSE)), ARRAYFORMULA(VLOOKUP(SPLIT(H443, "", ""),Injections!T:Y,6,FALSE)) },3))))"),"")</f>
        <v/>
      </c>
      <c r="S443" s="10"/>
      <c r="T443" s="1"/>
      <c r="V443" s="11"/>
      <c r="W443" s="12"/>
      <c r="X443" s="12"/>
      <c r="Y443" s="11"/>
      <c r="Z443" s="11"/>
      <c r="AA443" s="11"/>
    </row>
    <row r="444" spans="1:27" ht="13" x14ac:dyDescent="0.15">
      <c r="A444" s="7">
        <f t="shared" si="10"/>
        <v>0</v>
      </c>
      <c r="G444" s="8"/>
      <c r="H444" s="8"/>
      <c r="I444" s="8"/>
      <c r="M444" s="8"/>
      <c r="R444" s="10" t="str">
        <f ca="1">IFERROR(__xludf.DUMMYFUNCTION("JOIN("","", SORT(UNIQUE(TOCOL({VLOOKUP(D444,DM_fish!A:B,2,FALSE),VLOOKUP(C444,DM_fish!A:B,2,FALSE), ARRAYFORMULA(VLOOKUP(SPLIT(E444, "", ""),Injections!B:G,6,FALSE)), ARRAYFORMULA(VLOOKUP(SPLIT(F444, "", ""),Injections!H:M,6,FALSE)), ARRAYFORMULA(VLOOKUP("&amp;"SPLIT(G444, "", ""),Injections!N:S,6,FALSE)), ARRAYFORMULA(VLOOKUP(SPLIT(H444, "", ""),Injections!T:Y,6,FALSE)) },3))))"),"")</f>
        <v/>
      </c>
      <c r="S444" s="10"/>
      <c r="T444" s="1"/>
      <c r="V444" s="11"/>
      <c r="W444" s="12"/>
      <c r="X444" s="12"/>
      <c r="Y444" s="11"/>
      <c r="Z444" s="11"/>
      <c r="AA444" s="11"/>
    </row>
    <row r="445" spans="1:27" ht="13" x14ac:dyDescent="0.15">
      <c r="A445" s="7">
        <f t="shared" si="10"/>
        <v>0</v>
      </c>
      <c r="G445" s="8"/>
      <c r="H445" s="8"/>
      <c r="I445" s="8"/>
      <c r="M445" s="8"/>
      <c r="R445" s="10" t="str">
        <f ca="1">IFERROR(__xludf.DUMMYFUNCTION("JOIN("","", SORT(UNIQUE(TOCOL({VLOOKUP(D445,DM_fish!A:B,2,FALSE),VLOOKUP(C445,DM_fish!A:B,2,FALSE), ARRAYFORMULA(VLOOKUP(SPLIT(E445, "", ""),Injections!B:G,6,FALSE)), ARRAYFORMULA(VLOOKUP(SPLIT(F445, "", ""),Injections!H:M,6,FALSE)), ARRAYFORMULA(VLOOKUP("&amp;"SPLIT(G445, "", ""),Injections!N:S,6,FALSE)), ARRAYFORMULA(VLOOKUP(SPLIT(H445, "", ""),Injections!T:Y,6,FALSE)) },3))))"),"")</f>
        <v/>
      </c>
      <c r="S445" s="10"/>
      <c r="T445" s="1"/>
      <c r="V445" s="11"/>
      <c r="W445" s="12"/>
      <c r="X445" s="12"/>
      <c r="Y445" s="11"/>
      <c r="Z445" s="11"/>
      <c r="AA445" s="11"/>
    </row>
    <row r="446" spans="1:27" ht="13" x14ac:dyDescent="0.15">
      <c r="A446" s="7">
        <f t="shared" si="10"/>
        <v>0</v>
      </c>
      <c r="G446" s="8"/>
      <c r="H446" s="8"/>
      <c r="I446" s="8"/>
      <c r="M446" s="8"/>
      <c r="R446" s="10" t="str">
        <f ca="1">IFERROR(__xludf.DUMMYFUNCTION("JOIN("","", SORT(UNIQUE(TOCOL({VLOOKUP(D446,DM_fish!A:B,2,FALSE),VLOOKUP(C446,DM_fish!A:B,2,FALSE), ARRAYFORMULA(VLOOKUP(SPLIT(E446, "", ""),Injections!B:G,6,FALSE)), ARRAYFORMULA(VLOOKUP(SPLIT(F446, "", ""),Injections!H:M,6,FALSE)), ARRAYFORMULA(VLOOKUP("&amp;"SPLIT(G446, "", ""),Injections!N:S,6,FALSE)), ARRAYFORMULA(VLOOKUP(SPLIT(H446, "", ""),Injections!T:Y,6,FALSE)) },3))))"),"")</f>
        <v/>
      </c>
      <c r="S446" s="10"/>
      <c r="T446" s="1"/>
      <c r="V446" s="11"/>
      <c r="W446" s="12"/>
      <c r="X446" s="12"/>
      <c r="Y446" s="11"/>
      <c r="Z446" s="11"/>
      <c r="AA446" s="11"/>
    </row>
    <row r="447" spans="1:27" ht="13" x14ac:dyDescent="0.15">
      <c r="A447" s="7">
        <f t="shared" si="10"/>
        <v>0</v>
      </c>
      <c r="G447" s="8"/>
      <c r="H447" s="8"/>
      <c r="I447" s="8"/>
      <c r="M447" s="8"/>
      <c r="R447" s="10" t="str">
        <f ca="1">IFERROR(__xludf.DUMMYFUNCTION("JOIN("","", SORT(UNIQUE(TOCOL({VLOOKUP(D447,DM_fish!A:B,2,FALSE),VLOOKUP(C447,DM_fish!A:B,2,FALSE), ARRAYFORMULA(VLOOKUP(SPLIT(E447, "", ""),Injections!B:G,6,FALSE)), ARRAYFORMULA(VLOOKUP(SPLIT(F447, "", ""),Injections!H:M,6,FALSE)), ARRAYFORMULA(VLOOKUP("&amp;"SPLIT(G447, "", ""),Injections!N:S,6,FALSE)), ARRAYFORMULA(VLOOKUP(SPLIT(H447, "", ""),Injections!T:Y,6,FALSE)) },3))))"),"")</f>
        <v/>
      </c>
      <c r="S447" s="10"/>
      <c r="T447" s="1"/>
      <c r="V447" s="11"/>
      <c r="W447" s="12"/>
      <c r="X447" s="12"/>
      <c r="Y447" s="11"/>
      <c r="Z447" s="11"/>
      <c r="AA447" s="11"/>
    </row>
    <row r="448" spans="1:27" ht="13" x14ac:dyDescent="0.15">
      <c r="A448" s="7">
        <f t="shared" si="10"/>
        <v>0</v>
      </c>
      <c r="G448" s="8"/>
      <c r="H448" s="8"/>
      <c r="I448" s="8"/>
      <c r="M448" s="8"/>
      <c r="R448" s="10" t="str">
        <f ca="1">IFERROR(__xludf.DUMMYFUNCTION("JOIN("","", SORT(UNIQUE(TOCOL({VLOOKUP(D448,DM_fish!A:B,2,FALSE),VLOOKUP(C448,DM_fish!A:B,2,FALSE), ARRAYFORMULA(VLOOKUP(SPLIT(E448, "", ""),Injections!B:G,6,FALSE)), ARRAYFORMULA(VLOOKUP(SPLIT(F448, "", ""),Injections!H:M,6,FALSE)), ARRAYFORMULA(VLOOKUP("&amp;"SPLIT(G448, "", ""),Injections!N:S,6,FALSE)), ARRAYFORMULA(VLOOKUP(SPLIT(H448, "", ""),Injections!T:Y,6,FALSE)) },3))))"),"")</f>
        <v/>
      </c>
      <c r="S448" s="10"/>
      <c r="T448" s="1"/>
      <c r="V448" s="11"/>
      <c r="W448" s="12"/>
      <c r="X448" s="12"/>
      <c r="Y448" s="11"/>
      <c r="Z448" s="11"/>
      <c r="AA448" s="11"/>
    </row>
    <row r="449" spans="1:27" ht="13" x14ac:dyDescent="0.15">
      <c r="A449" s="7">
        <f t="shared" si="10"/>
        <v>0</v>
      </c>
      <c r="G449" s="8"/>
      <c r="H449" s="8"/>
      <c r="I449" s="8"/>
      <c r="M449" s="8"/>
      <c r="R449" s="10" t="str">
        <f ca="1">IFERROR(__xludf.DUMMYFUNCTION("JOIN("","", SORT(UNIQUE(TOCOL({VLOOKUP(D449,DM_fish!A:B,2,FALSE),VLOOKUP(C449,DM_fish!A:B,2,FALSE), ARRAYFORMULA(VLOOKUP(SPLIT(E449, "", ""),Injections!B:G,6,FALSE)), ARRAYFORMULA(VLOOKUP(SPLIT(F449, "", ""),Injections!H:M,6,FALSE)), ARRAYFORMULA(VLOOKUP("&amp;"SPLIT(G449, "", ""),Injections!N:S,6,FALSE)), ARRAYFORMULA(VLOOKUP(SPLIT(H449, "", ""),Injections!T:Y,6,FALSE)) },3))))"),"")</f>
        <v/>
      </c>
      <c r="S449" s="10"/>
      <c r="T449" s="1"/>
      <c r="V449" s="11"/>
      <c r="W449" s="12"/>
      <c r="X449" s="12"/>
      <c r="Y449" s="11"/>
      <c r="Z449" s="11"/>
      <c r="AA449" s="11"/>
    </row>
    <row r="450" spans="1:27" ht="13" x14ac:dyDescent="0.15">
      <c r="A450" s="7">
        <f t="shared" si="10"/>
        <v>0</v>
      </c>
      <c r="G450" s="8"/>
      <c r="H450" s="8"/>
      <c r="I450" s="8"/>
      <c r="M450" s="8"/>
      <c r="R450" s="10" t="str">
        <f ca="1">IFERROR(__xludf.DUMMYFUNCTION("JOIN("","", SORT(UNIQUE(TOCOL({VLOOKUP(D450,DM_fish!A:B,2,FALSE),VLOOKUP(C450,DM_fish!A:B,2,FALSE), ARRAYFORMULA(VLOOKUP(SPLIT(E450, "", ""),Injections!B:G,6,FALSE)), ARRAYFORMULA(VLOOKUP(SPLIT(F450, "", ""),Injections!H:M,6,FALSE)), ARRAYFORMULA(VLOOKUP("&amp;"SPLIT(G450, "", ""),Injections!N:S,6,FALSE)), ARRAYFORMULA(VLOOKUP(SPLIT(H450, "", ""),Injections!T:Y,6,FALSE)) },3))))"),"")</f>
        <v/>
      </c>
      <c r="S450" s="10"/>
      <c r="T450" s="1"/>
      <c r="V450" s="11"/>
      <c r="W450" s="12"/>
      <c r="X450" s="12"/>
      <c r="Y450" s="11"/>
      <c r="Z450" s="11"/>
      <c r="AA450" s="11"/>
    </row>
    <row r="451" spans="1:27" ht="13" x14ac:dyDescent="0.15">
      <c r="A451" s="7">
        <f t="shared" si="10"/>
        <v>0</v>
      </c>
      <c r="G451" s="8"/>
      <c r="H451" s="8"/>
      <c r="I451" s="8"/>
      <c r="M451" s="8"/>
      <c r="R451" s="10" t="str">
        <f ca="1">IFERROR(__xludf.DUMMYFUNCTION("JOIN("","", SORT(UNIQUE(TOCOL({VLOOKUP(D451,DM_fish!A:B,2,FALSE),VLOOKUP(C451,DM_fish!A:B,2,FALSE), ARRAYFORMULA(VLOOKUP(SPLIT(E451, "", ""),Injections!B:G,6,FALSE)), ARRAYFORMULA(VLOOKUP(SPLIT(F451, "", ""),Injections!H:M,6,FALSE)), ARRAYFORMULA(VLOOKUP("&amp;"SPLIT(G451, "", ""),Injections!N:S,6,FALSE)), ARRAYFORMULA(VLOOKUP(SPLIT(H451, "", ""),Injections!T:Y,6,FALSE)) },3))))"),"")</f>
        <v/>
      </c>
      <c r="S451" s="10"/>
      <c r="T451" s="1"/>
      <c r="V451" s="11"/>
      <c r="W451" s="12"/>
      <c r="X451" s="12"/>
      <c r="Y451" s="11"/>
      <c r="Z451" s="11"/>
      <c r="AA451" s="11"/>
    </row>
    <row r="452" spans="1:27" ht="13" x14ac:dyDescent="0.15">
      <c r="A452" s="7">
        <f t="shared" si="10"/>
        <v>0</v>
      </c>
      <c r="G452" s="8"/>
      <c r="H452" s="8"/>
      <c r="I452" s="8"/>
      <c r="M452" s="8"/>
      <c r="R452" s="10" t="str">
        <f ca="1">IFERROR(__xludf.DUMMYFUNCTION("JOIN("","", SORT(UNIQUE(TOCOL({VLOOKUP(D452,DM_fish!A:B,2,FALSE),VLOOKUP(C452,DM_fish!A:B,2,FALSE), ARRAYFORMULA(VLOOKUP(SPLIT(E452, "", ""),Injections!B:G,6,FALSE)), ARRAYFORMULA(VLOOKUP(SPLIT(F452, "", ""),Injections!H:M,6,FALSE)), ARRAYFORMULA(VLOOKUP("&amp;"SPLIT(G452, "", ""),Injections!N:S,6,FALSE)), ARRAYFORMULA(VLOOKUP(SPLIT(H452, "", ""),Injections!T:Y,6,FALSE)) },3))))"),"")</f>
        <v/>
      </c>
      <c r="S452" s="10"/>
      <c r="T452" s="1"/>
      <c r="V452" s="11"/>
      <c r="W452" s="12"/>
      <c r="X452" s="12"/>
      <c r="Y452" s="11"/>
      <c r="Z452" s="11"/>
      <c r="AA452" s="11"/>
    </row>
    <row r="453" spans="1:27" ht="13" x14ac:dyDescent="0.15">
      <c r="A453" s="7">
        <f t="shared" si="10"/>
        <v>0</v>
      </c>
      <c r="G453" s="8"/>
      <c r="H453" s="8"/>
      <c r="I453" s="8"/>
      <c r="M453" s="8"/>
      <c r="R453" s="10" t="str">
        <f ca="1">IFERROR(__xludf.DUMMYFUNCTION("JOIN("","", SORT(UNIQUE(TOCOL({VLOOKUP(D453,DM_fish!A:B,2,FALSE),VLOOKUP(C453,DM_fish!A:B,2,FALSE), ARRAYFORMULA(VLOOKUP(SPLIT(E453, "", ""),Injections!B:G,6,FALSE)), ARRAYFORMULA(VLOOKUP(SPLIT(F453, "", ""),Injections!H:M,6,FALSE)), ARRAYFORMULA(VLOOKUP("&amp;"SPLIT(G453, "", ""),Injections!N:S,6,FALSE)), ARRAYFORMULA(VLOOKUP(SPLIT(H453, "", ""),Injections!T:Y,6,FALSE)) },3))))"),"")</f>
        <v/>
      </c>
      <c r="S453" s="10"/>
      <c r="T453" s="1"/>
      <c r="V453" s="11"/>
      <c r="W453" s="12"/>
      <c r="X453" s="12"/>
      <c r="Y453" s="11"/>
      <c r="Z453" s="11"/>
      <c r="AA453" s="11"/>
    </row>
    <row r="454" spans="1:27" ht="13" x14ac:dyDescent="0.15">
      <c r="A454" s="7">
        <f t="shared" si="10"/>
        <v>0</v>
      </c>
      <c r="G454" s="8"/>
      <c r="H454" s="8"/>
      <c r="I454" s="8"/>
      <c r="M454" s="8"/>
      <c r="R454" s="10" t="str">
        <f ca="1">IFERROR(__xludf.DUMMYFUNCTION("JOIN("","", SORT(UNIQUE(TOCOL({VLOOKUP(D454,DM_fish!A:B,2,FALSE),VLOOKUP(C454,DM_fish!A:B,2,FALSE), ARRAYFORMULA(VLOOKUP(SPLIT(E454, "", ""),Injections!B:G,6,FALSE)), ARRAYFORMULA(VLOOKUP(SPLIT(F454, "", ""),Injections!H:M,6,FALSE)), ARRAYFORMULA(VLOOKUP("&amp;"SPLIT(G454, "", ""),Injections!N:S,6,FALSE)), ARRAYFORMULA(VLOOKUP(SPLIT(H454, "", ""),Injections!T:Y,6,FALSE)) },3))))"),"")</f>
        <v/>
      </c>
      <c r="S454" s="10"/>
      <c r="T454" s="1"/>
      <c r="V454" s="11"/>
      <c r="W454" s="12"/>
      <c r="X454" s="12"/>
      <c r="Y454" s="11"/>
      <c r="Z454" s="11"/>
      <c r="AA454" s="11"/>
    </row>
    <row r="455" spans="1:27" ht="13" x14ac:dyDescent="0.15">
      <c r="A455" s="7">
        <f t="shared" si="10"/>
        <v>0</v>
      </c>
      <c r="G455" s="8"/>
      <c r="H455" s="8"/>
      <c r="I455" s="8"/>
      <c r="M455" s="8"/>
      <c r="R455" s="10" t="str">
        <f ca="1">IFERROR(__xludf.DUMMYFUNCTION("JOIN("","", SORT(UNIQUE(TOCOL({VLOOKUP(D455,DM_fish!A:B,2,FALSE),VLOOKUP(C455,DM_fish!A:B,2,FALSE), ARRAYFORMULA(VLOOKUP(SPLIT(E455, "", ""),Injections!B:G,6,FALSE)), ARRAYFORMULA(VLOOKUP(SPLIT(F455, "", ""),Injections!H:M,6,FALSE)), ARRAYFORMULA(VLOOKUP("&amp;"SPLIT(G455, "", ""),Injections!N:S,6,FALSE)), ARRAYFORMULA(VLOOKUP(SPLIT(H455, "", ""),Injections!T:Y,6,FALSE)) },3))))"),"")</f>
        <v/>
      </c>
      <c r="S455" s="10"/>
      <c r="T455" s="1"/>
      <c r="V455" s="11"/>
      <c r="W455" s="12"/>
      <c r="X455" s="12"/>
      <c r="Y455" s="11"/>
      <c r="Z455" s="11"/>
      <c r="AA455" s="11"/>
    </row>
    <row r="456" spans="1:27" ht="13" x14ac:dyDescent="0.15">
      <c r="A456" s="7">
        <f t="shared" si="10"/>
        <v>0</v>
      </c>
      <c r="G456" s="8"/>
      <c r="H456" s="8"/>
      <c r="I456" s="8"/>
      <c r="M456" s="8"/>
      <c r="R456" s="10" t="str">
        <f ca="1">IFERROR(__xludf.DUMMYFUNCTION("JOIN("","", SORT(UNIQUE(TOCOL({VLOOKUP(D456,DM_fish!A:B,2,FALSE),VLOOKUP(C456,DM_fish!A:B,2,FALSE), ARRAYFORMULA(VLOOKUP(SPLIT(E456, "", ""),Injections!B:G,6,FALSE)), ARRAYFORMULA(VLOOKUP(SPLIT(F456, "", ""),Injections!H:M,6,FALSE)), ARRAYFORMULA(VLOOKUP("&amp;"SPLIT(G456, "", ""),Injections!N:S,6,FALSE)), ARRAYFORMULA(VLOOKUP(SPLIT(H456, "", ""),Injections!T:Y,6,FALSE)) },3))))"),"")</f>
        <v/>
      </c>
      <c r="S456" s="10"/>
      <c r="T456" s="1"/>
      <c r="V456" s="11"/>
      <c r="W456" s="12"/>
      <c r="X456" s="12"/>
      <c r="Y456" s="11"/>
      <c r="Z456" s="11"/>
      <c r="AA456" s="11"/>
    </row>
    <row r="457" spans="1:27" ht="13" x14ac:dyDescent="0.15">
      <c r="A457" s="7">
        <f t="shared" si="10"/>
        <v>0</v>
      </c>
      <c r="G457" s="8"/>
      <c r="H457" s="8"/>
      <c r="I457" s="8"/>
      <c r="M457" s="8"/>
      <c r="R457" s="10" t="str">
        <f ca="1">IFERROR(__xludf.DUMMYFUNCTION("JOIN("","", SORT(UNIQUE(TOCOL({VLOOKUP(D457,DM_fish!A:B,2,FALSE),VLOOKUP(C457,DM_fish!A:B,2,FALSE), ARRAYFORMULA(VLOOKUP(SPLIT(E457, "", ""),Injections!B:G,6,FALSE)), ARRAYFORMULA(VLOOKUP(SPLIT(F457, "", ""),Injections!H:M,6,FALSE)), ARRAYFORMULA(VLOOKUP("&amp;"SPLIT(G457, "", ""),Injections!N:S,6,FALSE)), ARRAYFORMULA(VLOOKUP(SPLIT(H457, "", ""),Injections!T:Y,6,FALSE)) },3))))"),"")</f>
        <v/>
      </c>
      <c r="S457" s="10"/>
      <c r="T457" s="1"/>
      <c r="V457" s="11"/>
      <c r="W457" s="12"/>
      <c r="X457" s="12"/>
      <c r="Y457" s="11"/>
      <c r="Z457" s="11"/>
      <c r="AA457" s="11"/>
    </row>
    <row r="458" spans="1:27" ht="13" x14ac:dyDescent="0.15">
      <c r="A458" s="7">
        <f t="shared" si="10"/>
        <v>0</v>
      </c>
      <c r="G458" s="8"/>
      <c r="H458" s="8"/>
      <c r="I458" s="8"/>
      <c r="M458" s="8"/>
      <c r="R458" s="10" t="str">
        <f ca="1">IFERROR(__xludf.DUMMYFUNCTION("JOIN("","", SORT(UNIQUE(TOCOL({VLOOKUP(D458,DM_fish!A:B,2,FALSE),VLOOKUP(C458,DM_fish!A:B,2,FALSE), ARRAYFORMULA(VLOOKUP(SPLIT(E458, "", ""),Injections!B:G,6,FALSE)), ARRAYFORMULA(VLOOKUP(SPLIT(F458, "", ""),Injections!H:M,6,FALSE)), ARRAYFORMULA(VLOOKUP("&amp;"SPLIT(G458, "", ""),Injections!N:S,6,FALSE)), ARRAYFORMULA(VLOOKUP(SPLIT(H458, "", ""),Injections!T:Y,6,FALSE)) },3))))"),"")</f>
        <v/>
      </c>
      <c r="S458" s="10"/>
      <c r="T458" s="1"/>
      <c r="V458" s="11"/>
      <c r="W458" s="12"/>
      <c r="X458" s="12"/>
      <c r="Y458" s="11"/>
      <c r="Z458" s="11"/>
      <c r="AA458" s="11"/>
    </row>
    <row r="459" spans="1:27" ht="13" x14ac:dyDescent="0.15">
      <c r="A459" s="7">
        <f t="shared" si="10"/>
        <v>0</v>
      </c>
      <c r="G459" s="8"/>
      <c r="H459" s="8"/>
      <c r="I459" s="8"/>
      <c r="M459" s="8"/>
      <c r="R459" s="10" t="str">
        <f ca="1">IFERROR(__xludf.DUMMYFUNCTION("JOIN("","", SORT(UNIQUE(TOCOL({VLOOKUP(D459,DM_fish!A:B,2,FALSE),VLOOKUP(C459,DM_fish!A:B,2,FALSE), ARRAYFORMULA(VLOOKUP(SPLIT(E459, "", ""),Injections!B:G,6,FALSE)), ARRAYFORMULA(VLOOKUP(SPLIT(F459, "", ""),Injections!H:M,6,FALSE)), ARRAYFORMULA(VLOOKUP("&amp;"SPLIT(G459, "", ""),Injections!N:S,6,FALSE)), ARRAYFORMULA(VLOOKUP(SPLIT(H459, "", ""),Injections!T:Y,6,FALSE)) },3))))"),"")</f>
        <v/>
      </c>
      <c r="S459" s="10"/>
      <c r="T459" s="1"/>
      <c r="V459" s="11"/>
      <c r="W459" s="12"/>
      <c r="X459" s="12"/>
      <c r="Y459" s="11"/>
      <c r="Z459" s="11"/>
      <c r="AA459" s="11"/>
    </row>
    <row r="460" spans="1:27" ht="13" x14ac:dyDescent="0.15">
      <c r="A460" s="7">
        <f t="shared" si="10"/>
        <v>0</v>
      </c>
      <c r="G460" s="8"/>
      <c r="H460" s="8"/>
      <c r="I460" s="8"/>
      <c r="M460" s="8"/>
      <c r="R460" s="10" t="str">
        <f ca="1">IFERROR(__xludf.DUMMYFUNCTION("JOIN("","", SORT(UNIQUE(TOCOL({VLOOKUP(D460,DM_fish!A:B,2,FALSE),VLOOKUP(C460,DM_fish!A:B,2,FALSE), ARRAYFORMULA(VLOOKUP(SPLIT(E460, "", ""),Injections!B:G,6,FALSE)), ARRAYFORMULA(VLOOKUP(SPLIT(F460, "", ""),Injections!H:M,6,FALSE)), ARRAYFORMULA(VLOOKUP("&amp;"SPLIT(G460, "", ""),Injections!N:S,6,FALSE)), ARRAYFORMULA(VLOOKUP(SPLIT(H460, "", ""),Injections!T:Y,6,FALSE)) },3))))"),"")</f>
        <v/>
      </c>
      <c r="S460" s="10"/>
      <c r="T460" s="1"/>
      <c r="V460" s="11"/>
      <c r="W460" s="12"/>
      <c r="X460" s="12"/>
      <c r="Y460" s="11"/>
      <c r="Z460" s="11"/>
      <c r="AA460" s="11"/>
    </row>
    <row r="461" spans="1:27" ht="13" x14ac:dyDescent="0.15">
      <c r="A461" s="7">
        <f t="shared" si="10"/>
        <v>0</v>
      </c>
      <c r="G461" s="8"/>
      <c r="H461" s="8"/>
      <c r="I461" s="8"/>
      <c r="M461" s="8"/>
      <c r="R461" s="10" t="str">
        <f ca="1">IFERROR(__xludf.DUMMYFUNCTION("JOIN("","", SORT(UNIQUE(TOCOL({VLOOKUP(D461,DM_fish!A:B,2,FALSE),VLOOKUP(C461,DM_fish!A:B,2,FALSE), ARRAYFORMULA(VLOOKUP(SPLIT(E461, "", ""),Injections!B:G,6,FALSE)), ARRAYFORMULA(VLOOKUP(SPLIT(F461, "", ""),Injections!H:M,6,FALSE)), ARRAYFORMULA(VLOOKUP("&amp;"SPLIT(G461, "", ""),Injections!N:S,6,FALSE)), ARRAYFORMULA(VLOOKUP(SPLIT(H461, "", ""),Injections!T:Y,6,FALSE)) },3))))"),"")</f>
        <v/>
      </c>
      <c r="S461" s="10"/>
      <c r="T461" s="1"/>
      <c r="V461" s="11"/>
      <c r="W461" s="12"/>
      <c r="X461" s="12"/>
      <c r="Y461" s="11"/>
      <c r="Z461" s="11"/>
      <c r="AA461" s="11"/>
    </row>
    <row r="462" spans="1:27" ht="13" x14ac:dyDescent="0.15">
      <c r="A462" s="7">
        <f t="shared" si="10"/>
        <v>0</v>
      </c>
      <c r="G462" s="8"/>
      <c r="H462" s="8"/>
      <c r="I462" s="8"/>
      <c r="M462" s="8"/>
      <c r="R462" s="10" t="str">
        <f ca="1">IFERROR(__xludf.DUMMYFUNCTION("JOIN("","", SORT(UNIQUE(TOCOL({VLOOKUP(D462,DM_fish!A:B,2,FALSE),VLOOKUP(C462,DM_fish!A:B,2,FALSE), ARRAYFORMULA(VLOOKUP(SPLIT(E462, "", ""),Injections!B:G,6,FALSE)), ARRAYFORMULA(VLOOKUP(SPLIT(F462, "", ""),Injections!H:M,6,FALSE)), ARRAYFORMULA(VLOOKUP("&amp;"SPLIT(G462, "", ""),Injections!N:S,6,FALSE)), ARRAYFORMULA(VLOOKUP(SPLIT(H462, "", ""),Injections!T:Y,6,FALSE)) },3))))"),"")</f>
        <v/>
      </c>
      <c r="S462" s="10"/>
      <c r="T462" s="1"/>
      <c r="V462" s="11"/>
      <c r="W462" s="12"/>
      <c r="X462" s="12"/>
      <c r="Y462" s="11"/>
      <c r="Z462" s="11"/>
      <c r="AA462" s="11"/>
    </row>
    <row r="463" spans="1:27" ht="13" x14ac:dyDescent="0.15">
      <c r="A463" s="7">
        <f t="shared" si="10"/>
        <v>0</v>
      </c>
      <c r="G463" s="8"/>
      <c r="H463" s="8"/>
      <c r="I463" s="8"/>
      <c r="M463" s="8"/>
      <c r="R463" s="10" t="str">
        <f ca="1">IFERROR(__xludf.DUMMYFUNCTION("JOIN("","", SORT(UNIQUE(TOCOL({VLOOKUP(D463,DM_fish!A:B,2,FALSE),VLOOKUP(C463,DM_fish!A:B,2,FALSE), ARRAYFORMULA(VLOOKUP(SPLIT(E463, "", ""),Injections!B:G,6,FALSE)), ARRAYFORMULA(VLOOKUP(SPLIT(F463, "", ""),Injections!H:M,6,FALSE)), ARRAYFORMULA(VLOOKUP("&amp;"SPLIT(G463, "", ""),Injections!N:S,6,FALSE)), ARRAYFORMULA(VLOOKUP(SPLIT(H463, "", ""),Injections!T:Y,6,FALSE)) },3))))"),"")</f>
        <v/>
      </c>
      <c r="S463" s="10"/>
      <c r="T463" s="1"/>
      <c r="V463" s="11"/>
      <c r="W463" s="12"/>
      <c r="X463" s="12"/>
      <c r="Y463" s="11"/>
      <c r="Z463" s="11"/>
      <c r="AA463" s="11"/>
    </row>
    <row r="464" spans="1:27" ht="13" x14ac:dyDescent="0.15">
      <c r="A464" s="7">
        <f t="shared" si="10"/>
        <v>0</v>
      </c>
      <c r="G464" s="8"/>
      <c r="H464" s="8"/>
      <c r="I464" s="8"/>
      <c r="M464" s="8"/>
      <c r="R464" s="10" t="str">
        <f ca="1">IFERROR(__xludf.DUMMYFUNCTION("JOIN("","", SORT(UNIQUE(TOCOL({VLOOKUP(D464,DM_fish!A:B,2,FALSE),VLOOKUP(C464,DM_fish!A:B,2,FALSE), ARRAYFORMULA(VLOOKUP(SPLIT(E464, "", ""),Injections!B:G,6,FALSE)), ARRAYFORMULA(VLOOKUP(SPLIT(F464, "", ""),Injections!H:M,6,FALSE)), ARRAYFORMULA(VLOOKUP("&amp;"SPLIT(G464, "", ""),Injections!N:S,6,FALSE)), ARRAYFORMULA(VLOOKUP(SPLIT(H464, "", ""),Injections!T:Y,6,FALSE)) },3))))"),"")</f>
        <v/>
      </c>
      <c r="S464" s="10"/>
      <c r="T464" s="1"/>
      <c r="V464" s="11"/>
      <c r="W464" s="12"/>
      <c r="X464" s="12"/>
      <c r="Y464" s="11"/>
      <c r="Z464" s="11"/>
      <c r="AA464" s="11"/>
    </row>
    <row r="465" spans="1:27" ht="13" x14ac:dyDescent="0.15">
      <c r="A465" s="7">
        <f t="shared" si="10"/>
        <v>0</v>
      </c>
      <c r="G465" s="8"/>
      <c r="H465" s="8"/>
      <c r="I465" s="8"/>
      <c r="M465" s="8"/>
      <c r="R465" s="10" t="str">
        <f ca="1">IFERROR(__xludf.DUMMYFUNCTION("JOIN("","", SORT(UNIQUE(TOCOL({VLOOKUP(D465,DM_fish!A:B,2,FALSE),VLOOKUP(C465,DM_fish!A:B,2,FALSE), ARRAYFORMULA(VLOOKUP(SPLIT(E465, "", ""),Injections!B:G,6,FALSE)), ARRAYFORMULA(VLOOKUP(SPLIT(F465, "", ""),Injections!H:M,6,FALSE)), ARRAYFORMULA(VLOOKUP("&amp;"SPLIT(G465, "", ""),Injections!N:S,6,FALSE)), ARRAYFORMULA(VLOOKUP(SPLIT(H465, "", ""),Injections!T:Y,6,FALSE)) },3))))"),"")</f>
        <v/>
      </c>
      <c r="S465" s="10"/>
      <c r="T465" s="1"/>
      <c r="V465" s="11"/>
      <c r="W465" s="12"/>
      <c r="X465" s="12"/>
      <c r="Y465" s="11"/>
      <c r="Z465" s="11"/>
      <c r="AA465" s="11"/>
    </row>
    <row r="466" spans="1:27" ht="13" x14ac:dyDescent="0.15">
      <c r="A466" s="7">
        <f t="shared" si="10"/>
        <v>0</v>
      </c>
      <c r="G466" s="8"/>
      <c r="H466" s="8"/>
      <c r="I466" s="8"/>
      <c r="M466" s="8"/>
      <c r="R466" s="10" t="str">
        <f ca="1">IFERROR(__xludf.DUMMYFUNCTION("JOIN("","", SORT(UNIQUE(TOCOL({VLOOKUP(D466,DM_fish!A:B,2,FALSE),VLOOKUP(C466,DM_fish!A:B,2,FALSE), ARRAYFORMULA(VLOOKUP(SPLIT(E466, "", ""),Injections!B:G,6,FALSE)), ARRAYFORMULA(VLOOKUP(SPLIT(F466, "", ""),Injections!H:M,6,FALSE)), ARRAYFORMULA(VLOOKUP("&amp;"SPLIT(G466, "", ""),Injections!N:S,6,FALSE)), ARRAYFORMULA(VLOOKUP(SPLIT(H466, "", ""),Injections!T:Y,6,FALSE)) },3))))"),"")</f>
        <v/>
      </c>
      <c r="S466" s="10"/>
      <c r="T466" s="1"/>
      <c r="V466" s="11"/>
      <c r="W466" s="12"/>
      <c r="X466" s="12"/>
      <c r="Y466" s="11"/>
      <c r="Z466" s="11"/>
      <c r="AA466" s="11"/>
    </row>
    <row r="467" spans="1:27" ht="13" x14ac:dyDescent="0.15">
      <c r="A467" s="7">
        <f t="shared" si="10"/>
        <v>0</v>
      </c>
      <c r="G467" s="8"/>
      <c r="H467" s="8"/>
      <c r="I467" s="8"/>
      <c r="M467" s="8"/>
      <c r="R467" s="10" t="str">
        <f ca="1">IFERROR(__xludf.DUMMYFUNCTION("JOIN("","", SORT(UNIQUE(TOCOL({VLOOKUP(D467,DM_fish!A:B,2,FALSE),VLOOKUP(C467,DM_fish!A:B,2,FALSE), ARRAYFORMULA(VLOOKUP(SPLIT(E467, "", ""),Injections!B:G,6,FALSE)), ARRAYFORMULA(VLOOKUP(SPLIT(F467, "", ""),Injections!H:M,6,FALSE)), ARRAYFORMULA(VLOOKUP("&amp;"SPLIT(G467, "", ""),Injections!N:S,6,FALSE)), ARRAYFORMULA(VLOOKUP(SPLIT(H467, "", ""),Injections!T:Y,6,FALSE)) },3))))"),"")</f>
        <v/>
      </c>
      <c r="S467" s="10"/>
      <c r="T467" s="1"/>
      <c r="V467" s="11"/>
      <c r="W467" s="12"/>
      <c r="X467" s="12"/>
      <c r="Y467" s="11"/>
      <c r="Z467" s="11"/>
      <c r="AA467" s="11"/>
    </row>
    <row r="468" spans="1:27" ht="13" x14ac:dyDescent="0.15">
      <c r="A468" s="7">
        <f t="shared" si="10"/>
        <v>0</v>
      </c>
      <c r="G468" s="8"/>
      <c r="H468" s="8"/>
      <c r="I468" s="8"/>
      <c r="M468" s="8"/>
      <c r="R468" s="10" t="str">
        <f ca="1">IFERROR(__xludf.DUMMYFUNCTION("JOIN("","", SORT(UNIQUE(TOCOL({VLOOKUP(D468,DM_fish!A:B,2,FALSE),VLOOKUP(C468,DM_fish!A:B,2,FALSE), ARRAYFORMULA(VLOOKUP(SPLIT(E468, "", ""),Injections!B:G,6,FALSE)), ARRAYFORMULA(VLOOKUP(SPLIT(F468, "", ""),Injections!H:M,6,FALSE)), ARRAYFORMULA(VLOOKUP("&amp;"SPLIT(G468, "", ""),Injections!N:S,6,FALSE)), ARRAYFORMULA(VLOOKUP(SPLIT(H468, "", ""),Injections!T:Y,6,FALSE)) },3))))"),"")</f>
        <v/>
      </c>
      <c r="S468" s="10"/>
      <c r="T468" s="1"/>
      <c r="V468" s="11"/>
      <c r="W468" s="12"/>
      <c r="X468" s="12"/>
      <c r="Y468" s="11"/>
      <c r="Z468" s="11"/>
      <c r="AA468" s="11"/>
    </row>
    <row r="469" spans="1:27" ht="13" x14ac:dyDescent="0.15">
      <c r="A469" s="7">
        <f t="shared" si="10"/>
        <v>0</v>
      </c>
      <c r="G469" s="8"/>
      <c r="H469" s="8"/>
      <c r="I469" s="8"/>
      <c r="M469" s="8"/>
      <c r="R469" s="10" t="str">
        <f ca="1">IFERROR(__xludf.DUMMYFUNCTION("JOIN("","", SORT(UNIQUE(TOCOL({VLOOKUP(D469,DM_fish!A:B,2,FALSE),VLOOKUP(C469,DM_fish!A:B,2,FALSE), ARRAYFORMULA(VLOOKUP(SPLIT(E469, "", ""),Injections!B:G,6,FALSE)), ARRAYFORMULA(VLOOKUP(SPLIT(F469, "", ""),Injections!H:M,6,FALSE)), ARRAYFORMULA(VLOOKUP("&amp;"SPLIT(G469, "", ""),Injections!N:S,6,FALSE)), ARRAYFORMULA(VLOOKUP(SPLIT(H469, "", ""),Injections!T:Y,6,FALSE)) },3))))"),"")</f>
        <v/>
      </c>
      <c r="S469" s="10"/>
      <c r="T469" s="1"/>
      <c r="V469" s="11"/>
      <c r="W469" s="12"/>
      <c r="X469" s="12"/>
      <c r="Y469" s="11"/>
      <c r="Z469" s="11"/>
      <c r="AA469" s="11"/>
    </row>
    <row r="470" spans="1:27" ht="13" x14ac:dyDescent="0.15">
      <c r="A470" s="7">
        <f t="shared" si="10"/>
        <v>0</v>
      </c>
      <c r="G470" s="8"/>
      <c r="H470" s="8"/>
      <c r="I470" s="8"/>
      <c r="M470" s="8"/>
      <c r="R470" s="10" t="str">
        <f ca="1">IFERROR(__xludf.DUMMYFUNCTION("JOIN("","", SORT(UNIQUE(TOCOL({VLOOKUP(D470,DM_fish!A:B,2,FALSE),VLOOKUP(C470,DM_fish!A:B,2,FALSE), ARRAYFORMULA(VLOOKUP(SPLIT(E470, "", ""),Injections!B:G,6,FALSE)), ARRAYFORMULA(VLOOKUP(SPLIT(F470, "", ""),Injections!H:M,6,FALSE)), ARRAYFORMULA(VLOOKUP("&amp;"SPLIT(G470, "", ""),Injections!N:S,6,FALSE)), ARRAYFORMULA(VLOOKUP(SPLIT(H470, "", ""),Injections!T:Y,6,FALSE)) },3))))"),"")</f>
        <v/>
      </c>
      <c r="S470" s="10"/>
      <c r="T470" s="1"/>
      <c r="V470" s="11"/>
      <c r="W470" s="12"/>
      <c r="X470" s="12"/>
      <c r="Y470" s="11"/>
      <c r="Z470" s="11"/>
      <c r="AA470" s="11"/>
    </row>
    <row r="471" spans="1:27" ht="13" x14ac:dyDescent="0.15">
      <c r="A471" s="7">
        <f t="shared" si="10"/>
        <v>0</v>
      </c>
      <c r="G471" s="8"/>
      <c r="H471" s="8"/>
      <c r="I471" s="8"/>
      <c r="M471" s="8"/>
      <c r="R471" s="10" t="str">
        <f ca="1">IFERROR(__xludf.DUMMYFUNCTION("JOIN("","", SORT(UNIQUE(TOCOL({VLOOKUP(D471,DM_fish!A:B,2,FALSE),VLOOKUP(C471,DM_fish!A:B,2,FALSE), ARRAYFORMULA(VLOOKUP(SPLIT(E471, "", ""),Injections!B:G,6,FALSE)), ARRAYFORMULA(VLOOKUP(SPLIT(F471, "", ""),Injections!H:M,6,FALSE)), ARRAYFORMULA(VLOOKUP("&amp;"SPLIT(G471, "", ""),Injections!N:S,6,FALSE)), ARRAYFORMULA(VLOOKUP(SPLIT(H471, "", ""),Injections!T:Y,6,FALSE)) },3))))"),"")</f>
        <v/>
      </c>
      <c r="S471" s="10"/>
      <c r="T471" s="1"/>
      <c r="V471" s="11"/>
      <c r="W471" s="12"/>
      <c r="X471" s="12"/>
      <c r="Y471" s="11"/>
      <c r="Z471" s="11"/>
      <c r="AA471" s="11"/>
    </row>
    <row r="472" spans="1:27" ht="13" x14ac:dyDescent="0.15">
      <c r="A472" s="7">
        <f t="shared" si="10"/>
        <v>0</v>
      </c>
      <c r="G472" s="8"/>
      <c r="H472" s="8"/>
      <c r="I472" s="8"/>
      <c r="M472" s="8"/>
      <c r="R472" s="10" t="str">
        <f ca="1">IFERROR(__xludf.DUMMYFUNCTION("JOIN("","", SORT(UNIQUE(TOCOL({VLOOKUP(D472,DM_fish!A:B,2,FALSE),VLOOKUP(C472,DM_fish!A:B,2,FALSE), ARRAYFORMULA(VLOOKUP(SPLIT(E472, "", ""),Injections!B:G,6,FALSE)), ARRAYFORMULA(VLOOKUP(SPLIT(F472, "", ""),Injections!H:M,6,FALSE)), ARRAYFORMULA(VLOOKUP("&amp;"SPLIT(G472, "", ""),Injections!N:S,6,FALSE)), ARRAYFORMULA(VLOOKUP(SPLIT(H472, "", ""),Injections!T:Y,6,FALSE)) },3))))"),"")</f>
        <v/>
      </c>
      <c r="S472" s="10"/>
      <c r="T472" s="1"/>
      <c r="V472" s="11"/>
      <c r="W472" s="12"/>
      <c r="X472" s="12"/>
      <c r="Y472" s="11"/>
      <c r="Z472" s="11"/>
      <c r="AA472" s="11"/>
    </row>
    <row r="473" spans="1:27" ht="13" x14ac:dyDescent="0.15">
      <c r="A473" s="7">
        <f t="shared" si="10"/>
        <v>0</v>
      </c>
      <c r="G473" s="8"/>
      <c r="H473" s="8"/>
      <c r="I473" s="8"/>
      <c r="M473" s="8"/>
      <c r="R473" s="10" t="str">
        <f ca="1">IFERROR(__xludf.DUMMYFUNCTION("JOIN("","", SORT(UNIQUE(TOCOL({VLOOKUP(D473,DM_fish!A:B,2,FALSE),VLOOKUP(C473,DM_fish!A:B,2,FALSE), ARRAYFORMULA(VLOOKUP(SPLIT(E473, "", ""),Injections!B:G,6,FALSE)), ARRAYFORMULA(VLOOKUP(SPLIT(F473, "", ""),Injections!H:M,6,FALSE)), ARRAYFORMULA(VLOOKUP("&amp;"SPLIT(G473, "", ""),Injections!N:S,6,FALSE)), ARRAYFORMULA(VLOOKUP(SPLIT(H473, "", ""),Injections!T:Y,6,FALSE)) },3))))"),"")</f>
        <v/>
      </c>
      <c r="S473" s="10"/>
      <c r="T473" s="1"/>
      <c r="V473" s="11"/>
      <c r="W473" s="12"/>
      <c r="X473" s="12"/>
      <c r="Y473" s="11"/>
      <c r="Z473" s="11"/>
      <c r="AA473" s="11"/>
    </row>
    <row r="474" spans="1:27" ht="13" x14ac:dyDescent="0.15">
      <c r="A474" s="7">
        <f t="shared" si="10"/>
        <v>0</v>
      </c>
      <c r="G474" s="8"/>
      <c r="H474" s="8"/>
      <c r="I474" s="8"/>
      <c r="M474" s="8"/>
      <c r="R474" s="10" t="str">
        <f ca="1">IFERROR(__xludf.DUMMYFUNCTION("JOIN("","", SORT(UNIQUE(TOCOL({VLOOKUP(D474,DM_fish!A:B,2,FALSE),VLOOKUP(C474,DM_fish!A:B,2,FALSE), ARRAYFORMULA(VLOOKUP(SPLIT(E474, "", ""),Injections!B:G,6,FALSE)), ARRAYFORMULA(VLOOKUP(SPLIT(F474, "", ""),Injections!H:M,6,FALSE)), ARRAYFORMULA(VLOOKUP("&amp;"SPLIT(G474, "", ""),Injections!N:S,6,FALSE)), ARRAYFORMULA(VLOOKUP(SPLIT(H474, "", ""),Injections!T:Y,6,FALSE)) },3))))"),"")</f>
        <v/>
      </c>
      <c r="S474" s="10"/>
      <c r="T474" s="1"/>
      <c r="V474" s="11"/>
      <c r="W474" s="12"/>
      <c r="X474" s="12"/>
      <c r="Y474" s="11"/>
      <c r="Z474" s="11"/>
      <c r="AA474" s="11"/>
    </row>
    <row r="475" spans="1:27" ht="13" x14ac:dyDescent="0.15">
      <c r="A475" s="7">
        <f t="shared" si="10"/>
        <v>0</v>
      </c>
      <c r="G475" s="8"/>
      <c r="H475" s="8"/>
      <c r="I475" s="8"/>
      <c r="M475" s="8"/>
      <c r="R475" s="10" t="str">
        <f ca="1">IFERROR(__xludf.DUMMYFUNCTION("JOIN("","", SORT(UNIQUE(TOCOL({VLOOKUP(D475,DM_fish!A:B,2,FALSE),VLOOKUP(C475,DM_fish!A:B,2,FALSE), ARRAYFORMULA(VLOOKUP(SPLIT(E475, "", ""),Injections!B:G,6,FALSE)), ARRAYFORMULA(VLOOKUP(SPLIT(F475, "", ""),Injections!H:M,6,FALSE)), ARRAYFORMULA(VLOOKUP("&amp;"SPLIT(G475, "", ""),Injections!N:S,6,FALSE)), ARRAYFORMULA(VLOOKUP(SPLIT(H475, "", ""),Injections!T:Y,6,FALSE)) },3))))"),"")</f>
        <v/>
      </c>
      <c r="S475" s="10"/>
      <c r="T475" s="1"/>
      <c r="V475" s="11"/>
      <c r="W475" s="12"/>
      <c r="X475" s="12"/>
      <c r="Y475" s="11"/>
      <c r="Z475" s="11"/>
      <c r="AA475" s="11"/>
    </row>
    <row r="476" spans="1:27" ht="13" x14ac:dyDescent="0.15">
      <c r="A476" s="7">
        <f t="shared" si="10"/>
        <v>0</v>
      </c>
      <c r="G476" s="8"/>
      <c r="H476" s="8"/>
      <c r="I476" s="8"/>
      <c r="M476" s="8"/>
      <c r="R476" s="10" t="str">
        <f ca="1">IFERROR(__xludf.DUMMYFUNCTION("JOIN("","", SORT(UNIQUE(TOCOL({VLOOKUP(D476,DM_fish!A:B,2,FALSE),VLOOKUP(C476,DM_fish!A:B,2,FALSE), ARRAYFORMULA(VLOOKUP(SPLIT(E476, "", ""),Injections!B:G,6,FALSE)), ARRAYFORMULA(VLOOKUP(SPLIT(F476, "", ""),Injections!H:M,6,FALSE)), ARRAYFORMULA(VLOOKUP("&amp;"SPLIT(G476, "", ""),Injections!N:S,6,FALSE)), ARRAYFORMULA(VLOOKUP(SPLIT(H476, "", ""),Injections!T:Y,6,FALSE)) },3))))"),"")</f>
        <v/>
      </c>
      <c r="S476" s="10"/>
      <c r="T476" s="1"/>
      <c r="V476" s="11"/>
      <c r="W476" s="12"/>
      <c r="X476" s="12"/>
      <c r="Y476" s="11"/>
      <c r="Z476" s="11"/>
      <c r="AA476" s="11"/>
    </row>
    <row r="477" spans="1:27" ht="13" x14ac:dyDescent="0.15">
      <c r="A477" s="7">
        <f t="shared" si="10"/>
        <v>0</v>
      </c>
      <c r="G477" s="8"/>
      <c r="H477" s="8"/>
      <c r="I477" s="8"/>
      <c r="M477" s="8"/>
      <c r="R477" s="10" t="str">
        <f ca="1">IFERROR(__xludf.DUMMYFUNCTION("JOIN("","", SORT(UNIQUE(TOCOL({VLOOKUP(D477,DM_fish!A:B,2,FALSE),VLOOKUP(C477,DM_fish!A:B,2,FALSE), ARRAYFORMULA(VLOOKUP(SPLIT(E477, "", ""),Injections!B:G,6,FALSE)), ARRAYFORMULA(VLOOKUP(SPLIT(F477, "", ""),Injections!H:M,6,FALSE)), ARRAYFORMULA(VLOOKUP("&amp;"SPLIT(G477, "", ""),Injections!N:S,6,FALSE)), ARRAYFORMULA(VLOOKUP(SPLIT(H477, "", ""),Injections!T:Y,6,FALSE)) },3))))"),"")</f>
        <v/>
      </c>
      <c r="S477" s="10"/>
      <c r="T477" s="1"/>
      <c r="V477" s="11"/>
      <c r="W477" s="12"/>
      <c r="X477" s="12"/>
      <c r="Y477" s="11"/>
      <c r="Z477" s="11"/>
      <c r="AA477" s="11"/>
    </row>
    <row r="478" spans="1:27" ht="13" x14ac:dyDescent="0.15">
      <c r="A478" s="7">
        <f t="shared" si="10"/>
        <v>0</v>
      </c>
      <c r="G478" s="8"/>
      <c r="H478" s="8"/>
      <c r="I478" s="8"/>
      <c r="M478" s="8"/>
      <c r="R478" s="10" t="str">
        <f ca="1">IFERROR(__xludf.DUMMYFUNCTION("JOIN("","", SORT(UNIQUE(TOCOL({VLOOKUP(D478,DM_fish!A:B,2,FALSE),VLOOKUP(C478,DM_fish!A:B,2,FALSE), ARRAYFORMULA(VLOOKUP(SPLIT(E478, "", ""),Injections!B:G,6,FALSE)), ARRAYFORMULA(VLOOKUP(SPLIT(F478, "", ""),Injections!H:M,6,FALSE)), ARRAYFORMULA(VLOOKUP("&amp;"SPLIT(G478, "", ""),Injections!N:S,6,FALSE)), ARRAYFORMULA(VLOOKUP(SPLIT(H478, "", ""),Injections!T:Y,6,FALSE)) },3))))"),"")</f>
        <v/>
      </c>
      <c r="S478" s="10"/>
      <c r="T478" s="1"/>
      <c r="V478" s="11"/>
      <c r="W478" s="12"/>
      <c r="X478" s="12"/>
      <c r="Y478" s="11"/>
      <c r="Z478" s="11"/>
      <c r="AA478" s="11"/>
    </row>
    <row r="479" spans="1:27" ht="13" x14ac:dyDescent="0.15">
      <c r="A479" s="7">
        <f t="shared" si="10"/>
        <v>0</v>
      </c>
      <c r="G479" s="8"/>
      <c r="H479" s="8"/>
      <c r="I479" s="8"/>
      <c r="M479" s="8"/>
      <c r="R479" s="10" t="str">
        <f ca="1">IFERROR(__xludf.DUMMYFUNCTION("JOIN("","", SORT(UNIQUE(TOCOL({VLOOKUP(D479,DM_fish!A:B,2,FALSE),VLOOKUP(C479,DM_fish!A:B,2,FALSE), ARRAYFORMULA(VLOOKUP(SPLIT(E479, "", ""),Injections!B:G,6,FALSE)), ARRAYFORMULA(VLOOKUP(SPLIT(F479, "", ""),Injections!H:M,6,FALSE)), ARRAYFORMULA(VLOOKUP("&amp;"SPLIT(G479, "", ""),Injections!N:S,6,FALSE)), ARRAYFORMULA(VLOOKUP(SPLIT(H479, "", ""),Injections!T:Y,6,FALSE)) },3))))"),"")</f>
        <v/>
      </c>
      <c r="S479" s="10"/>
      <c r="T479" s="1"/>
      <c r="V479" s="11"/>
      <c r="W479" s="12"/>
      <c r="X479" s="12"/>
      <c r="Y479" s="11"/>
      <c r="Z479" s="11"/>
      <c r="AA479" s="11"/>
    </row>
    <row r="480" spans="1:27" ht="13" x14ac:dyDescent="0.15">
      <c r="A480" s="7">
        <f t="shared" si="10"/>
        <v>0</v>
      </c>
      <c r="G480" s="8"/>
      <c r="H480" s="8"/>
      <c r="I480" s="8"/>
      <c r="M480" s="8"/>
      <c r="R480" s="10" t="str">
        <f ca="1">IFERROR(__xludf.DUMMYFUNCTION("JOIN("","", SORT(UNIQUE(TOCOL({VLOOKUP(D480,DM_fish!A:B,2,FALSE),VLOOKUP(C480,DM_fish!A:B,2,FALSE), ARRAYFORMULA(VLOOKUP(SPLIT(E480, "", ""),Injections!B:G,6,FALSE)), ARRAYFORMULA(VLOOKUP(SPLIT(F480, "", ""),Injections!H:M,6,FALSE)), ARRAYFORMULA(VLOOKUP("&amp;"SPLIT(G480, "", ""),Injections!N:S,6,FALSE)), ARRAYFORMULA(VLOOKUP(SPLIT(H480, "", ""),Injections!T:Y,6,FALSE)) },3))))"),"")</f>
        <v/>
      </c>
      <c r="S480" s="10"/>
      <c r="T480" s="1"/>
      <c r="V480" s="11"/>
      <c r="W480" s="12"/>
      <c r="X480" s="12"/>
      <c r="Y480" s="11"/>
      <c r="Z480" s="11"/>
      <c r="AA480" s="11"/>
    </row>
    <row r="481" spans="1:27" ht="13" x14ac:dyDescent="0.15">
      <c r="A481" s="7">
        <f t="shared" si="10"/>
        <v>0</v>
      </c>
      <c r="G481" s="8"/>
      <c r="H481" s="8"/>
      <c r="I481" s="8"/>
      <c r="M481" s="8"/>
      <c r="R481" s="10" t="str">
        <f ca="1">IFERROR(__xludf.DUMMYFUNCTION("JOIN("","", SORT(UNIQUE(TOCOL({VLOOKUP(D481,DM_fish!A:B,2,FALSE),VLOOKUP(C481,DM_fish!A:B,2,FALSE), ARRAYFORMULA(VLOOKUP(SPLIT(E481, "", ""),Injections!B:G,6,FALSE)), ARRAYFORMULA(VLOOKUP(SPLIT(F481, "", ""),Injections!H:M,6,FALSE)), ARRAYFORMULA(VLOOKUP("&amp;"SPLIT(G481, "", ""),Injections!N:S,6,FALSE)), ARRAYFORMULA(VLOOKUP(SPLIT(H481, "", ""),Injections!T:Y,6,FALSE)) },3))))"),"")</f>
        <v/>
      </c>
      <c r="S481" s="10"/>
      <c r="T481" s="1"/>
      <c r="V481" s="11"/>
      <c r="W481" s="12"/>
      <c r="X481" s="12"/>
      <c r="Y481" s="11"/>
      <c r="Z481" s="11"/>
      <c r="AA481" s="11"/>
    </row>
    <row r="482" spans="1:27" ht="13" x14ac:dyDescent="0.15">
      <c r="A482" s="7">
        <f t="shared" si="10"/>
        <v>0</v>
      </c>
      <c r="G482" s="8"/>
      <c r="H482" s="8"/>
      <c r="I482" s="8"/>
      <c r="M482" s="8"/>
      <c r="R482" s="10" t="str">
        <f ca="1">IFERROR(__xludf.DUMMYFUNCTION("JOIN("","", SORT(UNIQUE(TOCOL({VLOOKUP(D482,DM_fish!A:B,2,FALSE),VLOOKUP(C482,DM_fish!A:B,2,FALSE), ARRAYFORMULA(VLOOKUP(SPLIT(E482, "", ""),Injections!B:G,6,FALSE)), ARRAYFORMULA(VLOOKUP(SPLIT(F482, "", ""),Injections!H:M,6,FALSE)), ARRAYFORMULA(VLOOKUP("&amp;"SPLIT(G482, "", ""),Injections!N:S,6,FALSE)), ARRAYFORMULA(VLOOKUP(SPLIT(H482, "", ""),Injections!T:Y,6,FALSE)) },3))))"),"")</f>
        <v/>
      </c>
      <c r="S482" s="10"/>
      <c r="T482" s="1"/>
      <c r="V482" s="11"/>
      <c r="W482" s="12"/>
      <c r="X482" s="12"/>
      <c r="Y482" s="11"/>
      <c r="Z482" s="11"/>
      <c r="AA482" s="11"/>
    </row>
    <row r="483" spans="1:27" ht="13" x14ac:dyDescent="0.15">
      <c r="A483" s="7">
        <f t="shared" si="10"/>
        <v>0</v>
      </c>
      <c r="G483" s="8"/>
      <c r="H483" s="8"/>
      <c r="I483" s="8"/>
      <c r="M483" s="8"/>
      <c r="R483" s="10" t="str">
        <f ca="1">IFERROR(__xludf.DUMMYFUNCTION("JOIN("","", SORT(UNIQUE(TOCOL({VLOOKUP(D483,DM_fish!A:B,2,FALSE),VLOOKUP(C483,DM_fish!A:B,2,FALSE), ARRAYFORMULA(VLOOKUP(SPLIT(E483, "", ""),Injections!B:G,6,FALSE)), ARRAYFORMULA(VLOOKUP(SPLIT(F483, "", ""),Injections!H:M,6,FALSE)), ARRAYFORMULA(VLOOKUP("&amp;"SPLIT(G483, "", ""),Injections!N:S,6,FALSE)), ARRAYFORMULA(VLOOKUP(SPLIT(H483, "", ""),Injections!T:Y,6,FALSE)) },3))))"),"")</f>
        <v/>
      </c>
      <c r="S483" s="10"/>
      <c r="T483" s="1"/>
      <c r="V483" s="11"/>
      <c r="W483" s="12"/>
      <c r="X483" s="12"/>
      <c r="Y483" s="11"/>
      <c r="Z483" s="11"/>
      <c r="AA483" s="11"/>
    </row>
    <row r="484" spans="1:27" ht="13" x14ac:dyDescent="0.15">
      <c r="A484" s="7">
        <f t="shared" si="10"/>
        <v>0</v>
      </c>
      <c r="G484" s="8"/>
      <c r="H484" s="8"/>
      <c r="I484" s="8"/>
      <c r="M484" s="8"/>
      <c r="R484" s="10" t="str">
        <f ca="1">IFERROR(__xludf.DUMMYFUNCTION("JOIN("","", SORT(UNIQUE(TOCOL({VLOOKUP(D484,DM_fish!A:B,2,FALSE),VLOOKUP(C484,DM_fish!A:B,2,FALSE), ARRAYFORMULA(VLOOKUP(SPLIT(E484, "", ""),Injections!B:G,6,FALSE)), ARRAYFORMULA(VLOOKUP(SPLIT(F484, "", ""),Injections!H:M,6,FALSE)), ARRAYFORMULA(VLOOKUP("&amp;"SPLIT(G484, "", ""),Injections!N:S,6,FALSE)), ARRAYFORMULA(VLOOKUP(SPLIT(H484, "", ""),Injections!T:Y,6,FALSE)) },3))))"),"")</f>
        <v/>
      </c>
      <c r="S484" s="10"/>
      <c r="T484" s="1"/>
      <c r="V484" s="11"/>
      <c r="W484" s="12"/>
      <c r="X484" s="12"/>
      <c r="Y484" s="11"/>
      <c r="Z484" s="11"/>
      <c r="AA484" s="11"/>
    </row>
    <row r="485" spans="1:27" ht="13" x14ac:dyDescent="0.15">
      <c r="A485" s="7">
        <f t="shared" si="10"/>
        <v>0</v>
      </c>
      <c r="G485" s="8"/>
      <c r="H485" s="8"/>
      <c r="I485" s="8"/>
      <c r="M485" s="8"/>
      <c r="R485" s="10" t="str">
        <f ca="1">IFERROR(__xludf.DUMMYFUNCTION("JOIN("","", SORT(UNIQUE(TOCOL({VLOOKUP(D485,DM_fish!A:B,2,FALSE),VLOOKUP(C485,DM_fish!A:B,2,FALSE), ARRAYFORMULA(VLOOKUP(SPLIT(E485, "", ""),Injections!B:G,6,FALSE)), ARRAYFORMULA(VLOOKUP(SPLIT(F485, "", ""),Injections!H:M,6,FALSE)), ARRAYFORMULA(VLOOKUP("&amp;"SPLIT(G485, "", ""),Injections!N:S,6,FALSE)), ARRAYFORMULA(VLOOKUP(SPLIT(H485, "", ""),Injections!T:Y,6,FALSE)) },3))))"),"")</f>
        <v/>
      </c>
      <c r="S485" s="10"/>
      <c r="T485" s="1"/>
      <c r="V485" s="11"/>
      <c r="W485" s="12"/>
      <c r="X485" s="12"/>
      <c r="Y485" s="11"/>
      <c r="Z485" s="11"/>
      <c r="AA485" s="11"/>
    </row>
    <row r="486" spans="1:27" ht="13" x14ac:dyDescent="0.15">
      <c r="A486" s="7">
        <f t="shared" si="10"/>
        <v>0</v>
      </c>
      <c r="G486" s="8"/>
      <c r="H486" s="8"/>
      <c r="I486" s="8"/>
      <c r="M486" s="8"/>
      <c r="R486" s="10" t="str">
        <f ca="1">IFERROR(__xludf.DUMMYFUNCTION("JOIN("","", SORT(UNIQUE(TOCOL({VLOOKUP(D486,DM_fish!A:B,2,FALSE),VLOOKUP(C486,DM_fish!A:B,2,FALSE), ARRAYFORMULA(VLOOKUP(SPLIT(E486, "", ""),Injections!B:G,6,FALSE)), ARRAYFORMULA(VLOOKUP(SPLIT(F486, "", ""),Injections!H:M,6,FALSE)), ARRAYFORMULA(VLOOKUP("&amp;"SPLIT(G486, "", ""),Injections!N:S,6,FALSE)), ARRAYFORMULA(VLOOKUP(SPLIT(H486, "", ""),Injections!T:Y,6,FALSE)) },3))))"),"")</f>
        <v/>
      </c>
      <c r="S486" s="10"/>
      <c r="T486" s="1"/>
      <c r="V486" s="11"/>
      <c r="W486" s="12"/>
      <c r="X486" s="12"/>
      <c r="Y486" s="11"/>
      <c r="Z486" s="11"/>
      <c r="AA486" s="11"/>
    </row>
    <row r="487" spans="1:27" ht="13" x14ac:dyDescent="0.15">
      <c r="A487" s="7">
        <f t="shared" si="10"/>
        <v>0</v>
      </c>
      <c r="G487" s="8"/>
      <c r="H487" s="8"/>
      <c r="I487" s="8"/>
      <c r="M487" s="8"/>
      <c r="R487" s="10" t="str">
        <f ca="1">IFERROR(__xludf.DUMMYFUNCTION("JOIN("","", SORT(UNIQUE(TOCOL({VLOOKUP(D487,DM_fish!A:B,2,FALSE),VLOOKUP(C487,DM_fish!A:B,2,FALSE), ARRAYFORMULA(VLOOKUP(SPLIT(E487, "", ""),Injections!B:G,6,FALSE)), ARRAYFORMULA(VLOOKUP(SPLIT(F487, "", ""),Injections!H:M,6,FALSE)), ARRAYFORMULA(VLOOKUP("&amp;"SPLIT(G487, "", ""),Injections!N:S,6,FALSE)), ARRAYFORMULA(VLOOKUP(SPLIT(H487, "", ""),Injections!T:Y,6,FALSE)) },3))))"),"")</f>
        <v/>
      </c>
      <c r="S487" s="10"/>
      <c r="T487" s="1"/>
      <c r="V487" s="11"/>
      <c r="W487" s="12"/>
      <c r="X487" s="12"/>
      <c r="Y487" s="11"/>
      <c r="Z487" s="11"/>
      <c r="AA487" s="11"/>
    </row>
    <row r="488" spans="1:27" ht="13" x14ac:dyDescent="0.15">
      <c r="A488" s="7">
        <f t="shared" si="10"/>
        <v>0</v>
      </c>
      <c r="G488" s="8"/>
      <c r="H488" s="8"/>
      <c r="I488" s="8"/>
      <c r="M488" s="8"/>
      <c r="R488" s="10" t="str">
        <f ca="1">IFERROR(__xludf.DUMMYFUNCTION("JOIN("","", SORT(UNIQUE(TOCOL({VLOOKUP(D488,DM_fish!A:B,2,FALSE),VLOOKUP(C488,DM_fish!A:B,2,FALSE), ARRAYFORMULA(VLOOKUP(SPLIT(E488, "", ""),Injections!B:G,6,FALSE)), ARRAYFORMULA(VLOOKUP(SPLIT(F488, "", ""),Injections!H:M,6,FALSE)), ARRAYFORMULA(VLOOKUP("&amp;"SPLIT(G488, "", ""),Injections!N:S,6,FALSE)), ARRAYFORMULA(VLOOKUP(SPLIT(H488, "", ""),Injections!T:Y,6,FALSE)) },3))))"),"")</f>
        <v/>
      </c>
      <c r="S488" s="10"/>
      <c r="T488" s="1"/>
      <c r="V488" s="11"/>
      <c r="W488" s="12"/>
      <c r="X488" s="12"/>
      <c r="Y488" s="11"/>
      <c r="Z488" s="11"/>
      <c r="AA488" s="11"/>
    </row>
    <row r="489" spans="1:27" ht="13" x14ac:dyDescent="0.15">
      <c r="A489" s="7">
        <f t="shared" si="10"/>
        <v>0</v>
      </c>
      <c r="G489" s="8"/>
      <c r="H489" s="8"/>
      <c r="I489" s="8"/>
      <c r="M489" s="8"/>
      <c r="R489" s="10" t="str">
        <f ca="1">IFERROR(__xludf.DUMMYFUNCTION("JOIN("","", SORT(UNIQUE(TOCOL({VLOOKUP(D489,DM_fish!A:B,2,FALSE),VLOOKUP(C489,DM_fish!A:B,2,FALSE), ARRAYFORMULA(VLOOKUP(SPLIT(E489, "", ""),Injections!B:G,6,FALSE)), ARRAYFORMULA(VLOOKUP(SPLIT(F489, "", ""),Injections!H:M,6,FALSE)), ARRAYFORMULA(VLOOKUP("&amp;"SPLIT(G489, "", ""),Injections!N:S,6,FALSE)), ARRAYFORMULA(VLOOKUP(SPLIT(H489, "", ""),Injections!T:Y,6,FALSE)) },3))))"),"")</f>
        <v/>
      </c>
      <c r="S489" s="10"/>
      <c r="T489" s="1"/>
      <c r="V489" s="11"/>
      <c r="W489" s="12"/>
      <c r="X489" s="12"/>
      <c r="Y489" s="11"/>
      <c r="Z489" s="11"/>
      <c r="AA489" s="11"/>
    </row>
    <row r="490" spans="1:27" ht="13" x14ac:dyDescent="0.15">
      <c r="A490" s="7">
        <f t="shared" si="10"/>
        <v>0</v>
      </c>
      <c r="G490" s="8"/>
      <c r="H490" s="8"/>
      <c r="I490" s="8"/>
      <c r="M490" s="8"/>
      <c r="R490" s="10" t="str">
        <f ca="1">IFERROR(__xludf.DUMMYFUNCTION("JOIN("","", SORT(UNIQUE(TOCOL({VLOOKUP(D490,DM_fish!A:B,2,FALSE),VLOOKUP(C490,DM_fish!A:B,2,FALSE), ARRAYFORMULA(VLOOKUP(SPLIT(E490, "", ""),Injections!B:G,6,FALSE)), ARRAYFORMULA(VLOOKUP(SPLIT(F490, "", ""),Injections!H:M,6,FALSE)), ARRAYFORMULA(VLOOKUP("&amp;"SPLIT(G490, "", ""),Injections!N:S,6,FALSE)), ARRAYFORMULA(VLOOKUP(SPLIT(H490, "", ""),Injections!T:Y,6,FALSE)) },3))))"),"")</f>
        <v/>
      </c>
      <c r="S490" s="10"/>
      <c r="T490" s="1"/>
      <c r="V490" s="11"/>
      <c r="W490" s="12"/>
      <c r="X490" s="12"/>
      <c r="Y490" s="11"/>
      <c r="Z490" s="11"/>
      <c r="AA490" s="11"/>
    </row>
    <row r="491" spans="1:27" ht="13" x14ac:dyDescent="0.15">
      <c r="A491" s="7">
        <f t="shared" si="10"/>
        <v>0</v>
      </c>
      <c r="G491" s="8"/>
      <c r="H491" s="8"/>
      <c r="I491" s="8"/>
      <c r="M491" s="8"/>
      <c r="R491" s="10" t="str">
        <f ca="1">IFERROR(__xludf.DUMMYFUNCTION("JOIN("","", SORT(UNIQUE(TOCOL({VLOOKUP(D491,DM_fish!A:B,2,FALSE),VLOOKUP(C491,DM_fish!A:B,2,FALSE), ARRAYFORMULA(VLOOKUP(SPLIT(E491, "", ""),Injections!B:G,6,FALSE)), ARRAYFORMULA(VLOOKUP(SPLIT(F491, "", ""),Injections!H:M,6,FALSE)), ARRAYFORMULA(VLOOKUP("&amp;"SPLIT(G491, "", ""),Injections!N:S,6,FALSE)), ARRAYFORMULA(VLOOKUP(SPLIT(H491, "", ""),Injections!T:Y,6,FALSE)) },3))))"),"")</f>
        <v/>
      </c>
      <c r="S491" s="10"/>
      <c r="T491" s="1"/>
      <c r="V491" s="11"/>
      <c r="W491" s="12"/>
      <c r="X491" s="12"/>
      <c r="Y491" s="11"/>
      <c r="Z491" s="11"/>
      <c r="AA491" s="11"/>
    </row>
    <row r="492" spans="1:27" ht="13" x14ac:dyDescent="0.15">
      <c r="A492" s="7">
        <f t="shared" si="10"/>
        <v>0</v>
      </c>
      <c r="G492" s="8"/>
      <c r="H492" s="8"/>
      <c r="I492" s="8"/>
      <c r="M492" s="8"/>
      <c r="R492" s="10" t="str">
        <f ca="1">IFERROR(__xludf.DUMMYFUNCTION("JOIN("","", SORT(UNIQUE(TOCOL({VLOOKUP(D492,DM_fish!A:B,2,FALSE),VLOOKUP(C492,DM_fish!A:B,2,FALSE), ARRAYFORMULA(VLOOKUP(SPLIT(E492, "", ""),Injections!B:G,6,FALSE)), ARRAYFORMULA(VLOOKUP(SPLIT(F492, "", ""),Injections!H:M,6,FALSE)), ARRAYFORMULA(VLOOKUP("&amp;"SPLIT(G492, "", ""),Injections!N:S,6,FALSE)), ARRAYFORMULA(VLOOKUP(SPLIT(H492, "", ""),Injections!T:Y,6,FALSE)) },3))))"),"")</f>
        <v/>
      </c>
      <c r="S492" s="10"/>
      <c r="T492" s="1"/>
      <c r="V492" s="11"/>
      <c r="W492" s="12"/>
      <c r="X492" s="12"/>
      <c r="Y492" s="11"/>
      <c r="Z492" s="11"/>
      <c r="AA492" s="11"/>
    </row>
    <row r="493" spans="1:27" ht="13" x14ac:dyDescent="0.15">
      <c r="A493" s="7">
        <f t="shared" si="10"/>
        <v>0</v>
      </c>
      <c r="G493" s="8"/>
      <c r="H493" s="8"/>
      <c r="I493" s="8"/>
      <c r="M493" s="8"/>
      <c r="R493" s="10" t="str">
        <f ca="1">IFERROR(__xludf.DUMMYFUNCTION("JOIN("","", SORT(UNIQUE(TOCOL({VLOOKUP(D493,DM_fish!A:B,2,FALSE),VLOOKUP(C493,DM_fish!A:B,2,FALSE), ARRAYFORMULA(VLOOKUP(SPLIT(E493, "", ""),Injections!B:G,6,FALSE)), ARRAYFORMULA(VLOOKUP(SPLIT(F493, "", ""),Injections!H:M,6,FALSE)), ARRAYFORMULA(VLOOKUP("&amp;"SPLIT(G493, "", ""),Injections!N:S,6,FALSE)), ARRAYFORMULA(VLOOKUP(SPLIT(H493, "", ""),Injections!T:Y,6,FALSE)) },3))))"),"")</f>
        <v/>
      </c>
      <c r="S493" s="10"/>
      <c r="T493" s="1"/>
      <c r="V493" s="11"/>
      <c r="W493" s="12"/>
      <c r="X493" s="12"/>
      <c r="Y493" s="11"/>
      <c r="Z493" s="11"/>
      <c r="AA493" s="11"/>
    </row>
    <row r="494" spans="1:27" ht="13" x14ac:dyDescent="0.15">
      <c r="A494" s="7">
        <f t="shared" si="10"/>
        <v>0</v>
      </c>
      <c r="G494" s="8"/>
      <c r="H494" s="8"/>
      <c r="I494" s="8"/>
      <c r="M494" s="8"/>
      <c r="R494" s="10" t="str">
        <f ca="1">IFERROR(__xludf.DUMMYFUNCTION("JOIN("","", SORT(UNIQUE(TOCOL({VLOOKUP(D494,DM_fish!A:B,2,FALSE),VLOOKUP(C494,DM_fish!A:B,2,FALSE), ARRAYFORMULA(VLOOKUP(SPLIT(E494, "", ""),Injections!B:G,6,FALSE)), ARRAYFORMULA(VLOOKUP(SPLIT(F494, "", ""),Injections!H:M,6,FALSE)), ARRAYFORMULA(VLOOKUP("&amp;"SPLIT(G494, "", ""),Injections!N:S,6,FALSE)), ARRAYFORMULA(VLOOKUP(SPLIT(H494, "", ""),Injections!T:Y,6,FALSE)) },3))))"),"")</f>
        <v/>
      </c>
      <c r="S494" s="10"/>
      <c r="T494" s="1"/>
      <c r="V494" s="11"/>
      <c r="W494" s="12"/>
      <c r="X494" s="12"/>
      <c r="Y494" s="11"/>
      <c r="Z494" s="11"/>
      <c r="AA494" s="11"/>
    </row>
    <row r="495" spans="1:27" ht="13" x14ac:dyDescent="0.15">
      <c r="A495" s="7">
        <f t="shared" si="10"/>
        <v>0</v>
      </c>
      <c r="G495" s="8"/>
      <c r="H495" s="8"/>
      <c r="I495" s="8"/>
      <c r="M495" s="8"/>
      <c r="R495" s="10" t="str">
        <f ca="1">IFERROR(__xludf.DUMMYFUNCTION("JOIN("","", SORT(UNIQUE(TOCOL({VLOOKUP(D495,DM_fish!A:B,2,FALSE),VLOOKUP(C495,DM_fish!A:B,2,FALSE), ARRAYFORMULA(VLOOKUP(SPLIT(E495, "", ""),Injections!B:G,6,FALSE)), ARRAYFORMULA(VLOOKUP(SPLIT(F495, "", ""),Injections!H:M,6,FALSE)), ARRAYFORMULA(VLOOKUP("&amp;"SPLIT(G495, "", ""),Injections!N:S,6,FALSE)), ARRAYFORMULA(VLOOKUP(SPLIT(H495, "", ""),Injections!T:Y,6,FALSE)) },3))))"),"")</f>
        <v/>
      </c>
      <c r="S495" s="10"/>
      <c r="T495" s="1"/>
      <c r="V495" s="11"/>
      <c r="W495" s="12"/>
      <c r="X495" s="12"/>
      <c r="Y495" s="11"/>
      <c r="Z495" s="11"/>
      <c r="AA495" s="11"/>
    </row>
    <row r="496" spans="1:27" ht="13" x14ac:dyDescent="0.15">
      <c r="A496" s="7">
        <f t="shared" si="10"/>
        <v>0</v>
      </c>
      <c r="G496" s="8"/>
      <c r="H496" s="8"/>
      <c r="I496" s="8"/>
      <c r="M496" s="8"/>
      <c r="R496" s="10" t="str">
        <f ca="1">IFERROR(__xludf.DUMMYFUNCTION("JOIN("","", SORT(UNIQUE(TOCOL({VLOOKUP(D496,DM_fish!A:B,2,FALSE),VLOOKUP(C496,DM_fish!A:B,2,FALSE), ARRAYFORMULA(VLOOKUP(SPLIT(E496, "", ""),Injections!B:G,6,FALSE)), ARRAYFORMULA(VLOOKUP(SPLIT(F496, "", ""),Injections!H:M,6,FALSE)), ARRAYFORMULA(VLOOKUP("&amp;"SPLIT(G496, "", ""),Injections!N:S,6,FALSE)), ARRAYFORMULA(VLOOKUP(SPLIT(H496, "", ""),Injections!T:Y,6,FALSE)) },3))))"),"")</f>
        <v/>
      </c>
      <c r="S496" s="10"/>
      <c r="T496" s="1"/>
      <c r="V496" s="11"/>
      <c r="W496" s="12"/>
      <c r="X496" s="12"/>
      <c r="Y496" s="11"/>
      <c r="Z496" s="11"/>
      <c r="AA496" s="11"/>
    </row>
    <row r="497" spans="1:27" ht="13" x14ac:dyDescent="0.15">
      <c r="A497" s="7">
        <f t="shared" si="10"/>
        <v>0</v>
      </c>
      <c r="G497" s="8"/>
      <c r="H497" s="8"/>
      <c r="I497" s="8"/>
      <c r="M497" s="8"/>
      <c r="R497" s="10" t="str">
        <f ca="1">IFERROR(__xludf.DUMMYFUNCTION("JOIN("","", SORT(UNIQUE(TOCOL({VLOOKUP(D497,DM_fish!A:B,2,FALSE),VLOOKUP(C497,DM_fish!A:B,2,FALSE), ARRAYFORMULA(VLOOKUP(SPLIT(E497, "", ""),Injections!B:G,6,FALSE)), ARRAYFORMULA(VLOOKUP(SPLIT(F497, "", ""),Injections!H:M,6,FALSE)), ARRAYFORMULA(VLOOKUP("&amp;"SPLIT(G497, "", ""),Injections!N:S,6,FALSE)), ARRAYFORMULA(VLOOKUP(SPLIT(H497, "", ""),Injections!T:Y,6,FALSE)) },3))))"),"")</f>
        <v/>
      </c>
      <c r="S497" s="10"/>
      <c r="T497" s="1"/>
      <c r="V497" s="11"/>
      <c r="W497" s="12"/>
      <c r="X497" s="12"/>
      <c r="Y497" s="11"/>
      <c r="Z497" s="11"/>
      <c r="AA497" s="11"/>
    </row>
    <row r="498" spans="1:27" ht="13" x14ac:dyDescent="0.15">
      <c r="A498" s="7">
        <f t="shared" si="10"/>
        <v>0</v>
      </c>
      <c r="G498" s="8"/>
      <c r="H498" s="8"/>
      <c r="I498" s="8"/>
      <c r="M498" s="8"/>
      <c r="R498" s="10" t="str">
        <f ca="1">IFERROR(__xludf.DUMMYFUNCTION("JOIN("","", SORT(UNIQUE(TOCOL({VLOOKUP(D498,DM_fish!A:B,2,FALSE),VLOOKUP(C498,DM_fish!A:B,2,FALSE), ARRAYFORMULA(VLOOKUP(SPLIT(E498, "", ""),Injections!B:G,6,FALSE)), ARRAYFORMULA(VLOOKUP(SPLIT(F498, "", ""),Injections!H:M,6,FALSE)), ARRAYFORMULA(VLOOKUP("&amp;"SPLIT(G498, "", ""),Injections!N:S,6,FALSE)), ARRAYFORMULA(VLOOKUP(SPLIT(H498, "", ""),Injections!T:Y,6,FALSE)) },3))))"),"")</f>
        <v/>
      </c>
      <c r="S498" s="10"/>
      <c r="T498" s="1"/>
      <c r="V498" s="11"/>
      <c r="W498" s="12"/>
      <c r="X498" s="12"/>
      <c r="Y498" s="11"/>
      <c r="Z498" s="11"/>
      <c r="AA498" s="11"/>
    </row>
    <row r="499" spans="1:27" ht="13" x14ac:dyDescent="0.15">
      <c r="A499" s="7">
        <f t="shared" si="10"/>
        <v>0</v>
      </c>
      <c r="G499" s="8"/>
      <c r="H499" s="8"/>
      <c r="I499" s="8"/>
      <c r="M499" s="8"/>
      <c r="R499" s="10" t="str">
        <f ca="1">IFERROR(__xludf.DUMMYFUNCTION("JOIN("","", SORT(UNIQUE(TOCOL({VLOOKUP(D499,DM_fish!A:B,2,FALSE),VLOOKUP(C499,DM_fish!A:B,2,FALSE), ARRAYFORMULA(VLOOKUP(SPLIT(E499, "", ""),Injections!B:G,6,FALSE)), ARRAYFORMULA(VLOOKUP(SPLIT(F499, "", ""),Injections!H:M,6,FALSE)), ARRAYFORMULA(VLOOKUP("&amp;"SPLIT(G499, "", ""),Injections!N:S,6,FALSE)), ARRAYFORMULA(VLOOKUP(SPLIT(H499, "", ""),Injections!T:Y,6,FALSE)) },3))))"),"")</f>
        <v/>
      </c>
      <c r="S499" s="10"/>
      <c r="T499" s="1"/>
      <c r="V499" s="11"/>
      <c r="W499" s="12"/>
      <c r="X499" s="12"/>
      <c r="Y499" s="11"/>
      <c r="Z499" s="11"/>
      <c r="AA499" s="11"/>
    </row>
    <row r="500" spans="1:27" ht="13" x14ac:dyDescent="0.15">
      <c r="A500" s="7">
        <f t="shared" si="10"/>
        <v>0</v>
      </c>
      <c r="G500" s="8"/>
      <c r="H500" s="8"/>
      <c r="I500" s="8"/>
      <c r="M500" s="8"/>
      <c r="R500" s="10" t="str">
        <f ca="1">IFERROR(__xludf.DUMMYFUNCTION("JOIN("","", SORT(UNIQUE(TOCOL({VLOOKUP(D500,DM_fish!A:B,2,FALSE),VLOOKUP(C500,DM_fish!A:B,2,FALSE), ARRAYFORMULA(VLOOKUP(SPLIT(E500, "", ""),Injections!B:G,6,FALSE)), ARRAYFORMULA(VLOOKUP(SPLIT(F500, "", ""),Injections!H:M,6,FALSE)), ARRAYFORMULA(VLOOKUP("&amp;"SPLIT(G500, "", ""),Injections!N:S,6,FALSE)), ARRAYFORMULA(VLOOKUP(SPLIT(H500, "", ""),Injections!T:Y,6,FALSE)) },3))))"),"")</f>
        <v/>
      </c>
      <c r="S500" s="10"/>
      <c r="T500" s="1"/>
      <c r="V500" s="11"/>
      <c r="W500" s="12"/>
      <c r="X500" s="12"/>
      <c r="Y500" s="11"/>
      <c r="Z500" s="11"/>
      <c r="AA500" s="11"/>
    </row>
    <row r="501" spans="1:27" ht="13" x14ac:dyDescent="0.15">
      <c r="A501" s="7">
        <f t="shared" si="10"/>
        <v>0</v>
      </c>
      <c r="G501" s="8"/>
      <c r="H501" s="8"/>
      <c r="I501" s="8"/>
      <c r="M501" s="8"/>
      <c r="R501" s="10" t="str">
        <f ca="1">IFERROR(__xludf.DUMMYFUNCTION("JOIN("","", SORT(UNIQUE(TOCOL({VLOOKUP(D501,DM_fish!A:B,2,FALSE),VLOOKUP(C501,DM_fish!A:B,2,FALSE), ARRAYFORMULA(VLOOKUP(SPLIT(E501, "", ""),Injections!B:G,6,FALSE)), ARRAYFORMULA(VLOOKUP(SPLIT(F501, "", ""),Injections!H:M,6,FALSE)), ARRAYFORMULA(VLOOKUP("&amp;"SPLIT(G501, "", ""),Injections!N:S,6,FALSE)), ARRAYFORMULA(VLOOKUP(SPLIT(H501, "", ""),Injections!T:Y,6,FALSE)) },3))))"),"")</f>
        <v/>
      </c>
      <c r="S501" s="10"/>
      <c r="T501" s="1"/>
      <c r="V501" s="11"/>
      <c r="W501" s="12"/>
      <c r="X501" s="12"/>
      <c r="Y501" s="11"/>
      <c r="Z501" s="11"/>
      <c r="AA501" s="11"/>
    </row>
    <row r="502" spans="1:27" ht="13" x14ac:dyDescent="0.15">
      <c r="A502" s="7">
        <f t="shared" si="10"/>
        <v>0</v>
      </c>
      <c r="G502" s="8"/>
      <c r="H502" s="8"/>
      <c r="I502" s="8"/>
      <c r="M502" s="8"/>
      <c r="R502" s="10" t="str">
        <f ca="1">IFERROR(__xludf.DUMMYFUNCTION("JOIN("","", SORT(UNIQUE(TOCOL({VLOOKUP(D502,DM_fish!A:B,2,FALSE),VLOOKUP(C502,DM_fish!A:B,2,FALSE), ARRAYFORMULA(VLOOKUP(SPLIT(E502, "", ""),Injections!B:G,6,FALSE)), ARRAYFORMULA(VLOOKUP(SPLIT(F502, "", ""),Injections!H:M,6,FALSE)), ARRAYFORMULA(VLOOKUP("&amp;"SPLIT(G502, "", ""),Injections!N:S,6,FALSE)), ARRAYFORMULA(VLOOKUP(SPLIT(H502, "", ""),Injections!T:Y,6,FALSE)) },3))))"),"")</f>
        <v/>
      </c>
      <c r="S502" s="10"/>
      <c r="T502" s="1"/>
      <c r="V502" s="11"/>
      <c r="W502" s="12"/>
      <c r="X502" s="12"/>
      <c r="Y502" s="11"/>
      <c r="Z502" s="11"/>
      <c r="AA502" s="11"/>
    </row>
    <row r="503" spans="1:27" ht="13" x14ac:dyDescent="0.15">
      <c r="A503" s="7">
        <f t="shared" si="10"/>
        <v>0</v>
      </c>
      <c r="G503" s="8"/>
      <c r="H503" s="8"/>
      <c r="I503" s="8"/>
      <c r="M503" s="8"/>
      <c r="R503" s="10" t="str">
        <f ca="1">IFERROR(__xludf.DUMMYFUNCTION("JOIN("","", SORT(UNIQUE(TOCOL({VLOOKUP(D503,DM_fish!A:B,2,FALSE),VLOOKUP(C503,DM_fish!A:B,2,FALSE), ARRAYFORMULA(VLOOKUP(SPLIT(E503, "", ""),Injections!B:G,6,FALSE)), ARRAYFORMULA(VLOOKUP(SPLIT(F503, "", ""),Injections!H:M,6,FALSE)), ARRAYFORMULA(VLOOKUP("&amp;"SPLIT(G503, "", ""),Injections!N:S,6,FALSE)), ARRAYFORMULA(VLOOKUP(SPLIT(H503, "", ""),Injections!T:Y,6,FALSE)) },3))))"),"")</f>
        <v/>
      </c>
      <c r="S503" s="10"/>
      <c r="T503" s="1"/>
      <c r="V503" s="11"/>
      <c r="W503" s="12"/>
      <c r="X503" s="12"/>
      <c r="Y503" s="11"/>
      <c r="Z503" s="11"/>
      <c r="AA503" s="11"/>
    </row>
    <row r="504" spans="1:27" ht="13" x14ac:dyDescent="0.15">
      <c r="A504" s="7">
        <f t="shared" si="10"/>
        <v>0</v>
      </c>
      <c r="G504" s="8"/>
      <c r="H504" s="8"/>
      <c r="I504" s="8"/>
      <c r="M504" s="8"/>
      <c r="R504" s="10" t="str">
        <f ca="1">IFERROR(__xludf.DUMMYFUNCTION("JOIN("","", SORT(UNIQUE(TOCOL({VLOOKUP(D504,DM_fish!A:B,2,FALSE),VLOOKUP(C504,DM_fish!A:B,2,FALSE), ARRAYFORMULA(VLOOKUP(SPLIT(E504, "", ""),Injections!B:G,6,FALSE)), ARRAYFORMULA(VLOOKUP(SPLIT(F504, "", ""),Injections!H:M,6,FALSE)), ARRAYFORMULA(VLOOKUP("&amp;"SPLIT(G504, "", ""),Injections!N:S,6,FALSE)), ARRAYFORMULA(VLOOKUP(SPLIT(H504, "", ""),Injections!T:Y,6,FALSE)) },3))))"),"")</f>
        <v/>
      </c>
      <c r="S504" s="10"/>
      <c r="T504" s="1"/>
      <c r="V504" s="11"/>
      <c r="W504" s="12"/>
      <c r="X504" s="12"/>
      <c r="Y504" s="11"/>
      <c r="Z504" s="11"/>
      <c r="AA504" s="11"/>
    </row>
    <row r="505" spans="1:27" ht="13" x14ac:dyDescent="0.15">
      <c r="A505" s="7">
        <f t="shared" si="10"/>
        <v>0</v>
      </c>
      <c r="G505" s="8"/>
      <c r="H505" s="8"/>
      <c r="I505" s="8"/>
      <c r="M505" s="8"/>
      <c r="R505" s="10" t="str">
        <f ca="1">IFERROR(__xludf.DUMMYFUNCTION("JOIN("","", SORT(UNIQUE(TOCOL({VLOOKUP(D505,DM_fish!A:B,2,FALSE),VLOOKUP(C505,DM_fish!A:B,2,FALSE), ARRAYFORMULA(VLOOKUP(SPLIT(E505, "", ""),Injections!B:G,6,FALSE)), ARRAYFORMULA(VLOOKUP(SPLIT(F505, "", ""),Injections!H:M,6,FALSE)), ARRAYFORMULA(VLOOKUP("&amp;"SPLIT(G505, "", ""),Injections!N:S,6,FALSE)), ARRAYFORMULA(VLOOKUP(SPLIT(H505, "", ""),Injections!T:Y,6,FALSE)) },3))))"),"")</f>
        <v/>
      </c>
      <c r="S505" s="10"/>
      <c r="T505" s="1"/>
      <c r="V505" s="11"/>
      <c r="W505" s="12"/>
      <c r="X505" s="12"/>
      <c r="Y505" s="11"/>
      <c r="Z505" s="11"/>
      <c r="AA505" s="11"/>
    </row>
    <row r="506" spans="1:27" ht="13" x14ac:dyDescent="0.15">
      <c r="A506" s="7">
        <f t="shared" si="10"/>
        <v>0</v>
      </c>
      <c r="G506" s="8"/>
      <c r="H506" s="8"/>
      <c r="I506" s="8"/>
      <c r="M506" s="8"/>
      <c r="R506" s="10" t="str">
        <f ca="1">IFERROR(__xludf.DUMMYFUNCTION("JOIN("","", SORT(UNIQUE(TOCOL({VLOOKUP(D506,DM_fish!A:B,2,FALSE),VLOOKUP(C506,DM_fish!A:B,2,FALSE), ARRAYFORMULA(VLOOKUP(SPLIT(E506, "", ""),Injections!B:G,6,FALSE)), ARRAYFORMULA(VLOOKUP(SPLIT(F506, "", ""),Injections!H:M,6,FALSE)), ARRAYFORMULA(VLOOKUP("&amp;"SPLIT(G506, "", ""),Injections!N:S,6,FALSE)), ARRAYFORMULA(VLOOKUP(SPLIT(H506, "", ""),Injections!T:Y,6,FALSE)) },3))))"),"")</f>
        <v/>
      </c>
      <c r="S506" s="10"/>
      <c r="T506" s="1"/>
      <c r="V506" s="11"/>
      <c r="W506" s="12"/>
      <c r="X506" s="12"/>
      <c r="Y506" s="11"/>
      <c r="Z506" s="11"/>
      <c r="AA506" s="11"/>
    </row>
    <row r="507" spans="1:27" ht="13" x14ac:dyDescent="0.15">
      <c r="A507" s="7">
        <f t="shared" si="10"/>
        <v>0</v>
      </c>
      <c r="G507" s="8"/>
      <c r="H507" s="8"/>
      <c r="I507" s="8"/>
      <c r="M507" s="8"/>
      <c r="R507" s="10" t="str">
        <f ca="1">IFERROR(__xludf.DUMMYFUNCTION("JOIN("","", SORT(UNIQUE(TOCOL({VLOOKUP(D507,DM_fish!A:B,2,FALSE),VLOOKUP(C507,DM_fish!A:B,2,FALSE), ARRAYFORMULA(VLOOKUP(SPLIT(E507, "", ""),Injections!B:G,6,FALSE)), ARRAYFORMULA(VLOOKUP(SPLIT(F507, "", ""),Injections!H:M,6,FALSE)), ARRAYFORMULA(VLOOKUP("&amp;"SPLIT(G507, "", ""),Injections!N:S,6,FALSE)), ARRAYFORMULA(VLOOKUP(SPLIT(H507, "", ""),Injections!T:Y,6,FALSE)) },3))))"),"")</f>
        <v/>
      </c>
      <c r="S507" s="10"/>
      <c r="T507" s="1"/>
      <c r="V507" s="11"/>
      <c r="W507" s="12"/>
      <c r="X507" s="12"/>
      <c r="Y507" s="11"/>
      <c r="Z507" s="11"/>
      <c r="AA507" s="11"/>
    </row>
    <row r="508" spans="1:27" ht="13" x14ac:dyDescent="0.15">
      <c r="A508" s="7">
        <f t="shared" si="10"/>
        <v>0</v>
      </c>
      <c r="G508" s="8"/>
      <c r="H508" s="8"/>
      <c r="I508" s="8"/>
      <c r="M508" s="8"/>
      <c r="R508" s="10" t="str">
        <f ca="1">IFERROR(__xludf.DUMMYFUNCTION("JOIN("","", SORT(UNIQUE(TOCOL({VLOOKUP(D508,DM_fish!A:B,2,FALSE),VLOOKUP(C508,DM_fish!A:B,2,FALSE), ARRAYFORMULA(VLOOKUP(SPLIT(E508, "", ""),Injections!B:G,6,FALSE)), ARRAYFORMULA(VLOOKUP(SPLIT(F508, "", ""),Injections!H:M,6,FALSE)), ARRAYFORMULA(VLOOKUP("&amp;"SPLIT(G508, "", ""),Injections!N:S,6,FALSE)), ARRAYFORMULA(VLOOKUP(SPLIT(H508, "", ""),Injections!T:Y,6,FALSE)) },3))))"),"")</f>
        <v/>
      </c>
      <c r="S508" s="10"/>
      <c r="T508" s="1"/>
      <c r="V508" s="11"/>
      <c r="W508" s="12"/>
      <c r="X508" s="12"/>
      <c r="Y508" s="11"/>
      <c r="Z508" s="11"/>
      <c r="AA508" s="11"/>
    </row>
    <row r="509" spans="1:27" ht="13" x14ac:dyDescent="0.15">
      <c r="A509" s="7">
        <f t="shared" si="10"/>
        <v>0</v>
      </c>
      <c r="G509" s="8"/>
      <c r="H509" s="8"/>
      <c r="I509" s="8"/>
      <c r="M509" s="8"/>
      <c r="R509" s="10" t="str">
        <f ca="1">IFERROR(__xludf.DUMMYFUNCTION("JOIN("","", SORT(UNIQUE(TOCOL({VLOOKUP(D509,DM_fish!A:B,2,FALSE),VLOOKUP(C509,DM_fish!A:B,2,FALSE), ARRAYFORMULA(VLOOKUP(SPLIT(E509, "", ""),Injections!B:G,6,FALSE)), ARRAYFORMULA(VLOOKUP(SPLIT(F509, "", ""),Injections!H:M,6,FALSE)), ARRAYFORMULA(VLOOKUP("&amp;"SPLIT(G509, "", ""),Injections!N:S,6,FALSE)), ARRAYFORMULA(VLOOKUP(SPLIT(H509, "", ""),Injections!T:Y,6,FALSE)) },3))))"),"")</f>
        <v/>
      </c>
      <c r="S509" s="10"/>
      <c r="T509" s="1"/>
      <c r="V509" s="11"/>
      <c r="W509" s="12"/>
      <c r="X509" s="12"/>
      <c r="Y509" s="11"/>
      <c r="Z509" s="11"/>
      <c r="AA509" s="11"/>
    </row>
    <row r="510" spans="1:27" ht="13" x14ac:dyDescent="0.15">
      <c r="A510" s="7">
        <f t="shared" si="10"/>
        <v>0</v>
      </c>
      <c r="G510" s="8"/>
      <c r="H510" s="8"/>
      <c r="I510" s="8"/>
      <c r="M510" s="8"/>
      <c r="R510" s="10" t="str">
        <f ca="1">IFERROR(__xludf.DUMMYFUNCTION("JOIN("","", SORT(UNIQUE(TOCOL({VLOOKUP(D510,DM_fish!A:B,2,FALSE),VLOOKUP(C510,DM_fish!A:B,2,FALSE), ARRAYFORMULA(VLOOKUP(SPLIT(E510, "", ""),Injections!B:G,6,FALSE)), ARRAYFORMULA(VLOOKUP(SPLIT(F510, "", ""),Injections!H:M,6,FALSE)), ARRAYFORMULA(VLOOKUP("&amp;"SPLIT(G510, "", ""),Injections!N:S,6,FALSE)), ARRAYFORMULA(VLOOKUP(SPLIT(H510, "", ""),Injections!T:Y,6,FALSE)) },3))))"),"")</f>
        <v/>
      </c>
      <c r="S510" s="10"/>
      <c r="T510" s="1"/>
      <c r="V510" s="11"/>
      <c r="W510" s="12"/>
      <c r="X510" s="12"/>
      <c r="Y510" s="11"/>
      <c r="Z510" s="11"/>
      <c r="AA510" s="11"/>
    </row>
    <row r="511" spans="1:27" ht="13" x14ac:dyDescent="0.15">
      <c r="A511" s="7">
        <f t="shared" si="10"/>
        <v>0</v>
      </c>
      <c r="G511" s="8"/>
      <c r="H511" s="8"/>
      <c r="I511" s="8"/>
      <c r="M511" s="8"/>
      <c r="R511" s="10" t="str">
        <f ca="1">IFERROR(__xludf.DUMMYFUNCTION("JOIN("","", SORT(UNIQUE(TOCOL({VLOOKUP(D511,DM_fish!A:B,2,FALSE),VLOOKUP(C511,DM_fish!A:B,2,FALSE), ARRAYFORMULA(VLOOKUP(SPLIT(E511, "", ""),Injections!B:G,6,FALSE)), ARRAYFORMULA(VLOOKUP(SPLIT(F511, "", ""),Injections!H:M,6,FALSE)), ARRAYFORMULA(VLOOKUP("&amp;"SPLIT(G511, "", ""),Injections!N:S,6,FALSE)), ARRAYFORMULA(VLOOKUP(SPLIT(H511, "", ""),Injections!T:Y,6,FALSE)) },3))))"),"")</f>
        <v/>
      </c>
      <c r="S511" s="10"/>
      <c r="T511" s="1"/>
      <c r="V511" s="11"/>
      <c r="W511" s="12"/>
      <c r="X511" s="12"/>
      <c r="Y511" s="11"/>
      <c r="Z511" s="11"/>
      <c r="AA511" s="11"/>
    </row>
    <row r="512" spans="1:27" ht="13" x14ac:dyDescent="0.15">
      <c r="A512" s="7">
        <f t="shared" si="10"/>
        <v>0</v>
      </c>
      <c r="G512" s="8"/>
      <c r="H512" s="8"/>
      <c r="I512" s="8"/>
      <c r="M512" s="8"/>
      <c r="R512" s="10" t="str">
        <f ca="1">IFERROR(__xludf.DUMMYFUNCTION("JOIN("","", SORT(UNIQUE(TOCOL({VLOOKUP(D512,DM_fish!A:B,2,FALSE),VLOOKUP(C512,DM_fish!A:B,2,FALSE), ARRAYFORMULA(VLOOKUP(SPLIT(E512, "", ""),Injections!B:G,6,FALSE)), ARRAYFORMULA(VLOOKUP(SPLIT(F512, "", ""),Injections!H:M,6,FALSE)), ARRAYFORMULA(VLOOKUP("&amp;"SPLIT(G512, "", ""),Injections!N:S,6,FALSE)), ARRAYFORMULA(VLOOKUP(SPLIT(H512, "", ""),Injections!T:Y,6,FALSE)) },3))))"),"")</f>
        <v/>
      </c>
      <c r="S512" s="10"/>
      <c r="T512" s="1"/>
      <c r="V512" s="11"/>
      <c r="W512" s="12"/>
      <c r="X512" s="12"/>
      <c r="Y512" s="11"/>
      <c r="Z512" s="11"/>
      <c r="AA512" s="11"/>
    </row>
    <row r="513" spans="1:27" ht="13" x14ac:dyDescent="0.15">
      <c r="A513" s="7">
        <f t="shared" si="10"/>
        <v>0</v>
      </c>
      <c r="G513" s="8"/>
      <c r="H513" s="8"/>
      <c r="I513" s="8"/>
      <c r="M513" s="8"/>
      <c r="R513" s="10" t="str">
        <f ca="1">IFERROR(__xludf.DUMMYFUNCTION("JOIN("","", SORT(UNIQUE(TOCOL({VLOOKUP(D513,DM_fish!A:B,2,FALSE),VLOOKUP(C513,DM_fish!A:B,2,FALSE), ARRAYFORMULA(VLOOKUP(SPLIT(E513, "", ""),Injections!B:G,6,FALSE)), ARRAYFORMULA(VLOOKUP(SPLIT(F513, "", ""),Injections!H:M,6,FALSE)), ARRAYFORMULA(VLOOKUP("&amp;"SPLIT(G513, "", ""),Injections!N:S,6,FALSE)), ARRAYFORMULA(VLOOKUP(SPLIT(H513, "", ""),Injections!T:Y,6,FALSE)) },3))))"),"")</f>
        <v/>
      </c>
      <c r="S513" s="10"/>
      <c r="T513" s="1"/>
      <c r="V513" s="11"/>
      <c r="W513" s="12"/>
      <c r="X513" s="12"/>
      <c r="Y513" s="11"/>
      <c r="Z513" s="11"/>
      <c r="AA513" s="11"/>
    </row>
    <row r="514" spans="1:27" ht="13" x14ac:dyDescent="0.15">
      <c r="A514" s="7">
        <f t="shared" si="10"/>
        <v>0</v>
      </c>
      <c r="G514" s="8"/>
      <c r="H514" s="8"/>
      <c r="I514" s="8"/>
      <c r="M514" s="8"/>
      <c r="R514" s="10" t="str">
        <f ca="1">IFERROR(__xludf.DUMMYFUNCTION("JOIN("","", SORT(UNIQUE(TOCOL({VLOOKUP(D514,DM_fish!A:B,2,FALSE),VLOOKUP(C514,DM_fish!A:B,2,FALSE), ARRAYFORMULA(VLOOKUP(SPLIT(E514, "", ""),Injections!B:G,6,FALSE)), ARRAYFORMULA(VLOOKUP(SPLIT(F514, "", ""),Injections!H:M,6,FALSE)), ARRAYFORMULA(VLOOKUP("&amp;"SPLIT(G514, "", ""),Injections!N:S,6,FALSE)), ARRAYFORMULA(VLOOKUP(SPLIT(H514, "", ""),Injections!T:Y,6,FALSE)) },3))))"),"")</f>
        <v/>
      </c>
      <c r="S514" s="10"/>
      <c r="T514" s="1"/>
      <c r="V514" s="11"/>
      <c r="W514" s="12"/>
      <c r="X514" s="12"/>
      <c r="Y514" s="11"/>
      <c r="Z514" s="11"/>
      <c r="AA514" s="11"/>
    </row>
    <row r="515" spans="1:27" ht="13" x14ac:dyDescent="0.15">
      <c r="A515" s="7">
        <f t="shared" si="10"/>
        <v>0</v>
      </c>
      <c r="G515" s="8"/>
      <c r="H515" s="8"/>
      <c r="I515" s="8"/>
      <c r="M515" s="8"/>
      <c r="R515" s="10" t="str">
        <f ca="1">IFERROR(__xludf.DUMMYFUNCTION("JOIN("","", SORT(UNIQUE(TOCOL({VLOOKUP(D515,DM_fish!A:B,2,FALSE),VLOOKUP(C515,DM_fish!A:B,2,FALSE), ARRAYFORMULA(VLOOKUP(SPLIT(E515, "", ""),Injections!B:G,6,FALSE)), ARRAYFORMULA(VLOOKUP(SPLIT(F515, "", ""),Injections!H:M,6,FALSE)), ARRAYFORMULA(VLOOKUP("&amp;"SPLIT(G515, "", ""),Injections!N:S,6,FALSE)), ARRAYFORMULA(VLOOKUP(SPLIT(H515, "", ""),Injections!T:Y,6,FALSE)) },3))))"),"")</f>
        <v/>
      </c>
      <c r="S515" s="10"/>
      <c r="T515" s="1"/>
      <c r="V515" s="11"/>
      <c r="W515" s="12"/>
      <c r="X515" s="12"/>
      <c r="Y515" s="11"/>
      <c r="Z515" s="11"/>
      <c r="AA515" s="11"/>
    </row>
    <row r="516" spans="1:27" ht="13" x14ac:dyDescent="0.15">
      <c r="A516" s="7">
        <f t="shared" si="10"/>
        <v>0</v>
      </c>
      <c r="G516" s="8"/>
      <c r="H516" s="8"/>
      <c r="I516" s="8"/>
      <c r="M516" s="8"/>
      <c r="R516" s="10" t="str">
        <f ca="1">IFERROR(__xludf.DUMMYFUNCTION("JOIN("","", SORT(UNIQUE(TOCOL({VLOOKUP(D516,DM_fish!A:B,2,FALSE),VLOOKUP(C516,DM_fish!A:B,2,FALSE), ARRAYFORMULA(VLOOKUP(SPLIT(E516, "", ""),Injections!B:G,6,FALSE)), ARRAYFORMULA(VLOOKUP(SPLIT(F516, "", ""),Injections!H:M,6,FALSE)), ARRAYFORMULA(VLOOKUP("&amp;"SPLIT(G516, "", ""),Injections!N:S,6,FALSE)), ARRAYFORMULA(VLOOKUP(SPLIT(H516, "", ""),Injections!T:Y,6,FALSE)) },3))))"),"")</f>
        <v/>
      </c>
      <c r="S516" s="10"/>
      <c r="T516" s="1"/>
      <c r="V516" s="11"/>
      <c r="W516" s="12"/>
      <c r="X516" s="12"/>
      <c r="Y516" s="11"/>
      <c r="Z516" s="11"/>
      <c r="AA516" s="11"/>
    </row>
    <row r="517" spans="1:27" ht="13" x14ac:dyDescent="0.15">
      <c r="A517" s="7">
        <f t="shared" si="10"/>
        <v>0</v>
      </c>
      <c r="G517" s="8"/>
      <c r="H517" s="8"/>
      <c r="I517" s="8"/>
      <c r="M517" s="8"/>
      <c r="R517" s="10" t="str">
        <f ca="1">IFERROR(__xludf.DUMMYFUNCTION("JOIN("","", SORT(UNIQUE(TOCOL({VLOOKUP(D517,DM_fish!A:B,2,FALSE),VLOOKUP(C517,DM_fish!A:B,2,FALSE), ARRAYFORMULA(VLOOKUP(SPLIT(E517, "", ""),Injections!B:G,6,FALSE)), ARRAYFORMULA(VLOOKUP(SPLIT(F517, "", ""),Injections!H:M,6,FALSE)), ARRAYFORMULA(VLOOKUP("&amp;"SPLIT(G517, "", ""),Injections!N:S,6,FALSE)), ARRAYFORMULA(VLOOKUP(SPLIT(H517, "", ""),Injections!T:Y,6,FALSE)) },3))))"),"")</f>
        <v/>
      </c>
      <c r="S517" s="10"/>
      <c r="T517" s="1"/>
      <c r="V517" s="11"/>
      <c r="W517" s="12"/>
      <c r="X517" s="12"/>
      <c r="Y517" s="11"/>
      <c r="Z517" s="11"/>
      <c r="AA517" s="11"/>
    </row>
    <row r="518" spans="1:27" ht="13" x14ac:dyDescent="0.15">
      <c r="A518" s="7">
        <f t="shared" si="10"/>
        <v>0</v>
      </c>
      <c r="G518" s="8"/>
      <c r="H518" s="8"/>
      <c r="I518" s="8"/>
      <c r="M518" s="8"/>
      <c r="R518" s="10" t="str">
        <f ca="1">IFERROR(__xludf.DUMMYFUNCTION("JOIN("","", SORT(UNIQUE(TOCOL({VLOOKUP(D518,DM_fish!A:B,2,FALSE),VLOOKUP(C518,DM_fish!A:B,2,FALSE), ARRAYFORMULA(VLOOKUP(SPLIT(E518, "", ""),Injections!B:G,6,FALSE)), ARRAYFORMULA(VLOOKUP(SPLIT(F518, "", ""),Injections!H:M,6,FALSE)), ARRAYFORMULA(VLOOKUP("&amp;"SPLIT(G518, "", ""),Injections!N:S,6,FALSE)), ARRAYFORMULA(VLOOKUP(SPLIT(H518, "", ""),Injections!T:Y,6,FALSE)) },3))))"),"")</f>
        <v/>
      </c>
      <c r="S518" s="10"/>
      <c r="T518" s="1"/>
      <c r="V518" s="11"/>
      <c r="W518" s="12"/>
      <c r="X518" s="12"/>
      <c r="Y518" s="11"/>
      <c r="Z518" s="11"/>
      <c r="AA518" s="11"/>
    </row>
    <row r="519" spans="1:27" ht="13" x14ac:dyDescent="0.15">
      <c r="A519" s="7">
        <f t="shared" si="10"/>
        <v>0</v>
      </c>
      <c r="G519" s="8"/>
      <c r="H519" s="8"/>
      <c r="I519" s="8"/>
      <c r="M519" s="8"/>
      <c r="R519" s="10" t="str">
        <f ca="1">IFERROR(__xludf.DUMMYFUNCTION("JOIN("","", SORT(UNIQUE(TOCOL({VLOOKUP(D519,DM_fish!A:B,2,FALSE),VLOOKUP(C519,DM_fish!A:B,2,FALSE), ARRAYFORMULA(VLOOKUP(SPLIT(E519, "", ""),Injections!B:G,6,FALSE)), ARRAYFORMULA(VLOOKUP(SPLIT(F519, "", ""),Injections!H:M,6,FALSE)), ARRAYFORMULA(VLOOKUP("&amp;"SPLIT(G519, "", ""),Injections!N:S,6,FALSE)), ARRAYFORMULA(VLOOKUP(SPLIT(H519, "", ""),Injections!T:Y,6,FALSE)) },3))))"),"")</f>
        <v/>
      </c>
      <c r="S519" s="10"/>
      <c r="T519" s="1"/>
      <c r="V519" s="11"/>
      <c r="W519" s="12"/>
      <c r="X519" s="12"/>
      <c r="Y519" s="11"/>
      <c r="Z519" s="11"/>
      <c r="AA519" s="11"/>
    </row>
    <row r="520" spans="1:27" ht="13" x14ac:dyDescent="0.15">
      <c r="A520" s="7"/>
      <c r="G520" s="8"/>
      <c r="H520" s="8"/>
      <c r="I520" s="8"/>
      <c r="M520" s="8"/>
      <c r="R520" s="10" t="str">
        <f ca="1">IFERROR(__xludf.DUMMYFUNCTION("JOIN("","", SORT(UNIQUE(TOCOL({VLOOKUP(D520,DM_fish!A:B,2,FALSE),VLOOKUP(C520,DM_fish!A:B,2,FALSE), ARRAYFORMULA(VLOOKUP(SPLIT(E520, "", ""),Injections!B:G,6,FALSE)), ARRAYFORMULA(VLOOKUP(SPLIT(F520, "", ""),Injections!H:M,6,FALSE)), ARRAYFORMULA(VLOOKUP("&amp;"SPLIT(G520, "", ""),Injections!N:S,6,FALSE)), ARRAYFORMULA(VLOOKUP(SPLIT(H520, "", ""),Injections!T:Y,6,FALSE)) },3))))"),"")</f>
        <v/>
      </c>
      <c r="S520" s="10"/>
      <c r="T520" s="1"/>
      <c r="V520" s="11"/>
      <c r="W520" s="12"/>
      <c r="X520" s="12"/>
      <c r="Y520" s="11"/>
      <c r="Z520" s="11"/>
      <c r="AA520" s="11"/>
    </row>
    <row r="521" spans="1:27" ht="13" x14ac:dyDescent="0.15">
      <c r="A521" s="7"/>
      <c r="G521" s="8"/>
      <c r="H521" s="8"/>
      <c r="I521" s="8"/>
      <c r="M521" s="8"/>
      <c r="R521" s="10" t="str">
        <f ca="1">IFERROR(__xludf.DUMMYFUNCTION("JOIN("","", SORT(UNIQUE(TOCOL({VLOOKUP(D521,DM_fish!A:B,2,FALSE),VLOOKUP(C521,DM_fish!A:B,2,FALSE), ARRAYFORMULA(VLOOKUP(SPLIT(E521, "", ""),Injections!B:G,6,FALSE)), ARRAYFORMULA(VLOOKUP(SPLIT(F521, "", ""),Injections!H:M,6,FALSE)), ARRAYFORMULA(VLOOKUP("&amp;"SPLIT(G521, "", ""),Injections!N:S,6,FALSE)), ARRAYFORMULA(VLOOKUP(SPLIT(H521, "", ""),Injections!T:Y,6,FALSE)) },3))))"),"")</f>
        <v/>
      </c>
      <c r="S521" s="10"/>
      <c r="T521" s="1"/>
      <c r="V521" s="11"/>
      <c r="W521" s="12"/>
      <c r="X521" s="12"/>
      <c r="Y521" s="11"/>
      <c r="Z521" s="11"/>
      <c r="AA521" s="11"/>
    </row>
    <row r="522" spans="1:27" ht="13" x14ac:dyDescent="0.15">
      <c r="A522" s="7"/>
      <c r="G522" s="8"/>
      <c r="H522" s="8"/>
      <c r="I522" s="8"/>
      <c r="M522" s="8"/>
      <c r="R522" s="10" t="str">
        <f ca="1">IFERROR(__xludf.DUMMYFUNCTION("JOIN("","", SORT(UNIQUE(TOCOL({VLOOKUP(D522,DM_fish!A:B,2,FALSE),VLOOKUP(C522,DM_fish!A:B,2,FALSE), ARRAYFORMULA(VLOOKUP(SPLIT(E522, "", ""),Injections!B:G,6,FALSE)), ARRAYFORMULA(VLOOKUP(SPLIT(F522, "", ""),Injections!H:M,6,FALSE)), ARRAYFORMULA(VLOOKUP("&amp;"SPLIT(G522, "", ""),Injections!N:S,6,FALSE)), ARRAYFORMULA(VLOOKUP(SPLIT(H522, "", ""),Injections!T:Y,6,FALSE)) },3))))"),"")</f>
        <v/>
      </c>
      <c r="S522" s="10"/>
      <c r="T522" s="1"/>
      <c r="V522" s="11"/>
      <c r="W522" s="12"/>
      <c r="X522" s="12"/>
      <c r="Y522" s="11"/>
      <c r="Z522" s="11"/>
      <c r="AA522" s="11"/>
    </row>
    <row r="523" spans="1:27" ht="13" x14ac:dyDescent="0.15">
      <c r="A523" s="7"/>
      <c r="G523" s="8"/>
      <c r="H523" s="8"/>
      <c r="I523" s="8"/>
      <c r="M523" s="8"/>
      <c r="R523" s="10" t="str">
        <f ca="1">IFERROR(__xludf.DUMMYFUNCTION("JOIN("","", SORT(UNIQUE(TOCOL({VLOOKUP(D523,DM_fish!A:B,2,FALSE),VLOOKUP(C523,DM_fish!A:B,2,FALSE), ARRAYFORMULA(VLOOKUP(SPLIT(E523, "", ""),Injections!B:G,6,FALSE)), ARRAYFORMULA(VLOOKUP(SPLIT(F523, "", ""),Injections!H:M,6,FALSE)), ARRAYFORMULA(VLOOKUP("&amp;"SPLIT(G523, "", ""),Injections!N:S,6,FALSE)), ARRAYFORMULA(VLOOKUP(SPLIT(H523, "", ""),Injections!T:Y,6,FALSE)) },3))))"),"")</f>
        <v/>
      </c>
      <c r="S523" s="10"/>
      <c r="T523" s="1"/>
      <c r="V523" s="11"/>
      <c r="W523" s="12"/>
      <c r="X523" s="12"/>
      <c r="Y523" s="11"/>
      <c r="Z523" s="11"/>
      <c r="AA523" s="11"/>
    </row>
    <row r="524" spans="1:27" ht="13" x14ac:dyDescent="0.15">
      <c r="A524" s="7"/>
      <c r="G524" s="8"/>
      <c r="H524" s="8"/>
      <c r="I524" s="8"/>
      <c r="M524" s="8"/>
      <c r="R524" s="10" t="str">
        <f ca="1">IFERROR(__xludf.DUMMYFUNCTION("JOIN("","", SORT(UNIQUE(TOCOL({VLOOKUP(D524,DM_fish!A:B,2,FALSE),VLOOKUP(C524,DM_fish!A:B,2,FALSE), ARRAYFORMULA(VLOOKUP(SPLIT(E524, "", ""),Injections!B:G,6,FALSE)), ARRAYFORMULA(VLOOKUP(SPLIT(F524, "", ""),Injections!H:M,6,FALSE)), ARRAYFORMULA(VLOOKUP("&amp;"SPLIT(G524, "", ""),Injections!N:S,6,FALSE)), ARRAYFORMULA(VLOOKUP(SPLIT(H524, "", ""),Injections!T:Y,6,FALSE)) },3))))"),"")</f>
        <v/>
      </c>
      <c r="S524" s="10"/>
      <c r="T524" s="1"/>
      <c r="V524" s="11"/>
      <c r="W524" s="12"/>
      <c r="X524" s="12"/>
      <c r="Y524" s="11"/>
      <c r="Z524" s="11"/>
      <c r="AA524" s="11"/>
    </row>
    <row r="525" spans="1:27" ht="13" x14ac:dyDescent="0.15">
      <c r="A525" s="7"/>
      <c r="G525" s="8"/>
      <c r="H525" s="8"/>
      <c r="I525" s="8"/>
      <c r="M525" s="8"/>
      <c r="R525" s="10" t="str">
        <f ca="1">IFERROR(__xludf.DUMMYFUNCTION("JOIN("","", SORT(UNIQUE(TOCOL({VLOOKUP(D525,DM_fish!A:B,2,FALSE),VLOOKUP(C525,DM_fish!A:B,2,FALSE), ARRAYFORMULA(VLOOKUP(SPLIT(E525, "", ""),Injections!B:G,6,FALSE)), ARRAYFORMULA(VLOOKUP(SPLIT(F525, "", ""),Injections!H:M,6,FALSE)), ARRAYFORMULA(VLOOKUP("&amp;"SPLIT(G525, "", ""),Injections!N:S,6,FALSE)), ARRAYFORMULA(VLOOKUP(SPLIT(H525, "", ""),Injections!T:Y,6,FALSE)) },3))))"),"")</f>
        <v/>
      </c>
      <c r="S525" s="10"/>
      <c r="T525" s="1"/>
      <c r="V525" s="11"/>
      <c r="W525" s="12"/>
      <c r="X525" s="12"/>
      <c r="Y525" s="11"/>
      <c r="Z525" s="11"/>
      <c r="AA525" s="11"/>
    </row>
    <row r="526" spans="1:27" ht="13" x14ac:dyDescent="0.15">
      <c r="A526" s="7"/>
      <c r="G526" s="8"/>
      <c r="H526" s="8"/>
      <c r="I526" s="8"/>
      <c r="M526" s="8"/>
      <c r="R526" s="10" t="str">
        <f ca="1">IFERROR(__xludf.DUMMYFUNCTION("JOIN("","", SORT(UNIQUE(TOCOL({VLOOKUP(D526,DM_fish!A:B,2,FALSE),VLOOKUP(C526,DM_fish!A:B,2,FALSE), ARRAYFORMULA(VLOOKUP(SPLIT(E526, "", ""),Injections!B:G,6,FALSE)), ARRAYFORMULA(VLOOKUP(SPLIT(F526, "", ""),Injections!H:M,6,FALSE)), ARRAYFORMULA(VLOOKUP("&amp;"SPLIT(G526, "", ""),Injections!N:S,6,FALSE)), ARRAYFORMULA(VLOOKUP(SPLIT(H526, "", ""),Injections!T:Y,6,FALSE)) },3))))"),"")</f>
        <v/>
      </c>
      <c r="S526" s="10"/>
      <c r="T526" s="1"/>
      <c r="V526" s="11"/>
      <c r="W526" s="12"/>
      <c r="X526" s="12"/>
      <c r="Y526" s="11"/>
      <c r="Z526" s="11"/>
      <c r="AA526" s="11"/>
    </row>
    <row r="527" spans="1:27" ht="13" x14ac:dyDescent="0.15">
      <c r="A527" s="7"/>
      <c r="G527" s="8"/>
      <c r="H527" s="8"/>
      <c r="I527" s="8"/>
      <c r="M527" s="8"/>
      <c r="R527" s="10" t="str">
        <f ca="1">IFERROR(__xludf.DUMMYFUNCTION("JOIN("","", SORT(UNIQUE(TOCOL({VLOOKUP(D527,DM_fish!A:B,2,FALSE),VLOOKUP(C527,DM_fish!A:B,2,FALSE), ARRAYFORMULA(VLOOKUP(SPLIT(E527, "", ""),Injections!B:G,6,FALSE)), ARRAYFORMULA(VLOOKUP(SPLIT(F527, "", ""),Injections!H:M,6,FALSE)), ARRAYFORMULA(VLOOKUP("&amp;"SPLIT(G527, "", ""),Injections!N:S,6,FALSE)), ARRAYFORMULA(VLOOKUP(SPLIT(H527, "", ""),Injections!T:Y,6,FALSE)) },3))))"),"")</f>
        <v/>
      </c>
      <c r="S527" s="10"/>
      <c r="T527" s="1"/>
      <c r="V527" s="11"/>
      <c r="W527" s="12"/>
      <c r="X527" s="12"/>
      <c r="Y527" s="11"/>
      <c r="Z527" s="11"/>
      <c r="AA527" s="11"/>
    </row>
    <row r="528" spans="1:27" ht="13" x14ac:dyDescent="0.15">
      <c r="A528" s="7"/>
      <c r="G528" s="8"/>
      <c r="H528" s="8"/>
      <c r="I528" s="8"/>
      <c r="M528" s="8"/>
      <c r="R528" s="10" t="str">
        <f ca="1">IFERROR(__xludf.DUMMYFUNCTION("JOIN("","", SORT(UNIQUE(TOCOL({VLOOKUP(D528,DM_fish!A:B,2,FALSE),VLOOKUP(C528,DM_fish!A:B,2,FALSE), ARRAYFORMULA(VLOOKUP(SPLIT(E528, "", ""),Injections!B:G,6,FALSE)), ARRAYFORMULA(VLOOKUP(SPLIT(F528, "", ""),Injections!H:M,6,FALSE)), ARRAYFORMULA(VLOOKUP("&amp;"SPLIT(G528, "", ""),Injections!N:S,6,FALSE)), ARRAYFORMULA(VLOOKUP(SPLIT(H528, "", ""),Injections!T:Y,6,FALSE)) },3))))"),"")</f>
        <v/>
      </c>
      <c r="S528" s="10"/>
      <c r="T528" s="1"/>
      <c r="V528" s="11"/>
      <c r="W528" s="12"/>
      <c r="X528" s="12"/>
      <c r="Y528" s="11"/>
      <c r="Z528" s="11"/>
      <c r="AA528" s="11"/>
    </row>
    <row r="529" spans="1:27" ht="13" x14ac:dyDescent="0.15">
      <c r="A529" s="7"/>
      <c r="G529" s="8"/>
      <c r="H529" s="8"/>
      <c r="I529" s="8"/>
      <c r="M529" s="8"/>
      <c r="R529" s="10" t="str">
        <f ca="1">IFERROR(__xludf.DUMMYFUNCTION("JOIN("","", SORT(UNIQUE(TOCOL({VLOOKUP(D529,DM_fish!A:B,2,FALSE),VLOOKUP(C529,DM_fish!A:B,2,FALSE), ARRAYFORMULA(VLOOKUP(SPLIT(E529, "", ""),Injections!B:G,6,FALSE)), ARRAYFORMULA(VLOOKUP(SPLIT(F529, "", ""),Injections!H:M,6,FALSE)), ARRAYFORMULA(VLOOKUP("&amp;"SPLIT(G529, "", ""),Injections!N:S,6,FALSE)), ARRAYFORMULA(VLOOKUP(SPLIT(H529, "", ""),Injections!T:Y,6,FALSE)) },3))))"),"")</f>
        <v/>
      </c>
      <c r="S529" s="10"/>
      <c r="T529" s="1"/>
      <c r="V529" s="11"/>
      <c r="W529" s="12"/>
      <c r="X529" s="12"/>
      <c r="Y529" s="11"/>
      <c r="Z529" s="11"/>
      <c r="AA529" s="11"/>
    </row>
    <row r="530" spans="1:27" ht="13" x14ac:dyDescent="0.15">
      <c r="A530" s="7"/>
      <c r="G530" s="8"/>
      <c r="H530" s="8"/>
      <c r="I530" s="8"/>
      <c r="M530" s="8"/>
      <c r="R530" s="10" t="str">
        <f ca="1">IFERROR(__xludf.DUMMYFUNCTION("JOIN("","", SORT(UNIQUE(TOCOL({VLOOKUP(D530,DM_fish!A:B,2,FALSE),VLOOKUP(C530,DM_fish!A:B,2,FALSE), ARRAYFORMULA(VLOOKUP(SPLIT(E530, "", ""),Injections!B:G,6,FALSE)), ARRAYFORMULA(VLOOKUP(SPLIT(F530, "", ""),Injections!H:M,6,FALSE)), ARRAYFORMULA(VLOOKUP("&amp;"SPLIT(G530, "", ""),Injections!N:S,6,FALSE)), ARRAYFORMULA(VLOOKUP(SPLIT(H530, "", ""),Injections!T:Y,6,FALSE)) },3))))"),"")</f>
        <v/>
      </c>
      <c r="S530" s="10"/>
      <c r="T530" s="1"/>
      <c r="V530" s="11"/>
      <c r="W530" s="12"/>
      <c r="X530" s="12"/>
      <c r="Y530" s="11"/>
      <c r="Z530" s="11"/>
      <c r="AA530" s="11"/>
    </row>
    <row r="531" spans="1:27" ht="13" x14ac:dyDescent="0.15">
      <c r="A531" s="7"/>
      <c r="G531" s="8"/>
      <c r="H531" s="8"/>
      <c r="I531" s="8"/>
      <c r="M531" s="8"/>
      <c r="R531" s="10" t="str">
        <f ca="1">IFERROR(__xludf.DUMMYFUNCTION("JOIN("","", SORT(UNIQUE(TOCOL({VLOOKUP(D531,DM_fish!A:B,2,FALSE),VLOOKUP(C531,DM_fish!A:B,2,FALSE), ARRAYFORMULA(VLOOKUP(SPLIT(E531, "", ""),Injections!B:G,6,FALSE)), ARRAYFORMULA(VLOOKUP(SPLIT(F531, "", ""),Injections!H:M,6,FALSE)), ARRAYFORMULA(VLOOKUP("&amp;"SPLIT(G531, "", ""),Injections!N:S,6,FALSE)), ARRAYFORMULA(VLOOKUP(SPLIT(H531, "", ""),Injections!T:Y,6,FALSE)) },3))))"),"")</f>
        <v/>
      </c>
      <c r="S531" s="10"/>
      <c r="T531" s="1"/>
      <c r="V531" s="11"/>
      <c r="W531" s="12"/>
      <c r="X531" s="12"/>
      <c r="Y531" s="11"/>
      <c r="Z531" s="11"/>
      <c r="AA531" s="11"/>
    </row>
    <row r="532" spans="1:27" ht="13" x14ac:dyDescent="0.15">
      <c r="A532" s="7"/>
      <c r="G532" s="8"/>
      <c r="H532" s="8"/>
      <c r="I532" s="8"/>
      <c r="M532" s="8"/>
      <c r="R532" s="10" t="str">
        <f ca="1">IFERROR(__xludf.DUMMYFUNCTION("JOIN("","", SORT(UNIQUE(TOCOL({VLOOKUP(D532,DM_fish!A:B,2,FALSE),VLOOKUP(C532,DM_fish!A:B,2,FALSE), ARRAYFORMULA(VLOOKUP(SPLIT(E532, "", ""),Injections!B:G,6,FALSE)), ARRAYFORMULA(VLOOKUP(SPLIT(F532, "", ""),Injections!H:M,6,FALSE)), ARRAYFORMULA(VLOOKUP("&amp;"SPLIT(G532, "", ""),Injections!N:S,6,FALSE)), ARRAYFORMULA(VLOOKUP(SPLIT(H532, "", ""),Injections!T:Y,6,FALSE)) },3))))"),"")</f>
        <v/>
      </c>
      <c r="S532" s="10"/>
      <c r="T532" s="1"/>
      <c r="V532" s="11"/>
      <c r="W532" s="12"/>
      <c r="X532" s="12"/>
      <c r="Y532" s="11"/>
      <c r="Z532" s="11"/>
      <c r="AA532" s="11"/>
    </row>
    <row r="533" spans="1:27" ht="13" x14ac:dyDescent="0.15">
      <c r="A533" s="7"/>
      <c r="G533" s="8"/>
      <c r="H533" s="8"/>
      <c r="I533" s="8"/>
      <c r="M533" s="8"/>
      <c r="R533" s="10" t="str">
        <f ca="1">IFERROR(__xludf.DUMMYFUNCTION("JOIN("","", SORT(UNIQUE(TOCOL({VLOOKUP(D533,DM_fish!A:B,2,FALSE),VLOOKUP(C533,DM_fish!A:B,2,FALSE), ARRAYFORMULA(VLOOKUP(SPLIT(E533, "", ""),Injections!B:G,6,FALSE)), ARRAYFORMULA(VLOOKUP(SPLIT(F533, "", ""),Injections!H:M,6,FALSE)), ARRAYFORMULA(VLOOKUP("&amp;"SPLIT(G533, "", ""),Injections!N:S,6,FALSE)), ARRAYFORMULA(VLOOKUP(SPLIT(H533, "", ""),Injections!T:Y,6,FALSE)) },3))))"),"")</f>
        <v/>
      </c>
      <c r="S533" s="10"/>
      <c r="T533" s="1"/>
      <c r="V533" s="11"/>
      <c r="W533" s="12"/>
      <c r="X533" s="12"/>
      <c r="Y533" s="11"/>
      <c r="Z533" s="11"/>
      <c r="AA533" s="11"/>
    </row>
    <row r="534" spans="1:27" ht="13" x14ac:dyDescent="0.15">
      <c r="A534" s="7"/>
      <c r="G534" s="8"/>
      <c r="H534" s="8"/>
      <c r="I534" s="8"/>
      <c r="M534" s="8"/>
      <c r="R534" s="10" t="str">
        <f ca="1">IFERROR(__xludf.DUMMYFUNCTION("JOIN("","", SORT(UNIQUE(TOCOL({VLOOKUP(D534,DM_fish!A:B,2,FALSE),VLOOKUP(C534,DM_fish!A:B,2,FALSE), ARRAYFORMULA(VLOOKUP(SPLIT(E534, "", ""),Injections!B:G,6,FALSE)), ARRAYFORMULA(VLOOKUP(SPLIT(F534, "", ""),Injections!H:M,6,FALSE)), ARRAYFORMULA(VLOOKUP("&amp;"SPLIT(G534, "", ""),Injections!N:S,6,FALSE)), ARRAYFORMULA(VLOOKUP(SPLIT(H534, "", ""),Injections!T:Y,6,FALSE)) },3))))"),"")</f>
        <v/>
      </c>
      <c r="S534" s="10"/>
      <c r="T534" s="1"/>
      <c r="V534" s="11"/>
      <c r="W534" s="12"/>
      <c r="X534" s="12"/>
      <c r="Y534" s="11"/>
      <c r="Z534" s="11"/>
      <c r="AA534" s="11"/>
    </row>
    <row r="535" spans="1:27" ht="13" x14ac:dyDescent="0.15">
      <c r="A535" s="7"/>
      <c r="G535" s="8"/>
      <c r="H535" s="8"/>
      <c r="I535" s="8"/>
      <c r="M535" s="8"/>
      <c r="R535" s="10" t="str">
        <f ca="1">IFERROR(__xludf.DUMMYFUNCTION("JOIN("","", SORT(UNIQUE(TOCOL({VLOOKUP(D535,DM_fish!A:B,2,FALSE),VLOOKUP(C535,DM_fish!A:B,2,FALSE), ARRAYFORMULA(VLOOKUP(SPLIT(E535, "", ""),Injections!B:G,6,FALSE)), ARRAYFORMULA(VLOOKUP(SPLIT(F535, "", ""),Injections!H:M,6,FALSE)), ARRAYFORMULA(VLOOKUP("&amp;"SPLIT(G535, "", ""),Injections!N:S,6,FALSE)), ARRAYFORMULA(VLOOKUP(SPLIT(H535, "", ""),Injections!T:Y,6,FALSE)) },3))))"),"")</f>
        <v/>
      </c>
      <c r="S535" s="10"/>
      <c r="T535" s="1"/>
      <c r="V535" s="11"/>
      <c r="W535" s="12"/>
      <c r="X535" s="12"/>
      <c r="Y535" s="11"/>
      <c r="Z535" s="11"/>
      <c r="AA535" s="11"/>
    </row>
    <row r="536" spans="1:27" ht="13" x14ac:dyDescent="0.15">
      <c r="A536" s="7"/>
      <c r="G536" s="8"/>
      <c r="H536" s="8"/>
      <c r="I536" s="8"/>
      <c r="M536" s="8"/>
      <c r="R536" s="10" t="str">
        <f ca="1">IFERROR(__xludf.DUMMYFUNCTION("JOIN("","", SORT(UNIQUE(TOCOL({VLOOKUP(D536,DM_fish!A:B,2,FALSE),VLOOKUP(C536,DM_fish!A:B,2,FALSE), ARRAYFORMULA(VLOOKUP(SPLIT(E536, "", ""),Injections!B:G,6,FALSE)), ARRAYFORMULA(VLOOKUP(SPLIT(F536, "", ""),Injections!H:M,6,FALSE)), ARRAYFORMULA(VLOOKUP("&amp;"SPLIT(G536, "", ""),Injections!N:S,6,FALSE)), ARRAYFORMULA(VLOOKUP(SPLIT(H536, "", ""),Injections!T:Y,6,FALSE)) },3))))"),"")</f>
        <v/>
      </c>
      <c r="S536" s="10"/>
      <c r="T536" s="1"/>
      <c r="V536" s="11"/>
      <c r="W536" s="12"/>
      <c r="X536" s="12"/>
      <c r="Y536" s="11"/>
      <c r="Z536" s="11"/>
      <c r="AA536" s="11"/>
    </row>
    <row r="537" spans="1:27" ht="13" x14ac:dyDescent="0.15">
      <c r="A537" s="7"/>
      <c r="G537" s="8"/>
      <c r="H537" s="8"/>
      <c r="I537" s="8"/>
      <c r="M537" s="8"/>
      <c r="R537" s="10" t="str">
        <f ca="1">IFERROR(__xludf.DUMMYFUNCTION("JOIN("","", SORT(UNIQUE(TOCOL({VLOOKUP(D537,DM_fish!A:B,2,FALSE),VLOOKUP(C537,DM_fish!A:B,2,FALSE), ARRAYFORMULA(VLOOKUP(SPLIT(E537, "", ""),Injections!B:G,6,FALSE)), ARRAYFORMULA(VLOOKUP(SPLIT(F537, "", ""),Injections!H:M,6,FALSE)), ARRAYFORMULA(VLOOKUP("&amp;"SPLIT(G537, "", ""),Injections!N:S,6,FALSE)), ARRAYFORMULA(VLOOKUP(SPLIT(H537, "", ""),Injections!T:Y,6,FALSE)) },3))))"),"")</f>
        <v/>
      </c>
      <c r="S537" s="10"/>
      <c r="T537" s="1"/>
      <c r="V537" s="11"/>
      <c r="W537" s="12"/>
      <c r="X537" s="12"/>
      <c r="Y537" s="11"/>
      <c r="Z537" s="11"/>
      <c r="AA537" s="11"/>
    </row>
    <row r="538" spans="1:27" ht="13" x14ac:dyDescent="0.15">
      <c r="A538" s="7"/>
      <c r="G538" s="8"/>
      <c r="H538" s="8"/>
      <c r="I538" s="8"/>
      <c r="M538" s="8"/>
      <c r="R538" s="10" t="str">
        <f ca="1">IFERROR(__xludf.DUMMYFUNCTION("JOIN("","", SORT(UNIQUE(TOCOL({VLOOKUP(D538,DM_fish!A:B,2,FALSE),VLOOKUP(C538,DM_fish!A:B,2,FALSE), ARRAYFORMULA(VLOOKUP(SPLIT(E538, "", ""),Injections!B:G,6,FALSE)), ARRAYFORMULA(VLOOKUP(SPLIT(F538, "", ""),Injections!H:M,6,FALSE)), ARRAYFORMULA(VLOOKUP("&amp;"SPLIT(G538, "", ""),Injections!N:S,6,FALSE)), ARRAYFORMULA(VLOOKUP(SPLIT(H538, "", ""),Injections!T:Y,6,FALSE)) },3))))"),"")</f>
        <v/>
      </c>
      <c r="S538" s="10"/>
      <c r="T538" s="1"/>
      <c r="V538" s="11"/>
      <c r="W538" s="12"/>
      <c r="X538" s="12"/>
      <c r="Y538" s="11"/>
      <c r="Z538" s="11"/>
      <c r="AA538" s="11"/>
    </row>
    <row r="539" spans="1:27" ht="13" x14ac:dyDescent="0.15">
      <c r="A539" s="7"/>
      <c r="G539" s="8"/>
      <c r="H539" s="8"/>
      <c r="I539" s="8"/>
      <c r="M539" s="8"/>
      <c r="R539" s="10" t="str">
        <f ca="1">IFERROR(__xludf.DUMMYFUNCTION("JOIN("","", SORT(UNIQUE(TOCOL({VLOOKUP(D539,DM_fish!A:B,2,FALSE),VLOOKUP(C539,DM_fish!A:B,2,FALSE), ARRAYFORMULA(VLOOKUP(SPLIT(E539, "", ""),Injections!B:G,6,FALSE)), ARRAYFORMULA(VLOOKUP(SPLIT(F539, "", ""),Injections!H:M,6,FALSE)), ARRAYFORMULA(VLOOKUP("&amp;"SPLIT(G539, "", ""),Injections!N:S,6,FALSE)), ARRAYFORMULA(VLOOKUP(SPLIT(H539, "", ""),Injections!T:Y,6,FALSE)) },3))))"),"")</f>
        <v/>
      </c>
      <c r="S539" s="10"/>
      <c r="T539" s="1"/>
      <c r="V539" s="11"/>
      <c r="W539" s="12"/>
      <c r="X539" s="12"/>
      <c r="Y539" s="11"/>
      <c r="Z539" s="11"/>
      <c r="AA539" s="11"/>
    </row>
    <row r="540" spans="1:27" ht="13" x14ac:dyDescent="0.15">
      <c r="A540" s="7"/>
      <c r="G540" s="8"/>
      <c r="H540" s="8"/>
      <c r="I540" s="8"/>
      <c r="M540" s="8"/>
      <c r="R540" s="10" t="str">
        <f ca="1">IFERROR(__xludf.DUMMYFUNCTION("JOIN("","", SORT(UNIQUE(TOCOL({VLOOKUP(D540,DM_fish!A:B,2,FALSE),VLOOKUP(C540,DM_fish!A:B,2,FALSE), ARRAYFORMULA(VLOOKUP(SPLIT(E540, "", ""),Injections!B:G,6,FALSE)), ARRAYFORMULA(VLOOKUP(SPLIT(F540, "", ""),Injections!H:M,6,FALSE)), ARRAYFORMULA(VLOOKUP("&amp;"SPLIT(G540, "", ""),Injections!N:S,6,FALSE)), ARRAYFORMULA(VLOOKUP(SPLIT(H540, "", ""),Injections!T:Y,6,FALSE)) },3))))"),"")</f>
        <v/>
      </c>
      <c r="S540" s="10"/>
      <c r="T540" s="1"/>
      <c r="V540" s="11"/>
      <c r="W540" s="12"/>
      <c r="X540" s="12"/>
      <c r="Y540" s="11"/>
      <c r="Z540" s="11"/>
      <c r="AA540" s="11"/>
    </row>
    <row r="541" spans="1:27" ht="13" x14ac:dyDescent="0.15">
      <c r="A541" s="7"/>
      <c r="G541" s="8"/>
      <c r="H541" s="8"/>
      <c r="I541" s="8"/>
      <c r="M541" s="8"/>
      <c r="R541" s="10" t="str">
        <f ca="1">IFERROR(__xludf.DUMMYFUNCTION("JOIN("","", SORT(UNIQUE(TOCOL({VLOOKUP(D541,DM_fish!A:B,2,FALSE),VLOOKUP(C541,DM_fish!A:B,2,FALSE), ARRAYFORMULA(VLOOKUP(SPLIT(E541, "", ""),Injections!B:G,6,FALSE)), ARRAYFORMULA(VLOOKUP(SPLIT(F541, "", ""),Injections!H:M,6,FALSE)), ARRAYFORMULA(VLOOKUP("&amp;"SPLIT(G541, "", ""),Injections!N:S,6,FALSE)), ARRAYFORMULA(VLOOKUP(SPLIT(H541, "", ""),Injections!T:Y,6,FALSE)) },3))))"),"")</f>
        <v/>
      </c>
      <c r="S541" s="10"/>
      <c r="T541" s="1"/>
      <c r="V541" s="11"/>
      <c r="W541" s="12"/>
      <c r="X541" s="12"/>
      <c r="Y541" s="11"/>
      <c r="Z541" s="11"/>
      <c r="AA541" s="11"/>
    </row>
    <row r="542" spans="1:27" ht="13" x14ac:dyDescent="0.15">
      <c r="A542" s="7"/>
      <c r="G542" s="8"/>
      <c r="H542" s="8"/>
      <c r="I542" s="8"/>
      <c r="M542" s="8"/>
      <c r="R542" s="10" t="str">
        <f ca="1">IFERROR(__xludf.DUMMYFUNCTION("JOIN("","", SORT(UNIQUE(TOCOL({VLOOKUP(D542,DM_fish!A:B,2,FALSE),VLOOKUP(C542,DM_fish!A:B,2,FALSE), ARRAYFORMULA(VLOOKUP(SPLIT(E542, "", ""),Injections!B:G,6,FALSE)), ARRAYFORMULA(VLOOKUP(SPLIT(F542, "", ""),Injections!H:M,6,FALSE)), ARRAYFORMULA(VLOOKUP("&amp;"SPLIT(G542, "", ""),Injections!N:S,6,FALSE)), ARRAYFORMULA(VLOOKUP(SPLIT(H542, "", ""),Injections!T:Y,6,FALSE)) },3))))"),"")</f>
        <v/>
      </c>
      <c r="S542" s="10"/>
      <c r="T542" s="1"/>
      <c r="V542" s="11"/>
      <c r="W542" s="12"/>
      <c r="X542" s="12"/>
      <c r="Y542" s="11"/>
      <c r="Z542" s="11"/>
      <c r="AA542" s="11"/>
    </row>
    <row r="543" spans="1:27" ht="13" x14ac:dyDescent="0.15">
      <c r="A543" s="7"/>
      <c r="G543" s="8"/>
      <c r="H543" s="8"/>
      <c r="I543" s="8"/>
      <c r="M543" s="8"/>
      <c r="R543" s="10" t="str">
        <f ca="1">IFERROR(__xludf.DUMMYFUNCTION("JOIN("","", SORT(UNIQUE(TOCOL({VLOOKUP(D543,DM_fish!A:B,2,FALSE),VLOOKUP(C543,DM_fish!A:B,2,FALSE), ARRAYFORMULA(VLOOKUP(SPLIT(E543, "", ""),Injections!B:G,6,FALSE)), ARRAYFORMULA(VLOOKUP(SPLIT(F543, "", ""),Injections!H:M,6,FALSE)), ARRAYFORMULA(VLOOKUP("&amp;"SPLIT(G543, "", ""),Injections!N:S,6,FALSE)), ARRAYFORMULA(VLOOKUP(SPLIT(H543, "", ""),Injections!T:Y,6,FALSE)) },3))))"),"")</f>
        <v/>
      </c>
      <c r="S543" s="10"/>
      <c r="T543" s="1"/>
      <c r="V543" s="11"/>
      <c r="W543" s="12"/>
      <c r="X543" s="12"/>
      <c r="Y543" s="11"/>
      <c r="Z543" s="11"/>
      <c r="AA543" s="11"/>
    </row>
    <row r="544" spans="1:27" ht="13" x14ac:dyDescent="0.15">
      <c r="A544" s="7"/>
      <c r="G544" s="8"/>
      <c r="H544" s="8"/>
      <c r="I544" s="8"/>
      <c r="M544" s="8"/>
      <c r="R544" s="10" t="str">
        <f ca="1">IFERROR(__xludf.DUMMYFUNCTION("JOIN("","", SORT(UNIQUE(TOCOL({VLOOKUP(D544,DM_fish!A:B,2,FALSE),VLOOKUP(C544,DM_fish!A:B,2,FALSE), ARRAYFORMULA(VLOOKUP(SPLIT(E544, "", ""),Injections!B:G,6,FALSE)), ARRAYFORMULA(VLOOKUP(SPLIT(F544, "", ""),Injections!H:M,6,FALSE)), ARRAYFORMULA(VLOOKUP("&amp;"SPLIT(G544, "", ""),Injections!N:S,6,FALSE)), ARRAYFORMULA(VLOOKUP(SPLIT(H544, "", ""),Injections!T:Y,6,FALSE)) },3))))"),"")</f>
        <v/>
      </c>
      <c r="S544" s="10"/>
      <c r="T544" s="1"/>
      <c r="V544" s="11"/>
      <c r="W544" s="12"/>
      <c r="X544" s="12"/>
      <c r="Y544" s="11"/>
      <c r="Z544" s="11"/>
      <c r="AA544" s="11"/>
    </row>
    <row r="545" spans="1:27" ht="13" x14ac:dyDescent="0.15">
      <c r="A545" s="7"/>
      <c r="G545" s="8"/>
      <c r="H545" s="8"/>
      <c r="I545" s="8"/>
      <c r="M545" s="8"/>
      <c r="R545" s="10" t="str">
        <f ca="1">IFERROR(__xludf.DUMMYFUNCTION("JOIN("","", SORT(UNIQUE(TOCOL({VLOOKUP(D545,DM_fish!A:B,2,FALSE),VLOOKUP(C545,DM_fish!A:B,2,FALSE), ARRAYFORMULA(VLOOKUP(SPLIT(E545, "", ""),Injections!B:G,6,FALSE)), ARRAYFORMULA(VLOOKUP(SPLIT(F545, "", ""),Injections!H:M,6,FALSE)), ARRAYFORMULA(VLOOKUP("&amp;"SPLIT(G545, "", ""),Injections!N:S,6,FALSE)), ARRAYFORMULA(VLOOKUP(SPLIT(H545, "", ""),Injections!T:Y,6,FALSE)) },3))))"),"")</f>
        <v/>
      </c>
      <c r="S545" s="10"/>
      <c r="T545" s="1"/>
      <c r="V545" s="11"/>
      <c r="W545" s="12"/>
      <c r="X545" s="12"/>
      <c r="Y545" s="11"/>
      <c r="Z545" s="11"/>
      <c r="AA545" s="11"/>
    </row>
    <row r="546" spans="1:27" ht="13" x14ac:dyDescent="0.15">
      <c r="A546" s="7"/>
      <c r="G546" s="8"/>
      <c r="H546" s="8"/>
      <c r="I546" s="8"/>
      <c r="M546" s="8"/>
      <c r="R546" s="10" t="str">
        <f ca="1">IFERROR(__xludf.DUMMYFUNCTION("JOIN("","", SORT(UNIQUE(TOCOL({VLOOKUP(D546,DM_fish!A:B,2,FALSE),VLOOKUP(C546,DM_fish!A:B,2,FALSE), ARRAYFORMULA(VLOOKUP(SPLIT(E546, "", ""),Injections!B:G,6,FALSE)), ARRAYFORMULA(VLOOKUP(SPLIT(F546, "", ""),Injections!H:M,6,FALSE)), ARRAYFORMULA(VLOOKUP("&amp;"SPLIT(G546, "", ""),Injections!N:S,6,FALSE)), ARRAYFORMULA(VLOOKUP(SPLIT(H546, "", ""),Injections!T:Y,6,FALSE)) },3))))"),"")</f>
        <v/>
      </c>
      <c r="S546" s="10"/>
      <c r="T546" s="1"/>
      <c r="V546" s="11"/>
      <c r="W546" s="12"/>
      <c r="X546" s="12"/>
      <c r="Y546" s="11"/>
      <c r="Z546" s="11"/>
      <c r="AA546" s="11"/>
    </row>
    <row r="547" spans="1:27" ht="13" x14ac:dyDescent="0.15">
      <c r="A547" s="7"/>
      <c r="G547" s="8"/>
      <c r="H547" s="8"/>
      <c r="I547" s="8"/>
      <c r="M547" s="8"/>
      <c r="R547" s="10" t="str">
        <f ca="1">IFERROR(__xludf.DUMMYFUNCTION("JOIN("","", SORT(UNIQUE(TOCOL({VLOOKUP(D547,DM_fish!A:B,2,FALSE),VLOOKUP(C547,DM_fish!A:B,2,FALSE), ARRAYFORMULA(VLOOKUP(SPLIT(E547, "", ""),Injections!B:G,6,FALSE)), ARRAYFORMULA(VLOOKUP(SPLIT(F547, "", ""),Injections!H:M,6,FALSE)), ARRAYFORMULA(VLOOKUP("&amp;"SPLIT(G547, "", ""),Injections!N:S,6,FALSE)), ARRAYFORMULA(VLOOKUP(SPLIT(H547, "", ""),Injections!T:Y,6,FALSE)) },3))))"),"")</f>
        <v/>
      </c>
      <c r="S547" s="10"/>
      <c r="T547" s="1"/>
      <c r="V547" s="11"/>
      <c r="W547" s="12"/>
      <c r="X547" s="12"/>
      <c r="Y547" s="11"/>
      <c r="Z547" s="11"/>
      <c r="AA547" s="11"/>
    </row>
    <row r="548" spans="1:27" ht="13" x14ac:dyDescent="0.15">
      <c r="A548" s="7"/>
      <c r="G548" s="8"/>
      <c r="H548" s="8"/>
      <c r="I548" s="8"/>
      <c r="M548" s="8"/>
      <c r="R548" s="10" t="str">
        <f ca="1">IFERROR(__xludf.DUMMYFUNCTION("JOIN("","", SORT(UNIQUE(TOCOL({VLOOKUP(D548,DM_fish!A:B,2,FALSE),VLOOKUP(C548,DM_fish!A:B,2,FALSE), ARRAYFORMULA(VLOOKUP(SPLIT(E548, "", ""),Injections!B:G,6,FALSE)), ARRAYFORMULA(VLOOKUP(SPLIT(F548, "", ""),Injections!H:M,6,FALSE)), ARRAYFORMULA(VLOOKUP("&amp;"SPLIT(G548, "", ""),Injections!N:S,6,FALSE)), ARRAYFORMULA(VLOOKUP(SPLIT(H548, "", ""),Injections!T:Y,6,FALSE)) },3))))"),"")</f>
        <v/>
      </c>
      <c r="S548" s="10"/>
      <c r="T548" s="1"/>
      <c r="V548" s="11"/>
      <c r="W548" s="12"/>
      <c r="X548" s="12"/>
      <c r="Y548" s="11"/>
      <c r="Z548" s="11"/>
      <c r="AA548" s="11"/>
    </row>
    <row r="549" spans="1:27" ht="13" x14ac:dyDescent="0.15">
      <c r="A549" s="7"/>
      <c r="G549" s="8"/>
      <c r="H549" s="8"/>
      <c r="I549" s="8"/>
      <c r="M549" s="8"/>
      <c r="R549" s="10" t="str">
        <f ca="1">IFERROR(__xludf.DUMMYFUNCTION("JOIN("","", SORT(UNIQUE(TOCOL({VLOOKUP(D549,DM_fish!A:B,2,FALSE),VLOOKUP(C549,DM_fish!A:B,2,FALSE), ARRAYFORMULA(VLOOKUP(SPLIT(E549, "", ""),Injections!B:G,6,FALSE)), ARRAYFORMULA(VLOOKUP(SPLIT(F549, "", ""),Injections!H:M,6,FALSE)), ARRAYFORMULA(VLOOKUP("&amp;"SPLIT(G549, "", ""),Injections!N:S,6,FALSE)), ARRAYFORMULA(VLOOKUP(SPLIT(H549, "", ""),Injections!T:Y,6,FALSE)) },3))))"),"")</f>
        <v/>
      </c>
      <c r="S549" s="10"/>
      <c r="T549" s="1"/>
      <c r="V549" s="11"/>
      <c r="W549" s="12"/>
      <c r="X549" s="12"/>
      <c r="Y549" s="11"/>
      <c r="Z549" s="11"/>
      <c r="AA549" s="11"/>
    </row>
    <row r="550" spans="1:27" ht="13" x14ac:dyDescent="0.15">
      <c r="A550" s="7"/>
      <c r="G550" s="8"/>
      <c r="H550" s="8"/>
      <c r="I550" s="8"/>
      <c r="M550" s="8"/>
      <c r="R550" s="10" t="str">
        <f ca="1">IFERROR(__xludf.DUMMYFUNCTION("JOIN("","", SORT(UNIQUE(TOCOL({VLOOKUP(D550,DM_fish!A:B,2,FALSE),VLOOKUP(C550,DM_fish!A:B,2,FALSE), ARRAYFORMULA(VLOOKUP(SPLIT(E550, "", ""),Injections!B:G,6,FALSE)), ARRAYFORMULA(VLOOKUP(SPLIT(F550, "", ""),Injections!H:M,6,FALSE)), ARRAYFORMULA(VLOOKUP("&amp;"SPLIT(G550, "", ""),Injections!N:S,6,FALSE)), ARRAYFORMULA(VLOOKUP(SPLIT(H550, "", ""),Injections!T:Y,6,FALSE)) },3))))"),"")</f>
        <v/>
      </c>
      <c r="S550" s="10"/>
      <c r="T550" s="1"/>
      <c r="V550" s="11"/>
      <c r="W550" s="12"/>
      <c r="X550" s="12"/>
      <c r="Y550" s="11"/>
      <c r="Z550" s="11"/>
      <c r="AA550" s="11"/>
    </row>
    <row r="551" spans="1:27" ht="13" x14ac:dyDescent="0.15">
      <c r="A551" s="7"/>
      <c r="G551" s="8"/>
      <c r="H551" s="8"/>
      <c r="I551" s="8"/>
      <c r="M551" s="8"/>
      <c r="R551" s="10" t="str">
        <f ca="1">IFERROR(__xludf.DUMMYFUNCTION("JOIN("","", SORT(UNIQUE(TOCOL({VLOOKUP(D551,DM_fish!A:B,2,FALSE),VLOOKUP(C551,DM_fish!A:B,2,FALSE), ARRAYFORMULA(VLOOKUP(SPLIT(E551, "", ""),Injections!B:G,6,FALSE)), ARRAYFORMULA(VLOOKUP(SPLIT(F551, "", ""),Injections!H:M,6,FALSE)), ARRAYFORMULA(VLOOKUP("&amp;"SPLIT(G551, "", ""),Injections!N:S,6,FALSE)), ARRAYFORMULA(VLOOKUP(SPLIT(H551, "", ""),Injections!T:Y,6,FALSE)) },3))))"),"")</f>
        <v/>
      </c>
      <c r="S551" s="10"/>
      <c r="T551" s="1"/>
      <c r="V551" s="11"/>
      <c r="W551" s="12"/>
      <c r="X551" s="12"/>
      <c r="Y551" s="11"/>
      <c r="Z551" s="11"/>
      <c r="AA551" s="11"/>
    </row>
    <row r="552" spans="1:27" ht="13" x14ac:dyDescent="0.15">
      <c r="A552" s="7"/>
      <c r="G552" s="8"/>
      <c r="H552" s="8"/>
      <c r="I552" s="8"/>
      <c r="M552" s="8"/>
      <c r="R552" s="10" t="str">
        <f ca="1">IFERROR(__xludf.DUMMYFUNCTION("JOIN("","", SORT(UNIQUE(TOCOL({VLOOKUP(D552,DM_fish!A:B,2,FALSE),VLOOKUP(C552,DM_fish!A:B,2,FALSE), ARRAYFORMULA(VLOOKUP(SPLIT(E552, "", ""),Injections!B:G,6,FALSE)), ARRAYFORMULA(VLOOKUP(SPLIT(F552, "", ""),Injections!H:M,6,FALSE)), ARRAYFORMULA(VLOOKUP("&amp;"SPLIT(G552, "", ""),Injections!N:S,6,FALSE)), ARRAYFORMULA(VLOOKUP(SPLIT(H552, "", ""),Injections!T:Y,6,FALSE)) },3))))"),"")</f>
        <v/>
      </c>
      <c r="S552" s="10"/>
      <c r="T552" s="1"/>
      <c r="V552" s="11"/>
      <c r="W552" s="12"/>
      <c r="X552" s="12"/>
      <c r="Y552" s="11"/>
      <c r="Z552" s="11"/>
      <c r="AA552" s="11"/>
    </row>
    <row r="553" spans="1:27" ht="13" x14ac:dyDescent="0.15">
      <c r="A553" s="7"/>
      <c r="G553" s="8"/>
      <c r="H553" s="8"/>
      <c r="I553" s="8"/>
      <c r="M553" s="8"/>
      <c r="R553" s="10" t="str">
        <f ca="1">IFERROR(__xludf.DUMMYFUNCTION("JOIN("","", SORT(UNIQUE(TOCOL({VLOOKUP(D553,DM_fish!A:B,2,FALSE),VLOOKUP(C553,DM_fish!A:B,2,FALSE), ARRAYFORMULA(VLOOKUP(SPLIT(E553, "", ""),Injections!B:G,6,FALSE)), ARRAYFORMULA(VLOOKUP(SPLIT(F553, "", ""),Injections!H:M,6,FALSE)), ARRAYFORMULA(VLOOKUP("&amp;"SPLIT(G553, "", ""),Injections!N:S,6,FALSE)), ARRAYFORMULA(VLOOKUP(SPLIT(H553, "", ""),Injections!T:Y,6,FALSE)) },3))))"),"")</f>
        <v/>
      </c>
      <c r="S553" s="10"/>
      <c r="T553" s="1"/>
      <c r="V553" s="11"/>
      <c r="W553" s="12"/>
      <c r="X553" s="12"/>
      <c r="Y553" s="11"/>
      <c r="Z553" s="11"/>
      <c r="AA553" s="11"/>
    </row>
    <row r="554" spans="1:27" ht="13" x14ac:dyDescent="0.15">
      <c r="A554" s="7"/>
      <c r="G554" s="8"/>
      <c r="H554" s="8"/>
      <c r="I554" s="8"/>
      <c r="M554" s="8"/>
      <c r="R554" s="10" t="str">
        <f ca="1">IFERROR(__xludf.DUMMYFUNCTION("JOIN("","", SORT(UNIQUE(TOCOL({VLOOKUP(D554,DM_fish!A:B,2,FALSE),VLOOKUP(C554,DM_fish!A:B,2,FALSE), ARRAYFORMULA(VLOOKUP(SPLIT(E554, "", ""),Injections!B:G,6,FALSE)), ARRAYFORMULA(VLOOKUP(SPLIT(F554, "", ""),Injections!H:M,6,FALSE)), ARRAYFORMULA(VLOOKUP("&amp;"SPLIT(G554, "", ""),Injections!N:S,6,FALSE)), ARRAYFORMULA(VLOOKUP(SPLIT(H554, "", ""),Injections!T:Y,6,FALSE)) },3))))"),"")</f>
        <v/>
      </c>
      <c r="S554" s="10"/>
      <c r="T554" s="1"/>
      <c r="V554" s="11"/>
      <c r="W554" s="12"/>
      <c r="X554" s="12"/>
      <c r="Y554" s="11"/>
      <c r="Z554" s="11"/>
      <c r="AA554" s="11"/>
    </row>
    <row r="555" spans="1:27" ht="13" x14ac:dyDescent="0.15">
      <c r="A555" s="7"/>
      <c r="G555" s="8"/>
      <c r="H555" s="8"/>
      <c r="I555" s="8"/>
      <c r="M555" s="8"/>
      <c r="R555" s="10" t="str">
        <f ca="1">IFERROR(__xludf.DUMMYFUNCTION("JOIN("","", SORT(UNIQUE(TOCOL({VLOOKUP(D555,DM_fish!A:B,2,FALSE),VLOOKUP(C555,DM_fish!A:B,2,FALSE), ARRAYFORMULA(VLOOKUP(SPLIT(E555, "", ""),Injections!B:G,6,FALSE)), ARRAYFORMULA(VLOOKUP(SPLIT(F555, "", ""),Injections!H:M,6,FALSE)), ARRAYFORMULA(VLOOKUP("&amp;"SPLIT(G555, "", ""),Injections!N:S,6,FALSE)), ARRAYFORMULA(VLOOKUP(SPLIT(H555, "", ""),Injections!T:Y,6,FALSE)) },3))))"),"")</f>
        <v/>
      </c>
      <c r="S555" s="10"/>
      <c r="T555" s="1"/>
      <c r="V555" s="11"/>
      <c r="W555" s="12"/>
      <c r="X555" s="12"/>
      <c r="Y555" s="11"/>
      <c r="Z555" s="11"/>
      <c r="AA555" s="11"/>
    </row>
    <row r="556" spans="1:27" ht="13" x14ac:dyDescent="0.15">
      <c r="A556" s="7"/>
      <c r="G556" s="8"/>
      <c r="H556" s="8"/>
      <c r="I556" s="8"/>
      <c r="M556" s="8"/>
      <c r="R556" s="10" t="str">
        <f ca="1">IFERROR(__xludf.DUMMYFUNCTION("JOIN("","", SORT(UNIQUE(TOCOL({VLOOKUP(D556,DM_fish!A:B,2,FALSE),VLOOKUP(C556,DM_fish!A:B,2,FALSE), ARRAYFORMULA(VLOOKUP(SPLIT(E556, "", ""),Injections!B:G,6,FALSE)), ARRAYFORMULA(VLOOKUP(SPLIT(F556, "", ""),Injections!H:M,6,FALSE)), ARRAYFORMULA(VLOOKUP("&amp;"SPLIT(G556, "", ""),Injections!N:S,6,FALSE)), ARRAYFORMULA(VLOOKUP(SPLIT(H556, "", ""),Injections!T:Y,6,FALSE)) },3))))"),"")</f>
        <v/>
      </c>
      <c r="S556" s="10"/>
      <c r="T556" s="1"/>
      <c r="V556" s="11"/>
      <c r="W556" s="12"/>
      <c r="X556" s="12"/>
      <c r="Y556" s="11"/>
      <c r="Z556" s="11"/>
      <c r="AA556" s="11"/>
    </row>
    <row r="557" spans="1:27" ht="13" x14ac:dyDescent="0.15">
      <c r="A557" s="7"/>
      <c r="G557" s="8"/>
      <c r="H557" s="8"/>
      <c r="I557" s="8"/>
      <c r="M557" s="8"/>
      <c r="R557" s="10" t="str">
        <f ca="1">IFERROR(__xludf.DUMMYFUNCTION("JOIN("","", SORT(UNIQUE(TOCOL({VLOOKUP(D557,DM_fish!A:B,2,FALSE),VLOOKUP(C557,DM_fish!A:B,2,FALSE), ARRAYFORMULA(VLOOKUP(SPLIT(E557, "", ""),Injections!B:G,6,FALSE)), ARRAYFORMULA(VLOOKUP(SPLIT(F557, "", ""),Injections!H:M,6,FALSE)), ARRAYFORMULA(VLOOKUP("&amp;"SPLIT(G557, "", ""),Injections!N:S,6,FALSE)), ARRAYFORMULA(VLOOKUP(SPLIT(H557, "", ""),Injections!T:Y,6,FALSE)) },3))))"),"")</f>
        <v/>
      </c>
      <c r="S557" s="10"/>
      <c r="T557" s="1"/>
      <c r="V557" s="11"/>
      <c r="W557" s="12"/>
      <c r="X557" s="12"/>
      <c r="Y557" s="11"/>
      <c r="Z557" s="11"/>
      <c r="AA557" s="11"/>
    </row>
    <row r="558" spans="1:27" ht="13" x14ac:dyDescent="0.15">
      <c r="A558" s="7"/>
      <c r="G558" s="8"/>
      <c r="H558" s="8"/>
      <c r="I558" s="8"/>
      <c r="M558" s="8"/>
      <c r="R558" s="10" t="str">
        <f ca="1">IFERROR(__xludf.DUMMYFUNCTION("JOIN("","", SORT(UNIQUE(TOCOL({VLOOKUP(D558,DM_fish!A:B,2,FALSE),VLOOKUP(C558,DM_fish!A:B,2,FALSE), ARRAYFORMULA(VLOOKUP(SPLIT(E558, "", ""),Injections!B:G,6,FALSE)), ARRAYFORMULA(VLOOKUP(SPLIT(F558, "", ""),Injections!H:M,6,FALSE)), ARRAYFORMULA(VLOOKUP("&amp;"SPLIT(G558, "", ""),Injections!N:S,6,FALSE)), ARRAYFORMULA(VLOOKUP(SPLIT(H558, "", ""),Injections!T:Y,6,FALSE)) },3))))"),"")</f>
        <v/>
      </c>
      <c r="S558" s="10"/>
      <c r="T558" s="1"/>
      <c r="V558" s="11"/>
      <c r="W558" s="12"/>
      <c r="X558" s="12"/>
      <c r="Y558" s="11"/>
      <c r="Z558" s="11"/>
      <c r="AA558" s="11"/>
    </row>
    <row r="559" spans="1:27" ht="13" x14ac:dyDescent="0.15">
      <c r="A559" s="7"/>
      <c r="G559" s="8"/>
      <c r="H559" s="8"/>
      <c r="I559" s="8"/>
      <c r="M559" s="8"/>
      <c r="R559" s="10" t="str">
        <f ca="1">IFERROR(__xludf.DUMMYFUNCTION("JOIN("","", SORT(UNIQUE(TOCOL({VLOOKUP(D559,DM_fish!A:B,2,FALSE),VLOOKUP(C559,DM_fish!A:B,2,FALSE), ARRAYFORMULA(VLOOKUP(SPLIT(E559, "", ""),Injections!B:G,6,FALSE)), ARRAYFORMULA(VLOOKUP(SPLIT(F559, "", ""),Injections!H:M,6,FALSE)), ARRAYFORMULA(VLOOKUP("&amp;"SPLIT(G559, "", ""),Injections!N:S,6,FALSE)), ARRAYFORMULA(VLOOKUP(SPLIT(H559, "", ""),Injections!T:Y,6,FALSE)) },3))))"),"")</f>
        <v/>
      </c>
      <c r="S559" s="10"/>
      <c r="T559" s="1"/>
      <c r="V559" s="11"/>
      <c r="W559" s="12"/>
      <c r="X559" s="12"/>
      <c r="Y559" s="11"/>
      <c r="Z559" s="11"/>
      <c r="AA559" s="11"/>
    </row>
    <row r="560" spans="1:27" ht="13" x14ac:dyDescent="0.15">
      <c r="A560" s="7"/>
      <c r="G560" s="8"/>
      <c r="H560" s="8"/>
      <c r="I560" s="8"/>
      <c r="M560" s="8"/>
      <c r="R560" s="10" t="str">
        <f ca="1">IFERROR(__xludf.DUMMYFUNCTION("JOIN("","", SORT(UNIQUE(TOCOL({VLOOKUP(D560,DM_fish!A:B,2,FALSE),VLOOKUP(C560,DM_fish!A:B,2,FALSE), ARRAYFORMULA(VLOOKUP(SPLIT(E560, "", ""),Injections!B:G,6,FALSE)), ARRAYFORMULA(VLOOKUP(SPLIT(F560, "", ""),Injections!H:M,6,FALSE)), ARRAYFORMULA(VLOOKUP("&amp;"SPLIT(G560, "", ""),Injections!N:S,6,FALSE)), ARRAYFORMULA(VLOOKUP(SPLIT(H560, "", ""),Injections!T:Y,6,FALSE)) },3))))"),"")</f>
        <v/>
      </c>
      <c r="S560" s="10"/>
      <c r="T560" s="1"/>
      <c r="V560" s="11"/>
      <c r="W560" s="12"/>
      <c r="X560" s="12"/>
      <c r="Y560" s="11"/>
      <c r="Z560" s="11"/>
      <c r="AA560" s="11"/>
    </row>
    <row r="561" spans="1:27" ht="13" x14ac:dyDescent="0.15">
      <c r="A561" s="7"/>
      <c r="G561" s="8"/>
      <c r="H561" s="8"/>
      <c r="I561" s="8"/>
      <c r="M561" s="8"/>
      <c r="R561" s="10" t="str">
        <f ca="1">IFERROR(__xludf.DUMMYFUNCTION("JOIN("","", SORT(UNIQUE(TOCOL({VLOOKUP(D561,DM_fish!A:B,2,FALSE),VLOOKUP(C561,DM_fish!A:B,2,FALSE), ARRAYFORMULA(VLOOKUP(SPLIT(E561, "", ""),Injections!B:G,6,FALSE)), ARRAYFORMULA(VLOOKUP(SPLIT(F561, "", ""),Injections!H:M,6,FALSE)), ARRAYFORMULA(VLOOKUP("&amp;"SPLIT(G561, "", ""),Injections!N:S,6,FALSE)), ARRAYFORMULA(VLOOKUP(SPLIT(H561, "", ""),Injections!T:Y,6,FALSE)) },3))))"),"")</f>
        <v/>
      </c>
      <c r="S561" s="10"/>
      <c r="T561" s="1"/>
      <c r="V561" s="11"/>
      <c r="W561" s="12"/>
      <c r="X561" s="12"/>
      <c r="Y561" s="11"/>
      <c r="Z561" s="11"/>
      <c r="AA561" s="11"/>
    </row>
    <row r="562" spans="1:27" ht="13" x14ac:dyDescent="0.15">
      <c r="A562" s="7"/>
      <c r="G562" s="8"/>
      <c r="H562" s="8"/>
      <c r="I562" s="8"/>
      <c r="M562" s="8"/>
      <c r="R562" s="10" t="str">
        <f ca="1">IFERROR(__xludf.DUMMYFUNCTION("JOIN("","", SORT(UNIQUE(TOCOL({VLOOKUP(D562,DM_fish!A:B,2,FALSE),VLOOKUP(C562,DM_fish!A:B,2,FALSE), ARRAYFORMULA(VLOOKUP(SPLIT(E562, "", ""),Injections!B:G,6,FALSE)), ARRAYFORMULA(VLOOKUP(SPLIT(F562, "", ""),Injections!H:M,6,FALSE)), ARRAYFORMULA(VLOOKUP("&amp;"SPLIT(G562, "", ""),Injections!N:S,6,FALSE)), ARRAYFORMULA(VLOOKUP(SPLIT(H562, "", ""),Injections!T:Y,6,FALSE)) },3))))"),"")</f>
        <v/>
      </c>
      <c r="S562" s="10"/>
      <c r="T562" s="1"/>
      <c r="V562" s="11"/>
      <c r="W562" s="12"/>
      <c r="X562" s="12"/>
      <c r="Y562" s="11"/>
      <c r="Z562" s="11"/>
      <c r="AA562" s="11"/>
    </row>
    <row r="563" spans="1:27" ht="13" x14ac:dyDescent="0.15">
      <c r="A563" s="7"/>
      <c r="G563" s="8"/>
      <c r="H563" s="8"/>
      <c r="I563" s="8"/>
      <c r="M563" s="8"/>
      <c r="R563" s="10" t="str">
        <f ca="1">IFERROR(__xludf.DUMMYFUNCTION("JOIN("","", SORT(UNIQUE(TOCOL({VLOOKUP(D563,DM_fish!A:B,2,FALSE),VLOOKUP(C563,DM_fish!A:B,2,FALSE), ARRAYFORMULA(VLOOKUP(SPLIT(E563, "", ""),Injections!B:G,6,FALSE)), ARRAYFORMULA(VLOOKUP(SPLIT(F563, "", ""),Injections!H:M,6,FALSE)), ARRAYFORMULA(VLOOKUP("&amp;"SPLIT(G563, "", ""),Injections!N:S,6,FALSE)), ARRAYFORMULA(VLOOKUP(SPLIT(H563, "", ""),Injections!T:Y,6,FALSE)) },3))))"),"")</f>
        <v/>
      </c>
      <c r="S563" s="10"/>
      <c r="T563" s="1"/>
      <c r="V563" s="11"/>
      <c r="W563" s="12"/>
      <c r="X563" s="12"/>
      <c r="Y563" s="11"/>
      <c r="Z563" s="11"/>
      <c r="AA563" s="11"/>
    </row>
    <row r="564" spans="1:27" ht="13" x14ac:dyDescent="0.15">
      <c r="A564" s="7"/>
      <c r="G564" s="8"/>
      <c r="H564" s="8"/>
      <c r="I564" s="8"/>
      <c r="M564" s="8"/>
      <c r="R564" s="10" t="str">
        <f ca="1">IFERROR(__xludf.DUMMYFUNCTION("JOIN("","", SORT(UNIQUE(TOCOL({VLOOKUP(D564,DM_fish!A:B,2,FALSE),VLOOKUP(C564,DM_fish!A:B,2,FALSE), ARRAYFORMULA(VLOOKUP(SPLIT(E564, "", ""),Injections!B:G,6,FALSE)), ARRAYFORMULA(VLOOKUP(SPLIT(F564, "", ""),Injections!H:M,6,FALSE)), ARRAYFORMULA(VLOOKUP("&amp;"SPLIT(G564, "", ""),Injections!N:S,6,FALSE)), ARRAYFORMULA(VLOOKUP(SPLIT(H564, "", ""),Injections!T:Y,6,FALSE)) },3))))"),"")</f>
        <v/>
      </c>
      <c r="S564" s="10"/>
      <c r="T564" s="1"/>
      <c r="V564" s="11"/>
      <c r="W564" s="12"/>
      <c r="X564" s="12"/>
      <c r="Y564" s="11"/>
      <c r="Z564" s="11"/>
      <c r="AA564" s="11"/>
    </row>
    <row r="565" spans="1:27" ht="13" x14ac:dyDescent="0.15">
      <c r="A565" s="7"/>
      <c r="G565" s="8"/>
      <c r="H565" s="8"/>
      <c r="I565" s="8"/>
      <c r="M565" s="8"/>
      <c r="R565" s="10" t="str">
        <f ca="1">IFERROR(__xludf.DUMMYFUNCTION("JOIN("","", SORT(UNIQUE(TOCOL({VLOOKUP(D565,DM_fish!A:B,2,FALSE),VLOOKUP(C565,DM_fish!A:B,2,FALSE), ARRAYFORMULA(VLOOKUP(SPLIT(E565, "", ""),Injections!B:G,6,FALSE)), ARRAYFORMULA(VLOOKUP(SPLIT(F565, "", ""),Injections!H:M,6,FALSE)), ARRAYFORMULA(VLOOKUP("&amp;"SPLIT(G565, "", ""),Injections!N:S,6,FALSE)), ARRAYFORMULA(VLOOKUP(SPLIT(H565, "", ""),Injections!T:Y,6,FALSE)) },3))))"),"")</f>
        <v/>
      </c>
      <c r="S565" s="10"/>
      <c r="T565" s="1"/>
      <c r="V565" s="11"/>
      <c r="W565" s="12"/>
      <c r="X565" s="12"/>
      <c r="Y565" s="11"/>
      <c r="Z565" s="11"/>
      <c r="AA565" s="11"/>
    </row>
    <row r="566" spans="1:27" ht="13" x14ac:dyDescent="0.15">
      <c r="A566" s="7"/>
      <c r="G566" s="8"/>
      <c r="H566" s="8"/>
      <c r="I566" s="8"/>
      <c r="M566" s="8"/>
      <c r="R566" s="10" t="str">
        <f ca="1">IFERROR(__xludf.DUMMYFUNCTION("JOIN("","", SORT(UNIQUE(TOCOL({VLOOKUP(D566,DM_fish!A:B,2,FALSE),VLOOKUP(C566,DM_fish!A:B,2,FALSE), ARRAYFORMULA(VLOOKUP(SPLIT(E566, "", ""),Injections!B:G,6,FALSE)), ARRAYFORMULA(VLOOKUP(SPLIT(F566, "", ""),Injections!H:M,6,FALSE)), ARRAYFORMULA(VLOOKUP("&amp;"SPLIT(G566, "", ""),Injections!N:S,6,FALSE)), ARRAYFORMULA(VLOOKUP(SPLIT(H566, "", ""),Injections!T:Y,6,FALSE)) },3))))"),"")</f>
        <v/>
      </c>
      <c r="S566" s="10"/>
      <c r="T566" s="1"/>
      <c r="V566" s="11"/>
      <c r="W566" s="12"/>
      <c r="X566" s="12"/>
      <c r="Y566" s="11"/>
      <c r="Z566" s="11"/>
      <c r="AA566" s="11"/>
    </row>
    <row r="567" spans="1:27" ht="13" x14ac:dyDescent="0.15">
      <c r="A567" s="7"/>
      <c r="G567" s="8"/>
      <c r="H567" s="8"/>
      <c r="I567" s="8"/>
      <c r="M567" s="8"/>
      <c r="R567" s="10" t="str">
        <f ca="1">IFERROR(__xludf.DUMMYFUNCTION("JOIN("","", SORT(UNIQUE(TOCOL({VLOOKUP(D567,DM_fish!A:B,2,FALSE),VLOOKUP(C567,DM_fish!A:B,2,FALSE), ARRAYFORMULA(VLOOKUP(SPLIT(E567, "", ""),Injections!B:G,6,FALSE)), ARRAYFORMULA(VLOOKUP(SPLIT(F567, "", ""),Injections!H:M,6,FALSE)), ARRAYFORMULA(VLOOKUP("&amp;"SPLIT(G567, "", ""),Injections!N:S,6,FALSE)), ARRAYFORMULA(VLOOKUP(SPLIT(H567, "", ""),Injections!T:Y,6,FALSE)) },3))))"),"")</f>
        <v/>
      </c>
      <c r="S567" s="10"/>
      <c r="T567" s="1"/>
      <c r="V567" s="11"/>
      <c r="W567" s="12"/>
      <c r="X567" s="12"/>
      <c r="Y567" s="11"/>
      <c r="Z567" s="11"/>
      <c r="AA567" s="11"/>
    </row>
    <row r="568" spans="1:27" ht="13" x14ac:dyDescent="0.15">
      <c r="A568" s="7"/>
      <c r="G568" s="8"/>
      <c r="H568" s="8"/>
      <c r="I568" s="8"/>
      <c r="M568" s="8"/>
      <c r="R568" s="10" t="str">
        <f ca="1">IFERROR(__xludf.DUMMYFUNCTION("JOIN("","", SORT(UNIQUE(TOCOL({VLOOKUP(D568,DM_fish!A:B,2,FALSE),VLOOKUP(C568,DM_fish!A:B,2,FALSE), ARRAYFORMULA(VLOOKUP(SPLIT(E568, "", ""),Injections!B:G,6,FALSE)), ARRAYFORMULA(VLOOKUP(SPLIT(F568, "", ""),Injections!H:M,6,FALSE)), ARRAYFORMULA(VLOOKUP("&amp;"SPLIT(G568, "", ""),Injections!N:S,6,FALSE)), ARRAYFORMULA(VLOOKUP(SPLIT(H568, "", ""),Injections!T:Y,6,FALSE)) },3))))"),"")</f>
        <v/>
      </c>
      <c r="S568" s="10"/>
      <c r="T568" s="1"/>
      <c r="V568" s="11"/>
      <c r="W568" s="12"/>
      <c r="X568" s="12"/>
      <c r="Y568" s="11"/>
      <c r="Z568" s="11"/>
      <c r="AA568" s="11"/>
    </row>
    <row r="569" spans="1:27" ht="13" x14ac:dyDescent="0.15">
      <c r="A569" s="7"/>
      <c r="G569" s="8"/>
      <c r="H569" s="8"/>
      <c r="I569" s="8"/>
      <c r="M569" s="8"/>
      <c r="R569" s="10" t="str">
        <f ca="1">IFERROR(__xludf.DUMMYFUNCTION("JOIN("","", SORT(UNIQUE(TOCOL({VLOOKUP(D569,DM_fish!A:B,2,FALSE),VLOOKUP(C569,DM_fish!A:B,2,FALSE), ARRAYFORMULA(VLOOKUP(SPLIT(E569, "", ""),Injections!B:G,6,FALSE)), ARRAYFORMULA(VLOOKUP(SPLIT(F569, "", ""),Injections!H:M,6,FALSE)), ARRAYFORMULA(VLOOKUP("&amp;"SPLIT(G569, "", ""),Injections!N:S,6,FALSE)), ARRAYFORMULA(VLOOKUP(SPLIT(H569, "", ""),Injections!T:Y,6,FALSE)) },3))))"),"")</f>
        <v/>
      </c>
      <c r="S569" s="10"/>
      <c r="T569" s="1"/>
      <c r="V569" s="11"/>
      <c r="W569" s="12"/>
      <c r="X569" s="12"/>
      <c r="Y569" s="11"/>
      <c r="Z569" s="11"/>
      <c r="AA569" s="11"/>
    </row>
    <row r="570" spans="1:27" ht="13" x14ac:dyDescent="0.15">
      <c r="A570" s="7"/>
      <c r="G570" s="8"/>
      <c r="H570" s="8"/>
      <c r="I570" s="8"/>
      <c r="M570" s="8"/>
      <c r="R570" s="10" t="str">
        <f ca="1">IFERROR(__xludf.DUMMYFUNCTION("JOIN("","", SORT(UNIQUE(TOCOL({VLOOKUP(D570,DM_fish!A:B,2,FALSE),VLOOKUP(C570,DM_fish!A:B,2,FALSE), ARRAYFORMULA(VLOOKUP(SPLIT(E570, "", ""),Injections!B:G,6,FALSE)), ARRAYFORMULA(VLOOKUP(SPLIT(F570, "", ""),Injections!H:M,6,FALSE)), ARRAYFORMULA(VLOOKUP("&amp;"SPLIT(G570, "", ""),Injections!N:S,6,FALSE)), ARRAYFORMULA(VLOOKUP(SPLIT(H570, "", ""),Injections!T:Y,6,FALSE)) },3))))"),"")</f>
        <v/>
      </c>
      <c r="S570" s="10"/>
      <c r="T570" s="1"/>
      <c r="V570" s="11"/>
      <c r="W570" s="12"/>
      <c r="X570" s="12"/>
      <c r="Y570" s="11"/>
      <c r="Z570" s="11"/>
      <c r="AA570" s="11"/>
    </row>
    <row r="571" spans="1:27" ht="13" x14ac:dyDescent="0.15">
      <c r="A571" s="7"/>
      <c r="G571" s="8"/>
      <c r="H571" s="8"/>
      <c r="I571" s="8"/>
      <c r="M571" s="8"/>
      <c r="R571" s="10" t="str">
        <f ca="1">IFERROR(__xludf.DUMMYFUNCTION("JOIN("","", SORT(UNIQUE(TOCOL({VLOOKUP(D571,DM_fish!A:B,2,FALSE),VLOOKUP(C571,DM_fish!A:B,2,FALSE), ARRAYFORMULA(VLOOKUP(SPLIT(E571, "", ""),Injections!B:G,6,FALSE)), ARRAYFORMULA(VLOOKUP(SPLIT(F571, "", ""),Injections!H:M,6,FALSE)), ARRAYFORMULA(VLOOKUP("&amp;"SPLIT(G571, "", ""),Injections!N:S,6,FALSE)), ARRAYFORMULA(VLOOKUP(SPLIT(H571, "", ""),Injections!T:Y,6,FALSE)) },3))))"),"")</f>
        <v/>
      </c>
      <c r="S571" s="10"/>
      <c r="T571" s="1"/>
      <c r="V571" s="11"/>
      <c r="W571" s="12"/>
      <c r="X571" s="12"/>
      <c r="Y571" s="11"/>
      <c r="Z571" s="11"/>
      <c r="AA571" s="11"/>
    </row>
    <row r="572" spans="1:27" ht="13" x14ac:dyDescent="0.15">
      <c r="A572" s="7"/>
      <c r="G572" s="8"/>
      <c r="H572" s="8"/>
      <c r="I572" s="8"/>
      <c r="M572" s="8"/>
      <c r="R572" s="10" t="str">
        <f ca="1">IFERROR(__xludf.DUMMYFUNCTION("JOIN("","", SORT(UNIQUE(TOCOL({VLOOKUP(D572,DM_fish!A:B,2,FALSE),VLOOKUP(C572,DM_fish!A:B,2,FALSE), ARRAYFORMULA(VLOOKUP(SPLIT(E572, "", ""),Injections!B:G,6,FALSE)), ARRAYFORMULA(VLOOKUP(SPLIT(F572, "", ""),Injections!H:M,6,FALSE)), ARRAYFORMULA(VLOOKUP("&amp;"SPLIT(G572, "", ""),Injections!N:S,6,FALSE)), ARRAYFORMULA(VLOOKUP(SPLIT(H572, "", ""),Injections!T:Y,6,FALSE)) },3))))"),"")</f>
        <v/>
      </c>
      <c r="S572" s="10"/>
      <c r="T572" s="1"/>
      <c r="V572" s="11"/>
      <c r="W572" s="12"/>
      <c r="X572" s="12"/>
      <c r="Y572" s="11"/>
      <c r="Z572" s="11"/>
      <c r="AA572" s="11"/>
    </row>
    <row r="573" spans="1:27" ht="13" x14ac:dyDescent="0.15">
      <c r="A573" s="7"/>
      <c r="G573" s="8"/>
      <c r="H573" s="8"/>
      <c r="I573" s="8"/>
      <c r="M573" s="8"/>
      <c r="R573" s="10" t="str">
        <f ca="1">IFERROR(__xludf.DUMMYFUNCTION("JOIN("","", SORT(UNIQUE(TOCOL({VLOOKUP(D573,DM_fish!A:B,2,FALSE),VLOOKUP(C573,DM_fish!A:B,2,FALSE), ARRAYFORMULA(VLOOKUP(SPLIT(E573, "", ""),Injections!B:G,6,FALSE)), ARRAYFORMULA(VLOOKUP(SPLIT(F573, "", ""),Injections!H:M,6,FALSE)), ARRAYFORMULA(VLOOKUP("&amp;"SPLIT(G573, "", ""),Injections!N:S,6,FALSE)), ARRAYFORMULA(VLOOKUP(SPLIT(H573, "", ""),Injections!T:Y,6,FALSE)) },3))))"),"")</f>
        <v/>
      </c>
      <c r="S573" s="10"/>
      <c r="T573" s="1"/>
      <c r="V573" s="11"/>
      <c r="W573" s="12"/>
      <c r="X573" s="12"/>
      <c r="Y573" s="11"/>
      <c r="Z573" s="11"/>
      <c r="AA573" s="11"/>
    </row>
    <row r="574" spans="1:27" ht="13" x14ac:dyDescent="0.15">
      <c r="A574" s="7"/>
      <c r="G574" s="8"/>
      <c r="H574" s="8"/>
      <c r="I574" s="8"/>
      <c r="M574" s="8"/>
      <c r="R574" s="10" t="str">
        <f ca="1">IFERROR(__xludf.DUMMYFUNCTION("JOIN("","", SORT(UNIQUE(TOCOL({VLOOKUP(D574,DM_fish!A:B,2,FALSE),VLOOKUP(C574,DM_fish!A:B,2,FALSE), ARRAYFORMULA(VLOOKUP(SPLIT(E574, "", ""),Injections!B:G,6,FALSE)), ARRAYFORMULA(VLOOKUP(SPLIT(F574, "", ""),Injections!H:M,6,FALSE)), ARRAYFORMULA(VLOOKUP("&amp;"SPLIT(G574, "", ""),Injections!N:S,6,FALSE)), ARRAYFORMULA(VLOOKUP(SPLIT(H574, "", ""),Injections!T:Y,6,FALSE)) },3))))"),"")</f>
        <v/>
      </c>
      <c r="S574" s="10"/>
      <c r="T574" s="1"/>
      <c r="V574" s="11"/>
      <c r="W574" s="12"/>
      <c r="X574" s="12"/>
      <c r="Y574" s="11"/>
      <c r="Z574" s="11"/>
      <c r="AA574" s="11"/>
    </row>
    <row r="575" spans="1:27" ht="13" x14ac:dyDescent="0.15">
      <c r="A575" s="7"/>
      <c r="G575" s="8"/>
      <c r="H575" s="8"/>
      <c r="I575" s="8"/>
      <c r="M575" s="8"/>
      <c r="R575" s="10" t="str">
        <f ca="1">IFERROR(__xludf.DUMMYFUNCTION("JOIN("","", SORT(UNIQUE(TOCOL({VLOOKUP(D575,DM_fish!A:B,2,FALSE),VLOOKUP(C575,DM_fish!A:B,2,FALSE), ARRAYFORMULA(VLOOKUP(SPLIT(E575, "", ""),Injections!B:G,6,FALSE)), ARRAYFORMULA(VLOOKUP(SPLIT(F575, "", ""),Injections!H:M,6,FALSE)), ARRAYFORMULA(VLOOKUP("&amp;"SPLIT(G575, "", ""),Injections!N:S,6,FALSE)), ARRAYFORMULA(VLOOKUP(SPLIT(H575, "", ""),Injections!T:Y,6,FALSE)) },3))))"),"")</f>
        <v/>
      </c>
      <c r="S575" s="10"/>
      <c r="T575" s="1"/>
      <c r="V575" s="11"/>
      <c r="W575" s="12"/>
      <c r="X575" s="12"/>
      <c r="Y575" s="11"/>
      <c r="Z575" s="11"/>
      <c r="AA575" s="11"/>
    </row>
    <row r="576" spans="1:27" ht="13" x14ac:dyDescent="0.15">
      <c r="A576" s="7"/>
      <c r="G576" s="8"/>
      <c r="H576" s="8"/>
      <c r="I576" s="8"/>
      <c r="M576" s="8"/>
      <c r="R576" s="10" t="str">
        <f ca="1">IFERROR(__xludf.DUMMYFUNCTION("JOIN("","", SORT(UNIQUE(TOCOL({VLOOKUP(D576,DM_fish!A:B,2,FALSE),VLOOKUP(C576,DM_fish!A:B,2,FALSE), ARRAYFORMULA(VLOOKUP(SPLIT(E576, "", ""),Injections!B:G,6,FALSE)), ARRAYFORMULA(VLOOKUP(SPLIT(F576, "", ""),Injections!H:M,6,FALSE)), ARRAYFORMULA(VLOOKUP("&amp;"SPLIT(G576, "", ""),Injections!N:S,6,FALSE)), ARRAYFORMULA(VLOOKUP(SPLIT(H576, "", ""),Injections!T:Y,6,FALSE)) },3))))"),"")</f>
        <v/>
      </c>
      <c r="S576" s="10"/>
      <c r="T576" s="1"/>
      <c r="V576" s="11"/>
      <c r="W576" s="12"/>
      <c r="X576" s="12"/>
      <c r="Y576" s="11"/>
      <c r="Z576" s="11"/>
      <c r="AA576" s="11"/>
    </row>
    <row r="577" spans="1:27" ht="13" x14ac:dyDescent="0.15">
      <c r="A577" s="7"/>
      <c r="G577" s="8"/>
      <c r="H577" s="8"/>
      <c r="I577" s="8"/>
      <c r="M577" s="8"/>
      <c r="R577" s="10" t="str">
        <f ca="1">IFERROR(__xludf.DUMMYFUNCTION("JOIN("","", SORT(UNIQUE(TOCOL({VLOOKUP(D577,DM_fish!A:B,2,FALSE),VLOOKUP(C577,DM_fish!A:B,2,FALSE), ARRAYFORMULA(VLOOKUP(SPLIT(E577, "", ""),Injections!B:G,6,FALSE)), ARRAYFORMULA(VLOOKUP(SPLIT(F577, "", ""),Injections!H:M,6,FALSE)), ARRAYFORMULA(VLOOKUP("&amp;"SPLIT(G577, "", ""),Injections!N:S,6,FALSE)), ARRAYFORMULA(VLOOKUP(SPLIT(H577, "", ""),Injections!T:Y,6,FALSE)) },3))))"),"")</f>
        <v/>
      </c>
      <c r="S577" s="10"/>
      <c r="T577" s="1"/>
      <c r="V577" s="11"/>
      <c r="W577" s="12"/>
      <c r="X577" s="12"/>
      <c r="Y577" s="11"/>
      <c r="Z577" s="11"/>
      <c r="AA577" s="11"/>
    </row>
    <row r="578" spans="1:27" ht="13" x14ac:dyDescent="0.15">
      <c r="A578" s="7"/>
      <c r="G578" s="8"/>
      <c r="H578" s="8"/>
      <c r="I578" s="8"/>
      <c r="M578" s="8"/>
      <c r="R578" s="10" t="str">
        <f ca="1">IFERROR(__xludf.DUMMYFUNCTION("JOIN("","", SORT(UNIQUE(TOCOL({VLOOKUP(D578,DM_fish!A:B,2,FALSE),VLOOKUP(C578,DM_fish!A:B,2,FALSE), ARRAYFORMULA(VLOOKUP(SPLIT(E578, "", ""),Injections!B:G,6,FALSE)), ARRAYFORMULA(VLOOKUP(SPLIT(F578, "", ""),Injections!H:M,6,FALSE)), ARRAYFORMULA(VLOOKUP("&amp;"SPLIT(G578, "", ""),Injections!N:S,6,FALSE)), ARRAYFORMULA(VLOOKUP(SPLIT(H578, "", ""),Injections!T:Y,6,FALSE)) },3))))"),"")</f>
        <v/>
      </c>
      <c r="S578" s="10"/>
      <c r="T578" s="1"/>
      <c r="V578" s="11"/>
      <c r="W578" s="12"/>
      <c r="X578" s="12"/>
      <c r="Y578" s="11"/>
      <c r="Z578" s="11"/>
      <c r="AA578" s="11"/>
    </row>
    <row r="579" spans="1:27" ht="13" x14ac:dyDescent="0.15">
      <c r="A579" s="7"/>
      <c r="G579" s="8"/>
      <c r="H579" s="8"/>
      <c r="I579" s="8"/>
      <c r="M579" s="8"/>
      <c r="R579" s="10" t="str">
        <f ca="1">IFERROR(__xludf.DUMMYFUNCTION("JOIN("","", SORT(UNIQUE(TOCOL({VLOOKUP(D579,DM_fish!A:B,2,FALSE),VLOOKUP(C579,DM_fish!A:B,2,FALSE), ARRAYFORMULA(VLOOKUP(SPLIT(E579, "", ""),Injections!B:G,6,FALSE)), ARRAYFORMULA(VLOOKUP(SPLIT(F579, "", ""),Injections!H:M,6,FALSE)), ARRAYFORMULA(VLOOKUP("&amp;"SPLIT(G579, "", ""),Injections!N:S,6,FALSE)), ARRAYFORMULA(VLOOKUP(SPLIT(H579, "", ""),Injections!T:Y,6,FALSE)) },3))))"),"")</f>
        <v/>
      </c>
      <c r="S579" s="10"/>
      <c r="T579" s="1"/>
      <c r="V579" s="11"/>
      <c r="W579" s="12"/>
      <c r="X579" s="12"/>
      <c r="Y579" s="11"/>
      <c r="Z579" s="11"/>
      <c r="AA579" s="11"/>
    </row>
    <row r="580" spans="1:27" ht="13" x14ac:dyDescent="0.15">
      <c r="A580" s="7"/>
      <c r="G580" s="8"/>
      <c r="H580" s="8"/>
      <c r="I580" s="8"/>
      <c r="M580" s="8"/>
      <c r="R580" s="10" t="str">
        <f ca="1">IFERROR(__xludf.DUMMYFUNCTION("JOIN("","", SORT(UNIQUE(TOCOL({VLOOKUP(D580,DM_fish!A:B,2,FALSE),VLOOKUP(C580,DM_fish!A:B,2,FALSE), ARRAYFORMULA(VLOOKUP(SPLIT(E580, "", ""),Injections!B:G,6,FALSE)), ARRAYFORMULA(VLOOKUP(SPLIT(F580, "", ""),Injections!H:M,6,FALSE)), ARRAYFORMULA(VLOOKUP("&amp;"SPLIT(G580, "", ""),Injections!N:S,6,FALSE)), ARRAYFORMULA(VLOOKUP(SPLIT(H580, "", ""),Injections!T:Y,6,FALSE)) },3))))"),"")</f>
        <v/>
      </c>
      <c r="S580" s="10"/>
      <c r="T580" s="1"/>
      <c r="V580" s="11"/>
      <c r="W580" s="12"/>
      <c r="X580" s="12"/>
      <c r="Y580" s="11"/>
      <c r="Z580" s="11"/>
      <c r="AA580" s="11"/>
    </row>
    <row r="581" spans="1:27" ht="13" x14ac:dyDescent="0.15">
      <c r="A581" s="7"/>
      <c r="G581" s="8"/>
      <c r="H581" s="8"/>
      <c r="I581" s="8"/>
      <c r="M581" s="8"/>
      <c r="R581" s="10" t="str">
        <f ca="1">IFERROR(__xludf.DUMMYFUNCTION("JOIN("","", SORT(UNIQUE(TOCOL({VLOOKUP(D581,DM_fish!A:B,2,FALSE),VLOOKUP(C581,DM_fish!A:B,2,FALSE), ARRAYFORMULA(VLOOKUP(SPLIT(E581, "", ""),Injections!B:G,6,FALSE)), ARRAYFORMULA(VLOOKUP(SPLIT(F581, "", ""),Injections!H:M,6,FALSE)), ARRAYFORMULA(VLOOKUP("&amp;"SPLIT(G581, "", ""),Injections!N:S,6,FALSE)), ARRAYFORMULA(VLOOKUP(SPLIT(H581, "", ""),Injections!T:Y,6,FALSE)) },3))))"),"")</f>
        <v/>
      </c>
      <c r="S581" s="10"/>
      <c r="T581" s="1"/>
      <c r="V581" s="11"/>
      <c r="W581" s="12"/>
      <c r="X581" s="12"/>
      <c r="Y581" s="11"/>
      <c r="Z581" s="11"/>
      <c r="AA581" s="11"/>
    </row>
    <row r="582" spans="1:27" ht="13" x14ac:dyDescent="0.15">
      <c r="A582" s="7"/>
      <c r="G582" s="8"/>
      <c r="H582" s="8"/>
      <c r="I582" s="8"/>
      <c r="M582" s="8"/>
      <c r="R582" s="10" t="str">
        <f ca="1">IFERROR(__xludf.DUMMYFUNCTION("JOIN("","", SORT(UNIQUE(TOCOL({VLOOKUP(D582,DM_fish!A:B,2,FALSE),VLOOKUP(C582,DM_fish!A:B,2,FALSE), ARRAYFORMULA(VLOOKUP(SPLIT(E582, "", ""),Injections!B:G,6,FALSE)), ARRAYFORMULA(VLOOKUP(SPLIT(F582, "", ""),Injections!H:M,6,FALSE)), ARRAYFORMULA(VLOOKUP("&amp;"SPLIT(G582, "", ""),Injections!N:S,6,FALSE)), ARRAYFORMULA(VLOOKUP(SPLIT(H582, "", ""),Injections!T:Y,6,FALSE)) },3))))"),"")</f>
        <v/>
      </c>
      <c r="S582" s="10"/>
      <c r="T582" s="1"/>
      <c r="V582" s="11"/>
      <c r="W582" s="12"/>
      <c r="X582" s="12"/>
      <c r="Y582" s="11"/>
      <c r="Z582" s="11"/>
      <c r="AA582" s="11"/>
    </row>
    <row r="583" spans="1:27" ht="13" x14ac:dyDescent="0.15">
      <c r="A583" s="7"/>
      <c r="G583" s="8"/>
      <c r="H583" s="8"/>
      <c r="I583" s="8"/>
      <c r="M583" s="8"/>
      <c r="R583" s="10" t="str">
        <f ca="1">IFERROR(__xludf.DUMMYFUNCTION("JOIN("","", SORT(UNIQUE(TOCOL({VLOOKUP(D583,DM_fish!A:B,2,FALSE),VLOOKUP(C583,DM_fish!A:B,2,FALSE), ARRAYFORMULA(VLOOKUP(SPLIT(E583, "", ""),Injections!B:G,6,FALSE)), ARRAYFORMULA(VLOOKUP(SPLIT(F583, "", ""),Injections!H:M,6,FALSE)), ARRAYFORMULA(VLOOKUP("&amp;"SPLIT(G583, "", ""),Injections!N:S,6,FALSE)), ARRAYFORMULA(VLOOKUP(SPLIT(H583, "", ""),Injections!T:Y,6,FALSE)) },3))))"),"")</f>
        <v/>
      </c>
      <c r="S583" s="10"/>
      <c r="T583" s="1"/>
      <c r="V583" s="11"/>
      <c r="W583" s="12"/>
      <c r="X583" s="12"/>
      <c r="Y583" s="11"/>
      <c r="Z583" s="11"/>
      <c r="AA583" s="11"/>
    </row>
    <row r="584" spans="1:27" ht="13" x14ac:dyDescent="0.15">
      <c r="A584" s="7"/>
      <c r="G584" s="8"/>
      <c r="H584" s="8"/>
      <c r="I584" s="8"/>
      <c r="M584" s="8"/>
      <c r="R584" s="10" t="str">
        <f ca="1">IFERROR(__xludf.DUMMYFUNCTION("JOIN("","", SORT(UNIQUE(TOCOL({VLOOKUP(D584,DM_fish!A:B,2,FALSE),VLOOKUP(C584,DM_fish!A:B,2,FALSE), ARRAYFORMULA(VLOOKUP(SPLIT(E584, "", ""),Injections!B:G,6,FALSE)), ARRAYFORMULA(VLOOKUP(SPLIT(F584, "", ""),Injections!H:M,6,FALSE)), ARRAYFORMULA(VLOOKUP("&amp;"SPLIT(G584, "", ""),Injections!N:S,6,FALSE)), ARRAYFORMULA(VLOOKUP(SPLIT(H584, "", ""),Injections!T:Y,6,FALSE)) },3))))"),"")</f>
        <v/>
      </c>
      <c r="S584" s="10"/>
      <c r="T584" s="1"/>
      <c r="V584" s="11"/>
      <c r="W584" s="12"/>
      <c r="X584" s="12"/>
      <c r="Y584" s="11"/>
      <c r="Z584" s="11"/>
      <c r="AA584" s="11"/>
    </row>
    <row r="585" spans="1:27" ht="13" x14ac:dyDescent="0.15">
      <c r="A585" s="7"/>
      <c r="G585" s="8"/>
      <c r="H585" s="8"/>
      <c r="I585" s="8"/>
      <c r="M585" s="8"/>
      <c r="R585" s="10" t="str">
        <f ca="1">IFERROR(__xludf.DUMMYFUNCTION("JOIN("","", SORT(UNIQUE(TOCOL({VLOOKUP(D585,DM_fish!A:B,2,FALSE),VLOOKUP(C585,DM_fish!A:B,2,FALSE), ARRAYFORMULA(VLOOKUP(SPLIT(E585, "", ""),Injections!B:G,6,FALSE)), ARRAYFORMULA(VLOOKUP(SPLIT(F585, "", ""),Injections!H:M,6,FALSE)), ARRAYFORMULA(VLOOKUP("&amp;"SPLIT(G585, "", ""),Injections!N:S,6,FALSE)), ARRAYFORMULA(VLOOKUP(SPLIT(H585, "", ""),Injections!T:Y,6,FALSE)) },3))))"),"")</f>
        <v/>
      </c>
      <c r="S585" s="10"/>
      <c r="T585" s="1"/>
      <c r="V585" s="11"/>
      <c r="W585" s="12"/>
      <c r="X585" s="12"/>
      <c r="Y585" s="11"/>
      <c r="Z585" s="11"/>
      <c r="AA585" s="11"/>
    </row>
    <row r="586" spans="1:27" ht="13" x14ac:dyDescent="0.15">
      <c r="A586" s="7"/>
      <c r="G586" s="8"/>
      <c r="H586" s="8"/>
      <c r="I586" s="8"/>
      <c r="M586" s="8"/>
      <c r="R586" s="10" t="str">
        <f ca="1">IFERROR(__xludf.DUMMYFUNCTION("JOIN("","", SORT(UNIQUE(TOCOL({VLOOKUP(D586,DM_fish!A:B,2,FALSE),VLOOKUP(C586,DM_fish!A:B,2,FALSE), ARRAYFORMULA(VLOOKUP(SPLIT(E586, "", ""),Injections!B:G,6,FALSE)), ARRAYFORMULA(VLOOKUP(SPLIT(F586, "", ""),Injections!H:M,6,FALSE)), ARRAYFORMULA(VLOOKUP("&amp;"SPLIT(G586, "", ""),Injections!N:S,6,FALSE)), ARRAYFORMULA(VLOOKUP(SPLIT(H586, "", ""),Injections!T:Y,6,FALSE)) },3))))"),"")</f>
        <v/>
      </c>
      <c r="S586" s="10"/>
      <c r="T586" s="1"/>
      <c r="V586" s="11"/>
      <c r="W586" s="12"/>
      <c r="X586" s="12"/>
      <c r="Y586" s="11"/>
      <c r="Z586" s="11"/>
      <c r="AA586" s="11"/>
    </row>
    <row r="587" spans="1:27" ht="13" x14ac:dyDescent="0.15">
      <c r="A587" s="7"/>
      <c r="G587" s="8"/>
      <c r="H587" s="8"/>
      <c r="I587" s="8"/>
      <c r="M587" s="8"/>
      <c r="R587" s="10" t="str">
        <f ca="1">IFERROR(__xludf.DUMMYFUNCTION("JOIN("","", SORT(UNIQUE(TOCOL({VLOOKUP(D587,DM_fish!A:B,2,FALSE),VLOOKUP(C587,DM_fish!A:B,2,FALSE), ARRAYFORMULA(VLOOKUP(SPLIT(E587, "", ""),Injections!B:G,6,FALSE)), ARRAYFORMULA(VLOOKUP(SPLIT(F587, "", ""),Injections!H:M,6,FALSE)), ARRAYFORMULA(VLOOKUP("&amp;"SPLIT(G587, "", ""),Injections!N:S,6,FALSE)), ARRAYFORMULA(VLOOKUP(SPLIT(H587, "", ""),Injections!T:Y,6,FALSE)) },3))))"),"")</f>
        <v/>
      </c>
      <c r="S587" s="10"/>
      <c r="T587" s="1"/>
      <c r="V587" s="11"/>
      <c r="W587" s="12"/>
      <c r="X587" s="12"/>
      <c r="Y587" s="11"/>
      <c r="Z587" s="11"/>
      <c r="AA587" s="11"/>
    </row>
    <row r="588" spans="1:27" ht="13" x14ac:dyDescent="0.15">
      <c r="A588" s="7"/>
      <c r="G588" s="8"/>
      <c r="H588" s="8"/>
      <c r="I588" s="8"/>
      <c r="M588" s="8"/>
      <c r="R588" s="10" t="str">
        <f ca="1">IFERROR(__xludf.DUMMYFUNCTION("JOIN("","", SORT(UNIQUE(TOCOL({VLOOKUP(D588,DM_fish!A:B,2,FALSE),VLOOKUP(C588,DM_fish!A:B,2,FALSE), ARRAYFORMULA(VLOOKUP(SPLIT(E588, "", ""),Injections!B:G,6,FALSE)), ARRAYFORMULA(VLOOKUP(SPLIT(F588, "", ""),Injections!H:M,6,FALSE)), ARRAYFORMULA(VLOOKUP("&amp;"SPLIT(G588, "", ""),Injections!N:S,6,FALSE)), ARRAYFORMULA(VLOOKUP(SPLIT(H588, "", ""),Injections!T:Y,6,FALSE)) },3))))"),"")</f>
        <v/>
      </c>
      <c r="S588" s="10"/>
      <c r="T588" s="1"/>
      <c r="V588" s="11"/>
      <c r="W588" s="12"/>
      <c r="X588" s="12"/>
      <c r="Y588" s="11"/>
      <c r="Z588" s="11"/>
      <c r="AA588" s="11"/>
    </row>
    <row r="589" spans="1:27" ht="13" x14ac:dyDescent="0.15">
      <c r="A589" s="7"/>
      <c r="G589" s="8"/>
      <c r="H589" s="8"/>
      <c r="I589" s="8"/>
      <c r="M589" s="8"/>
      <c r="R589" s="10" t="str">
        <f ca="1">IFERROR(__xludf.DUMMYFUNCTION("JOIN("","", SORT(UNIQUE(TOCOL({VLOOKUP(D589,DM_fish!A:B,2,FALSE),VLOOKUP(C589,DM_fish!A:B,2,FALSE), ARRAYFORMULA(VLOOKUP(SPLIT(E589, "", ""),Injections!B:G,6,FALSE)), ARRAYFORMULA(VLOOKUP(SPLIT(F589, "", ""),Injections!H:M,6,FALSE)), ARRAYFORMULA(VLOOKUP("&amp;"SPLIT(G589, "", ""),Injections!N:S,6,FALSE)), ARRAYFORMULA(VLOOKUP(SPLIT(H589, "", ""),Injections!T:Y,6,FALSE)) },3))))"),"")</f>
        <v/>
      </c>
      <c r="S589" s="10"/>
      <c r="T589" s="1"/>
      <c r="V589" s="11"/>
      <c r="W589" s="12"/>
      <c r="X589" s="12"/>
      <c r="Y589" s="11"/>
      <c r="Z589" s="11"/>
      <c r="AA589" s="11"/>
    </row>
    <row r="590" spans="1:27" ht="13" x14ac:dyDescent="0.15">
      <c r="A590" s="7"/>
      <c r="G590" s="8"/>
      <c r="H590" s="8"/>
      <c r="I590" s="8"/>
      <c r="M590" s="8"/>
      <c r="R590" s="10" t="str">
        <f ca="1">IFERROR(__xludf.DUMMYFUNCTION("JOIN("","", SORT(UNIQUE(TOCOL({VLOOKUP(D590,DM_fish!A:B,2,FALSE),VLOOKUP(C590,DM_fish!A:B,2,FALSE), ARRAYFORMULA(VLOOKUP(SPLIT(E590, "", ""),Injections!B:G,6,FALSE)), ARRAYFORMULA(VLOOKUP(SPLIT(F590, "", ""),Injections!H:M,6,FALSE)), ARRAYFORMULA(VLOOKUP("&amp;"SPLIT(G590, "", ""),Injections!N:S,6,FALSE)), ARRAYFORMULA(VLOOKUP(SPLIT(H590, "", ""),Injections!T:Y,6,FALSE)) },3))))"),"")</f>
        <v/>
      </c>
      <c r="S590" s="10"/>
      <c r="T590" s="1"/>
      <c r="V590" s="11"/>
      <c r="W590" s="12"/>
      <c r="X590" s="12"/>
      <c r="Y590" s="11"/>
      <c r="Z590" s="11"/>
      <c r="AA590" s="11"/>
    </row>
    <row r="591" spans="1:27" ht="13" x14ac:dyDescent="0.15">
      <c r="A591" s="7"/>
      <c r="G591" s="8"/>
      <c r="H591" s="8"/>
      <c r="I591" s="8"/>
      <c r="M591" s="8"/>
      <c r="R591" s="10" t="str">
        <f ca="1">IFERROR(__xludf.DUMMYFUNCTION("JOIN("","", SORT(UNIQUE(TOCOL({VLOOKUP(D591,DM_fish!A:B,2,FALSE),VLOOKUP(C591,DM_fish!A:B,2,FALSE), ARRAYFORMULA(VLOOKUP(SPLIT(E591, "", ""),Injections!B:G,6,FALSE)), ARRAYFORMULA(VLOOKUP(SPLIT(F591, "", ""),Injections!H:M,6,FALSE)), ARRAYFORMULA(VLOOKUP("&amp;"SPLIT(G591, "", ""),Injections!N:S,6,FALSE)), ARRAYFORMULA(VLOOKUP(SPLIT(H591, "", ""),Injections!T:Y,6,FALSE)) },3))))"),"")</f>
        <v/>
      </c>
      <c r="S591" s="10"/>
      <c r="T591" s="1"/>
      <c r="V591" s="11"/>
      <c r="W591" s="12"/>
      <c r="X591" s="12"/>
      <c r="Y591" s="11"/>
      <c r="Z591" s="11"/>
      <c r="AA591" s="11"/>
    </row>
    <row r="592" spans="1:27" ht="13" x14ac:dyDescent="0.15">
      <c r="A592" s="7"/>
      <c r="G592" s="8"/>
      <c r="H592" s="8"/>
      <c r="I592" s="8"/>
      <c r="M592" s="8"/>
      <c r="R592" s="10" t="str">
        <f ca="1">IFERROR(__xludf.DUMMYFUNCTION("JOIN("","", SORT(UNIQUE(TOCOL({VLOOKUP(D592,DM_fish!A:B,2,FALSE),VLOOKUP(C592,DM_fish!A:B,2,FALSE), ARRAYFORMULA(VLOOKUP(SPLIT(E592, "", ""),Injections!B:G,6,FALSE)), ARRAYFORMULA(VLOOKUP(SPLIT(F592, "", ""),Injections!H:M,6,FALSE)), ARRAYFORMULA(VLOOKUP("&amp;"SPLIT(G592, "", ""),Injections!N:S,6,FALSE)), ARRAYFORMULA(VLOOKUP(SPLIT(H592, "", ""),Injections!T:Y,6,FALSE)) },3))))"),"")</f>
        <v/>
      </c>
      <c r="S592" s="10"/>
      <c r="T592" s="1"/>
      <c r="V592" s="11"/>
      <c r="W592" s="12"/>
      <c r="X592" s="12"/>
      <c r="Y592" s="11"/>
      <c r="Z592" s="11"/>
      <c r="AA592" s="11"/>
    </row>
    <row r="593" spans="1:27" ht="13" x14ac:dyDescent="0.15">
      <c r="A593" s="7"/>
      <c r="G593" s="8"/>
      <c r="H593" s="8"/>
      <c r="I593" s="8"/>
      <c r="M593" s="8"/>
      <c r="R593" s="10" t="str">
        <f ca="1">IFERROR(__xludf.DUMMYFUNCTION("JOIN("","", SORT(UNIQUE(TOCOL({VLOOKUP(D593,DM_fish!A:B,2,FALSE),VLOOKUP(C593,DM_fish!A:B,2,FALSE), ARRAYFORMULA(VLOOKUP(SPLIT(E593, "", ""),Injections!B:G,6,FALSE)), ARRAYFORMULA(VLOOKUP(SPLIT(F593, "", ""),Injections!H:M,6,FALSE)), ARRAYFORMULA(VLOOKUP("&amp;"SPLIT(G593, "", ""),Injections!N:S,6,FALSE)), ARRAYFORMULA(VLOOKUP(SPLIT(H593, "", ""),Injections!T:Y,6,FALSE)) },3))))"),"")</f>
        <v/>
      </c>
      <c r="S593" s="10"/>
      <c r="T593" s="1"/>
      <c r="V593" s="11"/>
      <c r="W593" s="12"/>
      <c r="X593" s="12"/>
      <c r="Y593" s="11"/>
      <c r="Z593" s="11"/>
      <c r="AA593" s="11"/>
    </row>
    <row r="594" spans="1:27" ht="13" x14ac:dyDescent="0.15">
      <c r="A594" s="7"/>
      <c r="G594" s="8"/>
      <c r="H594" s="8"/>
      <c r="I594" s="8"/>
      <c r="M594" s="8"/>
      <c r="R594" s="10" t="str">
        <f ca="1">IFERROR(__xludf.DUMMYFUNCTION("JOIN("","", SORT(UNIQUE(TOCOL({VLOOKUP(D594,DM_fish!A:B,2,FALSE),VLOOKUP(C594,DM_fish!A:B,2,FALSE), ARRAYFORMULA(VLOOKUP(SPLIT(E594, "", ""),Injections!B:G,6,FALSE)), ARRAYFORMULA(VLOOKUP(SPLIT(F594, "", ""),Injections!H:M,6,FALSE)), ARRAYFORMULA(VLOOKUP("&amp;"SPLIT(G594, "", ""),Injections!N:S,6,FALSE)), ARRAYFORMULA(VLOOKUP(SPLIT(H594, "", ""),Injections!T:Y,6,FALSE)) },3))))"),"")</f>
        <v/>
      </c>
      <c r="S594" s="10"/>
      <c r="T594" s="1"/>
      <c r="V594" s="11"/>
      <c r="W594" s="12"/>
      <c r="X594" s="12"/>
      <c r="Y594" s="11"/>
      <c r="Z594" s="11"/>
      <c r="AA594" s="11"/>
    </row>
    <row r="595" spans="1:27" ht="13" x14ac:dyDescent="0.15">
      <c r="A595" s="7"/>
      <c r="G595" s="8"/>
      <c r="H595" s="8"/>
      <c r="I595" s="8"/>
      <c r="M595" s="8"/>
      <c r="R595" s="10" t="str">
        <f ca="1">IFERROR(__xludf.DUMMYFUNCTION("JOIN("","", SORT(UNIQUE(TOCOL({VLOOKUP(D595,DM_fish!A:B,2,FALSE),VLOOKUP(C595,DM_fish!A:B,2,FALSE), ARRAYFORMULA(VLOOKUP(SPLIT(E595, "", ""),Injections!B:G,6,FALSE)), ARRAYFORMULA(VLOOKUP(SPLIT(F595, "", ""),Injections!H:M,6,FALSE)), ARRAYFORMULA(VLOOKUP("&amp;"SPLIT(G595, "", ""),Injections!N:S,6,FALSE)), ARRAYFORMULA(VLOOKUP(SPLIT(H595, "", ""),Injections!T:Y,6,FALSE)) },3))))"),"")</f>
        <v/>
      </c>
      <c r="S595" s="10"/>
      <c r="T595" s="1"/>
      <c r="V595" s="11"/>
      <c r="W595" s="12"/>
      <c r="X595" s="12"/>
      <c r="Y595" s="11"/>
      <c r="Z595" s="11"/>
      <c r="AA595" s="11"/>
    </row>
    <row r="596" spans="1:27" ht="13" x14ac:dyDescent="0.15">
      <c r="A596" s="7"/>
      <c r="G596" s="8"/>
      <c r="H596" s="8"/>
      <c r="I596" s="8"/>
      <c r="M596" s="8"/>
      <c r="R596" s="10" t="str">
        <f ca="1">IFERROR(__xludf.DUMMYFUNCTION("JOIN("","", SORT(UNIQUE(TOCOL({VLOOKUP(D596,DM_fish!A:B,2,FALSE),VLOOKUP(C596,DM_fish!A:B,2,FALSE), ARRAYFORMULA(VLOOKUP(SPLIT(E596, "", ""),Injections!B:G,6,FALSE)), ARRAYFORMULA(VLOOKUP(SPLIT(F596, "", ""),Injections!H:M,6,FALSE)), ARRAYFORMULA(VLOOKUP("&amp;"SPLIT(G596, "", ""),Injections!N:S,6,FALSE)), ARRAYFORMULA(VLOOKUP(SPLIT(H596, "", ""),Injections!T:Y,6,FALSE)) },3))))"),"")</f>
        <v/>
      </c>
      <c r="S596" s="10"/>
      <c r="T596" s="1"/>
      <c r="V596" s="11"/>
      <c r="W596" s="12"/>
      <c r="X596" s="12"/>
      <c r="Y596" s="11"/>
      <c r="Z596" s="11"/>
      <c r="AA596" s="11"/>
    </row>
    <row r="597" spans="1:27" ht="13" x14ac:dyDescent="0.15">
      <c r="A597" s="7"/>
      <c r="G597" s="8"/>
      <c r="H597" s="8"/>
      <c r="I597" s="8"/>
      <c r="M597" s="8"/>
      <c r="R597" s="10" t="str">
        <f ca="1">IFERROR(__xludf.DUMMYFUNCTION("JOIN("","", SORT(UNIQUE(TOCOL({VLOOKUP(D597,DM_fish!A:B,2,FALSE),VLOOKUP(C597,DM_fish!A:B,2,FALSE), ARRAYFORMULA(VLOOKUP(SPLIT(E597, "", ""),Injections!B:G,6,FALSE)), ARRAYFORMULA(VLOOKUP(SPLIT(F597, "", ""),Injections!H:M,6,FALSE)), ARRAYFORMULA(VLOOKUP("&amp;"SPLIT(G597, "", ""),Injections!N:S,6,FALSE)), ARRAYFORMULA(VLOOKUP(SPLIT(H597, "", ""),Injections!T:Y,6,FALSE)) },3))))"),"")</f>
        <v/>
      </c>
      <c r="S597" s="10"/>
      <c r="T597" s="1"/>
      <c r="V597" s="11"/>
      <c r="W597" s="12"/>
      <c r="X597" s="12"/>
      <c r="Y597" s="11"/>
      <c r="Z597" s="11"/>
      <c r="AA597" s="11"/>
    </row>
    <row r="598" spans="1:27" ht="13" x14ac:dyDescent="0.15">
      <c r="A598" s="7"/>
      <c r="G598" s="8"/>
      <c r="H598" s="8"/>
      <c r="I598" s="8"/>
      <c r="M598" s="8"/>
      <c r="R598" s="10" t="str">
        <f ca="1">IFERROR(__xludf.DUMMYFUNCTION("JOIN("","", SORT(UNIQUE(TOCOL({VLOOKUP(D598,DM_fish!A:B,2,FALSE),VLOOKUP(C598,DM_fish!A:B,2,FALSE), ARRAYFORMULA(VLOOKUP(SPLIT(E598, "", ""),Injections!B:G,6,FALSE)), ARRAYFORMULA(VLOOKUP(SPLIT(F598, "", ""),Injections!H:M,6,FALSE)), ARRAYFORMULA(VLOOKUP("&amp;"SPLIT(G598, "", ""),Injections!N:S,6,FALSE)), ARRAYFORMULA(VLOOKUP(SPLIT(H598, "", ""),Injections!T:Y,6,FALSE)) },3))))"),"")</f>
        <v/>
      </c>
      <c r="S598" s="10"/>
      <c r="T598" s="1"/>
      <c r="V598" s="11"/>
      <c r="W598" s="12"/>
      <c r="X598" s="12"/>
      <c r="Y598" s="11"/>
      <c r="Z598" s="11"/>
      <c r="AA598" s="11"/>
    </row>
    <row r="599" spans="1:27" ht="13" x14ac:dyDescent="0.15">
      <c r="A599" s="7"/>
      <c r="G599" s="8"/>
      <c r="H599" s="8"/>
      <c r="I599" s="8"/>
      <c r="M599" s="8"/>
      <c r="R599" s="10" t="str">
        <f ca="1">IFERROR(__xludf.DUMMYFUNCTION("JOIN("","", SORT(UNIQUE(TOCOL({VLOOKUP(D599,DM_fish!A:B,2,FALSE),VLOOKUP(C599,DM_fish!A:B,2,FALSE), ARRAYFORMULA(VLOOKUP(SPLIT(E599, "", ""),Injections!B:G,6,FALSE)), ARRAYFORMULA(VLOOKUP(SPLIT(F599, "", ""),Injections!H:M,6,FALSE)), ARRAYFORMULA(VLOOKUP("&amp;"SPLIT(G599, "", ""),Injections!N:S,6,FALSE)), ARRAYFORMULA(VLOOKUP(SPLIT(H599, "", ""),Injections!T:Y,6,FALSE)) },3))))"),"")</f>
        <v/>
      </c>
      <c r="S599" s="10"/>
      <c r="T599" s="1"/>
      <c r="V599" s="11"/>
      <c r="W599" s="12"/>
      <c r="X599" s="12"/>
      <c r="Y599" s="11"/>
      <c r="Z599" s="11"/>
      <c r="AA599" s="11"/>
    </row>
    <row r="600" spans="1:27" ht="13" x14ac:dyDescent="0.15">
      <c r="A600" s="7"/>
      <c r="G600" s="8"/>
      <c r="H600" s="8"/>
      <c r="I600" s="8"/>
      <c r="M600" s="8"/>
      <c r="R600" s="10" t="str">
        <f ca="1">IFERROR(__xludf.DUMMYFUNCTION("JOIN("","", SORT(UNIQUE(TOCOL({VLOOKUP(D600,DM_fish!A:B,2,FALSE),VLOOKUP(C600,DM_fish!A:B,2,FALSE), ARRAYFORMULA(VLOOKUP(SPLIT(E600, "", ""),Injections!B:G,6,FALSE)), ARRAYFORMULA(VLOOKUP(SPLIT(F600, "", ""),Injections!H:M,6,FALSE)), ARRAYFORMULA(VLOOKUP("&amp;"SPLIT(G600, "", ""),Injections!N:S,6,FALSE)), ARRAYFORMULA(VLOOKUP(SPLIT(H600, "", ""),Injections!T:Y,6,FALSE)) },3))))"),"")</f>
        <v/>
      </c>
      <c r="S600" s="10"/>
      <c r="T600" s="1"/>
      <c r="V600" s="11"/>
      <c r="W600" s="12"/>
      <c r="X600" s="12"/>
      <c r="Y600" s="11"/>
      <c r="Z600" s="11"/>
      <c r="AA600" s="11"/>
    </row>
    <row r="601" spans="1:27" ht="13" x14ac:dyDescent="0.15">
      <c r="A601" s="7"/>
      <c r="G601" s="8"/>
      <c r="H601" s="8"/>
      <c r="I601" s="8"/>
      <c r="M601" s="8"/>
      <c r="R601" s="10" t="str">
        <f ca="1">IFERROR(__xludf.DUMMYFUNCTION("JOIN("","", SORT(UNIQUE(TOCOL({VLOOKUP(D601,DM_fish!A:B,2,FALSE),VLOOKUP(C601,DM_fish!A:B,2,FALSE), ARRAYFORMULA(VLOOKUP(SPLIT(E601, "", ""),Injections!B:G,6,FALSE)), ARRAYFORMULA(VLOOKUP(SPLIT(F601, "", ""),Injections!H:M,6,FALSE)), ARRAYFORMULA(VLOOKUP("&amp;"SPLIT(G601, "", ""),Injections!N:S,6,FALSE)), ARRAYFORMULA(VLOOKUP(SPLIT(H601, "", ""),Injections!T:Y,6,FALSE)) },3))))"),"")</f>
        <v/>
      </c>
      <c r="S601" s="10"/>
      <c r="T601" s="1"/>
      <c r="V601" s="11"/>
      <c r="W601" s="12"/>
      <c r="X601" s="12"/>
      <c r="Y601" s="11"/>
      <c r="Z601" s="11"/>
      <c r="AA601" s="11"/>
    </row>
    <row r="602" spans="1:27" ht="13" x14ac:dyDescent="0.15">
      <c r="A602" s="7"/>
      <c r="G602" s="8"/>
      <c r="H602" s="8"/>
      <c r="I602" s="8"/>
      <c r="M602" s="8"/>
      <c r="R602" s="10" t="str">
        <f ca="1">IFERROR(__xludf.DUMMYFUNCTION("JOIN("","", SORT(UNIQUE(TOCOL({VLOOKUP(D602,DM_fish!A:B,2,FALSE),VLOOKUP(C602,DM_fish!A:B,2,FALSE), ARRAYFORMULA(VLOOKUP(SPLIT(E602, "", ""),Injections!B:G,6,FALSE)), ARRAYFORMULA(VLOOKUP(SPLIT(F602, "", ""),Injections!H:M,6,FALSE)), ARRAYFORMULA(VLOOKUP("&amp;"SPLIT(G602, "", ""),Injections!N:S,6,FALSE)), ARRAYFORMULA(VLOOKUP(SPLIT(H602, "", ""),Injections!T:Y,6,FALSE)) },3))))"),"")</f>
        <v/>
      </c>
      <c r="S602" s="10"/>
      <c r="T602" s="1"/>
      <c r="V602" s="11"/>
      <c r="W602" s="12"/>
      <c r="X602" s="12"/>
      <c r="Y602" s="11"/>
      <c r="Z602" s="11"/>
      <c r="AA602" s="11"/>
    </row>
    <row r="603" spans="1:27" ht="13" x14ac:dyDescent="0.15">
      <c r="A603" s="7"/>
      <c r="G603" s="8"/>
      <c r="H603" s="8"/>
      <c r="I603" s="8"/>
      <c r="M603" s="8"/>
      <c r="R603" s="10" t="str">
        <f ca="1">IFERROR(__xludf.DUMMYFUNCTION("JOIN("","", SORT(UNIQUE(TOCOL({VLOOKUP(D603,DM_fish!A:B,2,FALSE),VLOOKUP(C603,DM_fish!A:B,2,FALSE), ARRAYFORMULA(VLOOKUP(SPLIT(E603, "", ""),Injections!B:G,6,FALSE)), ARRAYFORMULA(VLOOKUP(SPLIT(F603, "", ""),Injections!H:M,6,FALSE)), ARRAYFORMULA(VLOOKUP("&amp;"SPLIT(G603, "", ""),Injections!N:S,6,FALSE)), ARRAYFORMULA(VLOOKUP(SPLIT(H603, "", ""),Injections!T:Y,6,FALSE)) },3))))"),"")</f>
        <v/>
      </c>
      <c r="S603" s="10"/>
      <c r="T603" s="1"/>
      <c r="V603" s="11"/>
      <c r="W603" s="12"/>
      <c r="X603" s="12"/>
      <c r="Y603" s="11"/>
      <c r="Z603" s="11"/>
      <c r="AA603" s="11"/>
    </row>
    <row r="604" spans="1:27" ht="13" x14ac:dyDescent="0.15">
      <c r="A604" s="7"/>
      <c r="G604" s="8"/>
      <c r="H604" s="8"/>
      <c r="I604" s="8"/>
      <c r="M604" s="8"/>
      <c r="R604" s="10" t="str">
        <f ca="1">IFERROR(__xludf.DUMMYFUNCTION("JOIN("","", SORT(UNIQUE(TOCOL({VLOOKUP(D604,DM_fish!A:B,2,FALSE),VLOOKUP(C604,DM_fish!A:B,2,FALSE), ARRAYFORMULA(VLOOKUP(SPLIT(E604, "", ""),Injections!B:G,6,FALSE)), ARRAYFORMULA(VLOOKUP(SPLIT(F604, "", ""),Injections!H:M,6,FALSE)), ARRAYFORMULA(VLOOKUP("&amp;"SPLIT(G604, "", ""),Injections!N:S,6,FALSE)), ARRAYFORMULA(VLOOKUP(SPLIT(H604, "", ""),Injections!T:Y,6,FALSE)) },3))))"),"")</f>
        <v/>
      </c>
      <c r="S604" s="10"/>
      <c r="T604" s="1"/>
      <c r="V604" s="11"/>
      <c r="W604" s="12"/>
      <c r="X604" s="12"/>
      <c r="Y604" s="11"/>
      <c r="Z604" s="11"/>
      <c r="AA604" s="11"/>
    </row>
    <row r="605" spans="1:27" ht="13" x14ac:dyDescent="0.15">
      <c r="A605" s="7"/>
      <c r="G605" s="8"/>
      <c r="H605" s="8"/>
      <c r="I605" s="8"/>
      <c r="M605" s="8"/>
      <c r="R605" s="10" t="str">
        <f ca="1">IFERROR(__xludf.DUMMYFUNCTION("JOIN("","", SORT(UNIQUE(TOCOL({VLOOKUP(D605,DM_fish!A:B,2,FALSE),VLOOKUP(C605,DM_fish!A:B,2,FALSE), ARRAYFORMULA(VLOOKUP(SPLIT(E605, "", ""),Injections!B:G,6,FALSE)), ARRAYFORMULA(VLOOKUP(SPLIT(F605, "", ""),Injections!H:M,6,FALSE)), ARRAYFORMULA(VLOOKUP("&amp;"SPLIT(G605, "", ""),Injections!N:S,6,FALSE)), ARRAYFORMULA(VLOOKUP(SPLIT(H605, "", ""),Injections!T:Y,6,FALSE)) },3))))"),"")</f>
        <v/>
      </c>
      <c r="S605" s="10"/>
      <c r="T605" s="1"/>
      <c r="V605" s="11"/>
      <c r="W605" s="12"/>
      <c r="X605" s="12"/>
      <c r="Y605" s="11"/>
      <c r="Z605" s="11"/>
      <c r="AA605" s="11"/>
    </row>
    <row r="606" spans="1:27" ht="13" x14ac:dyDescent="0.15">
      <c r="A606" s="7"/>
      <c r="G606" s="8"/>
      <c r="H606" s="8"/>
      <c r="I606" s="8"/>
      <c r="M606" s="8"/>
      <c r="R606" s="10" t="str">
        <f ca="1">IFERROR(__xludf.DUMMYFUNCTION("JOIN("","", SORT(UNIQUE(TOCOL({VLOOKUP(D606,DM_fish!A:B,2,FALSE),VLOOKUP(C606,DM_fish!A:B,2,FALSE), ARRAYFORMULA(VLOOKUP(SPLIT(E606, "", ""),Injections!B:G,6,FALSE)), ARRAYFORMULA(VLOOKUP(SPLIT(F606, "", ""),Injections!H:M,6,FALSE)), ARRAYFORMULA(VLOOKUP("&amp;"SPLIT(G606, "", ""),Injections!N:S,6,FALSE)), ARRAYFORMULA(VLOOKUP(SPLIT(H606, "", ""),Injections!T:Y,6,FALSE)) },3))))"),"")</f>
        <v/>
      </c>
      <c r="S606" s="10"/>
      <c r="T606" s="1"/>
      <c r="V606" s="11"/>
      <c r="W606" s="12"/>
      <c r="X606" s="12"/>
      <c r="Y606" s="11"/>
      <c r="Z606" s="11"/>
      <c r="AA606" s="11"/>
    </row>
    <row r="607" spans="1:27" ht="13" x14ac:dyDescent="0.15">
      <c r="A607" s="7"/>
      <c r="G607" s="8"/>
      <c r="H607" s="8"/>
      <c r="I607" s="8"/>
      <c r="M607" s="8"/>
      <c r="R607" s="10" t="str">
        <f ca="1">IFERROR(__xludf.DUMMYFUNCTION("JOIN("","", SORT(UNIQUE(TOCOL({VLOOKUP(D607,DM_fish!A:B,2,FALSE),VLOOKUP(C607,DM_fish!A:B,2,FALSE), ARRAYFORMULA(VLOOKUP(SPLIT(E607, "", ""),Injections!B:G,6,FALSE)), ARRAYFORMULA(VLOOKUP(SPLIT(F607, "", ""),Injections!H:M,6,FALSE)), ARRAYFORMULA(VLOOKUP("&amp;"SPLIT(G607, "", ""),Injections!N:S,6,FALSE)), ARRAYFORMULA(VLOOKUP(SPLIT(H607, "", ""),Injections!T:Y,6,FALSE)) },3))))"),"")</f>
        <v/>
      </c>
      <c r="S607" s="10"/>
      <c r="T607" s="1"/>
      <c r="V607" s="11"/>
      <c r="W607" s="12"/>
      <c r="X607" s="12"/>
      <c r="Y607" s="11"/>
      <c r="Z607" s="11"/>
      <c r="AA607" s="11"/>
    </row>
    <row r="608" spans="1:27" ht="13" x14ac:dyDescent="0.15">
      <c r="A608" s="7"/>
      <c r="G608" s="8"/>
      <c r="H608" s="8"/>
      <c r="I608" s="8"/>
      <c r="M608" s="8"/>
      <c r="R608" s="10" t="str">
        <f ca="1">IFERROR(__xludf.DUMMYFUNCTION("JOIN("","", SORT(UNIQUE(TOCOL({VLOOKUP(D608,DM_fish!A:B,2,FALSE),VLOOKUP(C608,DM_fish!A:B,2,FALSE), ARRAYFORMULA(VLOOKUP(SPLIT(E608, "", ""),Injections!B:G,6,FALSE)), ARRAYFORMULA(VLOOKUP(SPLIT(F608, "", ""),Injections!H:M,6,FALSE)), ARRAYFORMULA(VLOOKUP("&amp;"SPLIT(G608, "", ""),Injections!N:S,6,FALSE)), ARRAYFORMULA(VLOOKUP(SPLIT(H608, "", ""),Injections!T:Y,6,FALSE)) },3))))"),"")</f>
        <v/>
      </c>
      <c r="S608" s="10"/>
      <c r="T608" s="1"/>
      <c r="V608" s="11"/>
      <c r="W608" s="12"/>
      <c r="X608" s="12"/>
      <c r="Y608" s="11"/>
      <c r="Z608" s="11"/>
      <c r="AA608" s="11"/>
    </row>
    <row r="609" spans="1:27" ht="13" x14ac:dyDescent="0.15">
      <c r="A609" s="7"/>
      <c r="G609" s="8"/>
      <c r="H609" s="8"/>
      <c r="I609" s="8"/>
      <c r="M609" s="8"/>
      <c r="R609" s="10" t="str">
        <f ca="1">IFERROR(__xludf.DUMMYFUNCTION("JOIN("","", SORT(UNIQUE(TOCOL({VLOOKUP(D609,DM_fish!A:B,2,FALSE),VLOOKUP(C609,DM_fish!A:B,2,FALSE), ARRAYFORMULA(VLOOKUP(SPLIT(E609, "", ""),Injections!B:G,6,FALSE)), ARRAYFORMULA(VLOOKUP(SPLIT(F609, "", ""),Injections!H:M,6,FALSE)), ARRAYFORMULA(VLOOKUP("&amp;"SPLIT(G609, "", ""),Injections!N:S,6,FALSE)), ARRAYFORMULA(VLOOKUP(SPLIT(H609, "", ""),Injections!T:Y,6,FALSE)) },3))))"),"")</f>
        <v/>
      </c>
      <c r="S609" s="10"/>
      <c r="T609" s="1"/>
      <c r="V609" s="11"/>
      <c r="W609" s="12"/>
      <c r="X609" s="12"/>
      <c r="Y609" s="11"/>
      <c r="Z609" s="11"/>
      <c r="AA609" s="11"/>
    </row>
    <row r="610" spans="1:27" ht="13" x14ac:dyDescent="0.15">
      <c r="A610" s="7"/>
      <c r="G610" s="8"/>
      <c r="H610" s="8"/>
      <c r="I610" s="8"/>
      <c r="M610" s="8"/>
      <c r="R610" s="10" t="str">
        <f ca="1">IFERROR(__xludf.DUMMYFUNCTION("JOIN("","", SORT(UNIQUE(TOCOL({VLOOKUP(D610,DM_fish!A:B,2,FALSE),VLOOKUP(C610,DM_fish!A:B,2,FALSE), ARRAYFORMULA(VLOOKUP(SPLIT(E610, "", ""),Injections!B:G,6,FALSE)), ARRAYFORMULA(VLOOKUP(SPLIT(F610, "", ""),Injections!H:M,6,FALSE)), ARRAYFORMULA(VLOOKUP("&amp;"SPLIT(G610, "", ""),Injections!N:S,6,FALSE)), ARRAYFORMULA(VLOOKUP(SPLIT(H610, "", ""),Injections!T:Y,6,FALSE)) },3))))"),"")</f>
        <v/>
      </c>
      <c r="S610" s="10"/>
      <c r="T610" s="1"/>
      <c r="V610" s="11"/>
      <c r="W610" s="12"/>
      <c r="X610" s="12"/>
      <c r="Y610" s="11"/>
      <c r="Z610" s="11"/>
      <c r="AA610" s="11"/>
    </row>
    <row r="611" spans="1:27" ht="13" x14ac:dyDescent="0.15">
      <c r="A611" s="7"/>
      <c r="G611" s="8"/>
      <c r="H611" s="8"/>
      <c r="I611" s="8"/>
      <c r="M611" s="8"/>
      <c r="R611" s="10" t="str">
        <f ca="1">IFERROR(__xludf.DUMMYFUNCTION("JOIN("","", SORT(UNIQUE(TOCOL({VLOOKUP(D611,DM_fish!A:B,2,FALSE),VLOOKUP(C611,DM_fish!A:B,2,FALSE), ARRAYFORMULA(VLOOKUP(SPLIT(E611, "", ""),Injections!B:G,6,FALSE)), ARRAYFORMULA(VLOOKUP(SPLIT(F611, "", ""),Injections!H:M,6,FALSE)), ARRAYFORMULA(VLOOKUP("&amp;"SPLIT(G611, "", ""),Injections!N:S,6,FALSE)), ARRAYFORMULA(VLOOKUP(SPLIT(H611, "", ""),Injections!T:Y,6,FALSE)) },3))))"),"")</f>
        <v/>
      </c>
      <c r="S611" s="10"/>
      <c r="T611" s="1"/>
      <c r="V611" s="11"/>
      <c r="W611" s="12"/>
      <c r="X611" s="12"/>
      <c r="Y611" s="11"/>
      <c r="Z611" s="11"/>
      <c r="AA611" s="11"/>
    </row>
    <row r="612" spans="1:27" ht="13" x14ac:dyDescent="0.15">
      <c r="A612" s="7"/>
      <c r="G612" s="8"/>
      <c r="H612" s="8"/>
      <c r="I612" s="8"/>
      <c r="M612" s="8"/>
      <c r="R612" s="10" t="str">
        <f ca="1">IFERROR(__xludf.DUMMYFUNCTION("JOIN("","", SORT(UNIQUE(TOCOL({VLOOKUP(D612,DM_fish!A:B,2,FALSE),VLOOKUP(C612,DM_fish!A:B,2,FALSE), ARRAYFORMULA(VLOOKUP(SPLIT(E612, "", ""),Injections!B:G,6,FALSE)), ARRAYFORMULA(VLOOKUP(SPLIT(F612, "", ""),Injections!H:M,6,FALSE)), ARRAYFORMULA(VLOOKUP("&amp;"SPLIT(G612, "", ""),Injections!N:S,6,FALSE)), ARRAYFORMULA(VLOOKUP(SPLIT(H612, "", ""),Injections!T:Y,6,FALSE)) },3))))"),"")</f>
        <v/>
      </c>
      <c r="S612" s="10"/>
      <c r="T612" s="1"/>
      <c r="V612" s="11"/>
      <c r="W612" s="12"/>
      <c r="X612" s="12"/>
      <c r="Y612" s="11"/>
      <c r="Z612" s="11"/>
      <c r="AA612" s="11"/>
    </row>
    <row r="613" spans="1:27" ht="13" x14ac:dyDescent="0.15">
      <c r="A613" s="7"/>
      <c r="G613" s="8"/>
      <c r="H613" s="8"/>
      <c r="I613" s="8"/>
      <c r="M613" s="8"/>
      <c r="R613" s="10" t="str">
        <f ca="1">IFERROR(__xludf.DUMMYFUNCTION("JOIN("","", SORT(UNIQUE(TOCOL({VLOOKUP(D613,DM_fish!A:B,2,FALSE),VLOOKUP(C613,DM_fish!A:B,2,FALSE), ARRAYFORMULA(VLOOKUP(SPLIT(E613, "", ""),Injections!B:G,6,FALSE)), ARRAYFORMULA(VLOOKUP(SPLIT(F613, "", ""),Injections!H:M,6,FALSE)), ARRAYFORMULA(VLOOKUP("&amp;"SPLIT(G613, "", ""),Injections!N:S,6,FALSE)), ARRAYFORMULA(VLOOKUP(SPLIT(H613, "", ""),Injections!T:Y,6,FALSE)) },3))))"),"")</f>
        <v/>
      </c>
      <c r="S613" s="10"/>
      <c r="T613" s="1"/>
      <c r="V613" s="11"/>
      <c r="W613" s="12"/>
      <c r="X613" s="12"/>
      <c r="Y613" s="11"/>
      <c r="Z613" s="11"/>
      <c r="AA613" s="11"/>
    </row>
    <row r="614" spans="1:27" ht="13" x14ac:dyDescent="0.15">
      <c r="A614" s="7"/>
      <c r="G614" s="8"/>
      <c r="H614" s="8"/>
      <c r="I614" s="8"/>
      <c r="M614" s="8"/>
      <c r="R614" s="10" t="str">
        <f ca="1">IFERROR(__xludf.DUMMYFUNCTION("JOIN("","", SORT(UNIQUE(TOCOL({VLOOKUP(D614,DM_fish!A:B,2,FALSE),VLOOKUP(C614,DM_fish!A:B,2,FALSE), ARRAYFORMULA(VLOOKUP(SPLIT(E614, "", ""),Injections!B:G,6,FALSE)), ARRAYFORMULA(VLOOKUP(SPLIT(F614, "", ""),Injections!H:M,6,FALSE)), ARRAYFORMULA(VLOOKUP("&amp;"SPLIT(G614, "", ""),Injections!N:S,6,FALSE)), ARRAYFORMULA(VLOOKUP(SPLIT(H614, "", ""),Injections!T:Y,6,FALSE)) },3))))"),"")</f>
        <v/>
      </c>
      <c r="S614" s="10"/>
      <c r="T614" s="1"/>
      <c r="V614" s="11"/>
      <c r="W614" s="12"/>
      <c r="X614" s="12"/>
      <c r="Y614" s="11"/>
      <c r="Z614" s="11"/>
      <c r="AA614" s="11"/>
    </row>
    <row r="615" spans="1:27" ht="13" x14ac:dyDescent="0.15">
      <c r="A615" s="7"/>
      <c r="G615" s="8"/>
      <c r="H615" s="8"/>
      <c r="I615" s="8"/>
      <c r="M615" s="8"/>
      <c r="R615" s="10" t="str">
        <f ca="1">IFERROR(__xludf.DUMMYFUNCTION("JOIN("","", SORT(UNIQUE(TOCOL({VLOOKUP(D615,DM_fish!A:B,2,FALSE),VLOOKUP(C615,DM_fish!A:B,2,FALSE), ARRAYFORMULA(VLOOKUP(SPLIT(E615, "", ""),Injections!B:G,6,FALSE)), ARRAYFORMULA(VLOOKUP(SPLIT(F615, "", ""),Injections!H:M,6,FALSE)), ARRAYFORMULA(VLOOKUP("&amp;"SPLIT(G615, "", ""),Injections!N:S,6,FALSE)), ARRAYFORMULA(VLOOKUP(SPLIT(H615, "", ""),Injections!T:Y,6,FALSE)) },3))))"),"")</f>
        <v/>
      </c>
      <c r="S615" s="10"/>
      <c r="T615" s="1"/>
      <c r="V615" s="11"/>
      <c r="W615" s="12"/>
      <c r="X615" s="12"/>
      <c r="Y615" s="11"/>
      <c r="Z615" s="11"/>
      <c r="AA615" s="11"/>
    </row>
    <row r="616" spans="1:27" ht="13" x14ac:dyDescent="0.15">
      <c r="A616" s="7"/>
      <c r="G616" s="8"/>
      <c r="H616" s="8"/>
      <c r="I616" s="8"/>
      <c r="M616" s="8"/>
      <c r="R616" s="10" t="str">
        <f ca="1">IFERROR(__xludf.DUMMYFUNCTION("JOIN("","", SORT(UNIQUE(TOCOL({VLOOKUP(D616,DM_fish!A:B,2,FALSE),VLOOKUP(C616,DM_fish!A:B,2,FALSE), ARRAYFORMULA(VLOOKUP(SPLIT(E616, "", ""),Injections!B:G,6,FALSE)), ARRAYFORMULA(VLOOKUP(SPLIT(F616, "", ""),Injections!H:M,6,FALSE)), ARRAYFORMULA(VLOOKUP("&amp;"SPLIT(G616, "", ""),Injections!N:S,6,FALSE)), ARRAYFORMULA(VLOOKUP(SPLIT(H616, "", ""),Injections!T:Y,6,FALSE)) },3))))"),"")</f>
        <v/>
      </c>
      <c r="S616" s="10"/>
      <c r="T616" s="1"/>
      <c r="V616" s="11"/>
      <c r="W616" s="12"/>
      <c r="X616" s="12"/>
      <c r="Y616" s="11"/>
      <c r="Z616" s="11"/>
      <c r="AA616" s="11"/>
    </row>
    <row r="617" spans="1:27" ht="13" x14ac:dyDescent="0.15">
      <c r="A617" s="7"/>
      <c r="G617" s="8"/>
      <c r="H617" s="8"/>
      <c r="I617" s="8"/>
      <c r="M617" s="8"/>
      <c r="R617" s="10" t="str">
        <f ca="1">IFERROR(__xludf.DUMMYFUNCTION("JOIN("","", SORT(UNIQUE(TOCOL({VLOOKUP(D617,DM_fish!A:B,2,FALSE),VLOOKUP(C617,DM_fish!A:B,2,FALSE), ARRAYFORMULA(VLOOKUP(SPLIT(E617, "", ""),Injections!B:G,6,FALSE)), ARRAYFORMULA(VLOOKUP(SPLIT(F617, "", ""),Injections!H:M,6,FALSE)), ARRAYFORMULA(VLOOKUP("&amp;"SPLIT(G617, "", ""),Injections!N:S,6,FALSE)), ARRAYFORMULA(VLOOKUP(SPLIT(H617, "", ""),Injections!T:Y,6,FALSE)) },3))))"),"")</f>
        <v/>
      </c>
      <c r="S617" s="10"/>
      <c r="T617" s="1"/>
      <c r="V617" s="11"/>
      <c r="W617" s="12"/>
      <c r="X617" s="12"/>
      <c r="Y617" s="11"/>
      <c r="Z617" s="11"/>
      <c r="AA617" s="11"/>
    </row>
    <row r="618" spans="1:27" ht="13" x14ac:dyDescent="0.15">
      <c r="A618" s="7"/>
      <c r="G618" s="8"/>
      <c r="H618" s="8"/>
      <c r="I618" s="8"/>
      <c r="M618" s="8"/>
      <c r="R618" s="10" t="str">
        <f ca="1">IFERROR(__xludf.DUMMYFUNCTION("JOIN("","", SORT(UNIQUE(TOCOL({VLOOKUP(D618,DM_fish!A:B,2,FALSE),VLOOKUP(C618,DM_fish!A:B,2,FALSE), ARRAYFORMULA(VLOOKUP(SPLIT(E618, "", ""),Injections!B:G,6,FALSE)), ARRAYFORMULA(VLOOKUP(SPLIT(F618, "", ""),Injections!H:M,6,FALSE)), ARRAYFORMULA(VLOOKUP("&amp;"SPLIT(G618, "", ""),Injections!N:S,6,FALSE)), ARRAYFORMULA(VLOOKUP(SPLIT(H618, "", ""),Injections!T:Y,6,FALSE)) },3))))"),"")</f>
        <v/>
      </c>
      <c r="S618" s="10"/>
      <c r="T618" s="1"/>
      <c r="V618" s="11"/>
      <c r="W618" s="12"/>
      <c r="X618" s="12"/>
      <c r="Y618" s="11"/>
      <c r="Z618" s="11"/>
      <c r="AA618" s="11"/>
    </row>
    <row r="619" spans="1:27" ht="13" x14ac:dyDescent="0.15">
      <c r="A619" s="7"/>
      <c r="G619" s="8"/>
      <c r="H619" s="8"/>
      <c r="I619" s="8"/>
      <c r="M619" s="8"/>
      <c r="R619" s="10" t="str">
        <f ca="1">IFERROR(__xludf.DUMMYFUNCTION("JOIN("","", SORT(UNIQUE(TOCOL({VLOOKUP(D619,DM_fish!A:B,2,FALSE),VLOOKUP(C619,DM_fish!A:B,2,FALSE), ARRAYFORMULA(VLOOKUP(SPLIT(E619, "", ""),Injections!B:G,6,FALSE)), ARRAYFORMULA(VLOOKUP(SPLIT(F619, "", ""),Injections!H:M,6,FALSE)), ARRAYFORMULA(VLOOKUP("&amp;"SPLIT(G619, "", ""),Injections!N:S,6,FALSE)), ARRAYFORMULA(VLOOKUP(SPLIT(H619, "", ""),Injections!T:Y,6,FALSE)) },3))))"),"")</f>
        <v/>
      </c>
      <c r="S619" s="10"/>
      <c r="T619" s="1"/>
      <c r="V619" s="11"/>
      <c r="W619" s="12"/>
      <c r="X619" s="12"/>
      <c r="Y619" s="11"/>
      <c r="Z619" s="11"/>
      <c r="AA619" s="11"/>
    </row>
    <row r="620" spans="1:27" ht="13" x14ac:dyDescent="0.15">
      <c r="A620" s="7"/>
      <c r="G620" s="8"/>
      <c r="H620" s="8"/>
      <c r="I620" s="8"/>
      <c r="M620" s="8"/>
      <c r="R620" s="10" t="str">
        <f ca="1">IFERROR(__xludf.DUMMYFUNCTION("JOIN("","", SORT(UNIQUE(TOCOL({VLOOKUP(D620,DM_fish!A:B,2,FALSE),VLOOKUP(C620,DM_fish!A:B,2,FALSE), ARRAYFORMULA(VLOOKUP(SPLIT(E620, "", ""),Injections!B:G,6,FALSE)), ARRAYFORMULA(VLOOKUP(SPLIT(F620, "", ""),Injections!H:M,6,FALSE)), ARRAYFORMULA(VLOOKUP("&amp;"SPLIT(G620, "", ""),Injections!N:S,6,FALSE)), ARRAYFORMULA(VLOOKUP(SPLIT(H620, "", ""),Injections!T:Y,6,FALSE)) },3))))"),"")</f>
        <v/>
      </c>
      <c r="S620" s="10"/>
      <c r="T620" s="1"/>
      <c r="V620" s="11"/>
      <c r="W620" s="12"/>
      <c r="X620" s="12"/>
      <c r="Y620" s="11"/>
      <c r="Z620" s="11"/>
      <c r="AA620" s="11"/>
    </row>
    <row r="621" spans="1:27" ht="13" x14ac:dyDescent="0.15">
      <c r="A621" s="7"/>
      <c r="G621" s="8"/>
      <c r="H621" s="8"/>
      <c r="I621" s="8"/>
      <c r="M621" s="8"/>
      <c r="R621" s="10" t="str">
        <f ca="1">IFERROR(__xludf.DUMMYFUNCTION("JOIN("","", SORT(UNIQUE(TOCOL({VLOOKUP(D621,DM_fish!A:B,2,FALSE),VLOOKUP(C621,DM_fish!A:B,2,FALSE), ARRAYFORMULA(VLOOKUP(SPLIT(E621, "", ""),Injections!B:G,6,FALSE)), ARRAYFORMULA(VLOOKUP(SPLIT(F621, "", ""),Injections!H:M,6,FALSE)), ARRAYFORMULA(VLOOKUP("&amp;"SPLIT(G621, "", ""),Injections!N:S,6,FALSE)), ARRAYFORMULA(VLOOKUP(SPLIT(H621, "", ""),Injections!T:Y,6,FALSE)) },3))))"),"")</f>
        <v/>
      </c>
      <c r="S621" s="10"/>
      <c r="T621" s="1"/>
      <c r="V621" s="11"/>
      <c r="W621" s="12"/>
      <c r="X621" s="12"/>
      <c r="Y621" s="11"/>
      <c r="Z621" s="11"/>
      <c r="AA621" s="11"/>
    </row>
    <row r="622" spans="1:27" ht="13" x14ac:dyDescent="0.15">
      <c r="A622" s="7"/>
      <c r="G622" s="8"/>
      <c r="H622" s="8"/>
      <c r="I622" s="8"/>
      <c r="M622" s="8"/>
      <c r="R622" s="10" t="str">
        <f ca="1">IFERROR(__xludf.DUMMYFUNCTION("JOIN("","", SORT(UNIQUE(TOCOL({VLOOKUP(D622,DM_fish!A:B,2,FALSE),VLOOKUP(C622,DM_fish!A:B,2,FALSE), ARRAYFORMULA(VLOOKUP(SPLIT(E622, "", ""),Injections!B:G,6,FALSE)), ARRAYFORMULA(VLOOKUP(SPLIT(F622, "", ""),Injections!H:M,6,FALSE)), ARRAYFORMULA(VLOOKUP("&amp;"SPLIT(G622, "", ""),Injections!N:S,6,FALSE)), ARRAYFORMULA(VLOOKUP(SPLIT(H622, "", ""),Injections!T:Y,6,FALSE)) },3))))"),"")</f>
        <v/>
      </c>
      <c r="S622" s="10"/>
      <c r="T622" s="1"/>
      <c r="V622" s="11"/>
      <c r="W622" s="12"/>
      <c r="X622" s="12"/>
      <c r="Y622" s="11"/>
      <c r="Z622" s="11"/>
      <c r="AA622" s="11"/>
    </row>
    <row r="623" spans="1:27" ht="13" x14ac:dyDescent="0.15">
      <c r="A623" s="7"/>
      <c r="G623" s="8"/>
      <c r="H623" s="8"/>
      <c r="I623" s="8"/>
      <c r="M623" s="8"/>
      <c r="R623" s="10" t="str">
        <f ca="1">IFERROR(__xludf.DUMMYFUNCTION("JOIN("","", SORT(UNIQUE(TOCOL({VLOOKUP(D623,DM_fish!A:B,2,FALSE),VLOOKUP(C623,DM_fish!A:B,2,FALSE), ARRAYFORMULA(VLOOKUP(SPLIT(E623, "", ""),Injections!B:G,6,FALSE)), ARRAYFORMULA(VLOOKUP(SPLIT(F623, "", ""),Injections!H:M,6,FALSE)), ARRAYFORMULA(VLOOKUP("&amp;"SPLIT(G623, "", ""),Injections!N:S,6,FALSE)), ARRAYFORMULA(VLOOKUP(SPLIT(H623, "", ""),Injections!T:Y,6,FALSE)) },3))))"),"")</f>
        <v/>
      </c>
      <c r="S623" s="10"/>
      <c r="T623" s="1"/>
      <c r="V623" s="11"/>
      <c r="W623" s="12"/>
      <c r="X623" s="12"/>
      <c r="Y623" s="11"/>
      <c r="Z623" s="11"/>
      <c r="AA623" s="11"/>
    </row>
    <row r="624" spans="1:27" ht="13" x14ac:dyDescent="0.15">
      <c r="A624" s="7"/>
      <c r="G624" s="8"/>
      <c r="H624" s="8"/>
      <c r="I624" s="8"/>
      <c r="M624" s="8"/>
      <c r="R624" s="10" t="str">
        <f ca="1">IFERROR(__xludf.DUMMYFUNCTION("JOIN("","", SORT(UNIQUE(TOCOL({VLOOKUP(D624,DM_fish!A:B,2,FALSE),VLOOKUP(C624,DM_fish!A:B,2,FALSE), ARRAYFORMULA(VLOOKUP(SPLIT(E624, "", ""),Injections!B:G,6,FALSE)), ARRAYFORMULA(VLOOKUP(SPLIT(F624, "", ""),Injections!H:M,6,FALSE)), ARRAYFORMULA(VLOOKUP("&amp;"SPLIT(G624, "", ""),Injections!N:S,6,FALSE)), ARRAYFORMULA(VLOOKUP(SPLIT(H624, "", ""),Injections!T:Y,6,FALSE)) },3))))"),"")</f>
        <v/>
      </c>
      <c r="S624" s="10"/>
      <c r="T624" s="1"/>
      <c r="V624" s="11"/>
      <c r="W624" s="12"/>
      <c r="X624" s="12"/>
      <c r="Y624" s="11"/>
      <c r="Z624" s="11"/>
      <c r="AA624" s="11"/>
    </row>
    <row r="625" spans="1:27" ht="13" x14ac:dyDescent="0.15">
      <c r="A625" s="7"/>
      <c r="G625" s="8"/>
      <c r="H625" s="8"/>
      <c r="I625" s="8"/>
      <c r="M625" s="8"/>
      <c r="R625" s="10" t="str">
        <f ca="1">IFERROR(__xludf.DUMMYFUNCTION("JOIN("","", SORT(UNIQUE(TOCOL({VLOOKUP(D625,DM_fish!A:B,2,FALSE),VLOOKUP(C625,DM_fish!A:B,2,FALSE), ARRAYFORMULA(VLOOKUP(SPLIT(E625, "", ""),Injections!B:G,6,FALSE)), ARRAYFORMULA(VLOOKUP(SPLIT(F625, "", ""),Injections!H:M,6,FALSE)), ARRAYFORMULA(VLOOKUP("&amp;"SPLIT(G625, "", ""),Injections!N:S,6,FALSE)), ARRAYFORMULA(VLOOKUP(SPLIT(H625, "", ""),Injections!T:Y,6,FALSE)) },3))))"),"")</f>
        <v/>
      </c>
      <c r="S625" s="10"/>
      <c r="T625" s="1"/>
      <c r="V625" s="11"/>
      <c r="W625" s="12"/>
      <c r="X625" s="12"/>
      <c r="Y625" s="11"/>
      <c r="Z625" s="11"/>
      <c r="AA625" s="11"/>
    </row>
    <row r="626" spans="1:27" ht="13" x14ac:dyDescent="0.15">
      <c r="A626" s="7"/>
      <c r="G626" s="8"/>
      <c r="H626" s="8"/>
      <c r="I626" s="8"/>
      <c r="M626" s="8"/>
      <c r="R626" s="10" t="str">
        <f ca="1">IFERROR(__xludf.DUMMYFUNCTION("JOIN("","", SORT(UNIQUE(TOCOL({VLOOKUP(D626,DM_fish!A:B,2,FALSE),VLOOKUP(C626,DM_fish!A:B,2,FALSE), ARRAYFORMULA(VLOOKUP(SPLIT(E626, "", ""),Injections!B:G,6,FALSE)), ARRAYFORMULA(VLOOKUP(SPLIT(F626, "", ""),Injections!H:M,6,FALSE)), ARRAYFORMULA(VLOOKUP("&amp;"SPLIT(G626, "", ""),Injections!N:S,6,FALSE)), ARRAYFORMULA(VLOOKUP(SPLIT(H626, "", ""),Injections!T:Y,6,FALSE)) },3))))"),"")</f>
        <v/>
      </c>
      <c r="S626" s="10"/>
      <c r="T626" s="1"/>
      <c r="V626" s="11"/>
      <c r="W626" s="12"/>
      <c r="X626" s="12"/>
      <c r="Y626" s="11"/>
      <c r="Z626" s="11"/>
      <c r="AA626" s="11"/>
    </row>
    <row r="627" spans="1:27" ht="13" x14ac:dyDescent="0.15">
      <c r="A627" s="7"/>
      <c r="G627" s="8"/>
      <c r="H627" s="8"/>
      <c r="I627" s="8"/>
      <c r="M627" s="8"/>
      <c r="R627" s="10" t="str">
        <f ca="1">IFERROR(__xludf.DUMMYFUNCTION("JOIN("","", SORT(UNIQUE(TOCOL({VLOOKUP(D627,DM_fish!A:B,2,FALSE),VLOOKUP(C627,DM_fish!A:B,2,FALSE), ARRAYFORMULA(VLOOKUP(SPLIT(E627, "", ""),Injections!B:G,6,FALSE)), ARRAYFORMULA(VLOOKUP(SPLIT(F627, "", ""),Injections!H:M,6,FALSE)), ARRAYFORMULA(VLOOKUP("&amp;"SPLIT(G627, "", ""),Injections!N:S,6,FALSE)), ARRAYFORMULA(VLOOKUP(SPLIT(H627, "", ""),Injections!T:Y,6,FALSE)) },3))))"),"")</f>
        <v/>
      </c>
      <c r="S627" s="10"/>
      <c r="T627" s="1"/>
      <c r="V627" s="11"/>
      <c r="W627" s="12"/>
      <c r="X627" s="12"/>
      <c r="Y627" s="11"/>
      <c r="Z627" s="11"/>
      <c r="AA627" s="11"/>
    </row>
    <row r="628" spans="1:27" ht="13" x14ac:dyDescent="0.15">
      <c r="A628" s="7"/>
      <c r="G628" s="8"/>
      <c r="H628" s="8"/>
      <c r="I628" s="8"/>
      <c r="M628" s="8"/>
      <c r="R628" s="10" t="str">
        <f ca="1">IFERROR(__xludf.DUMMYFUNCTION("JOIN("","", SORT(UNIQUE(TOCOL({VLOOKUP(D628,DM_fish!A:B,2,FALSE),VLOOKUP(C628,DM_fish!A:B,2,FALSE), ARRAYFORMULA(VLOOKUP(SPLIT(E628, "", ""),Injections!B:G,6,FALSE)), ARRAYFORMULA(VLOOKUP(SPLIT(F628, "", ""),Injections!H:M,6,FALSE)), ARRAYFORMULA(VLOOKUP("&amp;"SPLIT(G628, "", ""),Injections!N:S,6,FALSE)), ARRAYFORMULA(VLOOKUP(SPLIT(H628, "", ""),Injections!T:Y,6,FALSE)) },3))))"),"")</f>
        <v/>
      </c>
      <c r="S628" s="10"/>
      <c r="T628" s="1"/>
      <c r="V628" s="11"/>
      <c r="W628" s="12"/>
      <c r="X628" s="12"/>
      <c r="Y628" s="11"/>
      <c r="Z628" s="11"/>
      <c r="AA628" s="11"/>
    </row>
    <row r="629" spans="1:27" ht="13" x14ac:dyDescent="0.15">
      <c r="A629" s="7"/>
      <c r="G629" s="8"/>
      <c r="H629" s="8"/>
      <c r="I629" s="8"/>
      <c r="M629" s="8"/>
      <c r="R629" s="10" t="str">
        <f ca="1">IFERROR(__xludf.DUMMYFUNCTION("JOIN("","", SORT(UNIQUE(TOCOL({VLOOKUP(D629,DM_fish!A:B,2,FALSE),VLOOKUP(C629,DM_fish!A:B,2,FALSE), ARRAYFORMULA(VLOOKUP(SPLIT(E629, "", ""),Injections!B:G,6,FALSE)), ARRAYFORMULA(VLOOKUP(SPLIT(F629, "", ""),Injections!H:M,6,FALSE)), ARRAYFORMULA(VLOOKUP("&amp;"SPLIT(G629, "", ""),Injections!N:S,6,FALSE)), ARRAYFORMULA(VLOOKUP(SPLIT(H629, "", ""),Injections!T:Y,6,FALSE)) },3))))"),"")</f>
        <v/>
      </c>
      <c r="S629" s="10"/>
      <c r="T629" s="1"/>
      <c r="V629" s="11"/>
      <c r="W629" s="12"/>
      <c r="X629" s="12"/>
      <c r="Y629" s="11"/>
      <c r="Z629" s="11"/>
      <c r="AA629" s="11"/>
    </row>
    <row r="630" spans="1:27" ht="13" x14ac:dyDescent="0.15">
      <c r="A630" s="7"/>
      <c r="G630" s="8"/>
      <c r="H630" s="8"/>
      <c r="I630" s="8"/>
      <c r="M630" s="8"/>
      <c r="R630" s="10" t="str">
        <f ca="1">IFERROR(__xludf.DUMMYFUNCTION("JOIN("","", SORT(UNIQUE(TOCOL({VLOOKUP(D630,DM_fish!A:B,2,FALSE),VLOOKUP(C630,DM_fish!A:B,2,FALSE), ARRAYFORMULA(VLOOKUP(SPLIT(E630, "", ""),Injections!B:G,6,FALSE)), ARRAYFORMULA(VLOOKUP(SPLIT(F630, "", ""),Injections!H:M,6,FALSE)), ARRAYFORMULA(VLOOKUP("&amp;"SPLIT(G630, "", ""),Injections!N:S,6,FALSE)), ARRAYFORMULA(VLOOKUP(SPLIT(H630, "", ""),Injections!T:Y,6,FALSE)) },3))))"),"")</f>
        <v/>
      </c>
      <c r="S630" s="10"/>
      <c r="T630" s="1"/>
      <c r="V630" s="11"/>
      <c r="W630" s="12"/>
      <c r="X630" s="12"/>
      <c r="Y630" s="11"/>
      <c r="Z630" s="11"/>
      <c r="AA630" s="11"/>
    </row>
    <row r="631" spans="1:27" ht="13" x14ac:dyDescent="0.15">
      <c r="A631" s="7"/>
      <c r="G631" s="8"/>
      <c r="H631" s="8"/>
      <c r="I631" s="8"/>
      <c r="M631" s="8"/>
      <c r="R631" s="10" t="str">
        <f ca="1">IFERROR(__xludf.DUMMYFUNCTION("JOIN("","", SORT(UNIQUE(TOCOL({VLOOKUP(D631,DM_fish!A:B,2,FALSE),VLOOKUP(C631,DM_fish!A:B,2,FALSE), ARRAYFORMULA(VLOOKUP(SPLIT(E631, "", ""),Injections!B:G,6,FALSE)), ARRAYFORMULA(VLOOKUP(SPLIT(F631, "", ""),Injections!H:M,6,FALSE)), ARRAYFORMULA(VLOOKUP("&amp;"SPLIT(G631, "", ""),Injections!N:S,6,FALSE)), ARRAYFORMULA(VLOOKUP(SPLIT(H631, "", ""),Injections!T:Y,6,FALSE)) },3))))"),"")</f>
        <v/>
      </c>
      <c r="S631" s="10"/>
      <c r="T631" s="1"/>
      <c r="V631" s="11"/>
      <c r="W631" s="12"/>
      <c r="X631" s="12"/>
      <c r="Y631" s="11"/>
      <c r="Z631" s="11"/>
      <c r="AA631" s="11"/>
    </row>
    <row r="632" spans="1:27" ht="13" x14ac:dyDescent="0.15">
      <c r="A632" s="7"/>
      <c r="G632" s="8"/>
      <c r="H632" s="8"/>
      <c r="I632" s="8"/>
      <c r="M632" s="8"/>
      <c r="R632" s="10" t="str">
        <f ca="1">IFERROR(__xludf.DUMMYFUNCTION("JOIN("","", SORT(UNIQUE(TOCOL({VLOOKUP(D632,DM_fish!A:B,2,FALSE),VLOOKUP(C632,DM_fish!A:B,2,FALSE), ARRAYFORMULA(VLOOKUP(SPLIT(E632, "", ""),Injections!B:G,6,FALSE)), ARRAYFORMULA(VLOOKUP(SPLIT(F632, "", ""),Injections!H:M,6,FALSE)), ARRAYFORMULA(VLOOKUP("&amp;"SPLIT(G632, "", ""),Injections!N:S,6,FALSE)), ARRAYFORMULA(VLOOKUP(SPLIT(H632, "", ""),Injections!T:Y,6,FALSE)) },3))))"),"")</f>
        <v/>
      </c>
      <c r="S632" s="10"/>
      <c r="T632" s="1"/>
      <c r="V632" s="11"/>
      <c r="W632" s="12"/>
      <c r="X632" s="12"/>
      <c r="Y632" s="11"/>
      <c r="Z632" s="11"/>
      <c r="AA632" s="11"/>
    </row>
    <row r="633" spans="1:27" ht="13" x14ac:dyDescent="0.15">
      <c r="A633" s="7"/>
      <c r="G633" s="8"/>
      <c r="H633" s="8"/>
      <c r="I633" s="8"/>
      <c r="M633" s="8"/>
      <c r="R633" s="10" t="str">
        <f ca="1">IFERROR(__xludf.DUMMYFUNCTION("JOIN("","", SORT(UNIQUE(TOCOL({VLOOKUP(D633,DM_fish!A:B,2,FALSE),VLOOKUP(C633,DM_fish!A:B,2,FALSE), ARRAYFORMULA(VLOOKUP(SPLIT(E633, "", ""),Injections!B:G,6,FALSE)), ARRAYFORMULA(VLOOKUP(SPLIT(F633, "", ""),Injections!H:M,6,FALSE)), ARRAYFORMULA(VLOOKUP("&amp;"SPLIT(G633, "", ""),Injections!N:S,6,FALSE)), ARRAYFORMULA(VLOOKUP(SPLIT(H633, "", ""),Injections!T:Y,6,FALSE)) },3))))"),"")</f>
        <v/>
      </c>
      <c r="S633" s="10"/>
      <c r="T633" s="1"/>
      <c r="V633" s="11"/>
      <c r="W633" s="12"/>
      <c r="X633" s="12"/>
      <c r="Y633" s="11"/>
      <c r="Z633" s="11"/>
      <c r="AA633" s="11"/>
    </row>
    <row r="634" spans="1:27" ht="13" x14ac:dyDescent="0.15">
      <c r="A634" s="7"/>
      <c r="G634" s="8"/>
      <c r="H634" s="8"/>
      <c r="I634" s="8"/>
      <c r="M634" s="8"/>
      <c r="R634" s="10" t="str">
        <f ca="1">IFERROR(__xludf.DUMMYFUNCTION("JOIN("","", SORT(UNIQUE(TOCOL({VLOOKUP(D634,DM_fish!A:B,2,FALSE),VLOOKUP(C634,DM_fish!A:B,2,FALSE), ARRAYFORMULA(VLOOKUP(SPLIT(E634, "", ""),Injections!B:G,6,FALSE)), ARRAYFORMULA(VLOOKUP(SPLIT(F634, "", ""),Injections!H:M,6,FALSE)), ARRAYFORMULA(VLOOKUP("&amp;"SPLIT(G634, "", ""),Injections!N:S,6,FALSE)), ARRAYFORMULA(VLOOKUP(SPLIT(H634, "", ""),Injections!T:Y,6,FALSE)) },3))))"),"")</f>
        <v/>
      </c>
      <c r="S634" s="10"/>
      <c r="T634" s="1"/>
      <c r="V634" s="11"/>
      <c r="W634" s="12"/>
      <c r="X634" s="12"/>
      <c r="Y634" s="11"/>
      <c r="Z634" s="11"/>
      <c r="AA634" s="11"/>
    </row>
    <row r="635" spans="1:27" ht="13" x14ac:dyDescent="0.15">
      <c r="A635" s="7"/>
      <c r="G635" s="8"/>
      <c r="H635" s="8"/>
      <c r="I635" s="8"/>
      <c r="M635" s="8"/>
      <c r="R635" s="10" t="str">
        <f ca="1">IFERROR(__xludf.DUMMYFUNCTION("JOIN("","", SORT(UNIQUE(TOCOL({VLOOKUP(D635,DM_fish!A:B,2,FALSE),VLOOKUP(C635,DM_fish!A:B,2,FALSE), ARRAYFORMULA(VLOOKUP(SPLIT(E635, "", ""),Injections!B:G,6,FALSE)), ARRAYFORMULA(VLOOKUP(SPLIT(F635, "", ""),Injections!H:M,6,FALSE)), ARRAYFORMULA(VLOOKUP("&amp;"SPLIT(G635, "", ""),Injections!N:S,6,FALSE)), ARRAYFORMULA(VLOOKUP(SPLIT(H635, "", ""),Injections!T:Y,6,FALSE)) },3))))"),"")</f>
        <v/>
      </c>
      <c r="S635" s="10"/>
      <c r="T635" s="1"/>
      <c r="V635" s="11"/>
      <c r="W635" s="12"/>
      <c r="X635" s="12"/>
      <c r="Y635" s="11"/>
      <c r="Z635" s="11"/>
      <c r="AA635" s="11"/>
    </row>
    <row r="636" spans="1:27" ht="13" x14ac:dyDescent="0.15">
      <c r="A636" s="7"/>
      <c r="G636" s="8"/>
      <c r="H636" s="8"/>
      <c r="I636" s="8"/>
      <c r="M636" s="8"/>
      <c r="R636" s="10" t="str">
        <f ca="1">IFERROR(__xludf.DUMMYFUNCTION("JOIN("","", SORT(UNIQUE(TOCOL({VLOOKUP(D636,DM_fish!A:B,2,FALSE),VLOOKUP(C636,DM_fish!A:B,2,FALSE), ARRAYFORMULA(VLOOKUP(SPLIT(E636, "", ""),Injections!B:G,6,FALSE)), ARRAYFORMULA(VLOOKUP(SPLIT(F636, "", ""),Injections!H:M,6,FALSE)), ARRAYFORMULA(VLOOKUP("&amp;"SPLIT(G636, "", ""),Injections!N:S,6,FALSE)), ARRAYFORMULA(VLOOKUP(SPLIT(H636, "", ""),Injections!T:Y,6,FALSE)) },3))))"),"")</f>
        <v/>
      </c>
      <c r="S636" s="10"/>
      <c r="T636" s="1"/>
      <c r="V636" s="11"/>
      <c r="W636" s="12"/>
      <c r="X636" s="12"/>
      <c r="Y636" s="11"/>
      <c r="Z636" s="11"/>
      <c r="AA636" s="11"/>
    </row>
    <row r="637" spans="1:27" ht="13" x14ac:dyDescent="0.15">
      <c r="A637" s="7"/>
      <c r="G637" s="8"/>
      <c r="H637" s="8"/>
      <c r="I637" s="8"/>
      <c r="M637" s="8"/>
      <c r="R637" s="10" t="str">
        <f ca="1">IFERROR(__xludf.DUMMYFUNCTION("JOIN("","", SORT(UNIQUE(TOCOL({VLOOKUP(D637,DM_fish!A:B,2,FALSE),VLOOKUP(C637,DM_fish!A:B,2,FALSE), ARRAYFORMULA(VLOOKUP(SPLIT(E637, "", ""),Injections!B:G,6,FALSE)), ARRAYFORMULA(VLOOKUP(SPLIT(F637, "", ""),Injections!H:M,6,FALSE)), ARRAYFORMULA(VLOOKUP("&amp;"SPLIT(G637, "", ""),Injections!N:S,6,FALSE)), ARRAYFORMULA(VLOOKUP(SPLIT(H637, "", ""),Injections!T:Y,6,FALSE)) },3))))"),"")</f>
        <v/>
      </c>
      <c r="S637" s="10"/>
      <c r="T637" s="1"/>
      <c r="V637" s="11"/>
      <c r="W637" s="12"/>
      <c r="X637" s="12"/>
      <c r="Y637" s="11"/>
      <c r="Z637" s="11"/>
      <c r="AA637" s="11"/>
    </row>
    <row r="638" spans="1:27" ht="13" x14ac:dyDescent="0.15">
      <c r="A638" s="7"/>
      <c r="G638" s="8"/>
      <c r="H638" s="8"/>
      <c r="I638" s="8"/>
      <c r="M638" s="8"/>
      <c r="R638" s="10" t="str">
        <f ca="1">IFERROR(__xludf.DUMMYFUNCTION("JOIN("","", SORT(UNIQUE(TOCOL({VLOOKUP(D638,DM_fish!A:B,2,FALSE),VLOOKUP(C638,DM_fish!A:B,2,FALSE), ARRAYFORMULA(VLOOKUP(SPLIT(E638, "", ""),Injections!B:G,6,FALSE)), ARRAYFORMULA(VLOOKUP(SPLIT(F638, "", ""),Injections!H:M,6,FALSE)), ARRAYFORMULA(VLOOKUP("&amp;"SPLIT(G638, "", ""),Injections!N:S,6,FALSE)), ARRAYFORMULA(VLOOKUP(SPLIT(H638, "", ""),Injections!T:Y,6,FALSE)) },3))))"),"")</f>
        <v/>
      </c>
      <c r="S638" s="10"/>
      <c r="T638" s="1"/>
      <c r="V638" s="11"/>
      <c r="W638" s="12"/>
      <c r="X638" s="12"/>
      <c r="Y638" s="11"/>
      <c r="Z638" s="11"/>
      <c r="AA638" s="11"/>
    </row>
    <row r="639" spans="1:27" ht="13" x14ac:dyDescent="0.15">
      <c r="A639" s="7"/>
      <c r="G639" s="8"/>
      <c r="H639" s="8"/>
      <c r="I639" s="8"/>
      <c r="M639" s="8"/>
      <c r="R639" s="10" t="str">
        <f ca="1">IFERROR(__xludf.DUMMYFUNCTION("JOIN("","", SORT(UNIQUE(TOCOL({VLOOKUP(D639,DM_fish!A:B,2,FALSE),VLOOKUP(C639,DM_fish!A:B,2,FALSE), ARRAYFORMULA(VLOOKUP(SPLIT(E639, "", ""),Injections!B:G,6,FALSE)), ARRAYFORMULA(VLOOKUP(SPLIT(F639, "", ""),Injections!H:M,6,FALSE)), ARRAYFORMULA(VLOOKUP("&amp;"SPLIT(G639, "", ""),Injections!N:S,6,FALSE)), ARRAYFORMULA(VLOOKUP(SPLIT(H639, "", ""),Injections!T:Y,6,FALSE)) },3))))"),"")</f>
        <v/>
      </c>
      <c r="S639" s="10"/>
      <c r="T639" s="1"/>
      <c r="V639" s="11"/>
      <c r="W639" s="12"/>
      <c r="X639" s="12"/>
      <c r="Y639" s="11"/>
      <c r="Z639" s="11"/>
      <c r="AA639" s="11"/>
    </row>
    <row r="640" spans="1:27" ht="13" x14ac:dyDescent="0.15">
      <c r="A640" s="7"/>
      <c r="G640" s="8"/>
      <c r="H640" s="8"/>
      <c r="I640" s="8"/>
      <c r="M640" s="8"/>
      <c r="R640" s="10" t="str">
        <f ca="1">IFERROR(__xludf.DUMMYFUNCTION("JOIN("","", SORT(UNIQUE(TOCOL({VLOOKUP(D640,DM_fish!A:B,2,FALSE),VLOOKUP(C640,DM_fish!A:B,2,FALSE), ARRAYFORMULA(VLOOKUP(SPLIT(E640, "", ""),Injections!B:G,6,FALSE)), ARRAYFORMULA(VLOOKUP(SPLIT(F640, "", ""),Injections!H:M,6,FALSE)), ARRAYFORMULA(VLOOKUP("&amp;"SPLIT(G640, "", ""),Injections!N:S,6,FALSE)), ARRAYFORMULA(VLOOKUP(SPLIT(H640, "", ""),Injections!T:Y,6,FALSE)) },3))))"),"")</f>
        <v/>
      </c>
      <c r="S640" s="10"/>
      <c r="T640" s="1"/>
      <c r="V640" s="11"/>
      <c r="W640" s="12"/>
      <c r="X640" s="12"/>
      <c r="Y640" s="11"/>
      <c r="Z640" s="11"/>
      <c r="AA640" s="11"/>
    </row>
    <row r="641" spans="1:27" ht="13" x14ac:dyDescent="0.15">
      <c r="A641" s="7"/>
      <c r="G641" s="8"/>
      <c r="H641" s="8"/>
      <c r="I641" s="8"/>
      <c r="M641" s="8"/>
      <c r="R641" s="10" t="str">
        <f ca="1">IFERROR(__xludf.DUMMYFUNCTION("JOIN("","", SORT(UNIQUE(TOCOL({VLOOKUP(D641,DM_fish!A:B,2,FALSE),VLOOKUP(C641,DM_fish!A:B,2,FALSE), ARRAYFORMULA(VLOOKUP(SPLIT(E641, "", ""),Injections!B:G,6,FALSE)), ARRAYFORMULA(VLOOKUP(SPLIT(F641, "", ""),Injections!H:M,6,FALSE)), ARRAYFORMULA(VLOOKUP("&amp;"SPLIT(G641, "", ""),Injections!N:S,6,FALSE)), ARRAYFORMULA(VLOOKUP(SPLIT(H641, "", ""),Injections!T:Y,6,FALSE)) },3))))"),"")</f>
        <v/>
      </c>
      <c r="S641" s="10"/>
      <c r="T641" s="1"/>
      <c r="V641" s="11"/>
      <c r="W641" s="12"/>
      <c r="X641" s="12"/>
      <c r="Y641" s="11"/>
      <c r="Z641" s="11"/>
      <c r="AA641" s="11"/>
    </row>
    <row r="642" spans="1:27" ht="13" x14ac:dyDescent="0.15">
      <c r="A642" s="7"/>
      <c r="G642" s="8"/>
      <c r="H642" s="8"/>
      <c r="I642" s="8"/>
      <c r="M642" s="8"/>
      <c r="R642" s="10" t="str">
        <f ca="1">IFERROR(__xludf.DUMMYFUNCTION("JOIN("","", SORT(UNIQUE(TOCOL({VLOOKUP(D642,DM_fish!A:B,2,FALSE),VLOOKUP(C642,DM_fish!A:B,2,FALSE), ARRAYFORMULA(VLOOKUP(SPLIT(E642, "", ""),Injections!B:G,6,FALSE)), ARRAYFORMULA(VLOOKUP(SPLIT(F642, "", ""),Injections!H:M,6,FALSE)), ARRAYFORMULA(VLOOKUP("&amp;"SPLIT(G642, "", ""),Injections!N:S,6,FALSE)), ARRAYFORMULA(VLOOKUP(SPLIT(H642, "", ""),Injections!T:Y,6,FALSE)) },3))))"),"")</f>
        <v/>
      </c>
      <c r="S642" s="10"/>
      <c r="T642" s="1"/>
      <c r="V642" s="11"/>
      <c r="W642" s="12"/>
      <c r="X642" s="12"/>
      <c r="Y642" s="11"/>
      <c r="Z642" s="11"/>
      <c r="AA642" s="11"/>
    </row>
    <row r="643" spans="1:27" ht="13" x14ac:dyDescent="0.15">
      <c r="A643" s="7"/>
      <c r="G643" s="8"/>
      <c r="H643" s="8"/>
      <c r="I643" s="8"/>
      <c r="M643" s="8"/>
      <c r="R643" s="10" t="str">
        <f ca="1">IFERROR(__xludf.DUMMYFUNCTION("JOIN("","", SORT(UNIQUE(TOCOL({VLOOKUP(D643,DM_fish!A:B,2,FALSE),VLOOKUP(C643,DM_fish!A:B,2,FALSE), ARRAYFORMULA(VLOOKUP(SPLIT(E643, "", ""),Injections!B:G,6,FALSE)), ARRAYFORMULA(VLOOKUP(SPLIT(F643, "", ""),Injections!H:M,6,FALSE)), ARRAYFORMULA(VLOOKUP("&amp;"SPLIT(G643, "", ""),Injections!N:S,6,FALSE)), ARRAYFORMULA(VLOOKUP(SPLIT(H643, "", ""),Injections!T:Y,6,FALSE)) },3))))"),"")</f>
        <v/>
      </c>
      <c r="S643" s="10"/>
      <c r="T643" s="1"/>
      <c r="V643" s="11"/>
      <c r="W643" s="12"/>
      <c r="X643" s="12"/>
      <c r="Y643" s="11"/>
      <c r="Z643" s="11"/>
      <c r="AA643" s="11"/>
    </row>
    <row r="644" spans="1:27" ht="13" x14ac:dyDescent="0.15">
      <c r="A644" s="7"/>
      <c r="G644" s="8"/>
      <c r="H644" s="8"/>
      <c r="I644" s="8"/>
      <c r="M644" s="8"/>
      <c r="R644" s="10" t="str">
        <f ca="1">IFERROR(__xludf.DUMMYFUNCTION("JOIN("","", SORT(UNIQUE(TOCOL({VLOOKUP(D644,DM_fish!A:B,2,FALSE),VLOOKUP(C644,DM_fish!A:B,2,FALSE), ARRAYFORMULA(VLOOKUP(SPLIT(E644, "", ""),Injections!B:G,6,FALSE)), ARRAYFORMULA(VLOOKUP(SPLIT(F644, "", ""),Injections!H:M,6,FALSE)), ARRAYFORMULA(VLOOKUP("&amp;"SPLIT(G644, "", ""),Injections!N:S,6,FALSE)), ARRAYFORMULA(VLOOKUP(SPLIT(H644, "", ""),Injections!T:Y,6,FALSE)) },3))))"),"")</f>
        <v/>
      </c>
      <c r="S644" s="10"/>
      <c r="T644" s="1"/>
      <c r="V644" s="11"/>
      <c r="W644" s="12"/>
      <c r="X644" s="12"/>
      <c r="Y644" s="11"/>
      <c r="Z644" s="11"/>
      <c r="AA644" s="11"/>
    </row>
    <row r="645" spans="1:27" ht="13" x14ac:dyDescent="0.15">
      <c r="A645" s="7"/>
      <c r="G645" s="8"/>
      <c r="H645" s="8"/>
      <c r="I645" s="8"/>
      <c r="M645" s="8"/>
      <c r="R645" s="10" t="str">
        <f ca="1">IFERROR(__xludf.DUMMYFUNCTION("JOIN("","", SORT(UNIQUE(TOCOL({VLOOKUP(D645,DM_fish!A:B,2,FALSE),VLOOKUP(C645,DM_fish!A:B,2,FALSE), ARRAYFORMULA(VLOOKUP(SPLIT(E645, "", ""),Injections!B:G,6,FALSE)), ARRAYFORMULA(VLOOKUP(SPLIT(F645, "", ""),Injections!H:M,6,FALSE)), ARRAYFORMULA(VLOOKUP("&amp;"SPLIT(G645, "", ""),Injections!N:S,6,FALSE)), ARRAYFORMULA(VLOOKUP(SPLIT(H645, "", ""),Injections!T:Y,6,FALSE)) },3))))"),"")</f>
        <v/>
      </c>
      <c r="S645" s="10"/>
      <c r="T645" s="1"/>
      <c r="V645" s="11"/>
      <c r="W645" s="12"/>
      <c r="X645" s="12"/>
      <c r="Y645" s="11"/>
      <c r="Z645" s="11"/>
      <c r="AA645" s="11"/>
    </row>
    <row r="646" spans="1:27" ht="13" x14ac:dyDescent="0.15">
      <c r="A646" s="7"/>
      <c r="G646" s="8"/>
      <c r="H646" s="8"/>
      <c r="I646" s="8"/>
      <c r="M646" s="8"/>
      <c r="R646" s="10" t="str">
        <f ca="1">IFERROR(__xludf.DUMMYFUNCTION("JOIN("","", SORT(UNIQUE(TOCOL({VLOOKUP(D646,DM_fish!A:B,2,FALSE),VLOOKUP(C646,DM_fish!A:B,2,FALSE), ARRAYFORMULA(VLOOKUP(SPLIT(E646, "", ""),Injections!B:G,6,FALSE)), ARRAYFORMULA(VLOOKUP(SPLIT(F646, "", ""),Injections!H:M,6,FALSE)), ARRAYFORMULA(VLOOKUP("&amp;"SPLIT(G646, "", ""),Injections!N:S,6,FALSE)), ARRAYFORMULA(VLOOKUP(SPLIT(H646, "", ""),Injections!T:Y,6,FALSE)) },3))))"),"")</f>
        <v/>
      </c>
      <c r="S646" s="10"/>
      <c r="T646" s="1"/>
      <c r="V646" s="11"/>
      <c r="W646" s="12"/>
      <c r="X646" s="12"/>
      <c r="Y646" s="11"/>
      <c r="Z646" s="11"/>
      <c r="AA646" s="11"/>
    </row>
    <row r="647" spans="1:27" ht="13" x14ac:dyDescent="0.15">
      <c r="A647" s="7"/>
      <c r="G647" s="8"/>
      <c r="H647" s="8"/>
      <c r="I647" s="8"/>
      <c r="M647" s="8"/>
      <c r="R647" s="10" t="str">
        <f ca="1">IFERROR(__xludf.DUMMYFUNCTION("JOIN("","", SORT(UNIQUE(TOCOL({VLOOKUP(D647,DM_fish!A:B,2,FALSE),VLOOKUP(C647,DM_fish!A:B,2,FALSE), ARRAYFORMULA(VLOOKUP(SPLIT(E647, "", ""),Injections!B:G,6,FALSE)), ARRAYFORMULA(VLOOKUP(SPLIT(F647, "", ""),Injections!H:M,6,FALSE)), ARRAYFORMULA(VLOOKUP("&amp;"SPLIT(G647, "", ""),Injections!N:S,6,FALSE)), ARRAYFORMULA(VLOOKUP(SPLIT(H647, "", ""),Injections!T:Y,6,FALSE)) },3))))"),"")</f>
        <v/>
      </c>
      <c r="S647" s="10"/>
      <c r="T647" s="1"/>
      <c r="V647" s="11"/>
      <c r="W647" s="12"/>
      <c r="X647" s="12"/>
      <c r="Y647" s="11"/>
      <c r="Z647" s="11"/>
      <c r="AA647" s="11"/>
    </row>
    <row r="648" spans="1:27" ht="13" x14ac:dyDescent="0.15">
      <c r="A648" s="7"/>
      <c r="G648" s="8"/>
      <c r="H648" s="8"/>
      <c r="I648" s="8"/>
      <c r="M648" s="8"/>
      <c r="R648" s="10" t="str">
        <f ca="1">IFERROR(__xludf.DUMMYFUNCTION("JOIN("","", SORT(UNIQUE(TOCOL({VLOOKUP(D648,DM_fish!A:B,2,FALSE),VLOOKUP(C648,DM_fish!A:B,2,FALSE), ARRAYFORMULA(VLOOKUP(SPLIT(E648, "", ""),Injections!B:G,6,FALSE)), ARRAYFORMULA(VLOOKUP(SPLIT(F648, "", ""),Injections!H:M,6,FALSE)), ARRAYFORMULA(VLOOKUP("&amp;"SPLIT(G648, "", ""),Injections!N:S,6,FALSE)), ARRAYFORMULA(VLOOKUP(SPLIT(H648, "", ""),Injections!T:Y,6,FALSE)) },3))))"),"")</f>
        <v/>
      </c>
      <c r="S648" s="10"/>
      <c r="T648" s="1"/>
      <c r="V648" s="11"/>
      <c r="W648" s="12"/>
      <c r="X648" s="12"/>
      <c r="Y648" s="11"/>
      <c r="Z648" s="11"/>
      <c r="AA648" s="11"/>
    </row>
    <row r="649" spans="1:27" ht="13" x14ac:dyDescent="0.15">
      <c r="A649" s="7"/>
      <c r="G649" s="8"/>
      <c r="H649" s="8"/>
      <c r="I649" s="8"/>
      <c r="M649" s="8"/>
      <c r="R649" s="10" t="str">
        <f ca="1">IFERROR(__xludf.DUMMYFUNCTION("JOIN("","", SORT(UNIQUE(TOCOL({VLOOKUP(D649,DM_fish!A:B,2,FALSE),VLOOKUP(C649,DM_fish!A:B,2,FALSE), ARRAYFORMULA(VLOOKUP(SPLIT(E649, "", ""),Injections!B:G,6,FALSE)), ARRAYFORMULA(VLOOKUP(SPLIT(F649, "", ""),Injections!H:M,6,FALSE)), ARRAYFORMULA(VLOOKUP("&amp;"SPLIT(G649, "", ""),Injections!N:S,6,FALSE)), ARRAYFORMULA(VLOOKUP(SPLIT(H649, "", ""),Injections!T:Y,6,FALSE)) },3))))"),"")</f>
        <v/>
      </c>
      <c r="S649" s="10"/>
      <c r="T649" s="1"/>
      <c r="V649" s="11"/>
      <c r="W649" s="12"/>
      <c r="X649" s="12"/>
      <c r="Y649" s="11"/>
      <c r="Z649" s="11"/>
      <c r="AA649" s="11"/>
    </row>
    <row r="650" spans="1:27" ht="13" x14ac:dyDescent="0.15">
      <c r="A650" s="7"/>
      <c r="G650" s="8"/>
      <c r="H650" s="8"/>
      <c r="I650" s="8"/>
      <c r="M650" s="8"/>
      <c r="R650" s="10" t="str">
        <f ca="1">IFERROR(__xludf.DUMMYFUNCTION("JOIN("","", SORT(UNIQUE(TOCOL({VLOOKUP(D650,DM_fish!A:B,2,FALSE),VLOOKUP(C650,DM_fish!A:B,2,FALSE), ARRAYFORMULA(VLOOKUP(SPLIT(E650, "", ""),Injections!B:G,6,FALSE)), ARRAYFORMULA(VLOOKUP(SPLIT(F650, "", ""),Injections!H:M,6,FALSE)), ARRAYFORMULA(VLOOKUP("&amp;"SPLIT(G650, "", ""),Injections!N:S,6,FALSE)), ARRAYFORMULA(VLOOKUP(SPLIT(H650, "", ""),Injections!T:Y,6,FALSE)) },3))))"),"")</f>
        <v/>
      </c>
      <c r="S650" s="10"/>
      <c r="T650" s="1"/>
      <c r="V650" s="11"/>
      <c r="W650" s="12"/>
      <c r="X650" s="12"/>
      <c r="Y650" s="11"/>
      <c r="Z650" s="11"/>
      <c r="AA650" s="11"/>
    </row>
    <row r="651" spans="1:27" ht="13" x14ac:dyDescent="0.15">
      <c r="A651" s="7"/>
      <c r="G651" s="8"/>
      <c r="H651" s="8"/>
      <c r="I651" s="8"/>
      <c r="M651" s="8"/>
      <c r="R651" s="10" t="str">
        <f ca="1">IFERROR(__xludf.DUMMYFUNCTION("JOIN("","", SORT(UNIQUE(TOCOL({VLOOKUP(D651,DM_fish!A:B,2,FALSE),VLOOKUP(C651,DM_fish!A:B,2,FALSE), ARRAYFORMULA(VLOOKUP(SPLIT(E651, "", ""),Injections!B:G,6,FALSE)), ARRAYFORMULA(VLOOKUP(SPLIT(F651, "", ""),Injections!H:M,6,FALSE)), ARRAYFORMULA(VLOOKUP("&amp;"SPLIT(G651, "", ""),Injections!N:S,6,FALSE)), ARRAYFORMULA(VLOOKUP(SPLIT(H651, "", ""),Injections!T:Y,6,FALSE)) },3))))"),"")</f>
        <v/>
      </c>
      <c r="S651" s="10"/>
      <c r="T651" s="1"/>
      <c r="V651" s="11"/>
      <c r="W651" s="12"/>
      <c r="X651" s="12"/>
      <c r="Y651" s="11"/>
      <c r="Z651" s="11"/>
      <c r="AA651" s="11"/>
    </row>
    <row r="652" spans="1:27" ht="13" x14ac:dyDescent="0.15">
      <c r="A652" s="7"/>
      <c r="G652" s="8"/>
      <c r="H652" s="8"/>
      <c r="I652" s="8"/>
      <c r="M652" s="8"/>
      <c r="R652" s="10" t="str">
        <f ca="1">IFERROR(__xludf.DUMMYFUNCTION("JOIN("","", SORT(UNIQUE(TOCOL({VLOOKUP(D652,DM_fish!A:B,2,FALSE),VLOOKUP(C652,DM_fish!A:B,2,FALSE), ARRAYFORMULA(VLOOKUP(SPLIT(E652, "", ""),Injections!B:G,6,FALSE)), ARRAYFORMULA(VLOOKUP(SPLIT(F652, "", ""),Injections!H:M,6,FALSE)), ARRAYFORMULA(VLOOKUP("&amp;"SPLIT(G652, "", ""),Injections!N:S,6,FALSE)), ARRAYFORMULA(VLOOKUP(SPLIT(H652, "", ""),Injections!T:Y,6,FALSE)) },3))))"),"")</f>
        <v/>
      </c>
      <c r="S652" s="10"/>
      <c r="T652" s="1"/>
      <c r="V652" s="11"/>
      <c r="W652" s="12"/>
      <c r="X652" s="12"/>
      <c r="Y652" s="11"/>
      <c r="Z652" s="11"/>
      <c r="AA652" s="11"/>
    </row>
    <row r="653" spans="1:27" ht="13" x14ac:dyDescent="0.15">
      <c r="A653" s="7"/>
      <c r="G653" s="8"/>
      <c r="H653" s="8"/>
      <c r="I653" s="8"/>
      <c r="M653" s="8"/>
      <c r="R653" s="10" t="str">
        <f ca="1">IFERROR(__xludf.DUMMYFUNCTION("JOIN("","", SORT(UNIQUE(TOCOL({VLOOKUP(D653,DM_fish!A:B,2,FALSE),VLOOKUP(C653,DM_fish!A:B,2,FALSE), ARRAYFORMULA(VLOOKUP(SPLIT(E653, "", ""),Injections!B:G,6,FALSE)), ARRAYFORMULA(VLOOKUP(SPLIT(F653, "", ""),Injections!H:M,6,FALSE)), ARRAYFORMULA(VLOOKUP("&amp;"SPLIT(G653, "", ""),Injections!N:S,6,FALSE)), ARRAYFORMULA(VLOOKUP(SPLIT(H653, "", ""),Injections!T:Y,6,FALSE)) },3))))"),"")</f>
        <v/>
      </c>
      <c r="S653" s="10"/>
      <c r="T653" s="1"/>
      <c r="V653" s="11"/>
      <c r="W653" s="12"/>
      <c r="X653" s="12"/>
      <c r="Y653" s="11"/>
      <c r="Z653" s="11"/>
      <c r="AA653" s="11"/>
    </row>
    <row r="654" spans="1:27" ht="13" x14ac:dyDescent="0.15">
      <c r="A654" s="7"/>
      <c r="G654" s="8"/>
      <c r="H654" s="8"/>
      <c r="I654" s="8"/>
      <c r="M654" s="8"/>
      <c r="R654" s="10" t="str">
        <f ca="1">IFERROR(__xludf.DUMMYFUNCTION("JOIN("","", SORT(UNIQUE(TOCOL({VLOOKUP(D654,DM_fish!A:B,2,FALSE),VLOOKUP(C654,DM_fish!A:B,2,FALSE), ARRAYFORMULA(VLOOKUP(SPLIT(E654, "", ""),Injections!B:G,6,FALSE)), ARRAYFORMULA(VLOOKUP(SPLIT(F654, "", ""),Injections!H:M,6,FALSE)), ARRAYFORMULA(VLOOKUP("&amp;"SPLIT(G654, "", ""),Injections!N:S,6,FALSE)), ARRAYFORMULA(VLOOKUP(SPLIT(H654, "", ""),Injections!T:Y,6,FALSE)) },3))))"),"")</f>
        <v/>
      </c>
      <c r="S654" s="10"/>
      <c r="T654" s="1"/>
      <c r="V654" s="11"/>
      <c r="W654" s="12"/>
      <c r="X654" s="12"/>
      <c r="Y654" s="11"/>
      <c r="Z654" s="11"/>
      <c r="AA654" s="11"/>
    </row>
    <row r="655" spans="1:27" ht="13" x14ac:dyDescent="0.15">
      <c r="A655" s="7"/>
      <c r="G655" s="8"/>
      <c r="H655" s="8"/>
      <c r="I655" s="8"/>
      <c r="M655" s="8"/>
      <c r="R655" s="10" t="str">
        <f ca="1">IFERROR(__xludf.DUMMYFUNCTION("JOIN("","", SORT(UNIQUE(TOCOL({VLOOKUP(D655,DM_fish!A:B,2,FALSE),VLOOKUP(C655,DM_fish!A:B,2,FALSE), ARRAYFORMULA(VLOOKUP(SPLIT(E655, "", ""),Injections!B:G,6,FALSE)), ARRAYFORMULA(VLOOKUP(SPLIT(F655, "", ""),Injections!H:M,6,FALSE)), ARRAYFORMULA(VLOOKUP("&amp;"SPLIT(G655, "", ""),Injections!N:S,6,FALSE)), ARRAYFORMULA(VLOOKUP(SPLIT(H655, "", ""),Injections!T:Y,6,FALSE)) },3))))"),"")</f>
        <v/>
      </c>
      <c r="S655" s="10"/>
      <c r="T655" s="1"/>
      <c r="V655" s="11"/>
      <c r="W655" s="12"/>
      <c r="X655" s="12"/>
      <c r="Y655" s="11"/>
      <c r="Z655" s="11"/>
      <c r="AA655" s="11"/>
    </row>
    <row r="656" spans="1:27" ht="13" x14ac:dyDescent="0.15">
      <c r="A656" s="7"/>
      <c r="G656" s="8"/>
      <c r="H656" s="8"/>
      <c r="I656" s="8"/>
      <c r="M656" s="8"/>
      <c r="R656" s="10" t="str">
        <f ca="1">IFERROR(__xludf.DUMMYFUNCTION("JOIN("","", SORT(UNIQUE(TOCOL({VLOOKUP(D656,DM_fish!A:B,2,FALSE),VLOOKUP(C656,DM_fish!A:B,2,FALSE), ARRAYFORMULA(VLOOKUP(SPLIT(E656, "", ""),Injections!B:G,6,FALSE)), ARRAYFORMULA(VLOOKUP(SPLIT(F656, "", ""),Injections!H:M,6,FALSE)), ARRAYFORMULA(VLOOKUP("&amp;"SPLIT(G656, "", ""),Injections!N:S,6,FALSE)), ARRAYFORMULA(VLOOKUP(SPLIT(H656, "", ""),Injections!T:Y,6,FALSE)) },3))))"),"")</f>
        <v/>
      </c>
      <c r="S656" s="10"/>
      <c r="T656" s="1"/>
      <c r="V656" s="11"/>
      <c r="W656" s="12"/>
      <c r="X656" s="12"/>
      <c r="Y656" s="11"/>
      <c r="Z656" s="11"/>
      <c r="AA656" s="11"/>
    </row>
    <row r="657" spans="1:27" ht="13" x14ac:dyDescent="0.15">
      <c r="A657" s="7"/>
      <c r="G657" s="8"/>
      <c r="H657" s="8"/>
      <c r="I657" s="8"/>
      <c r="M657" s="8"/>
      <c r="R657" s="10" t="str">
        <f ca="1">IFERROR(__xludf.DUMMYFUNCTION("JOIN("","", SORT(UNIQUE(TOCOL({VLOOKUP(D657,DM_fish!A:B,2,FALSE),VLOOKUP(C657,DM_fish!A:B,2,FALSE), ARRAYFORMULA(VLOOKUP(SPLIT(E657, "", ""),Injections!B:G,6,FALSE)), ARRAYFORMULA(VLOOKUP(SPLIT(F657, "", ""),Injections!H:M,6,FALSE)), ARRAYFORMULA(VLOOKUP("&amp;"SPLIT(G657, "", ""),Injections!N:S,6,FALSE)), ARRAYFORMULA(VLOOKUP(SPLIT(H657, "", ""),Injections!T:Y,6,FALSE)) },3))))"),"")</f>
        <v/>
      </c>
      <c r="S657" s="10"/>
      <c r="T657" s="1"/>
      <c r="V657" s="11"/>
      <c r="W657" s="12"/>
      <c r="X657" s="12"/>
      <c r="Y657" s="11"/>
      <c r="Z657" s="11"/>
      <c r="AA657" s="11"/>
    </row>
    <row r="658" spans="1:27" ht="13" x14ac:dyDescent="0.15">
      <c r="A658" s="7"/>
      <c r="G658" s="8"/>
      <c r="H658" s="8"/>
      <c r="I658" s="8"/>
      <c r="M658" s="8"/>
      <c r="R658" s="10" t="str">
        <f ca="1">IFERROR(__xludf.DUMMYFUNCTION("JOIN("","", SORT(UNIQUE(TOCOL({VLOOKUP(D658,DM_fish!A:B,2,FALSE),VLOOKUP(C658,DM_fish!A:B,2,FALSE), ARRAYFORMULA(VLOOKUP(SPLIT(E658, "", ""),Injections!B:G,6,FALSE)), ARRAYFORMULA(VLOOKUP(SPLIT(F658, "", ""),Injections!H:M,6,FALSE)), ARRAYFORMULA(VLOOKUP("&amp;"SPLIT(G658, "", ""),Injections!N:S,6,FALSE)), ARRAYFORMULA(VLOOKUP(SPLIT(H658, "", ""),Injections!T:Y,6,FALSE)) },3))))"),"")</f>
        <v/>
      </c>
      <c r="S658" s="10"/>
      <c r="T658" s="1"/>
      <c r="V658" s="11"/>
      <c r="W658" s="12"/>
      <c r="X658" s="12"/>
      <c r="Y658" s="11"/>
      <c r="Z658" s="11"/>
      <c r="AA658" s="11"/>
    </row>
    <row r="659" spans="1:27" ht="13" x14ac:dyDescent="0.15">
      <c r="A659" s="7"/>
      <c r="G659" s="8"/>
      <c r="H659" s="8"/>
      <c r="I659" s="8"/>
      <c r="M659" s="8"/>
      <c r="R659" s="10" t="str">
        <f ca="1">IFERROR(__xludf.DUMMYFUNCTION("JOIN("","", SORT(UNIQUE(TOCOL({VLOOKUP(D659,DM_fish!A:B,2,FALSE),VLOOKUP(C659,DM_fish!A:B,2,FALSE), ARRAYFORMULA(VLOOKUP(SPLIT(E659, "", ""),Injections!B:G,6,FALSE)), ARRAYFORMULA(VLOOKUP(SPLIT(F659, "", ""),Injections!H:M,6,FALSE)), ARRAYFORMULA(VLOOKUP("&amp;"SPLIT(G659, "", ""),Injections!N:S,6,FALSE)), ARRAYFORMULA(VLOOKUP(SPLIT(H659, "", ""),Injections!T:Y,6,FALSE)) },3))))"),"")</f>
        <v/>
      </c>
      <c r="S659" s="10"/>
      <c r="T659" s="1"/>
      <c r="V659" s="11"/>
      <c r="W659" s="12"/>
      <c r="X659" s="12"/>
      <c r="Y659" s="11"/>
      <c r="Z659" s="11"/>
      <c r="AA659" s="11"/>
    </row>
    <row r="660" spans="1:27" ht="13" x14ac:dyDescent="0.15">
      <c r="A660" s="7"/>
      <c r="G660" s="8"/>
      <c r="H660" s="8"/>
      <c r="I660" s="8"/>
      <c r="M660" s="8"/>
      <c r="R660" s="10" t="str">
        <f ca="1">IFERROR(__xludf.DUMMYFUNCTION("JOIN("","", SORT(UNIQUE(TOCOL({VLOOKUP(D660,DM_fish!A:B,2,FALSE),VLOOKUP(C660,DM_fish!A:B,2,FALSE), ARRAYFORMULA(VLOOKUP(SPLIT(E660, "", ""),Injections!B:G,6,FALSE)), ARRAYFORMULA(VLOOKUP(SPLIT(F660, "", ""),Injections!H:M,6,FALSE)), ARRAYFORMULA(VLOOKUP("&amp;"SPLIT(G660, "", ""),Injections!N:S,6,FALSE)), ARRAYFORMULA(VLOOKUP(SPLIT(H660, "", ""),Injections!T:Y,6,FALSE)) },3))))"),"")</f>
        <v/>
      </c>
      <c r="S660" s="10"/>
      <c r="T660" s="1"/>
      <c r="V660" s="11"/>
      <c r="W660" s="12"/>
      <c r="X660" s="12"/>
      <c r="Y660" s="11"/>
      <c r="Z660" s="11"/>
      <c r="AA660" s="11"/>
    </row>
    <row r="661" spans="1:27" ht="13" x14ac:dyDescent="0.15">
      <c r="A661" s="7"/>
      <c r="G661" s="8"/>
      <c r="H661" s="8"/>
      <c r="I661" s="8"/>
      <c r="M661" s="8"/>
      <c r="R661" s="10" t="str">
        <f ca="1">IFERROR(__xludf.DUMMYFUNCTION("JOIN("","", SORT(UNIQUE(TOCOL({VLOOKUP(D661,DM_fish!A:B,2,FALSE),VLOOKUP(C661,DM_fish!A:B,2,FALSE), ARRAYFORMULA(VLOOKUP(SPLIT(E661, "", ""),Injections!B:G,6,FALSE)), ARRAYFORMULA(VLOOKUP(SPLIT(F661, "", ""),Injections!H:M,6,FALSE)), ARRAYFORMULA(VLOOKUP("&amp;"SPLIT(G661, "", ""),Injections!N:S,6,FALSE)), ARRAYFORMULA(VLOOKUP(SPLIT(H661, "", ""),Injections!T:Y,6,FALSE)) },3))))"),"")</f>
        <v/>
      </c>
      <c r="S661" s="10"/>
      <c r="T661" s="1"/>
      <c r="V661" s="11"/>
      <c r="W661" s="12"/>
      <c r="X661" s="12"/>
      <c r="Y661" s="11"/>
      <c r="Z661" s="11"/>
      <c r="AA661" s="11"/>
    </row>
    <row r="662" spans="1:27" ht="13" x14ac:dyDescent="0.15">
      <c r="A662" s="7"/>
      <c r="G662" s="8"/>
      <c r="H662" s="8"/>
      <c r="I662" s="8"/>
      <c r="M662" s="8"/>
      <c r="R662" s="10" t="str">
        <f ca="1">IFERROR(__xludf.DUMMYFUNCTION("JOIN("","", SORT(UNIQUE(TOCOL({VLOOKUP(D662,DM_fish!A:B,2,FALSE),VLOOKUP(C662,DM_fish!A:B,2,FALSE), ARRAYFORMULA(VLOOKUP(SPLIT(E662, "", ""),Injections!B:G,6,FALSE)), ARRAYFORMULA(VLOOKUP(SPLIT(F662, "", ""),Injections!H:M,6,FALSE)), ARRAYFORMULA(VLOOKUP("&amp;"SPLIT(G662, "", ""),Injections!N:S,6,FALSE)), ARRAYFORMULA(VLOOKUP(SPLIT(H662, "", ""),Injections!T:Y,6,FALSE)) },3))))"),"")</f>
        <v/>
      </c>
      <c r="S662" s="10"/>
      <c r="T662" s="1"/>
      <c r="V662" s="11"/>
      <c r="W662" s="12"/>
      <c r="X662" s="12"/>
      <c r="Y662" s="11"/>
      <c r="Z662" s="11"/>
      <c r="AA662" s="11"/>
    </row>
    <row r="663" spans="1:27" ht="13" x14ac:dyDescent="0.15">
      <c r="A663" s="7"/>
      <c r="G663" s="8"/>
      <c r="H663" s="8"/>
      <c r="I663" s="8"/>
      <c r="M663" s="8"/>
      <c r="R663" s="10" t="str">
        <f ca="1">IFERROR(__xludf.DUMMYFUNCTION("JOIN("","", SORT(UNIQUE(TOCOL({VLOOKUP(D663,DM_fish!A:B,2,FALSE),VLOOKUP(C663,DM_fish!A:B,2,FALSE), ARRAYFORMULA(VLOOKUP(SPLIT(E663, "", ""),Injections!B:G,6,FALSE)), ARRAYFORMULA(VLOOKUP(SPLIT(F663, "", ""),Injections!H:M,6,FALSE)), ARRAYFORMULA(VLOOKUP("&amp;"SPLIT(G663, "", ""),Injections!N:S,6,FALSE)), ARRAYFORMULA(VLOOKUP(SPLIT(H663, "", ""),Injections!T:Y,6,FALSE)) },3))))"),"")</f>
        <v/>
      </c>
      <c r="S663" s="10"/>
      <c r="T663" s="1"/>
      <c r="V663" s="11"/>
      <c r="W663" s="12"/>
      <c r="X663" s="12"/>
      <c r="Y663" s="11"/>
      <c r="Z663" s="11"/>
      <c r="AA663" s="11"/>
    </row>
    <row r="664" spans="1:27" ht="13" x14ac:dyDescent="0.15">
      <c r="A664" s="7"/>
      <c r="G664" s="8"/>
      <c r="H664" s="8"/>
      <c r="I664" s="8"/>
      <c r="M664" s="8"/>
      <c r="R664" s="10" t="str">
        <f ca="1">IFERROR(__xludf.DUMMYFUNCTION("JOIN("","", SORT(UNIQUE(TOCOL({VLOOKUP(D664,DM_fish!A:B,2,FALSE),VLOOKUP(C664,DM_fish!A:B,2,FALSE), ARRAYFORMULA(VLOOKUP(SPLIT(E664, "", ""),Injections!B:G,6,FALSE)), ARRAYFORMULA(VLOOKUP(SPLIT(F664, "", ""),Injections!H:M,6,FALSE)), ARRAYFORMULA(VLOOKUP("&amp;"SPLIT(G664, "", ""),Injections!N:S,6,FALSE)), ARRAYFORMULA(VLOOKUP(SPLIT(H664, "", ""),Injections!T:Y,6,FALSE)) },3))))"),"")</f>
        <v/>
      </c>
      <c r="S664" s="10"/>
      <c r="T664" s="1"/>
      <c r="V664" s="11"/>
      <c r="W664" s="12"/>
      <c r="X664" s="12"/>
      <c r="Y664" s="11"/>
      <c r="Z664" s="11"/>
      <c r="AA664" s="11"/>
    </row>
    <row r="665" spans="1:27" ht="13" x14ac:dyDescent="0.15">
      <c r="A665" s="7"/>
      <c r="G665" s="8"/>
      <c r="H665" s="8"/>
      <c r="I665" s="8"/>
      <c r="M665" s="8"/>
      <c r="R665" s="10" t="str">
        <f ca="1">IFERROR(__xludf.DUMMYFUNCTION("JOIN("","", SORT(UNIQUE(TOCOL({VLOOKUP(D665,DM_fish!A:B,2,FALSE),VLOOKUP(C665,DM_fish!A:B,2,FALSE), ARRAYFORMULA(VLOOKUP(SPLIT(E665, "", ""),Injections!B:G,6,FALSE)), ARRAYFORMULA(VLOOKUP(SPLIT(F665, "", ""),Injections!H:M,6,FALSE)), ARRAYFORMULA(VLOOKUP("&amp;"SPLIT(G665, "", ""),Injections!N:S,6,FALSE)), ARRAYFORMULA(VLOOKUP(SPLIT(H665, "", ""),Injections!T:Y,6,FALSE)) },3))))"),"")</f>
        <v/>
      </c>
      <c r="S665" s="10"/>
      <c r="T665" s="1"/>
      <c r="V665" s="11"/>
      <c r="W665" s="12"/>
      <c r="X665" s="12"/>
      <c r="Y665" s="11"/>
      <c r="Z665" s="11"/>
      <c r="AA665" s="11"/>
    </row>
    <row r="666" spans="1:27" ht="13" x14ac:dyDescent="0.15">
      <c r="A666" s="7"/>
      <c r="G666" s="8"/>
      <c r="H666" s="8"/>
      <c r="I666" s="8"/>
      <c r="M666" s="8"/>
      <c r="R666" s="10" t="str">
        <f ca="1">IFERROR(__xludf.DUMMYFUNCTION("JOIN("","", SORT(UNIQUE(TOCOL({VLOOKUP(D666,DM_fish!A:B,2,FALSE),VLOOKUP(C666,DM_fish!A:B,2,FALSE), ARRAYFORMULA(VLOOKUP(SPLIT(E666, "", ""),Injections!B:G,6,FALSE)), ARRAYFORMULA(VLOOKUP(SPLIT(F666, "", ""),Injections!H:M,6,FALSE)), ARRAYFORMULA(VLOOKUP("&amp;"SPLIT(G666, "", ""),Injections!N:S,6,FALSE)), ARRAYFORMULA(VLOOKUP(SPLIT(H666, "", ""),Injections!T:Y,6,FALSE)) },3))))"),"")</f>
        <v/>
      </c>
      <c r="S666" s="10"/>
      <c r="T666" s="1"/>
      <c r="V666" s="11"/>
      <c r="W666" s="12"/>
      <c r="X666" s="12"/>
      <c r="Y666" s="11"/>
      <c r="Z666" s="11"/>
      <c r="AA666" s="11"/>
    </row>
    <row r="667" spans="1:27" ht="13" x14ac:dyDescent="0.15">
      <c r="A667" s="7"/>
      <c r="G667" s="8"/>
      <c r="H667" s="8"/>
      <c r="I667" s="8"/>
      <c r="M667" s="8"/>
      <c r="R667" s="10" t="str">
        <f ca="1">IFERROR(__xludf.DUMMYFUNCTION("JOIN("","", SORT(UNIQUE(TOCOL({VLOOKUP(D667,DM_fish!A:B,2,FALSE),VLOOKUP(C667,DM_fish!A:B,2,FALSE), ARRAYFORMULA(VLOOKUP(SPLIT(E667, "", ""),Injections!B:G,6,FALSE)), ARRAYFORMULA(VLOOKUP(SPLIT(F667, "", ""),Injections!H:M,6,FALSE)), ARRAYFORMULA(VLOOKUP("&amp;"SPLIT(G667, "", ""),Injections!N:S,6,FALSE)), ARRAYFORMULA(VLOOKUP(SPLIT(H667, "", ""),Injections!T:Y,6,FALSE)) },3))))"),"")</f>
        <v/>
      </c>
      <c r="S667" s="10"/>
      <c r="T667" s="1"/>
      <c r="V667" s="11"/>
      <c r="W667" s="12"/>
      <c r="X667" s="12"/>
      <c r="Y667" s="11"/>
      <c r="Z667" s="11"/>
      <c r="AA667" s="11"/>
    </row>
    <row r="668" spans="1:27" ht="13" x14ac:dyDescent="0.15">
      <c r="A668" s="7"/>
      <c r="G668" s="8"/>
      <c r="H668" s="8"/>
      <c r="I668" s="8"/>
      <c r="M668" s="8"/>
      <c r="R668" s="10" t="str">
        <f ca="1">IFERROR(__xludf.DUMMYFUNCTION("JOIN("","", SORT(UNIQUE(TOCOL({VLOOKUP(D668,DM_fish!A:B,2,FALSE),VLOOKUP(C668,DM_fish!A:B,2,FALSE), ARRAYFORMULA(VLOOKUP(SPLIT(E668, "", ""),Injections!B:G,6,FALSE)), ARRAYFORMULA(VLOOKUP(SPLIT(F668, "", ""),Injections!H:M,6,FALSE)), ARRAYFORMULA(VLOOKUP("&amp;"SPLIT(G668, "", ""),Injections!N:S,6,FALSE)), ARRAYFORMULA(VLOOKUP(SPLIT(H668, "", ""),Injections!T:Y,6,FALSE)) },3))))"),"")</f>
        <v/>
      </c>
      <c r="S668" s="10"/>
      <c r="T668" s="1"/>
      <c r="V668" s="11"/>
      <c r="W668" s="12"/>
      <c r="X668" s="12"/>
      <c r="Y668" s="11"/>
      <c r="Z668" s="11"/>
      <c r="AA668" s="11"/>
    </row>
    <row r="669" spans="1:27" ht="13" x14ac:dyDescent="0.15">
      <c r="A669" s="7"/>
      <c r="G669" s="8"/>
      <c r="H669" s="8"/>
      <c r="I669" s="8"/>
      <c r="M669" s="8"/>
      <c r="R669" s="10" t="str">
        <f ca="1">IFERROR(__xludf.DUMMYFUNCTION("JOIN("","", SORT(UNIQUE(TOCOL({VLOOKUP(D669,DM_fish!A:B,2,FALSE),VLOOKUP(C669,DM_fish!A:B,2,FALSE), ARRAYFORMULA(VLOOKUP(SPLIT(E669, "", ""),Injections!B:G,6,FALSE)), ARRAYFORMULA(VLOOKUP(SPLIT(F669, "", ""),Injections!H:M,6,FALSE)), ARRAYFORMULA(VLOOKUP("&amp;"SPLIT(G669, "", ""),Injections!N:S,6,FALSE)), ARRAYFORMULA(VLOOKUP(SPLIT(H669, "", ""),Injections!T:Y,6,FALSE)) },3))))"),"")</f>
        <v/>
      </c>
      <c r="S669" s="10"/>
      <c r="T669" s="1"/>
      <c r="V669" s="11"/>
      <c r="W669" s="12"/>
      <c r="X669" s="12"/>
      <c r="Y669" s="11"/>
      <c r="Z669" s="11"/>
      <c r="AA669" s="11"/>
    </row>
    <row r="670" spans="1:27" ht="13" x14ac:dyDescent="0.15">
      <c r="A670" s="7"/>
      <c r="G670" s="8"/>
      <c r="H670" s="8"/>
      <c r="I670" s="8"/>
      <c r="M670" s="8"/>
      <c r="R670" s="10" t="str">
        <f ca="1">IFERROR(__xludf.DUMMYFUNCTION("JOIN("","", SORT(UNIQUE(TOCOL({VLOOKUP(D670,DM_fish!A:B,2,FALSE),VLOOKUP(C670,DM_fish!A:B,2,FALSE), ARRAYFORMULA(VLOOKUP(SPLIT(E670, "", ""),Injections!B:G,6,FALSE)), ARRAYFORMULA(VLOOKUP(SPLIT(F670, "", ""),Injections!H:M,6,FALSE)), ARRAYFORMULA(VLOOKUP("&amp;"SPLIT(G670, "", ""),Injections!N:S,6,FALSE)), ARRAYFORMULA(VLOOKUP(SPLIT(H670, "", ""),Injections!T:Y,6,FALSE)) },3))))"),"")</f>
        <v/>
      </c>
      <c r="S670" s="10"/>
      <c r="T670" s="1"/>
      <c r="V670" s="11"/>
      <c r="W670" s="12"/>
      <c r="X670" s="12"/>
      <c r="Y670" s="11"/>
      <c r="Z670" s="11"/>
      <c r="AA670" s="11"/>
    </row>
    <row r="671" spans="1:27" ht="13" x14ac:dyDescent="0.15">
      <c r="A671" s="7"/>
      <c r="G671" s="8"/>
      <c r="H671" s="8"/>
      <c r="I671" s="8"/>
      <c r="M671" s="8"/>
      <c r="R671" s="10" t="str">
        <f ca="1">IFERROR(__xludf.DUMMYFUNCTION("JOIN("","", SORT(UNIQUE(TOCOL({VLOOKUP(D671,DM_fish!A:B,2,FALSE),VLOOKUP(C671,DM_fish!A:B,2,FALSE), ARRAYFORMULA(VLOOKUP(SPLIT(E671, "", ""),Injections!B:G,6,FALSE)), ARRAYFORMULA(VLOOKUP(SPLIT(F671, "", ""),Injections!H:M,6,FALSE)), ARRAYFORMULA(VLOOKUP("&amp;"SPLIT(G671, "", ""),Injections!N:S,6,FALSE)), ARRAYFORMULA(VLOOKUP(SPLIT(H671, "", ""),Injections!T:Y,6,FALSE)) },3))))"),"")</f>
        <v/>
      </c>
      <c r="S671" s="10"/>
      <c r="T671" s="1"/>
      <c r="V671" s="11"/>
      <c r="W671" s="12"/>
      <c r="X671" s="12"/>
      <c r="Y671" s="11"/>
      <c r="Z671" s="11"/>
      <c r="AA671" s="11"/>
    </row>
    <row r="672" spans="1:27" ht="13" x14ac:dyDescent="0.15">
      <c r="A672" s="7"/>
      <c r="G672" s="8"/>
      <c r="H672" s="8"/>
      <c r="I672" s="8"/>
      <c r="M672" s="8"/>
      <c r="R672" s="10" t="str">
        <f ca="1">IFERROR(__xludf.DUMMYFUNCTION("JOIN("","", SORT(UNIQUE(TOCOL({VLOOKUP(D672,DM_fish!A:B,2,FALSE),VLOOKUP(C672,DM_fish!A:B,2,FALSE), ARRAYFORMULA(VLOOKUP(SPLIT(E672, "", ""),Injections!B:G,6,FALSE)), ARRAYFORMULA(VLOOKUP(SPLIT(F672, "", ""),Injections!H:M,6,FALSE)), ARRAYFORMULA(VLOOKUP("&amp;"SPLIT(G672, "", ""),Injections!N:S,6,FALSE)), ARRAYFORMULA(VLOOKUP(SPLIT(H672, "", ""),Injections!T:Y,6,FALSE)) },3))))"),"")</f>
        <v/>
      </c>
      <c r="S672" s="10"/>
      <c r="T672" s="1"/>
      <c r="V672" s="11"/>
      <c r="W672" s="12"/>
      <c r="X672" s="12"/>
      <c r="Y672" s="11"/>
      <c r="Z672" s="11"/>
      <c r="AA672" s="11"/>
    </row>
    <row r="673" spans="1:27" ht="13" x14ac:dyDescent="0.15">
      <c r="A673" s="7"/>
      <c r="G673" s="8"/>
      <c r="H673" s="8"/>
      <c r="I673" s="8"/>
      <c r="M673" s="8"/>
      <c r="R673" s="10" t="str">
        <f ca="1">IFERROR(__xludf.DUMMYFUNCTION("JOIN("","", SORT(UNIQUE(TOCOL({VLOOKUP(D673,DM_fish!A:B,2,FALSE),VLOOKUP(C673,DM_fish!A:B,2,FALSE), ARRAYFORMULA(VLOOKUP(SPLIT(E673, "", ""),Injections!B:G,6,FALSE)), ARRAYFORMULA(VLOOKUP(SPLIT(F673, "", ""),Injections!H:M,6,FALSE)), ARRAYFORMULA(VLOOKUP("&amp;"SPLIT(G673, "", ""),Injections!N:S,6,FALSE)), ARRAYFORMULA(VLOOKUP(SPLIT(H673, "", ""),Injections!T:Y,6,FALSE)) },3))))"),"")</f>
        <v/>
      </c>
      <c r="S673" s="10"/>
      <c r="T673" s="1"/>
      <c r="V673" s="11"/>
      <c r="W673" s="12"/>
      <c r="X673" s="12"/>
      <c r="Y673" s="11"/>
      <c r="Z673" s="11"/>
      <c r="AA673" s="11"/>
    </row>
    <row r="674" spans="1:27" ht="13" x14ac:dyDescent="0.15">
      <c r="A674" s="7"/>
      <c r="G674" s="8"/>
      <c r="H674" s="8"/>
      <c r="I674" s="8"/>
      <c r="M674" s="8"/>
      <c r="R674" s="10" t="str">
        <f ca="1">IFERROR(__xludf.DUMMYFUNCTION("JOIN("","", SORT(UNIQUE(TOCOL({VLOOKUP(D674,DM_fish!A:B,2,FALSE),VLOOKUP(C674,DM_fish!A:B,2,FALSE), ARRAYFORMULA(VLOOKUP(SPLIT(E674, "", ""),Injections!B:G,6,FALSE)), ARRAYFORMULA(VLOOKUP(SPLIT(F674, "", ""),Injections!H:M,6,FALSE)), ARRAYFORMULA(VLOOKUP("&amp;"SPLIT(G674, "", ""),Injections!N:S,6,FALSE)), ARRAYFORMULA(VLOOKUP(SPLIT(H674, "", ""),Injections!T:Y,6,FALSE)) },3))))"),"")</f>
        <v/>
      </c>
      <c r="S674" s="10"/>
      <c r="T674" s="1"/>
      <c r="V674" s="11"/>
      <c r="W674" s="12"/>
      <c r="X674" s="12"/>
      <c r="Y674" s="11"/>
      <c r="Z674" s="11"/>
      <c r="AA674" s="11"/>
    </row>
    <row r="675" spans="1:27" ht="13" x14ac:dyDescent="0.15">
      <c r="A675" s="7"/>
      <c r="G675" s="8"/>
      <c r="H675" s="8"/>
      <c r="I675" s="8"/>
      <c r="M675" s="8"/>
      <c r="R675" s="10" t="str">
        <f ca="1">IFERROR(__xludf.DUMMYFUNCTION("JOIN("","", SORT(UNIQUE(TOCOL({VLOOKUP(D675,DM_fish!A:B,2,FALSE),VLOOKUP(C675,DM_fish!A:B,2,FALSE), ARRAYFORMULA(VLOOKUP(SPLIT(E675, "", ""),Injections!B:G,6,FALSE)), ARRAYFORMULA(VLOOKUP(SPLIT(F675, "", ""),Injections!H:M,6,FALSE)), ARRAYFORMULA(VLOOKUP("&amp;"SPLIT(G675, "", ""),Injections!N:S,6,FALSE)), ARRAYFORMULA(VLOOKUP(SPLIT(H675, "", ""),Injections!T:Y,6,FALSE)) },3))))"),"")</f>
        <v/>
      </c>
      <c r="S675" s="10"/>
      <c r="T675" s="1"/>
      <c r="V675" s="11"/>
      <c r="W675" s="12"/>
      <c r="X675" s="12"/>
      <c r="Y675" s="11"/>
      <c r="Z675" s="11"/>
      <c r="AA675" s="11"/>
    </row>
    <row r="676" spans="1:27" ht="13" x14ac:dyDescent="0.15">
      <c r="A676" s="7"/>
      <c r="G676" s="8"/>
      <c r="H676" s="8"/>
      <c r="I676" s="8"/>
      <c r="M676" s="8"/>
      <c r="R676" s="10" t="str">
        <f ca="1">IFERROR(__xludf.DUMMYFUNCTION("JOIN("","", SORT(UNIQUE(TOCOL({VLOOKUP(D676,DM_fish!A:B,2,FALSE),VLOOKUP(C676,DM_fish!A:B,2,FALSE), ARRAYFORMULA(VLOOKUP(SPLIT(E676, "", ""),Injections!B:G,6,FALSE)), ARRAYFORMULA(VLOOKUP(SPLIT(F676, "", ""),Injections!H:M,6,FALSE)), ARRAYFORMULA(VLOOKUP("&amp;"SPLIT(G676, "", ""),Injections!N:S,6,FALSE)), ARRAYFORMULA(VLOOKUP(SPLIT(H676, "", ""),Injections!T:Y,6,FALSE)) },3))))"),"")</f>
        <v/>
      </c>
      <c r="S676" s="10"/>
      <c r="T676" s="1"/>
      <c r="V676" s="11"/>
      <c r="W676" s="12"/>
      <c r="X676" s="12"/>
      <c r="Y676" s="11"/>
      <c r="Z676" s="11"/>
      <c r="AA676" s="11"/>
    </row>
    <row r="677" spans="1:27" ht="13" x14ac:dyDescent="0.15">
      <c r="A677" s="7"/>
      <c r="G677" s="8"/>
      <c r="H677" s="8"/>
      <c r="I677" s="8"/>
      <c r="M677" s="8"/>
      <c r="R677" s="10" t="str">
        <f ca="1">IFERROR(__xludf.DUMMYFUNCTION("JOIN("","", SORT(UNIQUE(TOCOL({VLOOKUP(D677,DM_fish!A:B,2,FALSE),VLOOKUP(C677,DM_fish!A:B,2,FALSE), ARRAYFORMULA(VLOOKUP(SPLIT(E677, "", ""),Injections!B:G,6,FALSE)), ARRAYFORMULA(VLOOKUP(SPLIT(F677, "", ""),Injections!H:M,6,FALSE)), ARRAYFORMULA(VLOOKUP("&amp;"SPLIT(G677, "", ""),Injections!N:S,6,FALSE)), ARRAYFORMULA(VLOOKUP(SPLIT(H677, "", ""),Injections!T:Y,6,FALSE)) },3))))"),"")</f>
        <v/>
      </c>
      <c r="S677" s="10"/>
      <c r="T677" s="1"/>
      <c r="V677" s="11"/>
      <c r="W677" s="12"/>
      <c r="X677" s="12"/>
      <c r="Y677" s="11"/>
      <c r="Z677" s="11"/>
      <c r="AA677" s="11"/>
    </row>
    <row r="678" spans="1:27" ht="13" x14ac:dyDescent="0.15">
      <c r="A678" s="7"/>
      <c r="G678" s="8"/>
      <c r="H678" s="8"/>
      <c r="I678" s="8"/>
      <c r="M678" s="8"/>
      <c r="R678" s="10" t="str">
        <f ca="1">IFERROR(__xludf.DUMMYFUNCTION("JOIN("","", SORT(UNIQUE(TOCOL({VLOOKUP(D678,DM_fish!A:B,2,FALSE),VLOOKUP(C678,DM_fish!A:B,2,FALSE), ARRAYFORMULA(VLOOKUP(SPLIT(E678, "", ""),Injections!B:G,6,FALSE)), ARRAYFORMULA(VLOOKUP(SPLIT(F678, "", ""),Injections!H:M,6,FALSE)), ARRAYFORMULA(VLOOKUP("&amp;"SPLIT(G678, "", ""),Injections!N:S,6,FALSE)), ARRAYFORMULA(VLOOKUP(SPLIT(H678, "", ""),Injections!T:Y,6,FALSE)) },3))))"),"")</f>
        <v/>
      </c>
      <c r="S678" s="10"/>
      <c r="T678" s="1"/>
      <c r="V678" s="11"/>
      <c r="W678" s="12"/>
      <c r="X678" s="12"/>
      <c r="Y678" s="11"/>
      <c r="Z678" s="11"/>
      <c r="AA678" s="11"/>
    </row>
    <row r="679" spans="1:27" ht="13" x14ac:dyDescent="0.15">
      <c r="A679" s="7"/>
      <c r="G679" s="8"/>
      <c r="H679" s="8"/>
      <c r="I679" s="8"/>
      <c r="M679" s="8"/>
      <c r="R679" s="10" t="str">
        <f ca="1">IFERROR(__xludf.DUMMYFUNCTION("JOIN("","", SORT(UNIQUE(TOCOL({VLOOKUP(D679,DM_fish!A:B,2,FALSE),VLOOKUP(C679,DM_fish!A:B,2,FALSE), ARRAYFORMULA(VLOOKUP(SPLIT(E679, "", ""),Injections!B:G,6,FALSE)), ARRAYFORMULA(VLOOKUP(SPLIT(F679, "", ""),Injections!H:M,6,FALSE)), ARRAYFORMULA(VLOOKUP("&amp;"SPLIT(G679, "", ""),Injections!N:S,6,FALSE)), ARRAYFORMULA(VLOOKUP(SPLIT(H679, "", ""),Injections!T:Y,6,FALSE)) },3))))"),"")</f>
        <v/>
      </c>
      <c r="S679" s="10"/>
      <c r="T679" s="1"/>
      <c r="V679" s="11"/>
      <c r="W679" s="12"/>
      <c r="X679" s="12"/>
      <c r="Y679" s="11"/>
      <c r="Z679" s="11"/>
      <c r="AA679" s="11"/>
    </row>
    <row r="680" spans="1:27" ht="13" x14ac:dyDescent="0.15">
      <c r="A680" s="7"/>
      <c r="G680" s="8"/>
      <c r="H680" s="8"/>
      <c r="I680" s="8"/>
      <c r="M680" s="8"/>
      <c r="R680" s="10" t="str">
        <f ca="1">IFERROR(__xludf.DUMMYFUNCTION("JOIN("","", SORT(UNIQUE(TOCOL({VLOOKUP(D680,DM_fish!A:B,2,FALSE),VLOOKUP(C680,DM_fish!A:B,2,FALSE), ARRAYFORMULA(VLOOKUP(SPLIT(E680, "", ""),Injections!B:G,6,FALSE)), ARRAYFORMULA(VLOOKUP(SPLIT(F680, "", ""),Injections!H:M,6,FALSE)), ARRAYFORMULA(VLOOKUP("&amp;"SPLIT(G680, "", ""),Injections!N:S,6,FALSE)), ARRAYFORMULA(VLOOKUP(SPLIT(H680, "", ""),Injections!T:Y,6,FALSE)) },3))))"),"")</f>
        <v/>
      </c>
      <c r="S680" s="10"/>
      <c r="T680" s="1"/>
      <c r="V680" s="11"/>
      <c r="W680" s="12"/>
      <c r="X680" s="12"/>
      <c r="Y680" s="11"/>
      <c r="Z680" s="11"/>
      <c r="AA680" s="11"/>
    </row>
    <row r="681" spans="1:27" ht="13" x14ac:dyDescent="0.15">
      <c r="A681" s="7"/>
      <c r="G681" s="8"/>
      <c r="H681" s="8"/>
      <c r="I681" s="8"/>
      <c r="M681" s="8"/>
      <c r="R681" s="10" t="str">
        <f ca="1">IFERROR(__xludf.DUMMYFUNCTION("JOIN("","", SORT(UNIQUE(TOCOL({VLOOKUP(D681,DM_fish!A:B,2,FALSE),VLOOKUP(C681,DM_fish!A:B,2,FALSE), ARRAYFORMULA(VLOOKUP(SPLIT(E681, "", ""),Injections!B:G,6,FALSE)), ARRAYFORMULA(VLOOKUP(SPLIT(F681, "", ""),Injections!H:M,6,FALSE)), ARRAYFORMULA(VLOOKUP("&amp;"SPLIT(G681, "", ""),Injections!N:S,6,FALSE)), ARRAYFORMULA(VLOOKUP(SPLIT(H681, "", ""),Injections!T:Y,6,FALSE)) },3))))"),"")</f>
        <v/>
      </c>
      <c r="S681" s="10"/>
      <c r="T681" s="1"/>
      <c r="V681" s="11"/>
      <c r="W681" s="12"/>
      <c r="X681" s="12"/>
      <c r="Y681" s="11"/>
      <c r="Z681" s="11"/>
      <c r="AA681" s="11"/>
    </row>
    <row r="682" spans="1:27" ht="13" x14ac:dyDescent="0.15">
      <c r="A682" s="7"/>
      <c r="G682" s="8"/>
      <c r="H682" s="8"/>
      <c r="I682" s="8"/>
      <c r="M682" s="8"/>
      <c r="R682" s="10" t="str">
        <f ca="1">IFERROR(__xludf.DUMMYFUNCTION("JOIN("","", SORT(UNIQUE(TOCOL({VLOOKUP(D682,DM_fish!A:B,2,FALSE),VLOOKUP(C682,DM_fish!A:B,2,FALSE), ARRAYFORMULA(VLOOKUP(SPLIT(E682, "", ""),Injections!B:G,6,FALSE)), ARRAYFORMULA(VLOOKUP(SPLIT(F682, "", ""),Injections!H:M,6,FALSE)), ARRAYFORMULA(VLOOKUP("&amp;"SPLIT(G682, "", ""),Injections!N:S,6,FALSE)), ARRAYFORMULA(VLOOKUP(SPLIT(H682, "", ""),Injections!T:Y,6,FALSE)) },3))))"),"")</f>
        <v/>
      </c>
      <c r="S682" s="10"/>
      <c r="T682" s="1"/>
      <c r="V682" s="11"/>
      <c r="W682" s="12"/>
      <c r="X682" s="12"/>
      <c r="Y682" s="11"/>
      <c r="Z682" s="11"/>
      <c r="AA682" s="11"/>
    </row>
    <row r="683" spans="1:27" ht="13" x14ac:dyDescent="0.15">
      <c r="A683" s="7"/>
      <c r="G683" s="8"/>
      <c r="H683" s="8"/>
      <c r="I683" s="8"/>
      <c r="M683" s="8"/>
      <c r="R683" s="10" t="str">
        <f ca="1">IFERROR(__xludf.DUMMYFUNCTION("JOIN("","", SORT(UNIQUE(TOCOL({VLOOKUP(D683,DM_fish!A:B,2,FALSE),VLOOKUP(C683,DM_fish!A:B,2,FALSE), ARRAYFORMULA(VLOOKUP(SPLIT(E683, "", ""),Injections!B:G,6,FALSE)), ARRAYFORMULA(VLOOKUP(SPLIT(F683, "", ""),Injections!H:M,6,FALSE)), ARRAYFORMULA(VLOOKUP("&amp;"SPLIT(G683, "", ""),Injections!N:S,6,FALSE)), ARRAYFORMULA(VLOOKUP(SPLIT(H683, "", ""),Injections!T:Y,6,FALSE)) },3))))"),"")</f>
        <v/>
      </c>
      <c r="S683" s="10"/>
      <c r="T683" s="1"/>
      <c r="V683" s="11"/>
      <c r="W683" s="12"/>
      <c r="X683" s="12"/>
      <c r="Y683" s="11"/>
      <c r="Z683" s="11"/>
      <c r="AA683" s="11"/>
    </row>
    <row r="684" spans="1:27" ht="13" x14ac:dyDescent="0.15">
      <c r="A684" s="7"/>
      <c r="G684" s="8"/>
      <c r="H684" s="8"/>
      <c r="I684" s="8"/>
      <c r="M684" s="8"/>
      <c r="R684" s="10" t="str">
        <f ca="1">IFERROR(__xludf.DUMMYFUNCTION("JOIN("","", SORT(UNIQUE(TOCOL({VLOOKUP(D684,DM_fish!A:B,2,FALSE),VLOOKUP(C684,DM_fish!A:B,2,FALSE), ARRAYFORMULA(VLOOKUP(SPLIT(E684, "", ""),Injections!B:G,6,FALSE)), ARRAYFORMULA(VLOOKUP(SPLIT(F684, "", ""),Injections!H:M,6,FALSE)), ARRAYFORMULA(VLOOKUP("&amp;"SPLIT(G684, "", ""),Injections!N:S,6,FALSE)), ARRAYFORMULA(VLOOKUP(SPLIT(H684, "", ""),Injections!T:Y,6,FALSE)) },3))))"),"")</f>
        <v/>
      </c>
      <c r="S684" s="10"/>
      <c r="T684" s="1"/>
      <c r="V684" s="11"/>
      <c r="W684" s="12"/>
      <c r="X684" s="12"/>
      <c r="Y684" s="11"/>
      <c r="Z684" s="11"/>
      <c r="AA684" s="11"/>
    </row>
    <row r="685" spans="1:27" ht="13" x14ac:dyDescent="0.15">
      <c r="A685" s="7"/>
      <c r="G685" s="8"/>
      <c r="H685" s="8"/>
      <c r="I685" s="8"/>
      <c r="M685" s="8"/>
      <c r="R685" s="10" t="str">
        <f ca="1">IFERROR(__xludf.DUMMYFUNCTION("JOIN("","", SORT(UNIQUE(TOCOL({VLOOKUP(D685,DM_fish!A:B,2,FALSE),VLOOKUP(C685,DM_fish!A:B,2,FALSE), ARRAYFORMULA(VLOOKUP(SPLIT(E685, "", ""),Injections!B:G,6,FALSE)), ARRAYFORMULA(VLOOKUP(SPLIT(F685, "", ""),Injections!H:M,6,FALSE)), ARRAYFORMULA(VLOOKUP("&amp;"SPLIT(G685, "", ""),Injections!N:S,6,FALSE)), ARRAYFORMULA(VLOOKUP(SPLIT(H685, "", ""),Injections!T:Y,6,FALSE)) },3))))"),"")</f>
        <v/>
      </c>
      <c r="S685" s="10"/>
      <c r="T685" s="1"/>
      <c r="V685" s="11"/>
      <c r="W685" s="12"/>
      <c r="X685" s="12"/>
      <c r="Y685" s="11"/>
      <c r="Z685" s="11"/>
      <c r="AA685" s="11"/>
    </row>
    <row r="686" spans="1:27" ht="13" x14ac:dyDescent="0.15">
      <c r="A686" s="7"/>
      <c r="G686" s="8"/>
      <c r="H686" s="8"/>
      <c r="I686" s="8"/>
      <c r="M686" s="8"/>
      <c r="R686" s="10" t="str">
        <f ca="1">IFERROR(__xludf.DUMMYFUNCTION("JOIN("","", SORT(UNIQUE(TOCOL({VLOOKUP(D686,DM_fish!A:B,2,FALSE),VLOOKUP(C686,DM_fish!A:B,2,FALSE), ARRAYFORMULA(VLOOKUP(SPLIT(E686, "", ""),Injections!B:G,6,FALSE)), ARRAYFORMULA(VLOOKUP(SPLIT(F686, "", ""),Injections!H:M,6,FALSE)), ARRAYFORMULA(VLOOKUP("&amp;"SPLIT(G686, "", ""),Injections!N:S,6,FALSE)), ARRAYFORMULA(VLOOKUP(SPLIT(H686, "", ""),Injections!T:Y,6,FALSE)) },3))))"),"")</f>
        <v/>
      </c>
      <c r="S686" s="10"/>
      <c r="T686" s="1"/>
      <c r="V686" s="11"/>
      <c r="W686" s="12"/>
      <c r="X686" s="12"/>
      <c r="Y686" s="11"/>
      <c r="Z686" s="11"/>
      <c r="AA686" s="11"/>
    </row>
    <row r="687" spans="1:27" ht="13" x14ac:dyDescent="0.15">
      <c r="A687" s="7"/>
      <c r="G687" s="8"/>
      <c r="H687" s="8"/>
      <c r="I687" s="8"/>
      <c r="M687" s="8"/>
      <c r="R687" s="10" t="str">
        <f ca="1">IFERROR(__xludf.DUMMYFUNCTION("JOIN("","", SORT(UNIQUE(TOCOL({VLOOKUP(D687,DM_fish!A:B,2,FALSE),VLOOKUP(C687,DM_fish!A:B,2,FALSE), ARRAYFORMULA(VLOOKUP(SPLIT(E687, "", ""),Injections!B:G,6,FALSE)), ARRAYFORMULA(VLOOKUP(SPLIT(F687, "", ""),Injections!H:M,6,FALSE)), ARRAYFORMULA(VLOOKUP("&amp;"SPLIT(G687, "", ""),Injections!N:S,6,FALSE)), ARRAYFORMULA(VLOOKUP(SPLIT(H687, "", ""),Injections!T:Y,6,FALSE)) },3))))"),"")</f>
        <v/>
      </c>
      <c r="S687" s="10"/>
      <c r="T687" s="1"/>
      <c r="V687" s="11"/>
      <c r="W687" s="12"/>
      <c r="X687" s="12"/>
      <c r="Y687" s="11"/>
      <c r="Z687" s="11"/>
      <c r="AA687" s="11"/>
    </row>
    <row r="688" spans="1:27" ht="13" x14ac:dyDescent="0.15">
      <c r="A688" s="7"/>
      <c r="G688" s="8"/>
      <c r="H688" s="8"/>
      <c r="I688" s="8"/>
      <c r="M688" s="8"/>
      <c r="R688" s="10" t="str">
        <f ca="1">IFERROR(__xludf.DUMMYFUNCTION("JOIN("","", SORT(UNIQUE(TOCOL({VLOOKUP(D688,DM_fish!A:B,2,FALSE),VLOOKUP(C688,DM_fish!A:B,2,FALSE), ARRAYFORMULA(VLOOKUP(SPLIT(E688, "", ""),Injections!B:G,6,FALSE)), ARRAYFORMULA(VLOOKUP(SPLIT(F688, "", ""),Injections!H:M,6,FALSE)), ARRAYFORMULA(VLOOKUP("&amp;"SPLIT(G688, "", ""),Injections!N:S,6,FALSE)), ARRAYFORMULA(VLOOKUP(SPLIT(H688, "", ""),Injections!T:Y,6,FALSE)) },3))))"),"")</f>
        <v/>
      </c>
      <c r="S688" s="10"/>
      <c r="T688" s="1"/>
      <c r="V688" s="11"/>
      <c r="W688" s="12"/>
      <c r="X688" s="12"/>
      <c r="Y688" s="11"/>
      <c r="Z688" s="11"/>
      <c r="AA688" s="11"/>
    </row>
    <row r="689" spans="1:27" ht="13" x14ac:dyDescent="0.15">
      <c r="A689" s="7"/>
      <c r="G689" s="8"/>
      <c r="H689" s="8"/>
      <c r="I689" s="8"/>
      <c r="M689" s="8"/>
      <c r="R689" s="10" t="str">
        <f ca="1">IFERROR(__xludf.DUMMYFUNCTION("JOIN("","", SORT(UNIQUE(TOCOL({VLOOKUP(D689,DM_fish!A:B,2,FALSE),VLOOKUP(C689,DM_fish!A:B,2,FALSE), ARRAYFORMULA(VLOOKUP(SPLIT(E689, "", ""),Injections!B:G,6,FALSE)), ARRAYFORMULA(VLOOKUP(SPLIT(F689, "", ""),Injections!H:M,6,FALSE)), ARRAYFORMULA(VLOOKUP("&amp;"SPLIT(G689, "", ""),Injections!N:S,6,FALSE)), ARRAYFORMULA(VLOOKUP(SPLIT(H689, "", ""),Injections!T:Y,6,FALSE)) },3))))"),"")</f>
        <v/>
      </c>
      <c r="S689" s="10"/>
      <c r="T689" s="1"/>
      <c r="V689" s="11"/>
      <c r="W689" s="12"/>
      <c r="X689" s="12"/>
      <c r="Y689" s="11"/>
      <c r="Z689" s="11"/>
      <c r="AA689" s="11"/>
    </row>
    <row r="690" spans="1:27" ht="13" x14ac:dyDescent="0.15">
      <c r="A690" s="7"/>
      <c r="G690" s="8"/>
      <c r="H690" s="8"/>
      <c r="I690" s="8"/>
      <c r="M690" s="8"/>
      <c r="R690" s="10" t="str">
        <f ca="1">IFERROR(__xludf.DUMMYFUNCTION("JOIN("","", SORT(UNIQUE(TOCOL({VLOOKUP(D690,DM_fish!A:B,2,FALSE),VLOOKUP(C690,DM_fish!A:B,2,FALSE), ARRAYFORMULA(VLOOKUP(SPLIT(E690, "", ""),Injections!B:G,6,FALSE)), ARRAYFORMULA(VLOOKUP(SPLIT(F690, "", ""),Injections!H:M,6,FALSE)), ARRAYFORMULA(VLOOKUP("&amp;"SPLIT(G690, "", ""),Injections!N:S,6,FALSE)), ARRAYFORMULA(VLOOKUP(SPLIT(H690, "", ""),Injections!T:Y,6,FALSE)) },3))))"),"")</f>
        <v/>
      </c>
      <c r="S690" s="10"/>
      <c r="T690" s="1"/>
      <c r="V690" s="11"/>
      <c r="W690" s="12"/>
      <c r="X690" s="12"/>
      <c r="Y690" s="11"/>
      <c r="Z690" s="11"/>
      <c r="AA690" s="11"/>
    </row>
    <row r="691" spans="1:27" ht="13" x14ac:dyDescent="0.15">
      <c r="A691" s="7"/>
      <c r="G691" s="8"/>
      <c r="H691" s="8"/>
      <c r="I691" s="8"/>
      <c r="M691" s="8"/>
      <c r="R691" s="10" t="str">
        <f ca="1">IFERROR(__xludf.DUMMYFUNCTION("JOIN("","", SORT(UNIQUE(TOCOL({VLOOKUP(D691,DM_fish!A:B,2,FALSE),VLOOKUP(C691,DM_fish!A:B,2,FALSE), ARRAYFORMULA(VLOOKUP(SPLIT(E691, "", ""),Injections!B:G,6,FALSE)), ARRAYFORMULA(VLOOKUP(SPLIT(F691, "", ""),Injections!H:M,6,FALSE)), ARRAYFORMULA(VLOOKUP("&amp;"SPLIT(G691, "", ""),Injections!N:S,6,FALSE)), ARRAYFORMULA(VLOOKUP(SPLIT(H691, "", ""),Injections!T:Y,6,FALSE)) },3))))"),"")</f>
        <v/>
      </c>
      <c r="S691" s="10"/>
      <c r="T691" s="1"/>
      <c r="V691" s="11"/>
      <c r="W691" s="12"/>
      <c r="X691" s="12"/>
      <c r="Y691" s="11"/>
      <c r="Z691" s="11"/>
      <c r="AA691" s="11"/>
    </row>
    <row r="692" spans="1:27" ht="13" x14ac:dyDescent="0.15">
      <c r="A692" s="7"/>
      <c r="G692" s="8"/>
      <c r="H692" s="8"/>
      <c r="I692" s="8"/>
      <c r="M692" s="8"/>
      <c r="R692" s="10" t="str">
        <f ca="1">IFERROR(__xludf.DUMMYFUNCTION("JOIN("","", SORT(UNIQUE(TOCOL({VLOOKUP(D692,DM_fish!A:B,2,FALSE),VLOOKUP(C692,DM_fish!A:B,2,FALSE), ARRAYFORMULA(VLOOKUP(SPLIT(E692, "", ""),Injections!B:G,6,FALSE)), ARRAYFORMULA(VLOOKUP(SPLIT(F692, "", ""),Injections!H:M,6,FALSE)), ARRAYFORMULA(VLOOKUP("&amp;"SPLIT(G692, "", ""),Injections!N:S,6,FALSE)), ARRAYFORMULA(VLOOKUP(SPLIT(H692, "", ""),Injections!T:Y,6,FALSE)) },3))))"),"")</f>
        <v/>
      </c>
      <c r="S692" s="10"/>
      <c r="T692" s="1"/>
      <c r="V692" s="11"/>
      <c r="W692" s="12"/>
      <c r="X692" s="12"/>
      <c r="Y692" s="11"/>
      <c r="Z692" s="11"/>
      <c r="AA692" s="11"/>
    </row>
    <row r="693" spans="1:27" ht="13" x14ac:dyDescent="0.15">
      <c r="A693" s="7"/>
      <c r="G693" s="8"/>
      <c r="H693" s="8"/>
      <c r="I693" s="8"/>
      <c r="M693" s="8"/>
      <c r="R693" s="10" t="str">
        <f ca="1">IFERROR(__xludf.DUMMYFUNCTION("JOIN("","", SORT(UNIQUE(TOCOL({VLOOKUP(D693,DM_fish!A:B,2,FALSE),VLOOKUP(C693,DM_fish!A:B,2,FALSE), ARRAYFORMULA(VLOOKUP(SPLIT(E693, "", ""),Injections!B:G,6,FALSE)), ARRAYFORMULA(VLOOKUP(SPLIT(F693, "", ""),Injections!H:M,6,FALSE)), ARRAYFORMULA(VLOOKUP("&amp;"SPLIT(G693, "", ""),Injections!N:S,6,FALSE)), ARRAYFORMULA(VLOOKUP(SPLIT(H693, "", ""),Injections!T:Y,6,FALSE)) },3))))"),"")</f>
        <v/>
      </c>
      <c r="S693" s="10"/>
      <c r="T693" s="1"/>
      <c r="V693" s="11"/>
      <c r="W693" s="12"/>
      <c r="X693" s="12"/>
      <c r="Y693" s="11"/>
      <c r="Z693" s="11"/>
      <c r="AA693" s="11"/>
    </row>
    <row r="694" spans="1:27" ht="13" x14ac:dyDescent="0.15">
      <c r="A694" s="7"/>
      <c r="G694" s="8"/>
      <c r="H694" s="8"/>
      <c r="I694" s="8"/>
      <c r="M694" s="8"/>
      <c r="R694" s="10" t="str">
        <f ca="1">IFERROR(__xludf.DUMMYFUNCTION("JOIN("","", SORT(UNIQUE(TOCOL({VLOOKUP(D694,DM_fish!A:B,2,FALSE),VLOOKUP(C694,DM_fish!A:B,2,FALSE), ARRAYFORMULA(VLOOKUP(SPLIT(E694, "", ""),Injections!B:G,6,FALSE)), ARRAYFORMULA(VLOOKUP(SPLIT(F694, "", ""),Injections!H:M,6,FALSE)), ARRAYFORMULA(VLOOKUP("&amp;"SPLIT(G694, "", ""),Injections!N:S,6,FALSE)), ARRAYFORMULA(VLOOKUP(SPLIT(H694, "", ""),Injections!T:Y,6,FALSE)) },3))))"),"")</f>
        <v/>
      </c>
      <c r="S694" s="10"/>
      <c r="T694" s="1"/>
      <c r="V694" s="11"/>
      <c r="W694" s="12"/>
      <c r="X694" s="12"/>
      <c r="Y694" s="11"/>
      <c r="Z694" s="11"/>
      <c r="AA694" s="11"/>
    </row>
    <row r="695" spans="1:27" ht="13" x14ac:dyDescent="0.15">
      <c r="A695" s="7"/>
      <c r="G695" s="8"/>
      <c r="H695" s="8"/>
      <c r="I695" s="8"/>
      <c r="M695" s="8"/>
      <c r="R695" s="10" t="str">
        <f ca="1">IFERROR(__xludf.DUMMYFUNCTION("JOIN("","", SORT(UNIQUE(TOCOL({VLOOKUP(D695,DM_fish!A:B,2,FALSE),VLOOKUP(C695,DM_fish!A:B,2,FALSE), ARRAYFORMULA(VLOOKUP(SPLIT(E695, "", ""),Injections!B:G,6,FALSE)), ARRAYFORMULA(VLOOKUP(SPLIT(F695, "", ""),Injections!H:M,6,FALSE)), ARRAYFORMULA(VLOOKUP("&amp;"SPLIT(G695, "", ""),Injections!N:S,6,FALSE)), ARRAYFORMULA(VLOOKUP(SPLIT(H695, "", ""),Injections!T:Y,6,FALSE)) },3))))"),"")</f>
        <v/>
      </c>
      <c r="S695" s="10"/>
      <c r="T695" s="1"/>
      <c r="V695" s="11"/>
      <c r="W695" s="12"/>
      <c r="X695" s="12"/>
      <c r="Y695" s="11"/>
      <c r="Z695" s="11"/>
      <c r="AA695" s="11"/>
    </row>
    <row r="696" spans="1:27" ht="13" x14ac:dyDescent="0.15">
      <c r="A696" s="7"/>
      <c r="G696" s="8"/>
      <c r="H696" s="8"/>
      <c r="I696" s="8"/>
      <c r="M696" s="8"/>
      <c r="R696" s="10" t="str">
        <f ca="1">IFERROR(__xludf.DUMMYFUNCTION("JOIN("","", SORT(UNIQUE(TOCOL({VLOOKUP(D696,DM_fish!A:B,2,FALSE),VLOOKUP(C696,DM_fish!A:B,2,FALSE), ARRAYFORMULA(VLOOKUP(SPLIT(E696, "", ""),Injections!B:G,6,FALSE)), ARRAYFORMULA(VLOOKUP(SPLIT(F696, "", ""),Injections!H:M,6,FALSE)), ARRAYFORMULA(VLOOKUP("&amp;"SPLIT(G696, "", ""),Injections!N:S,6,FALSE)), ARRAYFORMULA(VLOOKUP(SPLIT(H696, "", ""),Injections!T:Y,6,FALSE)) },3))))"),"")</f>
        <v/>
      </c>
      <c r="S696" s="10"/>
      <c r="T696" s="1"/>
      <c r="V696" s="11"/>
      <c r="W696" s="12"/>
      <c r="X696" s="12"/>
      <c r="Y696" s="11"/>
      <c r="Z696" s="11"/>
      <c r="AA696" s="11"/>
    </row>
    <row r="697" spans="1:27" ht="13" x14ac:dyDescent="0.15">
      <c r="A697" s="7"/>
      <c r="G697" s="8"/>
      <c r="H697" s="8"/>
      <c r="I697" s="8"/>
      <c r="M697" s="8"/>
      <c r="R697" s="10" t="str">
        <f ca="1">IFERROR(__xludf.DUMMYFUNCTION("JOIN("","", SORT(UNIQUE(TOCOL({VLOOKUP(D697,DM_fish!A:B,2,FALSE),VLOOKUP(C697,DM_fish!A:B,2,FALSE), ARRAYFORMULA(VLOOKUP(SPLIT(E697, "", ""),Injections!B:G,6,FALSE)), ARRAYFORMULA(VLOOKUP(SPLIT(F697, "", ""),Injections!H:M,6,FALSE)), ARRAYFORMULA(VLOOKUP("&amp;"SPLIT(G697, "", ""),Injections!N:S,6,FALSE)), ARRAYFORMULA(VLOOKUP(SPLIT(H697, "", ""),Injections!T:Y,6,FALSE)) },3))))"),"")</f>
        <v/>
      </c>
      <c r="S697" s="10"/>
      <c r="T697" s="1"/>
      <c r="V697" s="11"/>
      <c r="W697" s="12"/>
      <c r="X697" s="12"/>
      <c r="Y697" s="11"/>
      <c r="Z697" s="11"/>
      <c r="AA697" s="11"/>
    </row>
    <row r="698" spans="1:27" ht="13" x14ac:dyDescent="0.15">
      <c r="A698" s="7"/>
      <c r="G698" s="8"/>
      <c r="H698" s="8"/>
      <c r="I698" s="8"/>
      <c r="M698" s="8"/>
      <c r="R698" s="10" t="str">
        <f ca="1">IFERROR(__xludf.DUMMYFUNCTION("JOIN("","", SORT(UNIQUE(TOCOL({VLOOKUP(D698,DM_fish!A:B,2,FALSE),VLOOKUP(C698,DM_fish!A:B,2,FALSE), ARRAYFORMULA(VLOOKUP(SPLIT(E698, "", ""),Injections!B:G,6,FALSE)), ARRAYFORMULA(VLOOKUP(SPLIT(F698, "", ""),Injections!H:M,6,FALSE)), ARRAYFORMULA(VLOOKUP("&amp;"SPLIT(G698, "", ""),Injections!N:S,6,FALSE)), ARRAYFORMULA(VLOOKUP(SPLIT(H698, "", ""),Injections!T:Y,6,FALSE)) },3))))"),"")</f>
        <v/>
      </c>
      <c r="S698" s="10"/>
      <c r="T698" s="1"/>
      <c r="V698" s="11"/>
      <c r="W698" s="12"/>
      <c r="X698" s="12"/>
      <c r="Y698" s="11"/>
      <c r="Z698" s="11"/>
      <c r="AA698" s="11"/>
    </row>
    <row r="699" spans="1:27" ht="13" x14ac:dyDescent="0.15">
      <c r="A699" s="7"/>
      <c r="G699" s="8"/>
      <c r="H699" s="8"/>
      <c r="I699" s="8"/>
      <c r="M699" s="8"/>
      <c r="R699" s="10" t="str">
        <f ca="1">IFERROR(__xludf.DUMMYFUNCTION("JOIN("","", SORT(UNIQUE(TOCOL({VLOOKUP(D699,DM_fish!A:B,2,FALSE),VLOOKUP(C699,DM_fish!A:B,2,FALSE), ARRAYFORMULA(VLOOKUP(SPLIT(E699, "", ""),Injections!B:G,6,FALSE)), ARRAYFORMULA(VLOOKUP(SPLIT(F699, "", ""),Injections!H:M,6,FALSE)), ARRAYFORMULA(VLOOKUP("&amp;"SPLIT(G699, "", ""),Injections!N:S,6,FALSE)), ARRAYFORMULA(VLOOKUP(SPLIT(H699, "", ""),Injections!T:Y,6,FALSE)) },3))))"),"")</f>
        <v/>
      </c>
      <c r="S699" s="10"/>
      <c r="T699" s="1"/>
      <c r="V699" s="11"/>
      <c r="W699" s="12"/>
      <c r="X699" s="12"/>
      <c r="Y699" s="11"/>
      <c r="Z699" s="11"/>
      <c r="AA699" s="11"/>
    </row>
    <row r="700" spans="1:27" ht="13" x14ac:dyDescent="0.15">
      <c r="A700" s="7"/>
      <c r="G700" s="8"/>
      <c r="H700" s="8"/>
      <c r="I700" s="8"/>
      <c r="M700" s="8"/>
      <c r="R700" s="10" t="str">
        <f ca="1">IFERROR(__xludf.DUMMYFUNCTION("JOIN("","", SORT(UNIQUE(TOCOL({VLOOKUP(D700,DM_fish!A:B,2,FALSE),VLOOKUP(C700,DM_fish!A:B,2,FALSE), ARRAYFORMULA(VLOOKUP(SPLIT(E700, "", ""),Injections!B:G,6,FALSE)), ARRAYFORMULA(VLOOKUP(SPLIT(F700, "", ""),Injections!H:M,6,FALSE)), ARRAYFORMULA(VLOOKUP("&amp;"SPLIT(G700, "", ""),Injections!N:S,6,FALSE)), ARRAYFORMULA(VLOOKUP(SPLIT(H700, "", ""),Injections!T:Y,6,FALSE)) },3))))"),"")</f>
        <v/>
      </c>
      <c r="S700" s="10"/>
      <c r="T700" s="1"/>
      <c r="V700" s="11"/>
      <c r="W700" s="12"/>
      <c r="X700" s="12"/>
      <c r="Y700" s="11"/>
      <c r="Z700" s="11"/>
      <c r="AA700" s="11"/>
    </row>
    <row r="701" spans="1:27" ht="13" x14ac:dyDescent="0.15">
      <c r="A701" s="7"/>
      <c r="G701" s="8"/>
      <c r="H701" s="8"/>
      <c r="I701" s="8"/>
      <c r="M701" s="8"/>
      <c r="R701" s="10" t="str">
        <f ca="1">IFERROR(__xludf.DUMMYFUNCTION("JOIN("","", SORT(UNIQUE(TOCOL({VLOOKUP(D701,DM_fish!A:B,2,FALSE),VLOOKUP(C701,DM_fish!A:B,2,FALSE), ARRAYFORMULA(VLOOKUP(SPLIT(E701, "", ""),Injections!B:G,6,FALSE)), ARRAYFORMULA(VLOOKUP(SPLIT(F701, "", ""),Injections!H:M,6,FALSE)), ARRAYFORMULA(VLOOKUP("&amp;"SPLIT(G701, "", ""),Injections!N:S,6,FALSE)), ARRAYFORMULA(VLOOKUP(SPLIT(H701, "", ""),Injections!T:Y,6,FALSE)) },3))))"),"")</f>
        <v/>
      </c>
      <c r="S701" s="10"/>
      <c r="T701" s="1"/>
      <c r="V701" s="11"/>
      <c r="W701" s="12"/>
      <c r="X701" s="12"/>
      <c r="Y701" s="11"/>
      <c r="Z701" s="11"/>
      <c r="AA701" s="11"/>
    </row>
    <row r="702" spans="1:27" ht="13" x14ac:dyDescent="0.15">
      <c r="A702" s="7"/>
      <c r="G702" s="8"/>
      <c r="H702" s="8"/>
      <c r="I702" s="8"/>
      <c r="M702" s="8"/>
      <c r="R702" s="10" t="str">
        <f ca="1">IFERROR(__xludf.DUMMYFUNCTION("JOIN("","", SORT(UNIQUE(TOCOL({VLOOKUP(D702,DM_fish!A:B,2,FALSE),VLOOKUP(C702,DM_fish!A:B,2,FALSE), ARRAYFORMULA(VLOOKUP(SPLIT(E702, "", ""),Injections!B:G,6,FALSE)), ARRAYFORMULA(VLOOKUP(SPLIT(F702, "", ""),Injections!H:M,6,FALSE)), ARRAYFORMULA(VLOOKUP("&amp;"SPLIT(G702, "", ""),Injections!N:S,6,FALSE)), ARRAYFORMULA(VLOOKUP(SPLIT(H702, "", ""),Injections!T:Y,6,FALSE)) },3))))"),"")</f>
        <v/>
      </c>
      <c r="S702" s="10"/>
      <c r="T702" s="1"/>
      <c r="V702" s="11"/>
      <c r="W702" s="12"/>
      <c r="X702" s="12"/>
      <c r="Y702" s="11"/>
      <c r="Z702" s="11"/>
      <c r="AA702" s="11"/>
    </row>
    <row r="703" spans="1:27" ht="13" x14ac:dyDescent="0.15">
      <c r="A703" s="7"/>
      <c r="G703" s="8"/>
      <c r="H703" s="8"/>
      <c r="I703" s="8"/>
      <c r="M703" s="8"/>
      <c r="R703" s="10" t="str">
        <f ca="1">IFERROR(__xludf.DUMMYFUNCTION("JOIN("","", SORT(UNIQUE(TOCOL({VLOOKUP(D703,DM_fish!A:B,2,FALSE),VLOOKUP(C703,DM_fish!A:B,2,FALSE), ARRAYFORMULA(VLOOKUP(SPLIT(E703, "", ""),Injections!B:G,6,FALSE)), ARRAYFORMULA(VLOOKUP(SPLIT(F703, "", ""),Injections!H:M,6,FALSE)), ARRAYFORMULA(VLOOKUP("&amp;"SPLIT(G703, "", ""),Injections!N:S,6,FALSE)), ARRAYFORMULA(VLOOKUP(SPLIT(H703, "", ""),Injections!T:Y,6,FALSE)) },3))))"),"")</f>
        <v/>
      </c>
      <c r="S703" s="10"/>
      <c r="T703" s="1"/>
      <c r="V703" s="11"/>
      <c r="W703" s="12"/>
      <c r="X703" s="12"/>
      <c r="Y703" s="11"/>
      <c r="Z703" s="11"/>
      <c r="AA703" s="11"/>
    </row>
    <row r="704" spans="1:27" ht="13" x14ac:dyDescent="0.15">
      <c r="A704" s="7"/>
      <c r="G704" s="8"/>
      <c r="H704" s="8"/>
      <c r="I704" s="8"/>
      <c r="M704" s="8"/>
      <c r="R704" s="10" t="str">
        <f ca="1">IFERROR(__xludf.DUMMYFUNCTION("JOIN("","", SORT(UNIQUE(TOCOL({VLOOKUP(D704,DM_fish!A:B,2,FALSE),VLOOKUP(C704,DM_fish!A:B,2,FALSE), ARRAYFORMULA(VLOOKUP(SPLIT(E704, "", ""),Injections!B:G,6,FALSE)), ARRAYFORMULA(VLOOKUP(SPLIT(F704, "", ""),Injections!H:M,6,FALSE)), ARRAYFORMULA(VLOOKUP("&amp;"SPLIT(G704, "", ""),Injections!N:S,6,FALSE)), ARRAYFORMULA(VLOOKUP(SPLIT(H704, "", ""),Injections!T:Y,6,FALSE)) },3))))"),"")</f>
        <v/>
      </c>
      <c r="S704" s="10"/>
      <c r="T704" s="1"/>
      <c r="V704" s="11"/>
      <c r="W704" s="12"/>
      <c r="X704" s="12"/>
      <c r="Y704" s="11"/>
      <c r="Z704" s="11"/>
      <c r="AA704" s="11"/>
    </row>
    <row r="705" spans="1:27" ht="13" x14ac:dyDescent="0.15">
      <c r="A705" s="7"/>
      <c r="G705" s="8"/>
      <c r="H705" s="8"/>
      <c r="I705" s="8"/>
      <c r="M705" s="8"/>
      <c r="R705" s="10" t="str">
        <f ca="1">IFERROR(__xludf.DUMMYFUNCTION("JOIN("","", SORT(UNIQUE(TOCOL({VLOOKUP(D705,DM_fish!A:B,2,FALSE),VLOOKUP(C705,DM_fish!A:B,2,FALSE), ARRAYFORMULA(VLOOKUP(SPLIT(E705, "", ""),Injections!B:G,6,FALSE)), ARRAYFORMULA(VLOOKUP(SPLIT(F705, "", ""),Injections!H:M,6,FALSE)), ARRAYFORMULA(VLOOKUP("&amp;"SPLIT(G705, "", ""),Injections!N:S,6,FALSE)), ARRAYFORMULA(VLOOKUP(SPLIT(H705, "", ""),Injections!T:Y,6,FALSE)) },3))))"),"")</f>
        <v/>
      </c>
      <c r="S705" s="10"/>
      <c r="T705" s="1"/>
      <c r="V705" s="11"/>
      <c r="W705" s="12"/>
      <c r="X705" s="12"/>
      <c r="Y705" s="11"/>
      <c r="Z705" s="11"/>
      <c r="AA705" s="11"/>
    </row>
    <row r="706" spans="1:27" ht="13" x14ac:dyDescent="0.15">
      <c r="A706" s="7"/>
      <c r="G706" s="8"/>
      <c r="H706" s="8"/>
      <c r="I706" s="8"/>
      <c r="M706" s="8"/>
      <c r="R706" s="10" t="str">
        <f ca="1">IFERROR(__xludf.DUMMYFUNCTION("JOIN("","", SORT(UNIQUE(TOCOL({VLOOKUP(D706,DM_fish!A:B,2,FALSE),VLOOKUP(C706,DM_fish!A:B,2,FALSE), ARRAYFORMULA(VLOOKUP(SPLIT(E706, "", ""),Injections!B:G,6,FALSE)), ARRAYFORMULA(VLOOKUP(SPLIT(F706, "", ""),Injections!H:M,6,FALSE)), ARRAYFORMULA(VLOOKUP("&amp;"SPLIT(G706, "", ""),Injections!N:S,6,FALSE)), ARRAYFORMULA(VLOOKUP(SPLIT(H706, "", ""),Injections!T:Y,6,FALSE)) },3))))"),"")</f>
        <v/>
      </c>
      <c r="S706" s="10"/>
      <c r="T706" s="1"/>
      <c r="V706" s="11"/>
      <c r="W706" s="12"/>
      <c r="X706" s="12"/>
      <c r="Y706" s="11"/>
      <c r="Z706" s="11"/>
      <c r="AA706" s="11"/>
    </row>
    <row r="707" spans="1:27" ht="13" x14ac:dyDescent="0.15">
      <c r="A707" s="7"/>
      <c r="G707" s="8"/>
      <c r="H707" s="8"/>
      <c r="I707" s="8"/>
      <c r="M707" s="8"/>
      <c r="R707" s="10" t="str">
        <f ca="1">IFERROR(__xludf.DUMMYFUNCTION("JOIN("","", SORT(UNIQUE(TOCOL({VLOOKUP(D707,DM_fish!A:B,2,FALSE),VLOOKUP(C707,DM_fish!A:B,2,FALSE), ARRAYFORMULA(VLOOKUP(SPLIT(E707, "", ""),Injections!B:G,6,FALSE)), ARRAYFORMULA(VLOOKUP(SPLIT(F707, "", ""),Injections!H:M,6,FALSE)), ARRAYFORMULA(VLOOKUP("&amp;"SPLIT(G707, "", ""),Injections!N:S,6,FALSE)), ARRAYFORMULA(VLOOKUP(SPLIT(H707, "", ""),Injections!T:Y,6,FALSE)) },3))))"),"")</f>
        <v/>
      </c>
      <c r="S707" s="10"/>
      <c r="T707" s="1"/>
      <c r="V707" s="11"/>
      <c r="W707" s="12"/>
      <c r="X707" s="12"/>
      <c r="Y707" s="11"/>
      <c r="Z707" s="11"/>
      <c r="AA707" s="11"/>
    </row>
    <row r="708" spans="1:27" ht="13" x14ac:dyDescent="0.15">
      <c r="A708" s="7"/>
      <c r="G708" s="8"/>
      <c r="H708" s="8"/>
      <c r="I708" s="8"/>
      <c r="M708" s="8"/>
      <c r="R708" s="10" t="str">
        <f ca="1">IFERROR(__xludf.DUMMYFUNCTION("JOIN("","", SORT(UNIQUE(TOCOL({VLOOKUP(D708,DM_fish!A:B,2,FALSE),VLOOKUP(C708,DM_fish!A:B,2,FALSE), ARRAYFORMULA(VLOOKUP(SPLIT(E708, "", ""),Injections!B:G,6,FALSE)), ARRAYFORMULA(VLOOKUP(SPLIT(F708, "", ""),Injections!H:M,6,FALSE)), ARRAYFORMULA(VLOOKUP("&amp;"SPLIT(G708, "", ""),Injections!N:S,6,FALSE)), ARRAYFORMULA(VLOOKUP(SPLIT(H708, "", ""),Injections!T:Y,6,FALSE)) },3))))"),"")</f>
        <v/>
      </c>
      <c r="S708" s="10"/>
      <c r="T708" s="1"/>
      <c r="V708" s="11"/>
      <c r="W708" s="12"/>
      <c r="X708" s="12"/>
      <c r="Y708" s="11"/>
      <c r="Z708" s="11"/>
      <c r="AA708" s="11"/>
    </row>
    <row r="709" spans="1:27" ht="13" x14ac:dyDescent="0.15">
      <c r="A709" s="7"/>
      <c r="G709" s="8"/>
      <c r="H709" s="8"/>
      <c r="I709" s="8"/>
      <c r="M709" s="8"/>
      <c r="R709" s="10" t="str">
        <f ca="1">IFERROR(__xludf.DUMMYFUNCTION("JOIN("","", SORT(UNIQUE(TOCOL({VLOOKUP(D709,DM_fish!A:B,2,FALSE),VLOOKUP(C709,DM_fish!A:B,2,FALSE), ARRAYFORMULA(VLOOKUP(SPLIT(E709, "", ""),Injections!B:G,6,FALSE)), ARRAYFORMULA(VLOOKUP(SPLIT(F709, "", ""),Injections!H:M,6,FALSE)), ARRAYFORMULA(VLOOKUP("&amp;"SPLIT(G709, "", ""),Injections!N:S,6,FALSE)), ARRAYFORMULA(VLOOKUP(SPLIT(H709, "", ""),Injections!T:Y,6,FALSE)) },3))))"),"")</f>
        <v/>
      </c>
      <c r="S709" s="10"/>
      <c r="T709" s="1"/>
      <c r="V709" s="11"/>
      <c r="W709" s="12"/>
      <c r="X709" s="12"/>
      <c r="Y709" s="11"/>
      <c r="Z709" s="11"/>
      <c r="AA709" s="11"/>
    </row>
    <row r="710" spans="1:27" ht="13" x14ac:dyDescent="0.15">
      <c r="A710" s="7"/>
      <c r="G710" s="8"/>
      <c r="H710" s="8"/>
      <c r="I710" s="8"/>
      <c r="M710" s="8"/>
      <c r="R710" s="10" t="str">
        <f ca="1">IFERROR(__xludf.DUMMYFUNCTION("JOIN("","", SORT(UNIQUE(TOCOL({VLOOKUP(D710,DM_fish!A:B,2,FALSE),VLOOKUP(C710,DM_fish!A:B,2,FALSE), ARRAYFORMULA(VLOOKUP(SPLIT(E710, "", ""),Injections!B:G,6,FALSE)), ARRAYFORMULA(VLOOKUP(SPLIT(F710, "", ""),Injections!H:M,6,FALSE)), ARRAYFORMULA(VLOOKUP("&amp;"SPLIT(G710, "", ""),Injections!N:S,6,FALSE)), ARRAYFORMULA(VLOOKUP(SPLIT(H710, "", ""),Injections!T:Y,6,FALSE)) },3))))"),"")</f>
        <v/>
      </c>
      <c r="S710" s="10"/>
      <c r="T710" s="1"/>
      <c r="V710" s="11"/>
      <c r="W710" s="12"/>
      <c r="X710" s="12"/>
      <c r="Y710" s="11"/>
      <c r="Z710" s="11"/>
      <c r="AA710" s="11"/>
    </row>
    <row r="711" spans="1:27" ht="13" x14ac:dyDescent="0.15">
      <c r="A711" s="7"/>
      <c r="G711" s="8"/>
      <c r="H711" s="8"/>
      <c r="I711" s="8"/>
      <c r="M711" s="8"/>
      <c r="R711" s="10" t="str">
        <f ca="1">IFERROR(__xludf.DUMMYFUNCTION("JOIN("","", SORT(UNIQUE(TOCOL({VLOOKUP(D711,DM_fish!A:B,2,FALSE),VLOOKUP(C711,DM_fish!A:B,2,FALSE), ARRAYFORMULA(VLOOKUP(SPLIT(E711, "", ""),Injections!B:G,6,FALSE)), ARRAYFORMULA(VLOOKUP(SPLIT(F711, "", ""),Injections!H:M,6,FALSE)), ARRAYFORMULA(VLOOKUP("&amp;"SPLIT(G711, "", ""),Injections!N:S,6,FALSE)), ARRAYFORMULA(VLOOKUP(SPLIT(H711, "", ""),Injections!T:Y,6,FALSE)) },3))))"),"")</f>
        <v/>
      </c>
      <c r="S711" s="10"/>
      <c r="T711" s="1"/>
      <c r="V711" s="11"/>
      <c r="W711" s="12"/>
      <c r="X711" s="12"/>
      <c r="Y711" s="11"/>
      <c r="Z711" s="11"/>
      <c r="AA711" s="11"/>
    </row>
    <row r="712" spans="1:27" ht="13" x14ac:dyDescent="0.15">
      <c r="A712" s="7"/>
      <c r="G712" s="8"/>
      <c r="H712" s="8"/>
      <c r="I712" s="8"/>
      <c r="M712" s="8"/>
      <c r="R712" s="10" t="str">
        <f ca="1">IFERROR(__xludf.DUMMYFUNCTION("JOIN("","", SORT(UNIQUE(TOCOL({VLOOKUP(D712,DM_fish!A:B,2,FALSE),VLOOKUP(C712,DM_fish!A:B,2,FALSE), ARRAYFORMULA(VLOOKUP(SPLIT(E712, "", ""),Injections!B:G,6,FALSE)), ARRAYFORMULA(VLOOKUP(SPLIT(F712, "", ""),Injections!H:M,6,FALSE)), ARRAYFORMULA(VLOOKUP("&amp;"SPLIT(G712, "", ""),Injections!N:S,6,FALSE)), ARRAYFORMULA(VLOOKUP(SPLIT(H712, "", ""),Injections!T:Y,6,FALSE)) },3))))"),"")</f>
        <v/>
      </c>
      <c r="S712" s="10"/>
      <c r="T712" s="1"/>
      <c r="V712" s="11"/>
      <c r="W712" s="12"/>
      <c r="X712" s="12"/>
      <c r="Y712" s="11"/>
      <c r="Z712" s="11"/>
      <c r="AA712" s="11"/>
    </row>
    <row r="713" spans="1:27" ht="13" x14ac:dyDescent="0.15">
      <c r="A713" s="7"/>
      <c r="G713" s="8"/>
      <c r="H713" s="8"/>
      <c r="I713" s="8"/>
      <c r="M713" s="8"/>
      <c r="R713" s="10" t="str">
        <f ca="1">IFERROR(__xludf.DUMMYFUNCTION("JOIN("","", SORT(UNIQUE(TOCOL({VLOOKUP(D713,DM_fish!A:B,2,FALSE),VLOOKUP(C713,DM_fish!A:B,2,FALSE), ARRAYFORMULA(VLOOKUP(SPLIT(E713, "", ""),Injections!B:G,6,FALSE)), ARRAYFORMULA(VLOOKUP(SPLIT(F713, "", ""),Injections!H:M,6,FALSE)), ARRAYFORMULA(VLOOKUP("&amp;"SPLIT(G713, "", ""),Injections!N:S,6,FALSE)), ARRAYFORMULA(VLOOKUP(SPLIT(H713, "", ""),Injections!T:Y,6,FALSE)) },3))))"),"")</f>
        <v/>
      </c>
      <c r="S713" s="10"/>
      <c r="T713" s="1"/>
      <c r="V713" s="11"/>
      <c r="W713" s="12"/>
      <c r="X713" s="12"/>
      <c r="Y713" s="11"/>
      <c r="Z713" s="11"/>
      <c r="AA713" s="11"/>
    </row>
    <row r="714" spans="1:27" ht="13" x14ac:dyDescent="0.15">
      <c r="A714" s="7"/>
      <c r="G714" s="8"/>
      <c r="H714" s="8"/>
      <c r="I714" s="8"/>
      <c r="M714" s="8"/>
      <c r="R714" s="10" t="str">
        <f ca="1">IFERROR(__xludf.DUMMYFUNCTION("JOIN("","", SORT(UNIQUE(TOCOL({VLOOKUP(D714,DM_fish!A:B,2,FALSE),VLOOKUP(C714,DM_fish!A:B,2,FALSE), ARRAYFORMULA(VLOOKUP(SPLIT(E714, "", ""),Injections!B:G,6,FALSE)), ARRAYFORMULA(VLOOKUP(SPLIT(F714, "", ""),Injections!H:M,6,FALSE)), ARRAYFORMULA(VLOOKUP("&amp;"SPLIT(G714, "", ""),Injections!N:S,6,FALSE)), ARRAYFORMULA(VLOOKUP(SPLIT(H714, "", ""),Injections!T:Y,6,FALSE)) },3))))"),"")</f>
        <v/>
      </c>
      <c r="S714" s="10"/>
      <c r="T714" s="1"/>
      <c r="V714" s="11"/>
      <c r="W714" s="12"/>
      <c r="X714" s="12"/>
      <c r="Y714" s="11"/>
      <c r="Z714" s="11"/>
      <c r="AA714" s="11"/>
    </row>
    <row r="715" spans="1:27" ht="13" x14ac:dyDescent="0.15">
      <c r="A715" s="7"/>
      <c r="G715" s="8"/>
      <c r="H715" s="8"/>
      <c r="I715" s="8"/>
      <c r="M715" s="8"/>
      <c r="R715" s="10" t="str">
        <f ca="1">IFERROR(__xludf.DUMMYFUNCTION("JOIN("","", SORT(UNIQUE(TOCOL({VLOOKUP(D715,DM_fish!A:B,2,FALSE),VLOOKUP(C715,DM_fish!A:B,2,FALSE), ARRAYFORMULA(VLOOKUP(SPLIT(E715, "", ""),Injections!B:G,6,FALSE)), ARRAYFORMULA(VLOOKUP(SPLIT(F715, "", ""),Injections!H:M,6,FALSE)), ARRAYFORMULA(VLOOKUP("&amp;"SPLIT(G715, "", ""),Injections!N:S,6,FALSE)), ARRAYFORMULA(VLOOKUP(SPLIT(H715, "", ""),Injections!T:Y,6,FALSE)) },3))))"),"")</f>
        <v/>
      </c>
      <c r="S715" s="10"/>
      <c r="T715" s="1"/>
      <c r="V715" s="11"/>
      <c r="W715" s="12"/>
      <c r="X715" s="12"/>
      <c r="Y715" s="11"/>
      <c r="Z715" s="11"/>
      <c r="AA715" s="11"/>
    </row>
    <row r="716" spans="1:27" ht="13" x14ac:dyDescent="0.15">
      <c r="A716" s="7"/>
      <c r="G716" s="8"/>
      <c r="H716" s="8"/>
      <c r="I716" s="8"/>
      <c r="M716" s="8"/>
      <c r="R716" s="10" t="str">
        <f ca="1">IFERROR(__xludf.DUMMYFUNCTION("JOIN("","", SORT(UNIQUE(TOCOL({VLOOKUP(D716,DM_fish!A:B,2,FALSE),VLOOKUP(C716,DM_fish!A:B,2,FALSE), ARRAYFORMULA(VLOOKUP(SPLIT(E716, "", ""),Injections!B:G,6,FALSE)), ARRAYFORMULA(VLOOKUP(SPLIT(F716, "", ""),Injections!H:M,6,FALSE)), ARRAYFORMULA(VLOOKUP("&amp;"SPLIT(G716, "", ""),Injections!N:S,6,FALSE)), ARRAYFORMULA(VLOOKUP(SPLIT(H716, "", ""),Injections!T:Y,6,FALSE)) },3))))"),"")</f>
        <v/>
      </c>
      <c r="S716" s="10"/>
      <c r="T716" s="1"/>
      <c r="V716" s="11"/>
      <c r="W716" s="12"/>
      <c r="X716" s="12"/>
      <c r="Y716" s="11"/>
      <c r="Z716" s="11"/>
      <c r="AA716" s="11"/>
    </row>
    <row r="717" spans="1:27" ht="13" x14ac:dyDescent="0.15">
      <c r="A717" s="7"/>
      <c r="G717" s="8"/>
      <c r="H717" s="8"/>
      <c r="I717" s="8"/>
      <c r="M717" s="8"/>
      <c r="R717" s="10" t="str">
        <f ca="1">IFERROR(__xludf.DUMMYFUNCTION("JOIN("","", SORT(UNIQUE(TOCOL({VLOOKUP(D717,DM_fish!A:B,2,FALSE),VLOOKUP(C717,DM_fish!A:B,2,FALSE), ARRAYFORMULA(VLOOKUP(SPLIT(E717, "", ""),Injections!B:G,6,FALSE)), ARRAYFORMULA(VLOOKUP(SPLIT(F717, "", ""),Injections!H:M,6,FALSE)), ARRAYFORMULA(VLOOKUP("&amp;"SPLIT(G717, "", ""),Injections!N:S,6,FALSE)), ARRAYFORMULA(VLOOKUP(SPLIT(H717, "", ""),Injections!T:Y,6,FALSE)) },3))))"),"")</f>
        <v/>
      </c>
      <c r="S717" s="10"/>
      <c r="T717" s="1"/>
      <c r="V717" s="11"/>
      <c r="W717" s="12"/>
      <c r="X717" s="12"/>
      <c r="Y717" s="11"/>
      <c r="Z717" s="11"/>
      <c r="AA717" s="11"/>
    </row>
    <row r="718" spans="1:27" ht="13" x14ac:dyDescent="0.15">
      <c r="A718" s="7"/>
      <c r="G718" s="8"/>
      <c r="H718" s="8"/>
      <c r="I718" s="8"/>
      <c r="M718" s="8"/>
      <c r="R718" s="10" t="str">
        <f ca="1">IFERROR(__xludf.DUMMYFUNCTION("JOIN("","", SORT(UNIQUE(TOCOL({VLOOKUP(D718,DM_fish!A:B,2,FALSE),VLOOKUP(C718,DM_fish!A:B,2,FALSE), ARRAYFORMULA(VLOOKUP(SPLIT(E718, "", ""),Injections!B:G,6,FALSE)), ARRAYFORMULA(VLOOKUP(SPLIT(F718, "", ""),Injections!H:M,6,FALSE)), ARRAYFORMULA(VLOOKUP("&amp;"SPLIT(G718, "", ""),Injections!N:S,6,FALSE)), ARRAYFORMULA(VLOOKUP(SPLIT(H718, "", ""),Injections!T:Y,6,FALSE)) },3))))"),"")</f>
        <v/>
      </c>
      <c r="S718" s="10"/>
      <c r="T718" s="1"/>
      <c r="V718" s="11"/>
      <c r="W718" s="12"/>
      <c r="X718" s="12"/>
      <c r="Y718" s="11"/>
      <c r="Z718" s="11"/>
      <c r="AA718" s="11"/>
    </row>
    <row r="719" spans="1:27" ht="13" x14ac:dyDescent="0.15">
      <c r="A719" s="7"/>
      <c r="G719" s="8"/>
      <c r="H719" s="8"/>
      <c r="I719" s="8"/>
      <c r="M719" s="8"/>
      <c r="R719" s="10" t="str">
        <f ca="1">IFERROR(__xludf.DUMMYFUNCTION("JOIN("","", SORT(UNIQUE(TOCOL({VLOOKUP(D719,DM_fish!A:B,2,FALSE),VLOOKUP(C719,DM_fish!A:B,2,FALSE), ARRAYFORMULA(VLOOKUP(SPLIT(E719, "", ""),Injections!B:G,6,FALSE)), ARRAYFORMULA(VLOOKUP(SPLIT(F719, "", ""),Injections!H:M,6,FALSE)), ARRAYFORMULA(VLOOKUP("&amp;"SPLIT(G719, "", ""),Injections!N:S,6,FALSE)), ARRAYFORMULA(VLOOKUP(SPLIT(H719, "", ""),Injections!T:Y,6,FALSE)) },3))))"),"")</f>
        <v/>
      </c>
      <c r="S719" s="10"/>
      <c r="T719" s="1"/>
      <c r="V719" s="11"/>
      <c r="W719" s="12"/>
      <c r="X719" s="12"/>
      <c r="Y719" s="11"/>
      <c r="Z719" s="11"/>
      <c r="AA719" s="11"/>
    </row>
    <row r="720" spans="1:27" ht="13" x14ac:dyDescent="0.15">
      <c r="A720" s="7"/>
      <c r="G720" s="8"/>
      <c r="H720" s="8"/>
      <c r="I720" s="8"/>
      <c r="M720" s="8"/>
      <c r="R720" s="10" t="str">
        <f ca="1">IFERROR(__xludf.DUMMYFUNCTION("JOIN("","", SORT(UNIQUE(TOCOL({VLOOKUP(D720,DM_fish!A:B,2,FALSE),VLOOKUP(C720,DM_fish!A:B,2,FALSE), ARRAYFORMULA(VLOOKUP(SPLIT(E720, "", ""),Injections!B:G,6,FALSE)), ARRAYFORMULA(VLOOKUP(SPLIT(F720, "", ""),Injections!H:M,6,FALSE)), ARRAYFORMULA(VLOOKUP("&amp;"SPLIT(G720, "", ""),Injections!N:S,6,FALSE)), ARRAYFORMULA(VLOOKUP(SPLIT(H720, "", ""),Injections!T:Y,6,FALSE)) },3))))"),"")</f>
        <v/>
      </c>
      <c r="S720" s="10"/>
      <c r="T720" s="1"/>
      <c r="V720" s="11"/>
      <c r="W720" s="12"/>
      <c r="X720" s="12"/>
      <c r="Y720" s="11"/>
      <c r="Z720" s="11"/>
      <c r="AA720" s="11"/>
    </row>
    <row r="721" spans="1:27" ht="13" x14ac:dyDescent="0.15">
      <c r="A721" s="7"/>
      <c r="G721" s="8"/>
      <c r="H721" s="8"/>
      <c r="I721" s="8"/>
      <c r="M721" s="8"/>
      <c r="R721" s="10" t="str">
        <f ca="1">IFERROR(__xludf.DUMMYFUNCTION("JOIN("","", SORT(UNIQUE(TOCOL({VLOOKUP(D721,DM_fish!A:B,2,FALSE),VLOOKUP(C721,DM_fish!A:B,2,FALSE), ARRAYFORMULA(VLOOKUP(SPLIT(E721, "", ""),Injections!B:G,6,FALSE)), ARRAYFORMULA(VLOOKUP(SPLIT(F721, "", ""),Injections!H:M,6,FALSE)), ARRAYFORMULA(VLOOKUP("&amp;"SPLIT(G721, "", ""),Injections!N:S,6,FALSE)), ARRAYFORMULA(VLOOKUP(SPLIT(H721, "", ""),Injections!T:Y,6,FALSE)) },3))))"),"")</f>
        <v/>
      </c>
      <c r="S721" s="10"/>
      <c r="T721" s="1"/>
      <c r="V721" s="11"/>
      <c r="W721" s="12"/>
      <c r="X721" s="12"/>
      <c r="Y721" s="11"/>
      <c r="Z721" s="11"/>
      <c r="AA721" s="11"/>
    </row>
    <row r="722" spans="1:27" ht="13" x14ac:dyDescent="0.15">
      <c r="A722" s="7"/>
      <c r="G722" s="8"/>
      <c r="H722" s="8"/>
      <c r="I722" s="8"/>
      <c r="M722" s="8"/>
      <c r="R722" s="10" t="str">
        <f ca="1">IFERROR(__xludf.DUMMYFUNCTION("JOIN("","", SORT(UNIQUE(TOCOL({VLOOKUP(D722,DM_fish!A:B,2,FALSE),VLOOKUP(C722,DM_fish!A:B,2,FALSE), ARRAYFORMULA(VLOOKUP(SPLIT(E722, "", ""),Injections!B:G,6,FALSE)), ARRAYFORMULA(VLOOKUP(SPLIT(F722, "", ""),Injections!H:M,6,FALSE)), ARRAYFORMULA(VLOOKUP("&amp;"SPLIT(G722, "", ""),Injections!N:S,6,FALSE)), ARRAYFORMULA(VLOOKUP(SPLIT(H722, "", ""),Injections!T:Y,6,FALSE)) },3))))"),"")</f>
        <v/>
      </c>
      <c r="S722" s="10"/>
      <c r="T722" s="1"/>
      <c r="V722" s="11"/>
      <c r="W722" s="12"/>
      <c r="X722" s="12"/>
      <c r="Y722" s="11"/>
      <c r="Z722" s="11"/>
      <c r="AA722" s="11"/>
    </row>
    <row r="723" spans="1:27" ht="13" x14ac:dyDescent="0.15">
      <c r="A723" s="7"/>
      <c r="G723" s="8"/>
      <c r="H723" s="8"/>
      <c r="I723" s="8"/>
      <c r="M723" s="8"/>
      <c r="R723" s="10" t="str">
        <f ca="1">IFERROR(__xludf.DUMMYFUNCTION("JOIN("","", SORT(UNIQUE(TOCOL({VLOOKUP(D723,DM_fish!A:B,2,FALSE),VLOOKUP(C723,DM_fish!A:B,2,FALSE), ARRAYFORMULA(VLOOKUP(SPLIT(E723, "", ""),Injections!B:G,6,FALSE)), ARRAYFORMULA(VLOOKUP(SPLIT(F723, "", ""),Injections!H:M,6,FALSE)), ARRAYFORMULA(VLOOKUP("&amp;"SPLIT(G723, "", ""),Injections!N:S,6,FALSE)), ARRAYFORMULA(VLOOKUP(SPLIT(H723, "", ""),Injections!T:Y,6,FALSE)) },3))))"),"")</f>
        <v/>
      </c>
      <c r="S723" s="10"/>
      <c r="T723" s="1"/>
      <c r="V723" s="11"/>
      <c r="W723" s="12"/>
      <c r="X723" s="12"/>
      <c r="Y723" s="11"/>
      <c r="Z723" s="11"/>
      <c r="AA723" s="11"/>
    </row>
    <row r="724" spans="1:27" ht="13" x14ac:dyDescent="0.15">
      <c r="A724" s="7"/>
      <c r="G724" s="8"/>
      <c r="H724" s="8"/>
      <c r="I724" s="8"/>
      <c r="M724" s="8"/>
      <c r="R724" s="10" t="str">
        <f ca="1">IFERROR(__xludf.DUMMYFUNCTION("JOIN("","", SORT(UNIQUE(TOCOL({VLOOKUP(D724,DM_fish!A:B,2,FALSE),VLOOKUP(C724,DM_fish!A:B,2,FALSE), ARRAYFORMULA(VLOOKUP(SPLIT(E724, "", ""),Injections!B:G,6,FALSE)), ARRAYFORMULA(VLOOKUP(SPLIT(F724, "", ""),Injections!H:M,6,FALSE)), ARRAYFORMULA(VLOOKUP("&amp;"SPLIT(G724, "", ""),Injections!N:S,6,FALSE)), ARRAYFORMULA(VLOOKUP(SPLIT(H724, "", ""),Injections!T:Y,6,FALSE)) },3))))"),"")</f>
        <v/>
      </c>
      <c r="S724" s="10"/>
      <c r="T724" s="1"/>
      <c r="V724" s="11"/>
      <c r="W724" s="12"/>
      <c r="X724" s="12"/>
      <c r="Y724" s="11"/>
      <c r="Z724" s="11"/>
      <c r="AA724" s="11"/>
    </row>
    <row r="725" spans="1:27" ht="13" x14ac:dyDescent="0.15">
      <c r="A725" s="7"/>
      <c r="G725" s="8"/>
      <c r="H725" s="8"/>
      <c r="I725" s="8"/>
      <c r="M725" s="8"/>
      <c r="R725" s="10" t="str">
        <f ca="1">IFERROR(__xludf.DUMMYFUNCTION("JOIN("","", SORT(UNIQUE(TOCOL({VLOOKUP(D725,DM_fish!A:B,2,FALSE),VLOOKUP(C725,DM_fish!A:B,2,FALSE), ARRAYFORMULA(VLOOKUP(SPLIT(E725, "", ""),Injections!B:G,6,FALSE)), ARRAYFORMULA(VLOOKUP(SPLIT(F725, "", ""),Injections!H:M,6,FALSE)), ARRAYFORMULA(VLOOKUP("&amp;"SPLIT(G725, "", ""),Injections!N:S,6,FALSE)), ARRAYFORMULA(VLOOKUP(SPLIT(H725, "", ""),Injections!T:Y,6,FALSE)) },3))))"),"")</f>
        <v/>
      </c>
      <c r="S725" s="10"/>
      <c r="T725" s="1"/>
      <c r="V725" s="11"/>
      <c r="W725" s="12"/>
      <c r="X725" s="12"/>
      <c r="Y725" s="11"/>
      <c r="Z725" s="11"/>
      <c r="AA725" s="11"/>
    </row>
    <row r="726" spans="1:27" ht="13" x14ac:dyDescent="0.15">
      <c r="A726" s="7"/>
      <c r="G726" s="8"/>
      <c r="H726" s="8"/>
      <c r="I726" s="8"/>
      <c r="M726" s="8"/>
      <c r="R726" s="10" t="str">
        <f ca="1">IFERROR(__xludf.DUMMYFUNCTION("JOIN("","", SORT(UNIQUE(TOCOL({VLOOKUP(D726,DM_fish!A:B,2,FALSE),VLOOKUP(C726,DM_fish!A:B,2,FALSE), ARRAYFORMULA(VLOOKUP(SPLIT(E726, "", ""),Injections!B:G,6,FALSE)), ARRAYFORMULA(VLOOKUP(SPLIT(F726, "", ""),Injections!H:M,6,FALSE)), ARRAYFORMULA(VLOOKUP("&amp;"SPLIT(G726, "", ""),Injections!N:S,6,FALSE)), ARRAYFORMULA(VLOOKUP(SPLIT(H726, "", ""),Injections!T:Y,6,FALSE)) },3))))"),"")</f>
        <v/>
      </c>
      <c r="S726" s="10"/>
      <c r="T726" s="1"/>
      <c r="V726" s="11"/>
      <c r="W726" s="12"/>
      <c r="X726" s="12"/>
      <c r="Y726" s="11"/>
      <c r="Z726" s="11"/>
      <c r="AA726" s="11"/>
    </row>
    <row r="727" spans="1:27" ht="13" x14ac:dyDescent="0.15">
      <c r="A727" s="7"/>
      <c r="G727" s="8"/>
      <c r="H727" s="8"/>
      <c r="I727" s="8"/>
      <c r="M727" s="8"/>
      <c r="R727" s="10" t="str">
        <f ca="1">IFERROR(__xludf.DUMMYFUNCTION("JOIN("","", SORT(UNIQUE(TOCOL({VLOOKUP(D727,DM_fish!A:B,2,FALSE),VLOOKUP(C727,DM_fish!A:B,2,FALSE), ARRAYFORMULA(VLOOKUP(SPLIT(E727, "", ""),Injections!B:G,6,FALSE)), ARRAYFORMULA(VLOOKUP(SPLIT(F727, "", ""),Injections!H:M,6,FALSE)), ARRAYFORMULA(VLOOKUP("&amp;"SPLIT(G727, "", ""),Injections!N:S,6,FALSE)), ARRAYFORMULA(VLOOKUP(SPLIT(H727, "", ""),Injections!T:Y,6,FALSE)) },3))))"),"")</f>
        <v/>
      </c>
      <c r="S727" s="10"/>
      <c r="T727" s="1"/>
      <c r="V727" s="11"/>
      <c r="W727" s="12"/>
      <c r="X727" s="12"/>
      <c r="Y727" s="11"/>
      <c r="Z727" s="11"/>
      <c r="AA727" s="11"/>
    </row>
    <row r="728" spans="1:27" ht="13" x14ac:dyDescent="0.15">
      <c r="A728" s="7"/>
      <c r="G728" s="8"/>
      <c r="H728" s="8"/>
      <c r="I728" s="8"/>
      <c r="M728" s="8"/>
      <c r="R728" s="10" t="str">
        <f ca="1">IFERROR(__xludf.DUMMYFUNCTION("JOIN("","", SORT(UNIQUE(TOCOL({VLOOKUP(D728,DM_fish!A:B,2,FALSE),VLOOKUP(C728,DM_fish!A:B,2,FALSE), ARRAYFORMULA(VLOOKUP(SPLIT(E728, "", ""),Injections!B:G,6,FALSE)), ARRAYFORMULA(VLOOKUP(SPLIT(F728, "", ""),Injections!H:M,6,FALSE)), ARRAYFORMULA(VLOOKUP("&amp;"SPLIT(G728, "", ""),Injections!N:S,6,FALSE)), ARRAYFORMULA(VLOOKUP(SPLIT(H728, "", ""),Injections!T:Y,6,FALSE)) },3))))"),"")</f>
        <v/>
      </c>
      <c r="S728" s="10"/>
      <c r="T728" s="1"/>
      <c r="V728" s="11"/>
      <c r="W728" s="12"/>
      <c r="X728" s="12"/>
      <c r="Y728" s="11"/>
      <c r="Z728" s="11"/>
      <c r="AA728" s="11"/>
    </row>
    <row r="729" spans="1:27" ht="13" x14ac:dyDescent="0.15">
      <c r="A729" s="7"/>
      <c r="G729" s="8"/>
      <c r="H729" s="8"/>
      <c r="I729" s="8"/>
      <c r="M729" s="8"/>
      <c r="R729" s="10" t="str">
        <f ca="1">IFERROR(__xludf.DUMMYFUNCTION("JOIN("","", SORT(UNIQUE(TOCOL({VLOOKUP(D729,DM_fish!A:B,2,FALSE),VLOOKUP(C729,DM_fish!A:B,2,FALSE), ARRAYFORMULA(VLOOKUP(SPLIT(E729, "", ""),Injections!B:G,6,FALSE)), ARRAYFORMULA(VLOOKUP(SPLIT(F729, "", ""),Injections!H:M,6,FALSE)), ARRAYFORMULA(VLOOKUP("&amp;"SPLIT(G729, "", ""),Injections!N:S,6,FALSE)), ARRAYFORMULA(VLOOKUP(SPLIT(H729, "", ""),Injections!T:Y,6,FALSE)) },3))))"),"")</f>
        <v/>
      </c>
      <c r="S729" s="10"/>
      <c r="T729" s="1"/>
      <c r="V729" s="11"/>
      <c r="W729" s="12"/>
      <c r="X729" s="12"/>
      <c r="Y729" s="11"/>
      <c r="Z729" s="11"/>
      <c r="AA729" s="11"/>
    </row>
    <row r="730" spans="1:27" ht="13" x14ac:dyDescent="0.15">
      <c r="A730" s="7"/>
      <c r="G730" s="8"/>
      <c r="H730" s="8"/>
      <c r="I730" s="8"/>
      <c r="M730" s="8"/>
      <c r="R730" s="10" t="str">
        <f ca="1">IFERROR(__xludf.DUMMYFUNCTION("JOIN("","", SORT(UNIQUE(TOCOL({VLOOKUP(D730,DM_fish!A:B,2,FALSE),VLOOKUP(C730,DM_fish!A:B,2,FALSE), ARRAYFORMULA(VLOOKUP(SPLIT(E730, "", ""),Injections!B:G,6,FALSE)), ARRAYFORMULA(VLOOKUP(SPLIT(F730, "", ""),Injections!H:M,6,FALSE)), ARRAYFORMULA(VLOOKUP("&amp;"SPLIT(G730, "", ""),Injections!N:S,6,FALSE)), ARRAYFORMULA(VLOOKUP(SPLIT(H730, "", ""),Injections!T:Y,6,FALSE)) },3))))"),"")</f>
        <v/>
      </c>
      <c r="S730" s="10"/>
      <c r="T730" s="1"/>
      <c r="V730" s="11"/>
      <c r="W730" s="12"/>
      <c r="X730" s="12"/>
      <c r="Y730" s="11"/>
      <c r="Z730" s="11"/>
      <c r="AA730" s="11"/>
    </row>
    <row r="731" spans="1:27" ht="13" x14ac:dyDescent="0.15">
      <c r="A731" s="7"/>
      <c r="G731" s="8"/>
      <c r="H731" s="8"/>
      <c r="I731" s="8"/>
      <c r="M731" s="8"/>
      <c r="R731" s="10" t="str">
        <f ca="1">IFERROR(__xludf.DUMMYFUNCTION("JOIN("","", SORT(UNIQUE(TOCOL({VLOOKUP(D731,DM_fish!A:B,2,FALSE),VLOOKUP(C731,DM_fish!A:B,2,FALSE), ARRAYFORMULA(VLOOKUP(SPLIT(E731, "", ""),Injections!B:G,6,FALSE)), ARRAYFORMULA(VLOOKUP(SPLIT(F731, "", ""),Injections!H:M,6,FALSE)), ARRAYFORMULA(VLOOKUP("&amp;"SPLIT(G731, "", ""),Injections!N:S,6,FALSE)), ARRAYFORMULA(VLOOKUP(SPLIT(H731, "", ""),Injections!T:Y,6,FALSE)) },3))))"),"")</f>
        <v/>
      </c>
      <c r="S731" s="10"/>
      <c r="T731" s="1"/>
      <c r="V731" s="11"/>
      <c r="W731" s="12"/>
      <c r="X731" s="12"/>
      <c r="Y731" s="11"/>
      <c r="Z731" s="11"/>
      <c r="AA731" s="11"/>
    </row>
    <row r="732" spans="1:27" ht="13" x14ac:dyDescent="0.15">
      <c r="A732" s="7"/>
      <c r="G732" s="8"/>
      <c r="H732" s="8"/>
      <c r="I732" s="8"/>
      <c r="M732" s="8"/>
      <c r="R732" s="10" t="str">
        <f ca="1">IFERROR(__xludf.DUMMYFUNCTION("JOIN("","", SORT(UNIQUE(TOCOL({VLOOKUP(D732,DM_fish!A:B,2,FALSE),VLOOKUP(C732,DM_fish!A:B,2,FALSE), ARRAYFORMULA(VLOOKUP(SPLIT(E732, "", ""),Injections!B:G,6,FALSE)), ARRAYFORMULA(VLOOKUP(SPLIT(F732, "", ""),Injections!H:M,6,FALSE)), ARRAYFORMULA(VLOOKUP("&amp;"SPLIT(G732, "", ""),Injections!N:S,6,FALSE)), ARRAYFORMULA(VLOOKUP(SPLIT(H732, "", ""),Injections!T:Y,6,FALSE)) },3))))"),"")</f>
        <v/>
      </c>
      <c r="S732" s="10"/>
      <c r="T732" s="1"/>
      <c r="V732" s="11"/>
      <c r="W732" s="12"/>
      <c r="X732" s="12"/>
      <c r="Y732" s="11"/>
      <c r="Z732" s="11"/>
      <c r="AA732" s="11"/>
    </row>
    <row r="733" spans="1:27" ht="13" x14ac:dyDescent="0.15">
      <c r="A733" s="7"/>
      <c r="G733" s="8"/>
      <c r="H733" s="8"/>
      <c r="I733" s="8"/>
      <c r="M733" s="8"/>
      <c r="R733" s="10" t="str">
        <f ca="1">IFERROR(__xludf.DUMMYFUNCTION("JOIN("","", SORT(UNIQUE(TOCOL({VLOOKUP(D733,DM_fish!A:B,2,FALSE),VLOOKUP(C733,DM_fish!A:B,2,FALSE), ARRAYFORMULA(VLOOKUP(SPLIT(E733, "", ""),Injections!B:G,6,FALSE)), ARRAYFORMULA(VLOOKUP(SPLIT(F733, "", ""),Injections!H:M,6,FALSE)), ARRAYFORMULA(VLOOKUP("&amp;"SPLIT(G733, "", ""),Injections!N:S,6,FALSE)), ARRAYFORMULA(VLOOKUP(SPLIT(H733, "", ""),Injections!T:Y,6,FALSE)) },3))))"),"")</f>
        <v/>
      </c>
      <c r="S733" s="10"/>
      <c r="T733" s="1"/>
      <c r="V733" s="11"/>
      <c r="W733" s="12"/>
      <c r="X733" s="12"/>
      <c r="Y733" s="11"/>
      <c r="Z733" s="11"/>
      <c r="AA733" s="11"/>
    </row>
    <row r="734" spans="1:27" ht="13" x14ac:dyDescent="0.15">
      <c r="A734" s="7"/>
      <c r="G734" s="8"/>
      <c r="H734" s="8"/>
      <c r="I734" s="8"/>
      <c r="M734" s="8"/>
      <c r="R734" s="10" t="str">
        <f ca="1">IFERROR(__xludf.DUMMYFUNCTION("JOIN("","", SORT(UNIQUE(TOCOL({VLOOKUP(D734,DM_fish!A:B,2,FALSE),VLOOKUP(C734,DM_fish!A:B,2,FALSE), ARRAYFORMULA(VLOOKUP(SPLIT(E734, "", ""),Injections!B:G,6,FALSE)), ARRAYFORMULA(VLOOKUP(SPLIT(F734, "", ""),Injections!H:M,6,FALSE)), ARRAYFORMULA(VLOOKUP("&amp;"SPLIT(G734, "", ""),Injections!N:S,6,FALSE)), ARRAYFORMULA(VLOOKUP(SPLIT(H734, "", ""),Injections!T:Y,6,FALSE)) },3))))"),"")</f>
        <v/>
      </c>
      <c r="S734" s="10"/>
      <c r="T734" s="1"/>
      <c r="V734" s="11"/>
      <c r="W734" s="12"/>
      <c r="X734" s="12"/>
      <c r="Y734" s="11"/>
      <c r="Z734" s="11"/>
      <c r="AA734" s="11"/>
    </row>
    <row r="735" spans="1:27" ht="13" x14ac:dyDescent="0.15">
      <c r="A735" s="7"/>
      <c r="G735" s="8"/>
      <c r="H735" s="8"/>
      <c r="I735" s="8"/>
      <c r="M735" s="8"/>
      <c r="R735" s="10" t="str">
        <f ca="1">IFERROR(__xludf.DUMMYFUNCTION("JOIN("","", SORT(UNIQUE(TOCOL({VLOOKUP(D735,DM_fish!A:B,2,FALSE),VLOOKUP(C735,DM_fish!A:B,2,FALSE), ARRAYFORMULA(VLOOKUP(SPLIT(E735, "", ""),Injections!B:G,6,FALSE)), ARRAYFORMULA(VLOOKUP(SPLIT(F735, "", ""),Injections!H:M,6,FALSE)), ARRAYFORMULA(VLOOKUP("&amp;"SPLIT(G735, "", ""),Injections!N:S,6,FALSE)), ARRAYFORMULA(VLOOKUP(SPLIT(H735, "", ""),Injections!T:Y,6,FALSE)) },3))))"),"")</f>
        <v/>
      </c>
      <c r="S735" s="10"/>
      <c r="T735" s="1"/>
      <c r="V735" s="11"/>
      <c r="W735" s="12"/>
      <c r="X735" s="12"/>
      <c r="Y735" s="11"/>
      <c r="Z735" s="11"/>
      <c r="AA735" s="11"/>
    </row>
    <row r="736" spans="1:27" ht="13" x14ac:dyDescent="0.15">
      <c r="A736" s="7"/>
      <c r="G736" s="8"/>
      <c r="H736" s="8"/>
      <c r="I736" s="8"/>
      <c r="M736" s="8"/>
      <c r="R736" s="10" t="str">
        <f ca="1">IFERROR(__xludf.DUMMYFUNCTION("JOIN("","", SORT(UNIQUE(TOCOL({VLOOKUP(D736,DM_fish!A:B,2,FALSE),VLOOKUP(C736,DM_fish!A:B,2,FALSE), ARRAYFORMULA(VLOOKUP(SPLIT(E736, "", ""),Injections!B:G,6,FALSE)), ARRAYFORMULA(VLOOKUP(SPLIT(F736, "", ""),Injections!H:M,6,FALSE)), ARRAYFORMULA(VLOOKUP("&amp;"SPLIT(G736, "", ""),Injections!N:S,6,FALSE)), ARRAYFORMULA(VLOOKUP(SPLIT(H736, "", ""),Injections!T:Y,6,FALSE)) },3))))"),"")</f>
        <v/>
      </c>
      <c r="S736" s="10"/>
      <c r="T736" s="1"/>
      <c r="V736" s="11"/>
      <c r="W736" s="12"/>
      <c r="X736" s="12"/>
      <c r="Y736" s="11"/>
      <c r="Z736" s="11"/>
      <c r="AA736" s="11"/>
    </row>
    <row r="737" spans="1:27" ht="13" x14ac:dyDescent="0.15">
      <c r="A737" s="7"/>
      <c r="G737" s="8"/>
      <c r="H737" s="8"/>
      <c r="I737" s="8"/>
      <c r="M737" s="8"/>
      <c r="R737" s="10" t="str">
        <f ca="1">IFERROR(__xludf.DUMMYFUNCTION("JOIN("","", SORT(UNIQUE(TOCOL({VLOOKUP(D737,DM_fish!A:B,2,FALSE),VLOOKUP(C737,DM_fish!A:B,2,FALSE), ARRAYFORMULA(VLOOKUP(SPLIT(E737, "", ""),Injections!B:G,6,FALSE)), ARRAYFORMULA(VLOOKUP(SPLIT(F737, "", ""),Injections!H:M,6,FALSE)), ARRAYFORMULA(VLOOKUP("&amp;"SPLIT(G737, "", ""),Injections!N:S,6,FALSE)), ARRAYFORMULA(VLOOKUP(SPLIT(H737, "", ""),Injections!T:Y,6,FALSE)) },3))))"),"")</f>
        <v/>
      </c>
      <c r="S737" s="10"/>
      <c r="T737" s="1"/>
      <c r="V737" s="11"/>
      <c r="W737" s="12"/>
      <c r="X737" s="12"/>
      <c r="Y737" s="11"/>
      <c r="Z737" s="11"/>
      <c r="AA737" s="11"/>
    </row>
    <row r="738" spans="1:27" ht="13" x14ac:dyDescent="0.15">
      <c r="A738" s="7"/>
      <c r="G738" s="8"/>
      <c r="H738" s="8"/>
      <c r="I738" s="8"/>
      <c r="M738" s="8"/>
      <c r="R738" s="10" t="str">
        <f ca="1">IFERROR(__xludf.DUMMYFUNCTION("JOIN("","", SORT(UNIQUE(TOCOL({VLOOKUP(D738,DM_fish!A:B,2,FALSE),VLOOKUP(C738,DM_fish!A:B,2,FALSE), ARRAYFORMULA(VLOOKUP(SPLIT(E738, "", ""),Injections!B:G,6,FALSE)), ARRAYFORMULA(VLOOKUP(SPLIT(F738, "", ""),Injections!H:M,6,FALSE)), ARRAYFORMULA(VLOOKUP("&amp;"SPLIT(G738, "", ""),Injections!N:S,6,FALSE)), ARRAYFORMULA(VLOOKUP(SPLIT(H738, "", ""),Injections!T:Y,6,FALSE)) },3))))"),"")</f>
        <v/>
      </c>
      <c r="S738" s="10"/>
      <c r="T738" s="1"/>
      <c r="V738" s="11"/>
      <c r="W738" s="12"/>
      <c r="X738" s="12"/>
      <c r="Y738" s="11"/>
      <c r="Z738" s="11"/>
      <c r="AA738" s="11"/>
    </row>
    <row r="739" spans="1:27" ht="13" x14ac:dyDescent="0.15">
      <c r="A739" s="7"/>
      <c r="G739" s="8"/>
      <c r="H739" s="8"/>
      <c r="I739" s="8"/>
      <c r="M739" s="8"/>
      <c r="R739" s="10" t="str">
        <f ca="1">IFERROR(__xludf.DUMMYFUNCTION("JOIN("","", SORT(UNIQUE(TOCOL({VLOOKUP(D739,DM_fish!A:B,2,FALSE),VLOOKUP(C739,DM_fish!A:B,2,FALSE), ARRAYFORMULA(VLOOKUP(SPLIT(E739, "", ""),Injections!B:G,6,FALSE)), ARRAYFORMULA(VLOOKUP(SPLIT(F739, "", ""),Injections!H:M,6,FALSE)), ARRAYFORMULA(VLOOKUP("&amp;"SPLIT(G739, "", ""),Injections!N:S,6,FALSE)), ARRAYFORMULA(VLOOKUP(SPLIT(H739, "", ""),Injections!T:Y,6,FALSE)) },3))))"),"")</f>
        <v/>
      </c>
      <c r="S739" s="10"/>
      <c r="T739" s="1"/>
      <c r="V739" s="11"/>
      <c r="W739" s="12"/>
      <c r="X739" s="12"/>
      <c r="Y739" s="11"/>
      <c r="Z739" s="11"/>
      <c r="AA739" s="11"/>
    </row>
    <row r="740" spans="1:27" ht="13" x14ac:dyDescent="0.15">
      <c r="A740" s="7"/>
      <c r="G740" s="8"/>
      <c r="H740" s="8"/>
      <c r="I740" s="8"/>
      <c r="M740" s="8"/>
      <c r="R740" s="10" t="str">
        <f ca="1">IFERROR(__xludf.DUMMYFUNCTION("JOIN("","", SORT(UNIQUE(TOCOL({VLOOKUP(D740,DM_fish!A:B,2,FALSE),VLOOKUP(C740,DM_fish!A:B,2,FALSE), ARRAYFORMULA(VLOOKUP(SPLIT(E740, "", ""),Injections!B:G,6,FALSE)), ARRAYFORMULA(VLOOKUP(SPLIT(F740, "", ""),Injections!H:M,6,FALSE)), ARRAYFORMULA(VLOOKUP("&amp;"SPLIT(G740, "", ""),Injections!N:S,6,FALSE)), ARRAYFORMULA(VLOOKUP(SPLIT(H740, "", ""),Injections!T:Y,6,FALSE)) },3))))"),"")</f>
        <v/>
      </c>
      <c r="S740" s="10"/>
      <c r="T740" s="1"/>
      <c r="V740" s="11"/>
      <c r="W740" s="12"/>
      <c r="X740" s="12"/>
      <c r="Y740" s="11"/>
      <c r="Z740" s="11"/>
      <c r="AA740" s="11"/>
    </row>
    <row r="741" spans="1:27" ht="13" x14ac:dyDescent="0.15">
      <c r="A741" s="7"/>
      <c r="G741" s="8"/>
      <c r="H741" s="8"/>
      <c r="I741" s="8"/>
      <c r="M741" s="8"/>
      <c r="R741" s="10" t="str">
        <f ca="1">IFERROR(__xludf.DUMMYFUNCTION("JOIN("","", SORT(UNIQUE(TOCOL({VLOOKUP(D741,DM_fish!A:B,2,FALSE),VLOOKUP(C741,DM_fish!A:B,2,FALSE), ARRAYFORMULA(VLOOKUP(SPLIT(E741, "", ""),Injections!B:G,6,FALSE)), ARRAYFORMULA(VLOOKUP(SPLIT(F741, "", ""),Injections!H:M,6,FALSE)), ARRAYFORMULA(VLOOKUP("&amp;"SPLIT(G741, "", ""),Injections!N:S,6,FALSE)), ARRAYFORMULA(VLOOKUP(SPLIT(H741, "", ""),Injections!T:Y,6,FALSE)) },3))))"),"")</f>
        <v/>
      </c>
      <c r="S741" s="10"/>
      <c r="T741" s="1"/>
      <c r="V741" s="11"/>
      <c r="W741" s="12"/>
      <c r="X741" s="12"/>
      <c r="Y741" s="11"/>
      <c r="Z741" s="11"/>
      <c r="AA741" s="11"/>
    </row>
    <row r="742" spans="1:27" ht="13" x14ac:dyDescent="0.15">
      <c r="A742" s="7"/>
      <c r="G742" s="8"/>
      <c r="H742" s="8"/>
      <c r="I742" s="8"/>
      <c r="M742" s="8"/>
      <c r="R742" s="10" t="str">
        <f ca="1">IFERROR(__xludf.DUMMYFUNCTION("JOIN("","", SORT(UNIQUE(TOCOL({VLOOKUP(D742,DM_fish!A:B,2,FALSE),VLOOKUP(C742,DM_fish!A:B,2,FALSE), ARRAYFORMULA(VLOOKUP(SPLIT(E742, "", ""),Injections!B:G,6,FALSE)), ARRAYFORMULA(VLOOKUP(SPLIT(F742, "", ""),Injections!H:M,6,FALSE)), ARRAYFORMULA(VLOOKUP("&amp;"SPLIT(G742, "", ""),Injections!N:S,6,FALSE)), ARRAYFORMULA(VLOOKUP(SPLIT(H742, "", ""),Injections!T:Y,6,FALSE)) },3))))"),"")</f>
        <v/>
      </c>
      <c r="S742" s="10"/>
      <c r="T742" s="1"/>
      <c r="V742" s="11"/>
      <c r="W742" s="12"/>
      <c r="X742" s="12"/>
      <c r="Y742" s="11"/>
      <c r="Z742" s="11"/>
      <c r="AA742" s="11"/>
    </row>
    <row r="743" spans="1:27" ht="13" x14ac:dyDescent="0.15">
      <c r="A743" s="7"/>
      <c r="G743" s="8"/>
      <c r="H743" s="8"/>
      <c r="I743" s="8"/>
      <c r="M743" s="8"/>
      <c r="R743" s="10" t="str">
        <f ca="1">IFERROR(__xludf.DUMMYFUNCTION("JOIN("","", SORT(UNIQUE(TOCOL({VLOOKUP(D743,DM_fish!A:B,2,FALSE),VLOOKUP(C743,DM_fish!A:B,2,FALSE), ARRAYFORMULA(VLOOKUP(SPLIT(E743, "", ""),Injections!B:G,6,FALSE)), ARRAYFORMULA(VLOOKUP(SPLIT(F743, "", ""),Injections!H:M,6,FALSE)), ARRAYFORMULA(VLOOKUP("&amp;"SPLIT(G743, "", ""),Injections!N:S,6,FALSE)), ARRAYFORMULA(VLOOKUP(SPLIT(H743, "", ""),Injections!T:Y,6,FALSE)) },3))))"),"")</f>
        <v/>
      </c>
      <c r="S743" s="10"/>
      <c r="T743" s="1"/>
      <c r="V743" s="11"/>
      <c r="W743" s="12"/>
      <c r="X743" s="12"/>
      <c r="Y743" s="11"/>
      <c r="Z743" s="11"/>
      <c r="AA743" s="11"/>
    </row>
    <row r="744" spans="1:27" ht="13" x14ac:dyDescent="0.15">
      <c r="A744" s="7"/>
      <c r="G744" s="8"/>
      <c r="H744" s="8"/>
      <c r="I744" s="8"/>
      <c r="M744" s="8"/>
      <c r="R744" s="10" t="str">
        <f ca="1">IFERROR(__xludf.DUMMYFUNCTION("JOIN("","", SORT(UNIQUE(TOCOL({VLOOKUP(D744,DM_fish!A:B,2,FALSE),VLOOKUP(C744,DM_fish!A:B,2,FALSE), ARRAYFORMULA(VLOOKUP(SPLIT(E744, "", ""),Injections!B:G,6,FALSE)), ARRAYFORMULA(VLOOKUP(SPLIT(F744, "", ""),Injections!H:M,6,FALSE)), ARRAYFORMULA(VLOOKUP("&amp;"SPLIT(G744, "", ""),Injections!N:S,6,FALSE)), ARRAYFORMULA(VLOOKUP(SPLIT(H744, "", ""),Injections!T:Y,6,FALSE)) },3))))"),"")</f>
        <v/>
      </c>
      <c r="S744" s="10"/>
      <c r="T744" s="1"/>
      <c r="V744" s="11"/>
      <c r="W744" s="12"/>
      <c r="X744" s="12"/>
      <c r="Y744" s="11"/>
      <c r="Z744" s="11"/>
      <c r="AA744" s="11"/>
    </row>
    <row r="745" spans="1:27" ht="13" x14ac:dyDescent="0.15">
      <c r="A745" s="7"/>
      <c r="G745" s="8"/>
      <c r="H745" s="8"/>
      <c r="I745" s="8"/>
      <c r="M745" s="8"/>
      <c r="R745" s="10" t="str">
        <f ca="1">IFERROR(__xludf.DUMMYFUNCTION("JOIN("","", SORT(UNIQUE(TOCOL({VLOOKUP(D745,DM_fish!A:B,2,FALSE),VLOOKUP(C745,DM_fish!A:B,2,FALSE), ARRAYFORMULA(VLOOKUP(SPLIT(E745, "", ""),Injections!B:G,6,FALSE)), ARRAYFORMULA(VLOOKUP(SPLIT(F745, "", ""),Injections!H:M,6,FALSE)), ARRAYFORMULA(VLOOKUP("&amp;"SPLIT(G745, "", ""),Injections!N:S,6,FALSE)), ARRAYFORMULA(VLOOKUP(SPLIT(H745, "", ""),Injections!T:Y,6,FALSE)) },3))))"),"")</f>
        <v/>
      </c>
      <c r="S745" s="10"/>
      <c r="T745" s="1"/>
      <c r="V745" s="11"/>
      <c r="W745" s="12"/>
      <c r="X745" s="12"/>
      <c r="Y745" s="11"/>
      <c r="Z745" s="11"/>
      <c r="AA745" s="11"/>
    </row>
    <row r="746" spans="1:27" ht="13" x14ac:dyDescent="0.15">
      <c r="A746" s="7"/>
      <c r="G746" s="8"/>
      <c r="H746" s="8"/>
      <c r="I746" s="8"/>
      <c r="M746" s="8"/>
      <c r="R746" s="10" t="str">
        <f ca="1">IFERROR(__xludf.DUMMYFUNCTION("JOIN("","", SORT(UNIQUE(TOCOL({VLOOKUP(D746,DM_fish!A:B,2,FALSE),VLOOKUP(C746,DM_fish!A:B,2,FALSE), ARRAYFORMULA(VLOOKUP(SPLIT(E746, "", ""),Injections!B:G,6,FALSE)), ARRAYFORMULA(VLOOKUP(SPLIT(F746, "", ""),Injections!H:M,6,FALSE)), ARRAYFORMULA(VLOOKUP("&amp;"SPLIT(G746, "", ""),Injections!N:S,6,FALSE)), ARRAYFORMULA(VLOOKUP(SPLIT(H746, "", ""),Injections!T:Y,6,FALSE)) },3))))"),"")</f>
        <v/>
      </c>
      <c r="S746" s="10"/>
      <c r="T746" s="1"/>
      <c r="V746" s="11"/>
      <c r="W746" s="12"/>
      <c r="X746" s="12"/>
      <c r="Y746" s="11"/>
      <c r="Z746" s="11"/>
      <c r="AA746" s="11"/>
    </row>
    <row r="747" spans="1:27" ht="13" x14ac:dyDescent="0.15">
      <c r="A747" s="7"/>
      <c r="G747" s="8"/>
      <c r="H747" s="8"/>
      <c r="I747" s="8"/>
      <c r="M747" s="8"/>
      <c r="R747" s="10" t="str">
        <f ca="1">IFERROR(__xludf.DUMMYFUNCTION("JOIN("","", SORT(UNIQUE(TOCOL({VLOOKUP(D747,DM_fish!A:B,2,FALSE),VLOOKUP(C747,DM_fish!A:B,2,FALSE), ARRAYFORMULA(VLOOKUP(SPLIT(E747, "", ""),Injections!B:G,6,FALSE)), ARRAYFORMULA(VLOOKUP(SPLIT(F747, "", ""),Injections!H:M,6,FALSE)), ARRAYFORMULA(VLOOKUP("&amp;"SPLIT(G747, "", ""),Injections!N:S,6,FALSE)), ARRAYFORMULA(VLOOKUP(SPLIT(H747, "", ""),Injections!T:Y,6,FALSE)) },3))))"),"")</f>
        <v/>
      </c>
      <c r="S747" s="10"/>
      <c r="T747" s="1"/>
      <c r="V747" s="11"/>
      <c r="W747" s="12"/>
      <c r="X747" s="12"/>
      <c r="Y747" s="11"/>
      <c r="Z747" s="11"/>
      <c r="AA747" s="11"/>
    </row>
    <row r="748" spans="1:27" ht="13" x14ac:dyDescent="0.15">
      <c r="A748" s="7"/>
      <c r="G748" s="8"/>
      <c r="H748" s="8"/>
      <c r="I748" s="8"/>
      <c r="M748" s="8"/>
      <c r="R748" s="10" t="str">
        <f ca="1">IFERROR(__xludf.DUMMYFUNCTION("JOIN("","", SORT(UNIQUE(TOCOL({VLOOKUP(D748,DM_fish!A:B,2,FALSE),VLOOKUP(C748,DM_fish!A:B,2,FALSE), ARRAYFORMULA(VLOOKUP(SPLIT(E748, "", ""),Injections!B:G,6,FALSE)), ARRAYFORMULA(VLOOKUP(SPLIT(F748, "", ""),Injections!H:M,6,FALSE)), ARRAYFORMULA(VLOOKUP("&amp;"SPLIT(G748, "", ""),Injections!N:S,6,FALSE)), ARRAYFORMULA(VLOOKUP(SPLIT(H748, "", ""),Injections!T:Y,6,FALSE)) },3))))"),"")</f>
        <v/>
      </c>
      <c r="S748" s="10"/>
      <c r="T748" s="1"/>
      <c r="V748" s="11"/>
      <c r="W748" s="12"/>
      <c r="X748" s="12"/>
      <c r="Y748" s="11"/>
      <c r="Z748" s="11"/>
      <c r="AA748" s="11"/>
    </row>
    <row r="749" spans="1:27" ht="13" x14ac:dyDescent="0.15">
      <c r="A749" s="7"/>
      <c r="G749" s="8"/>
      <c r="H749" s="8"/>
      <c r="I749" s="8"/>
      <c r="M749" s="8"/>
      <c r="R749" s="10" t="str">
        <f ca="1">IFERROR(__xludf.DUMMYFUNCTION("JOIN("","", SORT(UNIQUE(TOCOL({VLOOKUP(D749,DM_fish!A:B,2,FALSE),VLOOKUP(C749,DM_fish!A:B,2,FALSE), ARRAYFORMULA(VLOOKUP(SPLIT(E749, "", ""),Injections!B:G,6,FALSE)), ARRAYFORMULA(VLOOKUP(SPLIT(F749, "", ""),Injections!H:M,6,FALSE)), ARRAYFORMULA(VLOOKUP("&amp;"SPLIT(G749, "", ""),Injections!N:S,6,FALSE)), ARRAYFORMULA(VLOOKUP(SPLIT(H749, "", ""),Injections!T:Y,6,FALSE)) },3))))"),"")</f>
        <v/>
      </c>
      <c r="S749" s="10"/>
      <c r="T749" s="1"/>
      <c r="V749" s="11"/>
      <c r="W749" s="12"/>
      <c r="X749" s="12"/>
      <c r="Y749" s="11"/>
      <c r="Z749" s="11"/>
      <c r="AA749" s="11"/>
    </row>
    <row r="750" spans="1:27" ht="13" x14ac:dyDescent="0.15">
      <c r="A750" s="7"/>
      <c r="G750" s="8"/>
      <c r="H750" s="8"/>
      <c r="I750" s="8"/>
      <c r="M750" s="8"/>
      <c r="R750" s="10" t="str">
        <f ca="1">IFERROR(__xludf.DUMMYFUNCTION("JOIN("","", SORT(UNIQUE(TOCOL({VLOOKUP(D750,DM_fish!A:B,2,FALSE),VLOOKUP(C750,DM_fish!A:B,2,FALSE), ARRAYFORMULA(VLOOKUP(SPLIT(E750, "", ""),Injections!B:G,6,FALSE)), ARRAYFORMULA(VLOOKUP(SPLIT(F750, "", ""),Injections!H:M,6,FALSE)), ARRAYFORMULA(VLOOKUP("&amp;"SPLIT(G750, "", ""),Injections!N:S,6,FALSE)), ARRAYFORMULA(VLOOKUP(SPLIT(H750, "", ""),Injections!T:Y,6,FALSE)) },3))))"),"")</f>
        <v/>
      </c>
      <c r="S750" s="10"/>
      <c r="T750" s="1"/>
      <c r="V750" s="11"/>
      <c r="W750" s="12"/>
      <c r="X750" s="12"/>
      <c r="Y750" s="11"/>
      <c r="Z750" s="11"/>
      <c r="AA750" s="11"/>
    </row>
    <row r="751" spans="1:27" ht="13" x14ac:dyDescent="0.15">
      <c r="A751" s="7"/>
      <c r="G751" s="8"/>
      <c r="H751" s="8"/>
      <c r="I751" s="8"/>
      <c r="M751" s="8"/>
      <c r="R751" s="10" t="str">
        <f ca="1">IFERROR(__xludf.DUMMYFUNCTION("JOIN("","", SORT(UNIQUE(TOCOL({VLOOKUP(D751,DM_fish!A:B,2,FALSE),VLOOKUP(C751,DM_fish!A:B,2,FALSE), ARRAYFORMULA(VLOOKUP(SPLIT(E751, "", ""),Injections!B:G,6,FALSE)), ARRAYFORMULA(VLOOKUP(SPLIT(F751, "", ""),Injections!H:M,6,FALSE)), ARRAYFORMULA(VLOOKUP("&amp;"SPLIT(G751, "", ""),Injections!N:S,6,FALSE)), ARRAYFORMULA(VLOOKUP(SPLIT(H751, "", ""),Injections!T:Y,6,FALSE)) },3))))"),"")</f>
        <v/>
      </c>
      <c r="S751" s="10"/>
      <c r="T751" s="1"/>
      <c r="V751" s="11"/>
      <c r="W751" s="12"/>
      <c r="X751" s="12"/>
      <c r="Y751" s="11"/>
      <c r="Z751" s="11"/>
      <c r="AA751" s="11"/>
    </row>
    <row r="752" spans="1:27" ht="13" x14ac:dyDescent="0.15">
      <c r="A752" s="7"/>
      <c r="G752" s="8"/>
      <c r="H752" s="8"/>
      <c r="I752" s="8"/>
      <c r="M752" s="8"/>
      <c r="R752" s="10" t="str">
        <f ca="1">IFERROR(__xludf.DUMMYFUNCTION("JOIN("","", SORT(UNIQUE(TOCOL({VLOOKUP(D752,DM_fish!A:B,2,FALSE),VLOOKUP(C752,DM_fish!A:B,2,FALSE), ARRAYFORMULA(VLOOKUP(SPLIT(E752, "", ""),Injections!B:G,6,FALSE)), ARRAYFORMULA(VLOOKUP(SPLIT(F752, "", ""),Injections!H:M,6,FALSE)), ARRAYFORMULA(VLOOKUP("&amp;"SPLIT(G752, "", ""),Injections!N:S,6,FALSE)), ARRAYFORMULA(VLOOKUP(SPLIT(H752, "", ""),Injections!T:Y,6,FALSE)) },3))))"),"")</f>
        <v/>
      </c>
      <c r="S752" s="10"/>
      <c r="T752" s="1"/>
      <c r="V752" s="11"/>
      <c r="W752" s="12"/>
      <c r="X752" s="12"/>
      <c r="Y752" s="11"/>
      <c r="Z752" s="11"/>
      <c r="AA752" s="11"/>
    </row>
    <row r="753" spans="1:27" ht="13" x14ac:dyDescent="0.15">
      <c r="A753" s="7"/>
      <c r="G753" s="8"/>
      <c r="H753" s="8"/>
      <c r="I753" s="8"/>
      <c r="M753" s="8"/>
      <c r="R753" s="10" t="str">
        <f ca="1">IFERROR(__xludf.DUMMYFUNCTION("JOIN("","", SORT(UNIQUE(TOCOL({VLOOKUP(D753,DM_fish!A:B,2,FALSE),VLOOKUP(C753,DM_fish!A:B,2,FALSE), ARRAYFORMULA(VLOOKUP(SPLIT(E753, "", ""),Injections!B:G,6,FALSE)), ARRAYFORMULA(VLOOKUP(SPLIT(F753, "", ""),Injections!H:M,6,FALSE)), ARRAYFORMULA(VLOOKUP("&amp;"SPLIT(G753, "", ""),Injections!N:S,6,FALSE)), ARRAYFORMULA(VLOOKUP(SPLIT(H753, "", ""),Injections!T:Y,6,FALSE)) },3))))"),"")</f>
        <v/>
      </c>
      <c r="S753" s="10"/>
      <c r="T753" s="1"/>
      <c r="V753" s="11"/>
      <c r="W753" s="12"/>
      <c r="X753" s="12"/>
      <c r="Y753" s="11"/>
      <c r="Z753" s="11"/>
      <c r="AA753" s="11"/>
    </row>
    <row r="754" spans="1:27" ht="13" x14ac:dyDescent="0.15">
      <c r="A754" s="7"/>
      <c r="G754" s="8"/>
      <c r="H754" s="8"/>
      <c r="I754" s="8"/>
      <c r="M754" s="8"/>
      <c r="R754" s="10" t="str">
        <f ca="1">IFERROR(__xludf.DUMMYFUNCTION("JOIN("","", SORT(UNIQUE(TOCOL({VLOOKUP(D754,DM_fish!A:B,2,FALSE),VLOOKUP(C754,DM_fish!A:B,2,FALSE), ARRAYFORMULA(VLOOKUP(SPLIT(E754, "", ""),Injections!B:G,6,FALSE)), ARRAYFORMULA(VLOOKUP(SPLIT(F754, "", ""),Injections!H:M,6,FALSE)), ARRAYFORMULA(VLOOKUP("&amp;"SPLIT(G754, "", ""),Injections!N:S,6,FALSE)), ARRAYFORMULA(VLOOKUP(SPLIT(H754, "", ""),Injections!T:Y,6,FALSE)) },3))))"),"")</f>
        <v/>
      </c>
      <c r="S754" s="10"/>
      <c r="T754" s="1"/>
      <c r="V754" s="11"/>
      <c r="W754" s="12"/>
      <c r="X754" s="12"/>
      <c r="Y754" s="11"/>
      <c r="Z754" s="11"/>
      <c r="AA754" s="11"/>
    </row>
    <row r="755" spans="1:27" ht="13" x14ac:dyDescent="0.15">
      <c r="A755" s="7"/>
      <c r="G755" s="8"/>
      <c r="H755" s="8"/>
      <c r="I755" s="8"/>
      <c r="M755" s="8"/>
      <c r="R755" s="10" t="str">
        <f ca="1">IFERROR(__xludf.DUMMYFUNCTION("JOIN("","", SORT(UNIQUE(TOCOL({VLOOKUP(D755,DM_fish!A:B,2,FALSE),VLOOKUP(C755,DM_fish!A:B,2,FALSE), ARRAYFORMULA(VLOOKUP(SPLIT(E755, "", ""),Injections!B:G,6,FALSE)), ARRAYFORMULA(VLOOKUP(SPLIT(F755, "", ""),Injections!H:M,6,FALSE)), ARRAYFORMULA(VLOOKUP("&amp;"SPLIT(G755, "", ""),Injections!N:S,6,FALSE)), ARRAYFORMULA(VLOOKUP(SPLIT(H755, "", ""),Injections!T:Y,6,FALSE)) },3))))"),"")</f>
        <v/>
      </c>
      <c r="S755" s="10"/>
      <c r="T755" s="1"/>
      <c r="V755" s="11"/>
      <c r="W755" s="12"/>
      <c r="X755" s="12"/>
      <c r="Y755" s="11"/>
      <c r="Z755" s="11"/>
      <c r="AA755" s="11"/>
    </row>
    <row r="756" spans="1:27" ht="13" x14ac:dyDescent="0.15">
      <c r="A756" s="7"/>
      <c r="G756" s="8"/>
      <c r="H756" s="8"/>
      <c r="I756" s="8"/>
      <c r="M756" s="8"/>
      <c r="R756" s="10" t="str">
        <f ca="1">IFERROR(__xludf.DUMMYFUNCTION("JOIN("","", SORT(UNIQUE(TOCOL({VLOOKUP(D756,DM_fish!A:B,2,FALSE),VLOOKUP(C756,DM_fish!A:B,2,FALSE), ARRAYFORMULA(VLOOKUP(SPLIT(E756, "", ""),Injections!B:G,6,FALSE)), ARRAYFORMULA(VLOOKUP(SPLIT(F756, "", ""),Injections!H:M,6,FALSE)), ARRAYFORMULA(VLOOKUP("&amp;"SPLIT(G756, "", ""),Injections!N:S,6,FALSE)), ARRAYFORMULA(VLOOKUP(SPLIT(H756, "", ""),Injections!T:Y,6,FALSE)) },3))))"),"")</f>
        <v/>
      </c>
      <c r="S756" s="10"/>
      <c r="T756" s="1"/>
      <c r="V756" s="11"/>
      <c r="W756" s="12"/>
      <c r="X756" s="12"/>
      <c r="Y756" s="11"/>
      <c r="Z756" s="11"/>
      <c r="AA756" s="11"/>
    </row>
    <row r="757" spans="1:27" ht="13" x14ac:dyDescent="0.15">
      <c r="A757" s="7"/>
      <c r="G757" s="8"/>
      <c r="H757" s="8"/>
      <c r="I757" s="8"/>
      <c r="M757" s="8"/>
      <c r="R757" s="10" t="str">
        <f ca="1">IFERROR(__xludf.DUMMYFUNCTION("JOIN("","", SORT(UNIQUE(TOCOL({VLOOKUP(D757,DM_fish!A:B,2,FALSE),VLOOKUP(C757,DM_fish!A:B,2,FALSE), ARRAYFORMULA(VLOOKUP(SPLIT(E757, "", ""),Injections!B:G,6,FALSE)), ARRAYFORMULA(VLOOKUP(SPLIT(F757, "", ""),Injections!H:M,6,FALSE)), ARRAYFORMULA(VLOOKUP("&amp;"SPLIT(G757, "", ""),Injections!N:S,6,FALSE)), ARRAYFORMULA(VLOOKUP(SPLIT(H757, "", ""),Injections!T:Y,6,FALSE)) },3))))"),"")</f>
        <v/>
      </c>
      <c r="S757" s="10"/>
      <c r="T757" s="1"/>
      <c r="V757" s="11"/>
      <c r="W757" s="12"/>
      <c r="X757" s="12"/>
      <c r="Y757" s="11"/>
      <c r="Z757" s="11"/>
      <c r="AA757" s="11"/>
    </row>
    <row r="758" spans="1:27" ht="13" x14ac:dyDescent="0.15">
      <c r="A758" s="7"/>
      <c r="G758" s="8"/>
      <c r="H758" s="8"/>
      <c r="I758" s="8"/>
      <c r="M758" s="8"/>
      <c r="R758" s="10" t="str">
        <f ca="1">IFERROR(__xludf.DUMMYFUNCTION("JOIN("","", SORT(UNIQUE(TOCOL({VLOOKUP(D758,DM_fish!A:B,2,FALSE),VLOOKUP(C758,DM_fish!A:B,2,FALSE), ARRAYFORMULA(VLOOKUP(SPLIT(E758, "", ""),Injections!B:G,6,FALSE)), ARRAYFORMULA(VLOOKUP(SPLIT(F758, "", ""),Injections!H:M,6,FALSE)), ARRAYFORMULA(VLOOKUP("&amp;"SPLIT(G758, "", ""),Injections!N:S,6,FALSE)), ARRAYFORMULA(VLOOKUP(SPLIT(H758, "", ""),Injections!T:Y,6,FALSE)) },3))))"),"")</f>
        <v/>
      </c>
      <c r="S758" s="10"/>
      <c r="T758" s="1"/>
      <c r="V758" s="11"/>
      <c r="W758" s="12"/>
      <c r="X758" s="12"/>
      <c r="Y758" s="11"/>
      <c r="Z758" s="11"/>
      <c r="AA758" s="11"/>
    </row>
    <row r="759" spans="1:27" ht="13" x14ac:dyDescent="0.15">
      <c r="A759" s="7"/>
      <c r="G759" s="8"/>
      <c r="H759" s="8"/>
      <c r="I759" s="8"/>
      <c r="M759" s="8"/>
      <c r="R759" s="10" t="str">
        <f ca="1">IFERROR(__xludf.DUMMYFUNCTION("JOIN("","", SORT(UNIQUE(TOCOL({VLOOKUP(D759,DM_fish!A:B,2,FALSE),VLOOKUP(C759,DM_fish!A:B,2,FALSE), ARRAYFORMULA(VLOOKUP(SPLIT(E759, "", ""),Injections!B:G,6,FALSE)), ARRAYFORMULA(VLOOKUP(SPLIT(F759, "", ""),Injections!H:M,6,FALSE)), ARRAYFORMULA(VLOOKUP("&amp;"SPLIT(G759, "", ""),Injections!N:S,6,FALSE)), ARRAYFORMULA(VLOOKUP(SPLIT(H759, "", ""),Injections!T:Y,6,FALSE)) },3))))"),"")</f>
        <v/>
      </c>
      <c r="S759" s="10"/>
      <c r="T759" s="1"/>
      <c r="V759" s="11"/>
      <c r="W759" s="12"/>
      <c r="X759" s="12"/>
      <c r="Y759" s="11"/>
      <c r="Z759" s="11"/>
      <c r="AA759" s="11"/>
    </row>
    <row r="760" spans="1:27" ht="13" x14ac:dyDescent="0.15">
      <c r="A760" s="7"/>
      <c r="G760" s="8"/>
      <c r="H760" s="8"/>
      <c r="I760" s="8"/>
      <c r="M760" s="8"/>
      <c r="R760" s="10" t="str">
        <f ca="1">IFERROR(__xludf.DUMMYFUNCTION("JOIN("","", SORT(UNIQUE(TOCOL({VLOOKUP(D760,DM_fish!A:B,2,FALSE),VLOOKUP(C760,DM_fish!A:B,2,FALSE), ARRAYFORMULA(VLOOKUP(SPLIT(E760, "", ""),Injections!B:G,6,FALSE)), ARRAYFORMULA(VLOOKUP(SPLIT(F760, "", ""),Injections!H:M,6,FALSE)), ARRAYFORMULA(VLOOKUP("&amp;"SPLIT(G760, "", ""),Injections!N:S,6,FALSE)), ARRAYFORMULA(VLOOKUP(SPLIT(H760, "", ""),Injections!T:Y,6,FALSE)) },3))))"),"")</f>
        <v/>
      </c>
      <c r="S760" s="10"/>
      <c r="T760" s="1"/>
      <c r="V760" s="11"/>
      <c r="W760" s="12"/>
      <c r="X760" s="12"/>
      <c r="Y760" s="11"/>
      <c r="Z760" s="11"/>
      <c r="AA760" s="11"/>
    </row>
    <row r="761" spans="1:27" ht="13" x14ac:dyDescent="0.15">
      <c r="A761" s="7"/>
      <c r="G761" s="8"/>
      <c r="H761" s="8"/>
      <c r="I761" s="8"/>
      <c r="M761" s="8"/>
      <c r="R761" s="10" t="str">
        <f ca="1">IFERROR(__xludf.DUMMYFUNCTION("JOIN("","", SORT(UNIQUE(TOCOL({VLOOKUP(D761,DM_fish!A:B,2,FALSE),VLOOKUP(C761,DM_fish!A:B,2,FALSE), ARRAYFORMULA(VLOOKUP(SPLIT(E761, "", ""),Injections!B:G,6,FALSE)), ARRAYFORMULA(VLOOKUP(SPLIT(F761, "", ""),Injections!H:M,6,FALSE)), ARRAYFORMULA(VLOOKUP("&amp;"SPLIT(G761, "", ""),Injections!N:S,6,FALSE)), ARRAYFORMULA(VLOOKUP(SPLIT(H761, "", ""),Injections!T:Y,6,FALSE)) },3))))"),"")</f>
        <v/>
      </c>
      <c r="S761" s="10"/>
      <c r="T761" s="1"/>
      <c r="V761" s="11"/>
      <c r="W761" s="12"/>
      <c r="X761" s="12"/>
      <c r="Y761" s="11"/>
      <c r="Z761" s="11"/>
      <c r="AA761" s="11"/>
    </row>
    <row r="762" spans="1:27" ht="13" x14ac:dyDescent="0.15">
      <c r="A762" s="7"/>
      <c r="G762" s="8"/>
      <c r="H762" s="8"/>
      <c r="I762" s="8"/>
      <c r="M762" s="8"/>
      <c r="R762" s="10" t="str">
        <f ca="1">IFERROR(__xludf.DUMMYFUNCTION("JOIN("","", SORT(UNIQUE(TOCOL({VLOOKUP(D762,DM_fish!A:B,2,FALSE),VLOOKUP(C762,DM_fish!A:B,2,FALSE), ARRAYFORMULA(VLOOKUP(SPLIT(E762, "", ""),Injections!B:G,6,FALSE)), ARRAYFORMULA(VLOOKUP(SPLIT(F762, "", ""),Injections!H:M,6,FALSE)), ARRAYFORMULA(VLOOKUP("&amp;"SPLIT(G762, "", ""),Injections!N:S,6,FALSE)), ARRAYFORMULA(VLOOKUP(SPLIT(H762, "", ""),Injections!T:Y,6,FALSE)) },3))))"),"")</f>
        <v/>
      </c>
      <c r="S762" s="10"/>
      <c r="T762" s="1"/>
      <c r="V762" s="11"/>
      <c r="W762" s="12"/>
      <c r="X762" s="12"/>
      <c r="Y762" s="11"/>
      <c r="Z762" s="11"/>
      <c r="AA762" s="11"/>
    </row>
    <row r="763" spans="1:27" ht="13" x14ac:dyDescent="0.15">
      <c r="A763" s="7"/>
      <c r="G763" s="8"/>
      <c r="H763" s="8"/>
      <c r="I763" s="8"/>
      <c r="M763" s="8"/>
      <c r="R763" s="10" t="str">
        <f ca="1">IFERROR(__xludf.DUMMYFUNCTION("JOIN("","", SORT(UNIQUE(TOCOL({VLOOKUP(D763,DM_fish!A:B,2,FALSE),VLOOKUP(C763,DM_fish!A:B,2,FALSE), ARRAYFORMULA(VLOOKUP(SPLIT(E763, "", ""),Injections!B:G,6,FALSE)), ARRAYFORMULA(VLOOKUP(SPLIT(F763, "", ""),Injections!H:M,6,FALSE)), ARRAYFORMULA(VLOOKUP("&amp;"SPLIT(G763, "", ""),Injections!N:S,6,FALSE)), ARRAYFORMULA(VLOOKUP(SPLIT(H763, "", ""),Injections!T:Y,6,FALSE)) },3))))"),"")</f>
        <v/>
      </c>
      <c r="S763" s="10"/>
      <c r="T763" s="1"/>
      <c r="V763" s="11"/>
      <c r="W763" s="12"/>
      <c r="X763" s="12"/>
      <c r="Y763" s="11"/>
      <c r="Z763" s="11"/>
      <c r="AA763" s="11"/>
    </row>
    <row r="764" spans="1:27" ht="13" x14ac:dyDescent="0.15">
      <c r="A764" s="7"/>
      <c r="G764" s="8"/>
      <c r="H764" s="8"/>
      <c r="I764" s="8"/>
      <c r="M764" s="8"/>
      <c r="R764" s="10" t="str">
        <f ca="1">IFERROR(__xludf.DUMMYFUNCTION("JOIN("","", SORT(UNIQUE(TOCOL({VLOOKUP(D764,DM_fish!A:B,2,FALSE),VLOOKUP(C764,DM_fish!A:B,2,FALSE), ARRAYFORMULA(VLOOKUP(SPLIT(E764, "", ""),Injections!B:G,6,FALSE)), ARRAYFORMULA(VLOOKUP(SPLIT(F764, "", ""),Injections!H:M,6,FALSE)), ARRAYFORMULA(VLOOKUP("&amp;"SPLIT(G764, "", ""),Injections!N:S,6,FALSE)), ARRAYFORMULA(VLOOKUP(SPLIT(H764, "", ""),Injections!T:Y,6,FALSE)) },3))))"),"")</f>
        <v/>
      </c>
      <c r="S764" s="10"/>
      <c r="T764" s="1"/>
      <c r="V764" s="11"/>
      <c r="W764" s="12"/>
      <c r="X764" s="12"/>
      <c r="Y764" s="11"/>
      <c r="Z764" s="11"/>
      <c r="AA764" s="11"/>
    </row>
    <row r="765" spans="1:27" ht="13" x14ac:dyDescent="0.15">
      <c r="A765" s="7"/>
      <c r="G765" s="8"/>
      <c r="H765" s="8"/>
      <c r="I765" s="8"/>
      <c r="M765" s="8"/>
      <c r="R765" s="10" t="str">
        <f ca="1">IFERROR(__xludf.DUMMYFUNCTION("JOIN("","", SORT(UNIQUE(TOCOL({VLOOKUP(D765,DM_fish!A:B,2,FALSE),VLOOKUP(C765,DM_fish!A:B,2,FALSE), ARRAYFORMULA(VLOOKUP(SPLIT(E765, "", ""),Injections!B:G,6,FALSE)), ARRAYFORMULA(VLOOKUP(SPLIT(F765, "", ""),Injections!H:M,6,FALSE)), ARRAYFORMULA(VLOOKUP("&amp;"SPLIT(G765, "", ""),Injections!N:S,6,FALSE)), ARRAYFORMULA(VLOOKUP(SPLIT(H765, "", ""),Injections!T:Y,6,FALSE)) },3))))"),"")</f>
        <v/>
      </c>
      <c r="S765" s="10"/>
      <c r="T765" s="1"/>
      <c r="V765" s="11"/>
      <c r="W765" s="12"/>
      <c r="X765" s="12"/>
      <c r="Y765" s="11"/>
      <c r="Z765" s="11"/>
      <c r="AA765" s="11"/>
    </row>
    <row r="766" spans="1:27" ht="13" x14ac:dyDescent="0.15">
      <c r="A766" s="7"/>
      <c r="G766" s="8"/>
      <c r="H766" s="8"/>
      <c r="I766" s="8"/>
      <c r="M766" s="8"/>
      <c r="R766" s="10" t="str">
        <f ca="1">IFERROR(__xludf.DUMMYFUNCTION("JOIN("","", SORT(UNIQUE(TOCOL({VLOOKUP(D766,DM_fish!A:B,2,FALSE),VLOOKUP(C766,DM_fish!A:B,2,FALSE), ARRAYFORMULA(VLOOKUP(SPLIT(E766, "", ""),Injections!B:G,6,FALSE)), ARRAYFORMULA(VLOOKUP(SPLIT(F766, "", ""),Injections!H:M,6,FALSE)), ARRAYFORMULA(VLOOKUP("&amp;"SPLIT(G766, "", ""),Injections!N:S,6,FALSE)), ARRAYFORMULA(VLOOKUP(SPLIT(H766, "", ""),Injections!T:Y,6,FALSE)) },3))))"),"")</f>
        <v/>
      </c>
      <c r="S766" s="10"/>
      <c r="T766" s="1"/>
      <c r="V766" s="11"/>
      <c r="W766" s="12"/>
      <c r="X766" s="12"/>
      <c r="Y766" s="11"/>
      <c r="Z766" s="11"/>
      <c r="AA766" s="11"/>
    </row>
    <row r="767" spans="1:27" ht="13" x14ac:dyDescent="0.15">
      <c r="A767" s="7"/>
      <c r="G767" s="8"/>
      <c r="H767" s="8"/>
      <c r="I767" s="8"/>
      <c r="M767" s="8"/>
      <c r="R767" s="10" t="str">
        <f ca="1">IFERROR(__xludf.DUMMYFUNCTION("JOIN("","", SORT(UNIQUE(TOCOL({VLOOKUP(D767,DM_fish!A:B,2,FALSE),VLOOKUP(C767,DM_fish!A:B,2,FALSE), ARRAYFORMULA(VLOOKUP(SPLIT(E767, "", ""),Injections!B:G,6,FALSE)), ARRAYFORMULA(VLOOKUP(SPLIT(F767, "", ""),Injections!H:M,6,FALSE)), ARRAYFORMULA(VLOOKUP("&amp;"SPLIT(G767, "", ""),Injections!N:S,6,FALSE)), ARRAYFORMULA(VLOOKUP(SPLIT(H767, "", ""),Injections!T:Y,6,FALSE)) },3))))"),"")</f>
        <v/>
      </c>
      <c r="S767" s="10"/>
      <c r="T767" s="1"/>
      <c r="V767" s="11"/>
      <c r="W767" s="12"/>
      <c r="X767" s="12"/>
      <c r="Y767" s="11"/>
      <c r="Z767" s="11"/>
      <c r="AA767" s="11"/>
    </row>
    <row r="768" spans="1:27" ht="13" x14ac:dyDescent="0.15">
      <c r="A768" s="7"/>
      <c r="G768" s="8"/>
      <c r="H768" s="8"/>
      <c r="I768" s="8"/>
      <c r="M768" s="8"/>
      <c r="R768" s="10" t="str">
        <f ca="1">IFERROR(__xludf.DUMMYFUNCTION("JOIN("","", SORT(UNIQUE(TOCOL({VLOOKUP(D768,DM_fish!A:B,2,FALSE),VLOOKUP(C768,DM_fish!A:B,2,FALSE), ARRAYFORMULA(VLOOKUP(SPLIT(E768, "", ""),Injections!B:G,6,FALSE)), ARRAYFORMULA(VLOOKUP(SPLIT(F768, "", ""),Injections!H:M,6,FALSE)), ARRAYFORMULA(VLOOKUP("&amp;"SPLIT(G768, "", ""),Injections!N:S,6,FALSE)), ARRAYFORMULA(VLOOKUP(SPLIT(H768, "", ""),Injections!T:Y,6,FALSE)) },3))))"),"")</f>
        <v/>
      </c>
      <c r="S768" s="10"/>
      <c r="T768" s="1"/>
      <c r="V768" s="11"/>
      <c r="W768" s="12"/>
      <c r="X768" s="12"/>
      <c r="Y768" s="11"/>
      <c r="Z768" s="11"/>
      <c r="AA768" s="11"/>
    </row>
    <row r="769" spans="1:27" ht="13" x14ac:dyDescent="0.15">
      <c r="A769" s="7"/>
      <c r="G769" s="8"/>
      <c r="H769" s="8"/>
      <c r="I769" s="8"/>
      <c r="M769" s="8"/>
      <c r="R769" s="10" t="str">
        <f ca="1">IFERROR(__xludf.DUMMYFUNCTION("JOIN("","", SORT(UNIQUE(TOCOL({VLOOKUP(D769,DM_fish!A:B,2,FALSE),VLOOKUP(C769,DM_fish!A:B,2,FALSE), ARRAYFORMULA(VLOOKUP(SPLIT(E769, "", ""),Injections!B:G,6,FALSE)), ARRAYFORMULA(VLOOKUP(SPLIT(F769, "", ""),Injections!H:M,6,FALSE)), ARRAYFORMULA(VLOOKUP("&amp;"SPLIT(G769, "", ""),Injections!N:S,6,FALSE)), ARRAYFORMULA(VLOOKUP(SPLIT(H769, "", ""),Injections!T:Y,6,FALSE)) },3))))"),"")</f>
        <v/>
      </c>
      <c r="S769" s="10"/>
      <c r="T769" s="1"/>
      <c r="V769" s="11"/>
      <c r="W769" s="12"/>
      <c r="X769" s="12"/>
      <c r="Y769" s="11"/>
      <c r="Z769" s="11"/>
      <c r="AA769" s="11"/>
    </row>
    <row r="770" spans="1:27" ht="13" x14ac:dyDescent="0.15">
      <c r="A770" s="7"/>
      <c r="G770" s="8"/>
      <c r="H770" s="8"/>
      <c r="I770" s="8"/>
      <c r="M770" s="8"/>
      <c r="R770" s="10" t="str">
        <f ca="1">IFERROR(__xludf.DUMMYFUNCTION("JOIN("","", SORT(UNIQUE(TOCOL({VLOOKUP(D770,DM_fish!A:B,2,FALSE),VLOOKUP(C770,DM_fish!A:B,2,FALSE), ARRAYFORMULA(VLOOKUP(SPLIT(E770, "", ""),Injections!B:G,6,FALSE)), ARRAYFORMULA(VLOOKUP(SPLIT(F770, "", ""),Injections!H:M,6,FALSE)), ARRAYFORMULA(VLOOKUP("&amp;"SPLIT(G770, "", ""),Injections!N:S,6,FALSE)), ARRAYFORMULA(VLOOKUP(SPLIT(H770, "", ""),Injections!T:Y,6,FALSE)) },3))))"),"")</f>
        <v/>
      </c>
      <c r="S770" s="10"/>
      <c r="T770" s="1"/>
      <c r="V770" s="11"/>
      <c r="W770" s="12"/>
      <c r="X770" s="12"/>
      <c r="Y770" s="11"/>
      <c r="Z770" s="11"/>
      <c r="AA770" s="11"/>
    </row>
    <row r="771" spans="1:27" ht="13" x14ac:dyDescent="0.15">
      <c r="A771" s="7"/>
      <c r="G771" s="8"/>
      <c r="H771" s="8"/>
      <c r="I771" s="8"/>
      <c r="M771" s="8"/>
      <c r="R771" s="10" t="str">
        <f ca="1">IFERROR(__xludf.DUMMYFUNCTION("JOIN("","", SORT(UNIQUE(TOCOL({VLOOKUP(D771,DM_fish!A:B,2,FALSE),VLOOKUP(C771,DM_fish!A:B,2,FALSE), ARRAYFORMULA(VLOOKUP(SPLIT(E771, "", ""),Injections!B:G,6,FALSE)), ARRAYFORMULA(VLOOKUP(SPLIT(F771, "", ""),Injections!H:M,6,FALSE)), ARRAYFORMULA(VLOOKUP("&amp;"SPLIT(G771, "", ""),Injections!N:S,6,FALSE)), ARRAYFORMULA(VLOOKUP(SPLIT(H771, "", ""),Injections!T:Y,6,FALSE)) },3))))"),"")</f>
        <v/>
      </c>
      <c r="S771" s="10"/>
      <c r="T771" s="1"/>
      <c r="V771" s="11"/>
      <c r="W771" s="12"/>
      <c r="X771" s="12"/>
      <c r="Y771" s="11"/>
      <c r="Z771" s="11"/>
      <c r="AA771" s="11"/>
    </row>
    <row r="772" spans="1:27" ht="13" x14ac:dyDescent="0.15">
      <c r="A772" s="7"/>
      <c r="G772" s="8"/>
      <c r="H772" s="8"/>
      <c r="I772" s="8"/>
      <c r="M772" s="8"/>
      <c r="R772" s="10" t="str">
        <f ca="1">IFERROR(__xludf.DUMMYFUNCTION("JOIN("","", SORT(UNIQUE(TOCOL({VLOOKUP(D772,DM_fish!A:B,2,FALSE),VLOOKUP(C772,DM_fish!A:B,2,FALSE), ARRAYFORMULA(VLOOKUP(SPLIT(E772, "", ""),Injections!B:G,6,FALSE)), ARRAYFORMULA(VLOOKUP(SPLIT(F772, "", ""),Injections!H:M,6,FALSE)), ARRAYFORMULA(VLOOKUP("&amp;"SPLIT(G772, "", ""),Injections!N:S,6,FALSE)), ARRAYFORMULA(VLOOKUP(SPLIT(H772, "", ""),Injections!T:Y,6,FALSE)) },3))))"),"")</f>
        <v/>
      </c>
      <c r="S772" s="10"/>
      <c r="T772" s="1"/>
      <c r="V772" s="11"/>
      <c r="W772" s="12"/>
      <c r="X772" s="12"/>
      <c r="Y772" s="11"/>
      <c r="Z772" s="11"/>
      <c r="AA772" s="11"/>
    </row>
    <row r="773" spans="1:27" ht="13" x14ac:dyDescent="0.15">
      <c r="A773" s="7"/>
      <c r="G773" s="8"/>
      <c r="H773" s="8"/>
      <c r="I773" s="8"/>
      <c r="M773" s="8"/>
      <c r="R773" s="10" t="str">
        <f ca="1">IFERROR(__xludf.DUMMYFUNCTION("JOIN("","", SORT(UNIQUE(TOCOL({VLOOKUP(D773,DM_fish!A:B,2,FALSE),VLOOKUP(C773,DM_fish!A:B,2,FALSE), ARRAYFORMULA(VLOOKUP(SPLIT(E773, "", ""),Injections!B:G,6,FALSE)), ARRAYFORMULA(VLOOKUP(SPLIT(F773, "", ""),Injections!H:M,6,FALSE)), ARRAYFORMULA(VLOOKUP("&amp;"SPLIT(G773, "", ""),Injections!N:S,6,FALSE)), ARRAYFORMULA(VLOOKUP(SPLIT(H773, "", ""),Injections!T:Y,6,FALSE)) },3))))"),"")</f>
        <v/>
      </c>
      <c r="S773" s="10"/>
      <c r="T773" s="1"/>
      <c r="V773" s="11"/>
      <c r="W773" s="12"/>
      <c r="X773" s="12"/>
      <c r="Y773" s="11"/>
      <c r="Z773" s="11"/>
      <c r="AA773" s="11"/>
    </row>
    <row r="774" spans="1:27" ht="13" x14ac:dyDescent="0.15">
      <c r="A774" s="7"/>
      <c r="G774" s="8"/>
      <c r="H774" s="8"/>
      <c r="I774" s="8"/>
      <c r="M774" s="8"/>
      <c r="R774" s="10" t="str">
        <f ca="1">IFERROR(__xludf.DUMMYFUNCTION("JOIN("","", SORT(UNIQUE(TOCOL({VLOOKUP(D774,DM_fish!A:B,2,FALSE),VLOOKUP(C774,DM_fish!A:B,2,FALSE), ARRAYFORMULA(VLOOKUP(SPLIT(E774, "", ""),Injections!B:G,6,FALSE)), ARRAYFORMULA(VLOOKUP(SPLIT(F774, "", ""),Injections!H:M,6,FALSE)), ARRAYFORMULA(VLOOKUP("&amp;"SPLIT(G774, "", ""),Injections!N:S,6,FALSE)), ARRAYFORMULA(VLOOKUP(SPLIT(H774, "", ""),Injections!T:Y,6,FALSE)) },3))))"),"")</f>
        <v/>
      </c>
      <c r="S774" s="10"/>
      <c r="T774" s="1"/>
      <c r="V774" s="11"/>
      <c r="W774" s="12"/>
      <c r="X774" s="12"/>
      <c r="Y774" s="11"/>
      <c r="Z774" s="11"/>
      <c r="AA774" s="11"/>
    </row>
    <row r="775" spans="1:27" ht="13" x14ac:dyDescent="0.15">
      <c r="A775" s="7"/>
      <c r="G775" s="8"/>
      <c r="H775" s="8"/>
      <c r="I775" s="8"/>
      <c r="M775" s="8"/>
      <c r="R775" s="10" t="str">
        <f ca="1">IFERROR(__xludf.DUMMYFUNCTION("JOIN("","", SORT(UNIQUE(TOCOL({VLOOKUP(D775,DM_fish!A:B,2,FALSE),VLOOKUP(C775,DM_fish!A:B,2,FALSE), ARRAYFORMULA(VLOOKUP(SPLIT(E775, "", ""),Injections!B:G,6,FALSE)), ARRAYFORMULA(VLOOKUP(SPLIT(F775, "", ""),Injections!H:M,6,FALSE)), ARRAYFORMULA(VLOOKUP("&amp;"SPLIT(G775, "", ""),Injections!N:S,6,FALSE)), ARRAYFORMULA(VLOOKUP(SPLIT(H775, "", ""),Injections!T:Y,6,FALSE)) },3))))"),"")</f>
        <v/>
      </c>
      <c r="S775" s="10"/>
      <c r="T775" s="1"/>
      <c r="V775" s="11"/>
      <c r="W775" s="12"/>
      <c r="X775" s="12"/>
      <c r="Y775" s="11"/>
      <c r="Z775" s="11"/>
      <c r="AA775" s="11"/>
    </row>
    <row r="776" spans="1:27" ht="13" x14ac:dyDescent="0.15">
      <c r="A776" s="7"/>
      <c r="G776" s="8"/>
      <c r="H776" s="8"/>
      <c r="I776" s="8"/>
      <c r="M776" s="8"/>
      <c r="R776" s="10" t="str">
        <f ca="1">IFERROR(__xludf.DUMMYFUNCTION("JOIN("","", SORT(UNIQUE(TOCOL({VLOOKUP(D776,DM_fish!A:B,2,FALSE),VLOOKUP(C776,DM_fish!A:B,2,FALSE), ARRAYFORMULA(VLOOKUP(SPLIT(E776, "", ""),Injections!B:G,6,FALSE)), ARRAYFORMULA(VLOOKUP(SPLIT(F776, "", ""),Injections!H:M,6,FALSE)), ARRAYFORMULA(VLOOKUP("&amp;"SPLIT(G776, "", ""),Injections!N:S,6,FALSE)), ARRAYFORMULA(VLOOKUP(SPLIT(H776, "", ""),Injections!T:Y,6,FALSE)) },3))))"),"")</f>
        <v/>
      </c>
      <c r="S776" s="10"/>
      <c r="T776" s="1"/>
      <c r="V776" s="11"/>
      <c r="W776" s="12"/>
      <c r="X776" s="12"/>
      <c r="Y776" s="11"/>
      <c r="Z776" s="11"/>
      <c r="AA776" s="11"/>
    </row>
    <row r="777" spans="1:27" ht="13" x14ac:dyDescent="0.15">
      <c r="A777" s="7"/>
      <c r="G777" s="8"/>
      <c r="H777" s="8"/>
      <c r="I777" s="8"/>
      <c r="M777" s="8"/>
      <c r="R777" s="10" t="str">
        <f ca="1">IFERROR(__xludf.DUMMYFUNCTION("JOIN("","", SORT(UNIQUE(TOCOL({VLOOKUP(D777,DM_fish!A:B,2,FALSE),VLOOKUP(C777,DM_fish!A:B,2,FALSE), ARRAYFORMULA(VLOOKUP(SPLIT(E777, "", ""),Injections!B:G,6,FALSE)), ARRAYFORMULA(VLOOKUP(SPLIT(F777, "", ""),Injections!H:M,6,FALSE)), ARRAYFORMULA(VLOOKUP("&amp;"SPLIT(G777, "", ""),Injections!N:S,6,FALSE)), ARRAYFORMULA(VLOOKUP(SPLIT(H777, "", ""),Injections!T:Y,6,FALSE)) },3))))"),"")</f>
        <v/>
      </c>
      <c r="S777" s="10"/>
      <c r="T777" s="1"/>
      <c r="V777" s="11"/>
      <c r="W777" s="12"/>
      <c r="X777" s="12"/>
      <c r="Y777" s="11"/>
      <c r="Z777" s="11"/>
      <c r="AA777" s="11"/>
    </row>
    <row r="778" spans="1:27" ht="13" x14ac:dyDescent="0.15">
      <c r="A778" s="7"/>
      <c r="G778" s="8"/>
      <c r="H778" s="8"/>
      <c r="I778" s="8"/>
      <c r="M778" s="8"/>
      <c r="R778" s="10" t="str">
        <f ca="1">IFERROR(__xludf.DUMMYFUNCTION("JOIN("","", SORT(UNIQUE(TOCOL({VLOOKUP(D778,DM_fish!A:B,2,FALSE),VLOOKUP(C778,DM_fish!A:B,2,FALSE), ARRAYFORMULA(VLOOKUP(SPLIT(E778, "", ""),Injections!B:G,6,FALSE)), ARRAYFORMULA(VLOOKUP(SPLIT(F778, "", ""),Injections!H:M,6,FALSE)), ARRAYFORMULA(VLOOKUP("&amp;"SPLIT(G778, "", ""),Injections!N:S,6,FALSE)), ARRAYFORMULA(VLOOKUP(SPLIT(H778, "", ""),Injections!T:Y,6,FALSE)) },3))))"),"")</f>
        <v/>
      </c>
      <c r="S778" s="10"/>
      <c r="T778" s="1"/>
      <c r="V778" s="11"/>
      <c r="W778" s="12"/>
      <c r="X778" s="12"/>
      <c r="Y778" s="11"/>
      <c r="Z778" s="11"/>
      <c r="AA778" s="11"/>
    </row>
    <row r="779" spans="1:27" ht="13" x14ac:dyDescent="0.15">
      <c r="A779" s="7"/>
      <c r="G779" s="8"/>
      <c r="H779" s="8"/>
      <c r="I779" s="8"/>
      <c r="M779" s="8"/>
      <c r="R779" s="10" t="str">
        <f ca="1">IFERROR(__xludf.DUMMYFUNCTION("JOIN("","", SORT(UNIQUE(TOCOL({VLOOKUP(D779,DM_fish!A:B,2,FALSE),VLOOKUP(C779,DM_fish!A:B,2,FALSE), ARRAYFORMULA(VLOOKUP(SPLIT(E779, "", ""),Injections!B:G,6,FALSE)), ARRAYFORMULA(VLOOKUP(SPLIT(F779, "", ""),Injections!H:M,6,FALSE)), ARRAYFORMULA(VLOOKUP("&amp;"SPLIT(G779, "", ""),Injections!N:S,6,FALSE)), ARRAYFORMULA(VLOOKUP(SPLIT(H779, "", ""),Injections!T:Y,6,FALSE)) },3))))"),"")</f>
        <v/>
      </c>
      <c r="S779" s="10"/>
      <c r="T779" s="1"/>
      <c r="V779" s="11"/>
      <c r="W779" s="12"/>
      <c r="X779" s="12"/>
      <c r="Y779" s="11"/>
      <c r="Z779" s="11"/>
      <c r="AA779" s="11"/>
    </row>
    <row r="780" spans="1:27" ht="13" x14ac:dyDescent="0.15">
      <c r="A780" s="7"/>
      <c r="G780" s="8"/>
      <c r="H780" s="8"/>
      <c r="I780" s="8"/>
      <c r="M780" s="8"/>
      <c r="R780" s="10" t="str">
        <f ca="1">IFERROR(__xludf.DUMMYFUNCTION("JOIN("","", SORT(UNIQUE(TOCOL({VLOOKUP(D780,DM_fish!A:B,2,FALSE),VLOOKUP(C780,DM_fish!A:B,2,FALSE), ARRAYFORMULA(VLOOKUP(SPLIT(E780, "", ""),Injections!B:G,6,FALSE)), ARRAYFORMULA(VLOOKUP(SPLIT(F780, "", ""),Injections!H:M,6,FALSE)), ARRAYFORMULA(VLOOKUP("&amp;"SPLIT(G780, "", ""),Injections!N:S,6,FALSE)), ARRAYFORMULA(VLOOKUP(SPLIT(H780, "", ""),Injections!T:Y,6,FALSE)) },3))))"),"")</f>
        <v/>
      </c>
      <c r="S780" s="10"/>
      <c r="T780" s="1"/>
      <c r="V780" s="11"/>
      <c r="W780" s="12"/>
      <c r="X780" s="12"/>
      <c r="Y780" s="11"/>
      <c r="Z780" s="11"/>
      <c r="AA780" s="11"/>
    </row>
    <row r="781" spans="1:27" ht="13" x14ac:dyDescent="0.15">
      <c r="A781" s="7"/>
      <c r="G781" s="8"/>
      <c r="H781" s="8"/>
      <c r="I781" s="8"/>
      <c r="M781" s="8"/>
      <c r="R781" s="10" t="str">
        <f ca="1">IFERROR(__xludf.DUMMYFUNCTION("JOIN("","", SORT(UNIQUE(TOCOL({VLOOKUP(D781,DM_fish!A:B,2,FALSE),VLOOKUP(C781,DM_fish!A:B,2,FALSE), ARRAYFORMULA(VLOOKUP(SPLIT(E781, "", ""),Injections!B:G,6,FALSE)), ARRAYFORMULA(VLOOKUP(SPLIT(F781, "", ""),Injections!H:M,6,FALSE)), ARRAYFORMULA(VLOOKUP("&amp;"SPLIT(G781, "", ""),Injections!N:S,6,FALSE)), ARRAYFORMULA(VLOOKUP(SPLIT(H781, "", ""),Injections!T:Y,6,FALSE)) },3))))"),"")</f>
        <v/>
      </c>
      <c r="S781" s="10"/>
      <c r="T781" s="1"/>
      <c r="V781" s="11"/>
      <c r="W781" s="12"/>
      <c r="X781" s="12"/>
      <c r="Y781" s="11"/>
      <c r="Z781" s="11"/>
      <c r="AA781" s="11"/>
    </row>
    <row r="782" spans="1:27" ht="13" x14ac:dyDescent="0.15">
      <c r="A782" s="7"/>
      <c r="G782" s="8"/>
      <c r="H782" s="8"/>
      <c r="I782" s="8"/>
      <c r="M782" s="8"/>
      <c r="R782" s="10" t="str">
        <f ca="1">IFERROR(__xludf.DUMMYFUNCTION("JOIN("","", SORT(UNIQUE(TOCOL({VLOOKUP(D782,DM_fish!A:B,2,FALSE),VLOOKUP(C782,DM_fish!A:B,2,FALSE), ARRAYFORMULA(VLOOKUP(SPLIT(E782, "", ""),Injections!B:G,6,FALSE)), ARRAYFORMULA(VLOOKUP(SPLIT(F782, "", ""),Injections!H:M,6,FALSE)), ARRAYFORMULA(VLOOKUP("&amp;"SPLIT(G782, "", ""),Injections!N:S,6,FALSE)), ARRAYFORMULA(VLOOKUP(SPLIT(H782, "", ""),Injections!T:Y,6,FALSE)) },3))))"),"")</f>
        <v/>
      </c>
      <c r="S782" s="10"/>
      <c r="T782" s="1"/>
      <c r="V782" s="11"/>
      <c r="W782" s="12"/>
      <c r="X782" s="12"/>
      <c r="Y782" s="11"/>
      <c r="Z782" s="11"/>
      <c r="AA782" s="11"/>
    </row>
    <row r="783" spans="1:27" ht="13" x14ac:dyDescent="0.15">
      <c r="A783" s="7"/>
      <c r="G783" s="8"/>
      <c r="H783" s="8"/>
      <c r="I783" s="8"/>
      <c r="M783" s="8"/>
      <c r="R783" s="10" t="str">
        <f ca="1">IFERROR(__xludf.DUMMYFUNCTION("JOIN("","", SORT(UNIQUE(TOCOL({VLOOKUP(D783,DM_fish!A:B,2,FALSE),VLOOKUP(C783,DM_fish!A:B,2,FALSE), ARRAYFORMULA(VLOOKUP(SPLIT(E783, "", ""),Injections!B:G,6,FALSE)), ARRAYFORMULA(VLOOKUP(SPLIT(F783, "", ""),Injections!H:M,6,FALSE)), ARRAYFORMULA(VLOOKUP("&amp;"SPLIT(G783, "", ""),Injections!N:S,6,FALSE)), ARRAYFORMULA(VLOOKUP(SPLIT(H783, "", ""),Injections!T:Y,6,FALSE)) },3))))"),"")</f>
        <v/>
      </c>
      <c r="S783" s="10"/>
      <c r="T783" s="1"/>
      <c r="V783" s="11"/>
      <c r="W783" s="12"/>
      <c r="X783" s="12"/>
      <c r="Y783" s="11"/>
      <c r="Z783" s="11"/>
      <c r="AA783" s="11"/>
    </row>
    <row r="784" spans="1:27" ht="13" x14ac:dyDescent="0.15">
      <c r="A784" s="7"/>
      <c r="G784" s="8"/>
      <c r="H784" s="8"/>
      <c r="I784" s="8"/>
      <c r="M784" s="8"/>
      <c r="R784" s="10" t="str">
        <f ca="1">IFERROR(__xludf.DUMMYFUNCTION("JOIN("","", SORT(UNIQUE(TOCOL({VLOOKUP(D784,DM_fish!A:B,2,FALSE),VLOOKUP(C784,DM_fish!A:B,2,FALSE), ARRAYFORMULA(VLOOKUP(SPLIT(E784, "", ""),Injections!B:G,6,FALSE)), ARRAYFORMULA(VLOOKUP(SPLIT(F784, "", ""),Injections!H:M,6,FALSE)), ARRAYFORMULA(VLOOKUP("&amp;"SPLIT(G784, "", ""),Injections!N:S,6,FALSE)), ARRAYFORMULA(VLOOKUP(SPLIT(H784, "", ""),Injections!T:Y,6,FALSE)) },3))))"),"")</f>
        <v/>
      </c>
      <c r="S784" s="10"/>
      <c r="T784" s="1"/>
      <c r="V784" s="11"/>
      <c r="W784" s="12"/>
      <c r="X784" s="12"/>
      <c r="Y784" s="11"/>
      <c r="Z784" s="11"/>
      <c r="AA784" s="11"/>
    </row>
    <row r="785" spans="1:27" ht="13" x14ac:dyDescent="0.15">
      <c r="A785" s="7"/>
      <c r="G785" s="8"/>
      <c r="H785" s="8"/>
      <c r="I785" s="8"/>
      <c r="M785" s="8"/>
      <c r="R785" s="10" t="str">
        <f ca="1">IFERROR(__xludf.DUMMYFUNCTION("JOIN("","", SORT(UNIQUE(TOCOL({VLOOKUP(D785,DM_fish!A:B,2,FALSE),VLOOKUP(C785,DM_fish!A:B,2,FALSE), ARRAYFORMULA(VLOOKUP(SPLIT(E785, "", ""),Injections!B:G,6,FALSE)), ARRAYFORMULA(VLOOKUP(SPLIT(F785, "", ""),Injections!H:M,6,FALSE)), ARRAYFORMULA(VLOOKUP("&amp;"SPLIT(G785, "", ""),Injections!N:S,6,FALSE)), ARRAYFORMULA(VLOOKUP(SPLIT(H785, "", ""),Injections!T:Y,6,FALSE)) },3))))"),"")</f>
        <v/>
      </c>
      <c r="S785" s="10"/>
      <c r="T785" s="1"/>
      <c r="V785" s="11"/>
      <c r="W785" s="12"/>
      <c r="X785" s="12"/>
      <c r="Y785" s="11"/>
      <c r="Z785" s="11"/>
      <c r="AA785" s="11"/>
    </row>
    <row r="786" spans="1:27" ht="13" x14ac:dyDescent="0.15">
      <c r="A786" s="7"/>
      <c r="G786" s="8"/>
      <c r="H786" s="8"/>
      <c r="I786" s="8"/>
      <c r="M786" s="8"/>
      <c r="R786" s="10" t="str">
        <f ca="1">IFERROR(__xludf.DUMMYFUNCTION("JOIN("","", SORT(UNIQUE(TOCOL({VLOOKUP(D786,DM_fish!A:B,2,FALSE),VLOOKUP(C786,DM_fish!A:B,2,FALSE), ARRAYFORMULA(VLOOKUP(SPLIT(E786, "", ""),Injections!B:G,6,FALSE)), ARRAYFORMULA(VLOOKUP(SPLIT(F786, "", ""),Injections!H:M,6,FALSE)), ARRAYFORMULA(VLOOKUP("&amp;"SPLIT(G786, "", ""),Injections!N:S,6,FALSE)), ARRAYFORMULA(VLOOKUP(SPLIT(H786, "", ""),Injections!T:Y,6,FALSE)) },3))))"),"")</f>
        <v/>
      </c>
      <c r="S786" s="10"/>
      <c r="T786" s="1"/>
      <c r="V786" s="11"/>
      <c r="W786" s="12"/>
      <c r="X786" s="12"/>
      <c r="Y786" s="11"/>
      <c r="Z786" s="11"/>
      <c r="AA786" s="11"/>
    </row>
    <row r="787" spans="1:27" ht="13" x14ac:dyDescent="0.15">
      <c r="A787" s="7"/>
      <c r="G787" s="8"/>
      <c r="H787" s="8"/>
      <c r="I787" s="8"/>
      <c r="M787" s="8"/>
      <c r="R787" s="10" t="str">
        <f ca="1">IFERROR(__xludf.DUMMYFUNCTION("JOIN("","", SORT(UNIQUE(TOCOL({VLOOKUP(D787,DM_fish!A:B,2,FALSE),VLOOKUP(C787,DM_fish!A:B,2,FALSE), ARRAYFORMULA(VLOOKUP(SPLIT(E787, "", ""),Injections!B:G,6,FALSE)), ARRAYFORMULA(VLOOKUP(SPLIT(F787, "", ""),Injections!H:M,6,FALSE)), ARRAYFORMULA(VLOOKUP("&amp;"SPLIT(G787, "", ""),Injections!N:S,6,FALSE)), ARRAYFORMULA(VLOOKUP(SPLIT(H787, "", ""),Injections!T:Y,6,FALSE)) },3))))"),"")</f>
        <v/>
      </c>
      <c r="S787" s="10"/>
      <c r="T787" s="1"/>
      <c r="V787" s="11"/>
      <c r="W787" s="12"/>
      <c r="X787" s="12"/>
      <c r="Y787" s="11"/>
      <c r="Z787" s="11"/>
      <c r="AA787" s="11"/>
    </row>
    <row r="788" spans="1:27" ht="13" x14ac:dyDescent="0.15">
      <c r="A788" s="7"/>
      <c r="G788" s="8"/>
      <c r="H788" s="8"/>
      <c r="I788" s="8"/>
      <c r="M788" s="8"/>
      <c r="R788" s="10" t="str">
        <f ca="1">IFERROR(__xludf.DUMMYFUNCTION("JOIN("","", SORT(UNIQUE(TOCOL({VLOOKUP(D788,DM_fish!A:B,2,FALSE),VLOOKUP(C788,DM_fish!A:B,2,FALSE), ARRAYFORMULA(VLOOKUP(SPLIT(E788, "", ""),Injections!B:G,6,FALSE)), ARRAYFORMULA(VLOOKUP(SPLIT(F788, "", ""),Injections!H:M,6,FALSE)), ARRAYFORMULA(VLOOKUP("&amp;"SPLIT(G788, "", ""),Injections!N:S,6,FALSE)), ARRAYFORMULA(VLOOKUP(SPLIT(H788, "", ""),Injections!T:Y,6,FALSE)) },3))))"),"")</f>
        <v/>
      </c>
      <c r="S788" s="10"/>
      <c r="T788" s="1"/>
      <c r="V788" s="11"/>
      <c r="W788" s="12"/>
      <c r="X788" s="12"/>
      <c r="Y788" s="11"/>
      <c r="Z788" s="11"/>
      <c r="AA788" s="11"/>
    </row>
    <row r="789" spans="1:27" ht="13" x14ac:dyDescent="0.15">
      <c r="A789" s="7"/>
      <c r="G789" s="8"/>
      <c r="H789" s="8"/>
      <c r="I789" s="8"/>
      <c r="M789" s="8"/>
      <c r="R789" s="10" t="str">
        <f ca="1">IFERROR(__xludf.DUMMYFUNCTION("JOIN("","", SORT(UNIQUE(TOCOL({VLOOKUP(D789,DM_fish!A:B,2,FALSE),VLOOKUP(C789,DM_fish!A:B,2,FALSE), ARRAYFORMULA(VLOOKUP(SPLIT(E789, "", ""),Injections!B:G,6,FALSE)), ARRAYFORMULA(VLOOKUP(SPLIT(F789, "", ""),Injections!H:M,6,FALSE)), ARRAYFORMULA(VLOOKUP("&amp;"SPLIT(G789, "", ""),Injections!N:S,6,FALSE)), ARRAYFORMULA(VLOOKUP(SPLIT(H789, "", ""),Injections!T:Y,6,FALSE)) },3))))"),"")</f>
        <v/>
      </c>
      <c r="S789" s="10"/>
      <c r="T789" s="1"/>
      <c r="V789" s="11"/>
      <c r="W789" s="12"/>
      <c r="X789" s="12"/>
      <c r="Y789" s="11"/>
      <c r="Z789" s="11"/>
      <c r="AA789" s="11"/>
    </row>
    <row r="790" spans="1:27" ht="13" x14ac:dyDescent="0.15">
      <c r="A790" s="7"/>
      <c r="G790" s="8"/>
      <c r="H790" s="8"/>
      <c r="I790" s="8"/>
      <c r="M790" s="8"/>
      <c r="R790" s="10" t="str">
        <f ca="1">IFERROR(__xludf.DUMMYFUNCTION("JOIN("","", SORT(UNIQUE(TOCOL({VLOOKUP(D790,DM_fish!A:B,2,FALSE),VLOOKUP(C790,DM_fish!A:B,2,FALSE), ARRAYFORMULA(VLOOKUP(SPLIT(E790, "", ""),Injections!B:G,6,FALSE)), ARRAYFORMULA(VLOOKUP(SPLIT(F790, "", ""),Injections!H:M,6,FALSE)), ARRAYFORMULA(VLOOKUP("&amp;"SPLIT(G790, "", ""),Injections!N:S,6,FALSE)), ARRAYFORMULA(VLOOKUP(SPLIT(H790, "", ""),Injections!T:Y,6,FALSE)) },3))))"),"")</f>
        <v/>
      </c>
      <c r="S790" s="10"/>
      <c r="T790" s="1"/>
      <c r="V790" s="11"/>
      <c r="W790" s="12"/>
      <c r="X790" s="12"/>
      <c r="Y790" s="11"/>
      <c r="Z790" s="11"/>
      <c r="AA790" s="11"/>
    </row>
    <row r="791" spans="1:27" ht="13" x14ac:dyDescent="0.15">
      <c r="A791" s="7"/>
      <c r="G791" s="8"/>
      <c r="H791" s="8"/>
      <c r="I791" s="8"/>
      <c r="M791" s="8"/>
      <c r="R791" s="10" t="str">
        <f ca="1">IFERROR(__xludf.DUMMYFUNCTION("JOIN("","", SORT(UNIQUE(TOCOL({VLOOKUP(D791,DM_fish!A:B,2,FALSE),VLOOKUP(C791,DM_fish!A:B,2,FALSE), ARRAYFORMULA(VLOOKUP(SPLIT(E791, "", ""),Injections!B:G,6,FALSE)), ARRAYFORMULA(VLOOKUP(SPLIT(F791, "", ""),Injections!H:M,6,FALSE)), ARRAYFORMULA(VLOOKUP("&amp;"SPLIT(G791, "", ""),Injections!N:S,6,FALSE)), ARRAYFORMULA(VLOOKUP(SPLIT(H791, "", ""),Injections!T:Y,6,FALSE)) },3))))"),"")</f>
        <v/>
      </c>
      <c r="S791" s="10"/>
      <c r="T791" s="1"/>
      <c r="V791" s="11"/>
      <c r="W791" s="12"/>
      <c r="X791" s="12"/>
      <c r="Y791" s="11"/>
      <c r="Z791" s="11"/>
      <c r="AA791" s="11"/>
    </row>
    <row r="792" spans="1:27" ht="13" x14ac:dyDescent="0.15">
      <c r="A792" s="7"/>
      <c r="G792" s="8"/>
      <c r="H792" s="8"/>
      <c r="I792" s="8"/>
      <c r="M792" s="8"/>
      <c r="R792" s="10" t="str">
        <f ca="1">IFERROR(__xludf.DUMMYFUNCTION("JOIN("","", SORT(UNIQUE(TOCOL({VLOOKUP(D792,DM_fish!A:B,2,FALSE),VLOOKUP(C792,DM_fish!A:B,2,FALSE), ARRAYFORMULA(VLOOKUP(SPLIT(E792, "", ""),Injections!B:G,6,FALSE)), ARRAYFORMULA(VLOOKUP(SPLIT(F792, "", ""),Injections!H:M,6,FALSE)), ARRAYFORMULA(VLOOKUP("&amp;"SPLIT(G792, "", ""),Injections!N:S,6,FALSE)), ARRAYFORMULA(VLOOKUP(SPLIT(H792, "", ""),Injections!T:Y,6,FALSE)) },3))))"),"")</f>
        <v/>
      </c>
      <c r="S792" s="10"/>
      <c r="T792" s="1"/>
      <c r="V792" s="11"/>
      <c r="W792" s="12"/>
      <c r="X792" s="12"/>
      <c r="Y792" s="11"/>
      <c r="Z792" s="11"/>
      <c r="AA792" s="11"/>
    </row>
    <row r="793" spans="1:27" ht="13" x14ac:dyDescent="0.15">
      <c r="A793" s="7"/>
      <c r="G793" s="8"/>
      <c r="H793" s="8"/>
      <c r="I793" s="8"/>
      <c r="M793" s="8"/>
      <c r="R793" s="10" t="str">
        <f ca="1">IFERROR(__xludf.DUMMYFUNCTION("JOIN("","", SORT(UNIQUE(TOCOL({VLOOKUP(D793,DM_fish!A:B,2,FALSE),VLOOKUP(C793,DM_fish!A:B,2,FALSE), ARRAYFORMULA(VLOOKUP(SPLIT(E793, "", ""),Injections!B:G,6,FALSE)), ARRAYFORMULA(VLOOKUP(SPLIT(F793, "", ""),Injections!H:M,6,FALSE)), ARRAYFORMULA(VLOOKUP("&amp;"SPLIT(G793, "", ""),Injections!N:S,6,FALSE)), ARRAYFORMULA(VLOOKUP(SPLIT(H793, "", ""),Injections!T:Y,6,FALSE)) },3))))"),"")</f>
        <v/>
      </c>
      <c r="S793" s="10"/>
      <c r="T793" s="1"/>
      <c r="V793" s="11"/>
      <c r="W793" s="12"/>
      <c r="X793" s="12"/>
      <c r="Y793" s="11"/>
      <c r="Z793" s="11"/>
      <c r="AA793" s="11"/>
    </row>
    <row r="794" spans="1:27" ht="13" x14ac:dyDescent="0.15">
      <c r="A794" s="7"/>
      <c r="G794" s="8"/>
      <c r="H794" s="8"/>
      <c r="I794" s="8"/>
      <c r="M794" s="8"/>
      <c r="R794" s="10" t="str">
        <f ca="1">IFERROR(__xludf.DUMMYFUNCTION("JOIN("","", SORT(UNIQUE(TOCOL({VLOOKUP(D794,DM_fish!A:B,2,FALSE),VLOOKUP(C794,DM_fish!A:B,2,FALSE), ARRAYFORMULA(VLOOKUP(SPLIT(E794, "", ""),Injections!B:G,6,FALSE)), ARRAYFORMULA(VLOOKUP(SPLIT(F794, "", ""),Injections!H:M,6,FALSE)), ARRAYFORMULA(VLOOKUP("&amp;"SPLIT(G794, "", ""),Injections!N:S,6,FALSE)), ARRAYFORMULA(VLOOKUP(SPLIT(H794, "", ""),Injections!T:Y,6,FALSE)) },3))))"),"")</f>
        <v/>
      </c>
      <c r="S794" s="10"/>
      <c r="T794" s="1"/>
      <c r="V794" s="11"/>
      <c r="W794" s="12"/>
      <c r="X794" s="12"/>
      <c r="Y794" s="11"/>
      <c r="Z794" s="11"/>
      <c r="AA794" s="11"/>
    </row>
    <row r="795" spans="1:27" ht="13" x14ac:dyDescent="0.15">
      <c r="A795" s="7"/>
      <c r="G795" s="8"/>
      <c r="H795" s="8"/>
      <c r="I795" s="8"/>
      <c r="M795" s="8"/>
      <c r="R795" s="10" t="str">
        <f ca="1">IFERROR(__xludf.DUMMYFUNCTION("JOIN("","", SORT(UNIQUE(TOCOL({VLOOKUP(D795,DM_fish!A:B,2,FALSE),VLOOKUP(C795,DM_fish!A:B,2,FALSE), ARRAYFORMULA(VLOOKUP(SPLIT(E795, "", ""),Injections!B:G,6,FALSE)), ARRAYFORMULA(VLOOKUP(SPLIT(F795, "", ""),Injections!H:M,6,FALSE)), ARRAYFORMULA(VLOOKUP("&amp;"SPLIT(G795, "", ""),Injections!N:S,6,FALSE)), ARRAYFORMULA(VLOOKUP(SPLIT(H795, "", ""),Injections!T:Y,6,FALSE)) },3))))"),"")</f>
        <v/>
      </c>
      <c r="S795" s="10"/>
      <c r="T795" s="1"/>
      <c r="V795" s="11"/>
      <c r="W795" s="12"/>
      <c r="X795" s="12"/>
      <c r="Y795" s="11"/>
      <c r="Z795" s="11"/>
      <c r="AA795" s="11"/>
    </row>
    <row r="796" spans="1:27" ht="13" x14ac:dyDescent="0.15">
      <c r="A796" s="7"/>
      <c r="G796" s="8"/>
      <c r="H796" s="8"/>
      <c r="I796" s="8"/>
      <c r="M796" s="8"/>
      <c r="R796" s="10" t="str">
        <f ca="1">IFERROR(__xludf.DUMMYFUNCTION("JOIN("","", SORT(UNIQUE(TOCOL({VLOOKUP(D796,DM_fish!A:B,2,FALSE),VLOOKUP(C796,DM_fish!A:B,2,FALSE), ARRAYFORMULA(VLOOKUP(SPLIT(E796, "", ""),Injections!B:G,6,FALSE)), ARRAYFORMULA(VLOOKUP(SPLIT(F796, "", ""),Injections!H:M,6,FALSE)), ARRAYFORMULA(VLOOKUP("&amp;"SPLIT(G796, "", ""),Injections!N:S,6,FALSE)), ARRAYFORMULA(VLOOKUP(SPLIT(H796, "", ""),Injections!T:Y,6,FALSE)) },3))))"),"")</f>
        <v/>
      </c>
      <c r="S796" s="10"/>
      <c r="T796" s="1"/>
      <c r="V796" s="11"/>
      <c r="W796" s="12"/>
      <c r="X796" s="12"/>
      <c r="Y796" s="11"/>
      <c r="Z796" s="11"/>
      <c r="AA796" s="11"/>
    </row>
    <row r="797" spans="1:27" ht="13" x14ac:dyDescent="0.15">
      <c r="A797" s="7"/>
      <c r="G797" s="8"/>
      <c r="H797" s="8"/>
      <c r="I797" s="8"/>
      <c r="M797" s="8"/>
      <c r="R797" s="10" t="str">
        <f ca="1">IFERROR(__xludf.DUMMYFUNCTION("JOIN("","", SORT(UNIQUE(TOCOL({VLOOKUP(D797,DM_fish!A:B,2,FALSE),VLOOKUP(C797,DM_fish!A:B,2,FALSE), ARRAYFORMULA(VLOOKUP(SPLIT(E797, "", ""),Injections!B:G,6,FALSE)), ARRAYFORMULA(VLOOKUP(SPLIT(F797, "", ""),Injections!H:M,6,FALSE)), ARRAYFORMULA(VLOOKUP("&amp;"SPLIT(G797, "", ""),Injections!N:S,6,FALSE)), ARRAYFORMULA(VLOOKUP(SPLIT(H797, "", ""),Injections!T:Y,6,FALSE)) },3))))"),"")</f>
        <v/>
      </c>
      <c r="S797" s="10"/>
      <c r="T797" s="1"/>
      <c r="V797" s="11"/>
      <c r="W797" s="12"/>
      <c r="X797" s="12"/>
      <c r="Y797" s="11"/>
      <c r="Z797" s="11"/>
      <c r="AA797" s="11"/>
    </row>
    <row r="798" spans="1:27" ht="13" x14ac:dyDescent="0.15">
      <c r="A798" s="7"/>
      <c r="G798" s="8"/>
      <c r="H798" s="8"/>
      <c r="I798" s="8"/>
      <c r="M798" s="8"/>
      <c r="R798" s="10" t="str">
        <f ca="1">IFERROR(__xludf.DUMMYFUNCTION("JOIN("","", SORT(UNIQUE(TOCOL({VLOOKUP(D798,DM_fish!A:B,2,FALSE),VLOOKUP(C798,DM_fish!A:B,2,FALSE), ARRAYFORMULA(VLOOKUP(SPLIT(E798, "", ""),Injections!B:G,6,FALSE)), ARRAYFORMULA(VLOOKUP(SPLIT(F798, "", ""),Injections!H:M,6,FALSE)), ARRAYFORMULA(VLOOKUP("&amp;"SPLIT(G798, "", ""),Injections!N:S,6,FALSE)), ARRAYFORMULA(VLOOKUP(SPLIT(H798, "", ""),Injections!T:Y,6,FALSE)) },3))))"),"")</f>
        <v/>
      </c>
      <c r="S798" s="10"/>
      <c r="T798" s="1"/>
      <c r="V798" s="11"/>
      <c r="W798" s="12"/>
      <c r="X798" s="12"/>
      <c r="Y798" s="11"/>
      <c r="Z798" s="11"/>
      <c r="AA798" s="11"/>
    </row>
    <row r="799" spans="1:27" ht="13" x14ac:dyDescent="0.15">
      <c r="A799" s="7"/>
      <c r="G799" s="8"/>
      <c r="H799" s="8"/>
      <c r="I799" s="8"/>
      <c r="M799" s="8"/>
      <c r="R799" s="10" t="str">
        <f ca="1">IFERROR(__xludf.DUMMYFUNCTION("JOIN("","", SORT(UNIQUE(TOCOL({VLOOKUP(D799,DM_fish!A:B,2,FALSE),VLOOKUP(C799,DM_fish!A:B,2,FALSE), ARRAYFORMULA(VLOOKUP(SPLIT(E799, "", ""),Injections!B:G,6,FALSE)), ARRAYFORMULA(VLOOKUP(SPLIT(F799, "", ""),Injections!H:M,6,FALSE)), ARRAYFORMULA(VLOOKUP("&amp;"SPLIT(G799, "", ""),Injections!N:S,6,FALSE)), ARRAYFORMULA(VLOOKUP(SPLIT(H799, "", ""),Injections!T:Y,6,FALSE)) },3))))"),"")</f>
        <v/>
      </c>
      <c r="S799" s="10"/>
      <c r="T799" s="1"/>
      <c r="V799" s="11"/>
      <c r="W799" s="12"/>
      <c r="X799" s="12"/>
      <c r="Y799" s="11"/>
      <c r="Z799" s="11"/>
      <c r="AA799" s="11"/>
    </row>
    <row r="800" spans="1:27" ht="13" x14ac:dyDescent="0.15">
      <c r="A800" s="7"/>
      <c r="G800" s="8"/>
      <c r="H800" s="8"/>
      <c r="I800" s="8"/>
      <c r="M800" s="8"/>
      <c r="R800" s="10" t="str">
        <f ca="1">IFERROR(__xludf.DUMMYFUNCTION("JOIN("","", SORT(UNIQUE(TOCOL({VLOOKUP(D800,DM_fish!A:B,2,FALSE),VLOOKUP(C800,DM_fish!A:B,2,FALSE), ARRAYFORMULA(VLOOKUP(SPLIT(E800, "", ""),Injections!B:G,6,FALSE)), ARRAYFORMULA(VLOOKUP(SPLIT(F800, "", ""),Injections!H:M,6,FALSE)), ARRAYFORMULA(VLOOKUP("&amp;"SPLIT(G800, "", ""),Injections!N:S,6,FALSE)), ARRAYFORMULA(VLOOKUP(SPLIT(H800, "", ""),Injections!T:Y,6,FALSE)) },3))))"),"")</f>
        <v/>
      </c>
      <c r="S800" s="10"/>
      <c r="T800" s="1"/>
      <c r="V800" s="11"/>
      <c r="W800" s="12"/>
      <c r="X800" s="12"/>
      <c r="Y800" s="11"/>
      <c r="Z800" s="11"/>
      <c r="AA800" s="11"/>
    </row>
    <row r="801" spans="1:27" ht="13" x14ac:dyDescent="0.15">
      <c r="A801" s="7"/>
      <c r="G801" s="8"/>
      <c r="H801" s="8"/>
      <c r="I801" s="8"/>
      <c r="M801" s="8"/>
      <c r="R801" s="10" t="str">
        <f ca="1">IFERROR(__xludf.DUMMYFUNCTION("JOIN("","", SORT(UNIQUE(TOCOL({VLOOKUP(D801,DM_fish!A:B,2,FALSE),VLOOKUP(C801,DM_fish!A:B,2,FALSE), ARRAYFORMULA(VLOOKUP(SPLIT(E801, "", ""),Injections!B:G,6,FALSE)), ARRAYFORMULA(VLOOKUP(SPLIT(F801, "", ""),Injections!H:M,6,FALSE)), ARRAYFORMULA(VLOOKUP("&amp;"SPLIT(G801, "", ""),Injections!N:S,6,FALSE)), ARRAYFORMULA(VLOOKUP(SPLIT(H801, "", ""),Injections!T:Y,6,FALSE)) },3))))"),"")</f>
        <v/>
      </c>
      <c r="S801" s="10"/>
      <c r="T801" s="1"/>
      <c r="V801" s="11"/>
      <c r="W801" s="12"/>
      <c r="X801" s="12"/>
      <c r="Y801" s="11"/>
      <c r="Z801" s="11"/>
      <c r="AA801" s="11"/>
    </row>
    <row r="802" spans="1:27" ht="13" x14ac:dyDescent="0.15">
      <c r="A802" s="7"/>
      <c r="G802" s="8"/>
      <c r="H802" s="8"/>
      <c r="I802" s="8"/>
      <c r="M802" s="8"/>
      <c r="R802" s="10" t="str">
        <f ca="1">IFERROR(__xludf.DUMMYFUNCTION("JOIN("","", SORT(UNIQUE(TOCOL({VLOOKUP(D802,DM_fish!A:B,2,FALSE),VLOOKUP(C802,DM_fish!A:B,2,FALSE), ARRAYFORMULA(VLOOKUP(SPLIT(E802, "", ""),Injections!B:G,6,FALSE)), ARRAYFORMULA(VLOOKUP(SPLIT(F802, "", ""),Injections!H:M,6,FALSE)), ARRAYFORMULA(VLOOKUP("&amp;"SPLIT(G802, "", ""),Injections!N:S,6,FALSE)), ARRAYFORMULA(VLOOKUP(SPLIT(H802, "", ""),Injections!T:Y,6,FALSE)) },3))))"),"")</f>
        <v/>
      </c>
      <c r="S802" s="10"/>
      <c r="T802" s="1"/>
      <c r="V802" s="11"/>
      <c r="W802" s="12"/>
      <c r="X802" s="12"/>
      <c r="Y802" s="11"/>
      <c r="Z802" s="11"/>
      <c r="AA802" s="11"/>
    </row>
    <row r="803" spans="1:27" ht="13" x14ac:dyDescent="0.15">
      <c r="A803" s="7"/>
      <c r="G803" s="8"/>
      <c r="H803" s="8"/>
      <c r="I803" s="8"/>
      <c r="M803" s="8"/>
      <c r="R803" s="10" t="str">
        <f ca="1">IFERROR(__xludf.DUMMYFUNCTION("JOIN("","", SORT(UNIQUE(TOCOL({VLOOKUP(D803,DM_fish!A:B,2,FALSE),VLOOKUP(C803,DM_fish!A:B,2,FALSE), ARRAYFORMULA(VLOOKUP(SPLIT(E803, "", ""),Injections!B:G,6,FALSE)), ARRAYFORMULA(VLOOKUP(SPLIT(F803, "", ""),Injections!H:M,6,FALSE)), ARRAYFORMULA(VLOOKUP("&amp;"SPLIT(G803, "", ""),Injections!N:S,6,FALSE)), ARRAYFORMULA(VLOOKUP(SPLIT(H803, "", ""),Injections!T:Y,6,FALSE)) },3))))"),"")</f>
        <v/>
      </c>
      <c r="S803" s="10"/>
      <c r="T803" s="1"/>
      <c r="V803" s="11"/>
      <c r="W803" s="12"/>
      <c r="X803" s="12"/>
      <c r="Y803" s="11"/>
      <c r="Z803" s="11"/>
      <c r="AA803" s="11"/>
    </row>
    <row r="804" spans="1:27" ht="13" x14ac:dyDescent="0.15">
      <c r="A804" s="7"/>
      <c r="G804" s="8"/>
      <c r="H804" s="8"/>
      <c r="I804" s="8"/>
      <c r="M804" s="8"/>
      <c r="R804" s="10" t="str">
        <f ca="1">IFERROR(__xludf.DUMMYFUNCTION("JOIN("","", SORT(UNIQUE(TOCOL({VLOOKUP(D804,DM_fish!A:B,2,FALSE),VLOOKUP(C804,DM_fish!A:B,2,FALSE), ARRAYFORMULA(VLOOKUP(SPLIT(E804, "", ""),Injections!B:G,6,FALSE)), ARRAYFORMULA(VLOOKUP(SPLIT(F804, "", ""),Injections!H:M,6,FALSE)), ARRAYFORMULA(VLOOKUP("&amp;"SPLIT(G804, "", ""),Injections!N:S,6,FALSE)), ARRAYFORMULA(VLOOKUP(SPLIT(H804, "", ""),Injections!T:Y,6,FALSE)) },3))))"),"")</f>
        <v/>
      </c>
      <c r="S804" s="10"/>
      <c r="T804" s="1"/>
      <c r="V804" s="11"/>
      <c r="W804" s="12"/>
      <c r="X804" s="12"/>
      <c r="Y804" s="11"/>
      <c r="Z804" s="11"/>
      <c r="AA804" s="11"/>
    </row>
    <row r="805" spans="1:27" ht="13" x14ac:dyDescent="0.15">
      <c r="A805" s="7"/>
      <c r="G805" s="8"/>
      <c r="H805" s="8"/>
      <c r="I805" s="8"/>
      <c r="M805" s="8"/>
      <c r="R805" s="10" t="str">
        <f ca="1">IFERROR(__xludf.DUMMYFUNCTION("JOIN("","", SORT(UNIQUE(TOCOL({VLOOKUP(D805,DM_fish!A:B,2,FALSE),VLOOKUP(C805,DM_fish!A:B,2,FALSE), ARRAYFORMULA(VLOOKUP(SPLIT(E805, "", ""),Injections!B:G,6,FALSE)), ARRAYFORMULA(VLOOKUP(SPLIT(F805, "", ""),Injections!H:M,6,FALSE)), ARRAYFORMULA(VLOOKUP("&amp;"SPLIT(G805, "", ""),Injections!N:S,6,FALSE)), ARRAYFORMULA(VLOOKUP(SPLIT(H805, "", ""),Injections!T:Y,6,FALSE)) },3))))"),"")</f>
        <v/>
      </c>
      <c r="S805" s="10"/>
      <c r="T805" s="1"/>
      <c r="V805" s="11"/>
      <c r="W805" s="12"/>
      <c r="X805" s="12"/>
      <c r="Y805" s="11"/>
      <c r="Z805" s="11"/>
      <c r="AA805" s="11"/>
    </row>
    <row r="806" spans="1:27" ht="13" x14ac:dyDescent="0.15">
      <c r="A806" s="7"/>
      <c r="G806" s="8"/>
      <c r="H806" s="8"/>
      <c r="I806" s="8"/>
      <c r="M806" s="8"/>
      <c r="R806" s="10" t="str">
        <f ca="1">IFERROR(__xludf.DUMMYFUNCTION("JOIN("","", SORT(UNIQUE(TOCOL({VLOOKUP(D806,DM_fish!A:B,2,FALSE),VLOOKUP(C806,DM_fish!A:B,2,FALSE), ARRAYFORMULA(VLOOKUP(SPLIT(E806, "", ""),Injections!B:G,6,FALSE)), ARRAYFORMULA(VLOOKUP(SPLIT(F806, "", ""),Injections!H:M,6,FALSE)), ARRAYFORMULA(VLOOKUP("&amp;"SPLIT(G806, "", ""),Injections!N:S,6,FALSE)), ARRAYFORMULA(VLOOKUP(SPLIT(H806, "", ""),Injections!T:Y,6,FALSE)) },3))))"),"")</f>
        <v/>
      </c>
      <c r="S806" s="10"/>
      <c r="T806" s="1"/>
      <c r="V806" s="11"/>
      <c r="W806" s="12"/>
      <c r="X806" s="12"/>
      <c r="Y806" s="11"/>
      <c r="Z806" s="11"/>
      <c r="AA806" s="11"/>
    </row>
    <row r="807" spans="1:27" ht="13" x14ac:dyDescent="0.15">
      <c r="A807" s="7"/>
      <c r="G807" s="8"/>
      <c r="H807" s="8"/>
      <c r="I807" s="8"/>
      <c r="M807" s="8"/>
      <c r="R807" s="10" t="str">
        <f ca="1">IFERROR(__xludf.DUMMYFUNCTION("JOIN("","", SORT(UNIQUE(TOCOL({VLOOKUP(D807,DM_fish!A:B,2,FALSE),VLOOKUP(C807,DM_fish!A:B,2,FALSE), ARRAYFORMULA(VLOOKUP(SPLIT(E807, "", ""),Injections!B:G,6,FALSE)), ARRAYFORMULA(VLOOKUP(SPLIT(F807, "", ""),Injections!H:M,6,FALSE)), ARRAYFORMULA(VLOOKUP("&amp;"SPLIT(G807, "", ""),Injections!N:S,6,FALSE)), ARRAYFORMULA(VLOOKUP(SPLIT(H807, "", ""),Injections!T:Y,6,FALSE)) },3))))"),"")</f>
        <v/>
      </c>
      <c r="S807" s="10"/>
      <c r="T807" s="1"/>
      <c r="V807" s="11"/>
      <c r="W807" s="12"/>
      <c r="X807" s="12"/>
      <c r="Y807" s="11"/>
      <c r="Z807" s="11"/>
      <c r="AA807" s="11"/>
    </row>
    <row r="808" spans="1:27" ht="13" x14ac:dyDescent="0.15">
      <c r="A808" s="7"/>
      <c r="G808" s="8"/>
      <c r="H808" s="8"/>
      <c r="I808" s="8"/>
      <c r="M808" s="8"/>
      <c r="R808" s="10" t="str">
        <f ca="1">IFERROR(__xludf.DUMMYFUNCTION("JOIN("","", SORT(UNIQUE(TOCOL({VLOOKUP(D808,DM_fish!A:B,2,FALSE),VLOOKUP(C808,DM_fish!A:B,2,FALSE), ARRAYFORMULA(VLOOKUP(SPLIT(E808, "", ""),Injections!B:G,6,FALSE)), ARRAYFORMULA(VLOOKUP(SPLIT(F808, "", ""),Injections!H:M,6,FALSE)), ARRAYFORMULA(VLOOKUP("&amp;"SPLIT(G808, "", ""),Injections!N:S,6,FALSE)), ARRAYFORMULA(VLOOKUP(SPLIT(H808, "", ""),Injections!T:Y,6,FALSE)) },3))))"),"")</f>
        <v/>
      </c>
      <c r="S808" s="10"/>
      <c r="T808" s="1"/>
      <c r="V808" s="11"/>
      <c r="W808" s="12"/>
      <c r="X808" s="12"/>
      <c r="Y808" s="11"/>
      <c r="Z808" s="11"/>
      <c r="AA808" s="11"/>
    </row>
    <row r="809" spans="1:27" ht="13" x14ac:dyDescent="0.15">
      <c r="A809" s="7"/>
      <c r="G809" s="8"/>
      <c r="H809" s="8"/>
      <c r="I809" s="8"/>
      <c r="M809" s="8"/>
      <c r="R809" s="10" t="str">
        <f ca="1">IFERROR(__xludf.DUMMYFUNCTION("JOIN("","", SORT(UNIQUE(TOCOL({VLOOKUP(D809,DM_fish!A:B,2,FALSE),VLOOKUP(C809,DM_fish!A:B,2,FALSE), ARRAYFORMULA(VLOOKUP(SPLIT(E809, "", ""),Injections!B:G,6,FALSE)), ARRAYFORMULA(VLOOKUP(SPLIT(F809, "", ""),Injections!H:M,6,FALSE)), ARRAYFORMULA(VLOOKUP("&amp;"SPLIT(G809, "", ""),Injections!N:S,6,FALSE)), ARRAYFORMULA(VLOOKUP(SPLIT(H809, "", ""),Injections!T:Y,6,FALSE)) },3))))"),"")</f>
        <v/>
      </c>
      <c r="S809" s="10"/>
      <c r="T809" s="1"/>
      <c r="V809" s="11"/>
      <c r="W809" s="12"/>
      <c r="X809" s="12"/>
      <c r="Y809" s="11"/>
      <c r="Z809" s="11"/>
      <c r="AA809" s="11"/>
    </row>
    <row r="810" spans="1:27" ht="13" x14ac:dyDescent="0.15">
      <c r="A810" s="7"/>
      <c r="G810" s="8"/>
      <c r="H810" s="8"/>
      <c r="I810" s="8"/>
      <c r="M810" s="8"/>
      <c r="R810" s="10" t="str">
        <f ca="1">IFERROR(__xludf.DUMMYFUNCTION("JOIN("","", SORT(UNIQUE(TOCOL({VLOOKUP(D810,DM_fish!A:B,2,FALSE),VLOOKUP(C810,DM_fish!A:B,2,FALSE), ARRAYFORMULA(VLOOKUP(SPLIT(E810, "", ""),Injections!B:G,6,FALSE)), ARRAYFORMULA(VLOOKUP(SPLIT(F810, "", ""),Injections!H:M,6,FALSE)), ARRAYFORMULA(VLOOKUP("&amp;"SPLIT(G810, "", ""),Injections!N:S,6,FALSE)), ARRAYFORMULA(VLOOKUP(SPLIT(H810, "", ""),Injections!T:Y,6,FALSE)) },3))))"),"")</f>
        <v/>
      </c>
      <c r="S810" s="10"/>
      <c r="T810" s="1"/>
      <c r="V810" s="11"/>
      <c r="W810" s="12"/>
      <c r="X810" s="12"/>
      <c r="Y810" s="11"/>
      <c r="Z810" s="11"/>
      <c r="AA810" s="11"/>
    </row>
    <row r="811" spans="1:27" ht="13" x14ac:dyDescent="0.15">
      <c r="A811" s="7"/>
      <c r="G811" s="8"/>
      <c r="H811" s="8"/>
      <c r="I811" s="8"/>
      <c r="M811" s="8"/>
      <c r="R811" s="10" t="str">
        <f ca="1">IFERROR(__xludf.DUMMYFUNCTION("JOIN("","", SORT(UNIQUE(TOCOL({VLOOKUP(D811,DM_fish!A:B,2,FALSE),VLOOKUP(C811,DM_fish!A:B,2,FALSE), ARRAYFORMULA(VLOOKUP(SPLIT(E811, "", ""),Injections!B:G,6,FALSE)), ARRAYFORMULA(VLOOKUP(SPLIT(F811, "", ""),Injections!H:M,6,FALSE)), ARRAYFORMULA(VLOOKUP("&amp;"SPLIT(G811, "", ""),Injections!N:S,6,FALSE)), ARRAYFORMULA(VLOOKUP(SPLIT(H811, "", ""),Injections!T:Y,6,FALSE)) },3))))"),"")</f>
        <v/>
      </c>
      <c r="S811" s="10"/>
      <c r="T811" s="1"/>
      <c r="V811" s="11"/>
      <c r="W811" s="12"/>
      <c r="X811" s="12"/>
      <c r="Y811" s="11"/>
      <c r="Z811" s="11"/>
      <c r="AA811" s="11"/>
    </row>
    <row r="812" spans="1:27" ht="13" x14ac:dyDescent="0.15">
      <c r="A812" s="7"/>
      <c r="G812" s="8"/>
      <c r="H812" s="8"/>
      <c r="I812" s="8"/>
      <c r="M812" s="8"/>
      <c r="R812" s="10" t="str">
        <f ca="1">IFERROR(__xludf.DUMMYFUNCTION("JOIN("","", SORT(UNIQUE(TOCOL({VLOOKUP(D812,DM_fish!A:B,2,FALSE),VLOOKUP(C812,DM_fish!A:B,2,FALSE), ARRAYFORMULA(VLOOKUP(SPLIT(E812, "", ""),Injections!B:G,6,FALSE)), ARRAYFORMULA(VLOOKUP(SPLIT(F812, "", ""),Injections!H:M,6,FALSE)), ARRAYFORMULA(VLOOKUP("&amp;"SPLIT(G812, "", ""),Injections!N:S,6,FALSE)), ARRAYFORMULA(VLOOKUP(SPLIT(H812, "", ""),Injections!T:Y,6,FALSE)) },3))))"),"")</f>
        <v/>
      </c>
      <c r="S812" s="10"/>
      <c r="T812" s="1"/>
      <c r="V812" s="11"/>
      <c r="W812" s="12"/>
      <c r="X812" s="12"/>
      <c r="Y812" s="11"/>
      <c r="Z812" s="11"/>
      <c r="AA812" s="11"/>
    </row>
    <row r="813" spans="1:27" ht="13" x14ac:dyDescent="0.15">
      <c r="A813" s="7"/>
      <c r="G813" s="8"/>
      <c r="H813" s="8"/>
      <c r="I813" s="8"/>
      <c r="M813" s="8"/>
      <c r="R813" s="10" t="str">
        <f ca="1">IFERROR(__xludf.DUMMYFUNCTION("JOIN("","", SORT(UNIQUE(TOCOL({VLOOKUP(D813,DM_fish!A:B,2,FALSE),VLOOKUP(C813,DM_fish!A:B,2,FALSE), ARRAYFORMULA(VLOOKUP(SPLIT(E813, "", ""),Injections!B:G,6,FALSE)), ARRAYFORMULA(VLOOKUP(SPLIT(F813, "", ""),Injections!H:M,6,FALSE)), ARRAYFORMULA(VLOOKUP("&amp;"SPLIT(G813, "", ""),Injections!N:S,6,FALSE)), ARRAYFORMULA(VLOOKUP(SPLIT(H813, "", ""),Injections!T:Y,6,FALSE)) },3))))"),"")</f>
        <v/>
      </c>
      <c r="S813" s="10"/>
      <c r="T813" s="1"/>
      <c r="V813" s="11"/>
      <c r="W813" s="12"/>
      <c r="X813" s="12"/>
      <c r="Y813" s="11"/>
      <c r="Z813" s="11"/>
      <c r="AA813" s="11"/>
    </row>
    <row r="814" spans="1:27" ht="13" x14ac:dyDescent="0.15">
      <c r="A814" s="7"/>
      <c r="G814" s="8"/>
      <c r="H814" s="8"/>
      <c r="I814" s="8"/>
      <c r="M814" s="8"/>
      <c r="R814" s="10" t="str">
        <f ca="1">IFERROR(__xludf.DUMMYFUNCTION("JOIN("","", SORT(UNIQUE(TOCOL({VLOOKUP(D814,DM_fish!A:B,2,FALSE),VLOOKUP(C814,DM_fish!A:B,2,FALSE), ARRAYFORMULA(VLOOKUP(SPLIT(E814, "", ""),Injections!B:G,6,FALSE)), ARRAYFORMULA(VLOOKUP(SPLIT(F814, "", ""),Injections!H:M,6,FALSE)), ARRAYFORMULA(VLOOKUP("&amp;"SPLIT(G814, "", ""),Injections!N:S,6,FALSE)), ARRAYFORMULA(VLOOKUP(SPLIT(H814, "", ""),Injections!T:Y,6,FALSE)) },3))))"),"")</f>
        <v/>
      </c>
      <c r="S814" s="10"/>
      <c r="T814" s="1"/>
      <c r="V814" s="11"/>
      <c r="W814" s="12"/>
      <c r="X814" s="12"/>
      <c r="Y814" s="11"/>
      <c r="Z814" s="11"/>
      <c r="AA814" s="11"/>
    </row>
    <row r="815" spans="1:27" ht="13" x14ac:dyDescent="0.15">
      <c r="A815" s="7"/>
      <c r="G815" s="8"/>
      <c r="H815" s="8"/>
      <c r="I815" s="8"/>
      <c r="M815" s="8"/>
      <c r="R815" s="10" t="str">
        <f ca="1">IFERROR(__xludf.DUMMYFUNCTION("JOIN("","", SORT(UNIQUE(TOCOL({VLOOKUP(D815,DM_fish!A:B,2,FALSE),VLOOKUP(C815,DM_fish!A:B,2,FALSE), ARRAYFORMULA(VLOOKUP(SPLIT(E815, "", ""),Injections!B:G,6,FALSE)), ARRAYFORMULA(VLOOKUP(SPLIT(F815, "", ""),Injections!H:M,6,FALSE)), ARRAYFORMULA(VLOOKUP("&amp;"SPLIT(G815, "", ""),Injections!N:S,6,FALSE)), ARRAYFORMULA(VLOOKUP(SPLIT(H815, "", ""),Injections!T:Y,6,FALSE)) },3))))"),"")</f>
        <v/>
      </c>
      <c r="S815" s="10"/>
      <c r="T815" s="1"/>
      <c r="V815" s="11"/>
      <c r="W815" s="12"/>
      <c r="X815" s="12"/>
      <c r="Y815" s="11"/>
      <c r="Z815" s="11"/>
      <c r="AA815" s="11"/>
    </row>
    <row r="816" spans="1:27" ht="13" x14ac:dyDescent="0.15">
      <c r="A816" s="7"/>
      <c r="G816" s="8"/>
      <c r="H816" s="8"/>
      <c r="I816" s="8"/>
      <c r="M816" s="8"/>
      <c r="R816" s="10" t="str">
        <f ca="1">IFERROR(__xludf.DUMMYFUNCTION("JOIN("","", SORT(UNIQUE(TOCOL({VLOOKUP(D816,DM_fish!A:B,2,FALSE),VLOOKUP(C816,DM_fish!A:B,2,FALSE), ARRAYFORMULA(VLOOKUP(SPLIT(E816, "", ""),Injections!B:G,6,FALSE)), ARRAYFORMULA(VLOOKUP(SPLIT(F816, "", ""),Injections!H:M,6,FALSE)), ARRAYFORMULA(VLOOKUP("&amp;"SPLIT(G816, "", ""),Injections!N:S,6,FALSE)), ARRAYFORMULA(VLOOKUP(SPLIT(H816, "", ""),Injections!T:Y,6,FALSE)) },3))))"),"")</f>
        <v/>
      </c>
      <c r="S816" s="10"/>
      <c r="T816" s="1"/>
      <c r="V816" s="11"/>
      <c r="W816" s="12"/>
      <c r="X816" s="12"/>
      <c r="Y816" s="11"/>
      <c r="Z816" s="11"/>
      <c r="AA816" s="11"/>
    </row>
    <row r="817" spans="1:27" ht="13" x14ac:dyDescent="0.15">
      <c r="A817" s="7"/>
      <c r="G817" s="8"/>
      <c r="H817" s="8"/>
      <c r="I817" s="8"/>
      <c r="M817" s="8"/>
      <c r="R817" s="10" t="str">
        <f ca="1">IFERROR(__xludf.DUMMYFUNCTION("JOIN("","", SORT(UNIQUE(TOCOL({VLOOKUP(D817,DM_fish!A:B,2,FALSE),VLOOKUP(C817,DM_fish!A:B,2,FALSE), ARRAYFORMULA(VLOOKUP(SPLIT(E817, "", ""),Injections!B:G,6,FALSE)), ARRAYFORMULA(VLOOKUP(SPLIT(F817, "", ""),Injections!H:M,6,FALSE)), ARRAYFORMULA(VLOOKUP("&amp;"SPLIT(G817, "", ""),Injections!N:S,6,FALSE)), ARRAYFORMULA(VLOOKUP(SPLIT(H817, "", ""),Injections!T:Y,6,FALSE)) },3))))"),"")</f>
        <v/>
      </c>
      <c r="S817" s="10"/>
      <c r="T817" s="1"/>
      <c r="V817" s="11"/>
      <c r="W817" s="12"/>
      <c r="X817" s="12"/>
      <c r="Y817" s="11"/>
      <c r="Z817" s="11"/>
      <c r="AA817" s="11"/>
    </row>
    <row r="818" spans="1:27" ht="13" x14ac:dyDescent="0.15">
      <c r="A818" s="7"/>
      <c r="G818" s="8"/>
      <c r="H818" s="8"/>
      <c r="I818" s="8"/>
      <c r="M818" s="8"/>
      <c r="R818" s="10" t="str">
        <f ca="1">IFERROR(__xludf.DUMMYFUNCTION("JOIN("","", SORT(UNIQUE(TOCOL({VLOOKUP(D818,DM_fish!A:B,2,FALSE),VLOOKUP(C818,DM_fish!A:B,2,FALSE), ARRAYFORMULA(VLOOKUP(SPLIT(E818, "", ""),Injections!B:G,6,FALSE)), ARRAYFORMULA(VLOOKUP(SPLIT(F818, "", ""),Injections!H:M,6,FALSE)), ARRAYFORMULA(VLOOKUP("&amp;"SPLIT(G818, "", ""),Injections!N:S,6,FALSE)), ARRAYFORMULA(VLOOKUP(SPLIT(H818, "", ""),Injections!T:Y,6,FALSE)) },3))))"),"")</f>
        <v/>
      </c>
      <c r="S818" s="10"/>
      <c r="T818" s="1"/>
      <c r="V818" s="11"/>
      <c r="W818" s="12"/>
      <c r="X818" s="12"/>
      <c r="Y818" s="11"/>
      <c r="Z818" s="11"/>
      <c r="AA818" s="11"/>
    </row>
    <row r="819" spans="1:27" ht="13" x14ac:dyDescent="0.15">
      <c r="A819" s="7"/>
      <c r="G819" s="8"/>
      <c r="H819" s="8"/>
      <c r="I819" s="8"/>
      <c r="M819" s="8"/>
      <c r="R819" s="10" t="str">
        <f ca="1">IFERROR(__xludf.DUMMYFUNCTION("JOIN("","", SORT(UNIQUE(TOCOL({VLOOKUP(D819,DM_fish!A:B,2,FALSE),VLOOKUP(C819,DM_fish!A:B,2,FALSE), ARRAYFORMULA(VLOOKUP(SPLIT(E819, "", ""),Injections!B:G,6,FALSE)), ARRAYFORMULA(VLOOKUP(SPLIT(F819, "", ""),Injections!H:M,6,FALSE)), ARRAYFORMULA(VLOOKUP("&amp;"SPLIT(G819, "", ""),Injections!N:S,6,FALSE)), ARRAYFORMULA(VLOOKUP(SPLIT(H819, "", ""),Injections!T:Y,6,FALSE)) },3))))"),"")</f>
        <v/>
      </c>
      <c r="S819" s="10"/>
      <c r="T819" s="1"/>
      <c r="V819" s="11"/>
      <c r="W819" s="12"/>
      <c r="X819" s="12"/>
      <c r="Y819" s="11"/>
      <c r="Z819" s="11"/>
      <c r="AA819" s="11"/>
    </row>
    <row r="820" spans="1:27" ht="13" x14ac:dyDescent="0.15">
      <c r="A820" s="7"/>
      <c r="G820" s="8"/>
      <c r="H820" s="8"/>
      <c r="I820" s="8"/>
      <c r="M820" s="8"/>
      <c r="R820" s="10" t="str">
        <f ca="1">IFERROR(__xludf.DUMMYFUNCTION("JOIN("","", SORT(UNIQUE(TOCOL({VLOOKUP(D820,DM_fish!A:B,2,FALSE),VLOOKUP(C820,DM_fish!A:B,2,FALSE), ARRAYFORMULA(VLOOKUP(SPLIT(E820, "", ""),Injections!B:G,6,FALSE)), ARRAYFORMULA(VLOOKUP(SPLIT(F820, "", ""),Injections!H:M,6,FALSE)), ARRAYFORMULA(VLOOKUP("&amp;"SPLIT(G820, "", ""),Injections!N:S,6,FALSE)), ARRAYFORMULA(VLOOKUP(SPLIT(H820, "", ""),Injections!T:Y,6,FALSE)) },3))))"),"")</f>
        <v/>
      </c>
      <c r="S820" s="10"/>
      <c r="T820" s="1"/>
      <c r="V820" s="11"/>
      <c r="W820" s="12"/>
      <c r="X820" s="12"/>
      <c r="Y820" s="11"/>
      <c r="Z820" s="11"/>
      <c r="AA820" s="11"/>
    </row>
    <row r="821" spans="1:27" ht="13" x14ac:dyDescent="0.15">
      <c r="A821" s="7"/>
      <c r="G821" s="8"/>
      <c r="H821" s="8"/>
      <c r="I821" s="8"/>
      <c r="M821" s="8"/>
      <c r="R821" s="10" t="str">
        <f ca="1">IFERROR(__xludf.DUMMYFUNCTION("JOIN("","", SORT(UNIQUE(TOCOL({VLOOKUP(D821,DM_fish!A:B,2,FALSE),VLOOKUP(C821,DM_fish!A:B,2,FALSE), ARRAYFORMULA(VLOOKUP(SPLIT(E821, "", ""),Injections!B:G,6,FALSE)), ARRAYFORMULA(VLOOKUP(SPLIT(F821, "", ""),Injections!H:M,6,FALSE)), ARRAYFORMULA(VLOOKUP("&amp;"SPLIT(G821, "", ""),Injections!N:S,6,FALSE)), ARRAYFORMULA(VLOOKUP(SPLIT(H821, "", ""),Injections!T:Y,6,FALSE)) },3))))"),"")</f>
        <v/>
      </c>
      <c r="S821" s="10"/>
      <c r="T821" s="1"/>
      <c r="V821" s="11"/>
      <c r="W821" s="12"/>
      <c r="X821" s="12"/>
      <c r="Y821" s="11"/>
      <c r="Z821" s="11"/>
      <c r="AA821" s="11"/>
    </row>
    <row r="822" spans="1:27" ht="13" x14ac:dyDescent="0.15">
      <c r="A822" s="7"/>
      <c r="G822" s="8"/>
      <c r="H822" s="8"/>
      <c r="I822" s="8"/>
      <c r="M822" s="8"/>
      <c r="R822" s="10" t="str">
        <f ca="1">IFERROR(__xludf.DUMMYFUNCTION("JOIN("","", SORT(UNIQUE(TOCOL({VLOOKUP(D822,DM_fish!A:B,2,FALSE),VLOOKUP(C822,DM_fish!A:B,2,FALSE), ARRAYFORMULA(VLOOKUP(SPLIT(E822, "", ""),Injections!B:G,6,FALSE)), ARRAYFORMULA(VLOOKUP(SPLIT(F822, "", ""),Injections!H:M,6,FALSE)), ARRAYFORMULA(VLOOKUP("&amp;"SPLIT(G822, "", ""),Injections!N:S,6,FALSE)), ARRAYFORMULA(VLOOKUP(SPLIT(H822, "", ""),Injections!T:Y,6,FALSE)) },3))))"),"")</f>
        <v/>
      </c>
      <c r="S822" s="10"/>
      <c r="T822" s="1"/>
      <c r="V822" s="11"/>
      <c r="W822" s="12"/>
      <c r="X822" s="12"/>
      <c r="Y822" s="11"/>
      <c r="Z822" s="11"/>
      <c r="AA822" s="11"/>
    </row>
    <row r="823" spans="1:27" ht="13" x14ac:dyDescent="0.15">
      <c r="A823" s="7"/>
      <c r="G823" s="8"/>
      <c r="H823" s="8"/>
      <c r="I823" s="8"/>
      <c r="M823" s="8"/>
      <c r="R823" s="10" t="str">
        <f ca="1">IFERROR(__xludf.DUMMYFUNCTION("JOIN("","", SORT(UNIQUE(TOCOL({VLOOKUP(D823,DM_fish!A:B,2,FALSE),VLOOKUP(C823,DM_fish!A:B,2,FALSE), ARRAYFORMULA(VLOOKUP(SPLIT(E823, "", ""),Injections!B:G,6,FALSE)), ARRAYFORMULA(VLOOKUP(SPLIT(F823, "", ""),Injections!H:M,6,FALSE)), ARRAYFORMULA(VLOOKUP("&amp;"SPLIT(G823, "", ""),Injections!N:S,6,FALSE)), ARRAYFORMULA(VLOOKUP(SPLIT(H823, "", ""),Injections!T:Y,6,FALSE)) },3))))"),"")</f>
        <v/>
      </c>
      <c r="S823" s="10"/>
      <c r="T823" s="1"/>
      <c r="V823" s="11"/>
      <c r="W823" s="12"/>
      <c r="X823" s="12"/>
      <c r="Y823" s="11"/>
      <c r="Z823" s="11"/>
      <c r="AA823" s="11"/>
    </row>
    <row r="824" spans="1:27" ht="13" x14ac:dyDescent="0.15">
      <c r="A824" s="7"/>
      <c r="G824" s="8"/>
      <c r="H824" s="8"/>
      <c r="I824" s="8"/>
      <c r="M824" s="8"/>
      <c r="R824" s="10" t="str">
        <f ca="1">IFERROR(__xludf.DUMMYFUNCTION("JOIN("","", SORT(UNIQUE(TOCOL({VLOOKUP(D824,DM_fish!A:B,2,FALSE),VLOOKUP(C824,DM_fish!A:B,2,FALSE), ARRAYFORMULA(VLOOKUP(SPLIT(E824, "", ""),Injections!B:G,6,FALSE)), ARRAYFORMULA(VLOOKUP(SPLIT(F824, "", ""),Injections!H:M,6,FALSE)), ARRAYFORMULA(VLOOKUP("&amp;"SPLIT(G824, "", ""),Injections!N:S,6,FALSE)), ARRAYFORMULA(VLOOKUP(SPLIT(H824, "", ""),Injections!T:Y,6,FALSE)) },3))))"),"")</f>
        <v/>
      </c>
      <c r="S824" s="10"/>
      <c r="T824" s="1"/>
      <c r="V824" s="11"/>
      <c r="W824" s="12"/>
      <c r="X824" s="12"/>
      <c r="Y824" s="11"/>
      <c r="Z824" s="11"/>
      <c r="AA824" s="11"/>
    </row>
    <row r="825" spans="1:27" ht="13" x14ac:dyDescent="0.15">
      <c r="A825" s="7"/>
      <c r="G825" s="8"/>
      <c r="H825" s="8"/>
      <c r="I825" s="8"/>
      <c r="M825" s="8"/>
      <c r="R825" s="10" t="str">
        <f ca="1">IFERROR(__xludf.DUMMYFUNCTION("JOIN("","", SORT(UNIQUE(TOCOL({VLOOKUP(D825,DM_fish!A:B,2,FALSE),VLOOKUP(C825,DM_fish!A:B,2,FALSE), ARRAYFORMULA(VLOOKUP(SPLIT(E825, "", ""),Injections!B:G,6,FALSE)), ARRAYFORMULA(VLOOKUP(SPLIT(F825, "", ""),Injections!H:M,6,FALSE)), ARRAYFORMULA(VLOOKUP("&amp;"SPLIT(G825, "", ""),Injections!N:S,6,FALSE)), ARRAYFORMULA(VLOOKUP(SPLIT(H825, "", ""),Injections!T:Y,6,FALSE)) },3))))"),"")</f>
        <v/>
      </c>
      <c r="S825" s="10"/>
      <c r="T825" s="1"/>
      <c r="V825" s="11"/>
      <c r="W825" s="12"/>
      <c r="X825" s="12"/>
      <c r="Y825" s="11"/>
      <c r="Z825" s="11"/>
      <c r="AA825" s="11"/>
    </row>
    <row r="826" spans="1:27" ht="13" x14ac:dyDescent="0.15">
      <c r="A826" s="7"/>
      <c r="G826" s="8"/>
      <c r="H826" s="8"/>
      <c r="I826" s="8"/>
      <c r="M826" s="8"/>
      <c r="R826" s="10" t="str">
        <f ca="1">IFERROR(__xludf.DUMMYFUNCTION("JOIN("","", SORT(UNIQUE(TOCOL({VLOOKUP(D826,DM_fish!A:B,2,FALSE),VLOOKUP(C826,DM_fish!A:B,2,FALSE), ARRAYFORMULA(VLOOKUP(SPLIT(E826, "", ""),Injections!B:G,6,FALSE)), ARRAYFORMULA(VLOOKUP(SPLIT(F826, "", ""),Injections!H:M,6,FALSE)), ARRAYFORMULA(VLOOKUP("&amp;"SPLIT(G826, "", ""),Injections!N:S,6,FALSE)), ARRAYFORMULA(VLOOKUP(SPLIT(H826, "", ""),Injections!T:Y,6,FALSE)) },3))))"),"")</f>
        <v/>
      </c>
      <c r="S826" s="10"/>
      <c r="T826" s="1"/>
      <c r="V826" s="11"/>
      <c r="W826" s="12"/>
      <c r="X826" s="12"/>
      <c r="Y826" s="11"/>
      <c r="Z826" s="11"/>
      <c r="AA826" s="11"/>
    </row>
    <row r="827" spans="1:27" ht="13" x14ac:dyDescent="0.15">
      <c r="A827" s="7"/>
      <c r="G827" s="8"/>
      <c r="H827" s="8"/>
      <c r="I827" s="8"/>
      <c r="M827" s="8"/>
      <c r="R827" s="10" t="str">
        <f ca="1">IFERROR(__xludf.DUMMYFUNCTION("JOIN("","", SORT(UNIQUE(TOCOL({VLOOKUP(D827,DM_fish!A:B,2,FALSE),VLOOKUP(C827,DM_fish!A:B,2,FALSE), ARRAYFORMULA(VLOOKUP(SPLIT(E827, "", ""),Injections!B:G,6,FALSE)), ARRAYFORMULA(VLOOKUP(SPLIT(F827, "", ""),Injections!H:M,6,FALSE)), ARRAYFORMULA(VLOOKUP("&amp;"SPLIT(G827, "", ""),Injections!N:S,6,FALSE)), ARRAYFORMULA(VLOOKUP(SPLIT(H827, "", ""),Injections!T:Y,6,FALSE)) },3))))"),"")</f>
        <v/>
      </c>
      <c r="S827" s="10"/>
      <c r="T827" s="1"/>
      <c r="V827" s="11"/>
      <c r="W827" s="12"/>
      <c r="X827" s="12"/>
      <c r="Y827" s="11"/>
      <c r="Z827" s="11"/>
      <c r="AA827" s="11"/>
    </row>
    <row r="828" spans="1:27" ht="13" x14ac:dyDescent="0.15">
      <c r="A828" s="7"/>
      <c r="G828" s="8"/>
      <c r="H828" s="8"/>
      <c r="I828" s="8"/>
      <c r="M828" s="8"/>
      <c r="R828" s="10" t="str">
        <f ca="1">IFERROR(__xludf.DUMMYFUNCTION("JOIN("","", SORT(UNIQUE(TOCOL({VLOOKUP(D828,DM_fish!A:B,2,FALSE),VLOOKUP(C828,DM_fish!A:B,2,FALSE), ARRAYFORMULA(VLOOKUP(SPLIT(E828, "", ""),Injections!B:G,6,FALSE)), ARRAYFORMULA(VLOOKUP(SPLIT(F828, "", ""),Injections!H:M,6,FALSE)), ARRAYFORMULA(VLOOKUP("&amp;"SPLIT(G828, "", ""),Injections!N:S,6,FALSE)), ARRAYFORMULA(VLOOKUP(SPLIT(H828, "", ""),Injections!T:Y,6,FALSE)) },3))))"),"")</f>
        <v/>
      </c>
      <c r="S828" s="10"/>
      <c r="T828" s="1"/>
      <c r="V828" s="11"/>
      <c r="W828" s="12"/>
      <c r="X828" s="12"/>
      <c r="Y828" s="11"/>
      <c r="Z828" s="11"/>
      <c r="AA828" s="11"/>
    </row>
    <row r="829" spans="1:27" ht="13" x14ac:dyDescent="0.15">
      <c r="A829" s="7"/>
      <c r="G829" s="8"/>
      <c r="H829" s="8"/>
      <c r="I829" s="8"/>
      <c r="M829" s="8"/>
      <c r="R829" s="10" t="str">
        <f ca="1">IFERROR(__xludf.DUMMYFUNCTION("JOIN("","", SORT(UNIQUE(TOCOL({VLOOKUP(D829,DM_fish!A:B,2,FALSE),VLOOKUP(C829,DM_fish!A:B,2,FALSE), ARRAYFORMULA(VLOOKUP(SPLIT(E829, "", ""),Injections!B:G,6,FALSE)), ARRAYFORMULA(VLOOKUP(SPLIT(F829, "", ""),Injections!H:M,6,FALSE)), ARRAYFORMULA(VLOOKUP("&amp;"SPLIT(G829, "", ""),Injections!N:S,6,FALSE)), ARRAYFORMULA(VLOOKUP(SPLIT(H829, "", ""),Injections!T:Y,6,FALSE)) },3))))"),"")</f>
        <v/>
      </c>
      <c r="S829" s="10"/>
      <c r="T829" s="1"/>
      <c r="V829" s="11"/>
      <c r="W829" s="12"/>
      <c r="X829" s="12"/>
      <c r="Y829" s="11"/>
      <c r="Z829" s="11"/>
      <c r="AA829" s="11"/>
    </row>
    <row r="830" spans="1:27" ht="13" x14ac:dyDescent="0.15">
      <c r="A830" s="7"/>
      <c r="G830" s="8"/>
      <c r="H830" s="8"/>
      <c r="I830" s="8"/>
      <c r="M830" s="8"/>
      <c r="R830" s="10" t="str">
        <f ca="1">IFERROR(__xludf.DUMMYFUNCTION("JOIN("","", SORT(UNIQUE(TOCOL({VLOOKUP(D830,DM_fish!A:B,2,FALSE),VLOOKUP(C830,DM_fish!A:B,2,FALSE), ARRAYFORMULA(VLOOKUP(SPLIT(E830, "", ""),Injections!B:G,6,FALSE)), ARRAYFORMULA(VLOOKUP(SPLIT(F830, "", ""),Injections!H:M,6,FALSE)), ARRAYFORMULA(VLOOKUP("&amp;"SPLIT(G830, "", ""),Injections!N:S,6,FALSE)), ARRAYFORMULA(VLOOKUP(SPLIT(H830, "", ""),Injections!T:Y,6,FALSE)) },3))))"),"")</f>
        <v/>
      </c>
      <c r="S830" s="10"/>
      <c r="T830" s="1"/>
      <c r="V830" s="11"/>
      <c r="W830" s="12"/>
      <c r="X830" s="12"/>
      <c r="Y830" s="11"/>
      <c r="Z830" s="11"/>
      <c r="AA830" s="11"/>
    </row>
    <row r="831" spans="1:27" ht="13" x14ac:dyDescent="0.15">
      <c r="A831" s="7"/>
      <c r="G831" s="8"/>
      <c r="H831" s="8"/>
      <c r="I831" s="8"/>
      <c r="M831" s="8"/>
      <c r="R831" s="10" t="str">
        <f ca="1">IFERROR(__xludf.DUMMYFUNCTION("JOIN("","", SORT(UNIQUE(TOCOL({VLOOKUP(D831,DM_fish!A:B,2,FALSE),VLOOKUP(C831,DM_fish!A:B,2,FALSE), ARRAYFORMULA(VLOOKUP(SPLIT(E831, "", ""),Injections!B:G,6,FALSE)), ARRAYFORMULA(VLOOKUP(SPLIT(F831, "", ""),Injections!H:M,6,FALSE)), ARRAYFORMULA(VLOOKUP("&amp;"SPLIT(G831, "", ""),Injections!N:S,6,FALSE)), ARRAYFORMULA(VLOOKUP(SPLIT(H831, "", ""),Injections!T:Y,6,FALSE)) },3))))"),"")</f>
        <v/>
      </c>
      <c r="S831" s="10"/>
      <c r="T831" s="1"/>
      <c r="V831" s="11"/>
      <c r="W831" s="12"/>
      <c r="X831" s="12"/>
      <c r="Y831" s="11"/>
      <c r="Z831" s="11"/>
      <c r="AA831" s="11"/>
    </row>
    <row r="832" spans="1:27" ht="13" x14ac:dyDescent="0.15">
      <c r="A832" s="7"/>
      <c r="G832" s="8"/>
      <c r="H832" s="8"/>
      <c r="I832" s="8"/>
      <c r="M832" s="8"/>
      <c r="R832" s="10" t="str">
        <f ca="1">IFERROR(__xludf.DUMMYFUNCTION("JOIN("","", SORT(UNIQUE(TOCOL({VLOOKUP(D832,DM_fish!A:B,2,FALSE),VLOOKUP(C832,DM_fish!A:B,2,FALSE), ARRAYFORMULA(VLOOKUP(SPLIT(E832, "", ""),Injections!B:G,6,FALSE)), ARRAYFORMULA(VLOOKUP(SPLIT(F832, "", ""),Injections!H:M,6,FALSE)), ARRAYFORMULA(VLOOKUP("&amp;"SPLIT(G832, "", ""),Injections!N:S,6,FALSE)), ARRAYFORMULA(VLOOKUP(SPLIT(H832, "", ""),Injections!T:Y,6,FALSE)) },3))))"),"")</f>
        <v/>
      </c>
      <c r="S832" s="10"/>
      <c r="T832" s="1"/>
      <c r="V832" s="11"/>
      <c r="W832" s="12"/>
      <c r="X832" s="12"/>
      <c r="Y832" s="11"/>
      <c r="Z832" s="11"/>
      <c r="AA832" s="11"/>
    </row>
    <row r="833" spans="1:27" ht="13" x14ac:dyDescent="0.15">
      <c r="A833" s="7"/>
      <c r="G833" s="8"/>
      <c r="H833" s="8"/>
      <c r="I833" s="8"/>
      <c r="M833" s="8"/>
      <c r="R833" s="10" t="str">
        <f ca="1">IFERROR(__xludf.DUMMYFUNCTION("JOIN("","", SORT(UNIQUE(TOCOL({VLOOKUP(D833,DM_fish!A:B,2,FALSE),VLOOKUP(C833,DM_fish!A:B,2,FALSE), ARRAYFORMULA(VLOOKUP(SPLIT(E833, "", ""),Injections!B:G,6,FALSE)), ARRAYFORMULA(VLOOKUP(SPLIT(F833, "", ""),Injections!H:M,6,FALSE)), ARRAYFORMULA(VLOOKUP("&amp;"SPLIT(G833, "", ""),Injections!N:S,6,FALSE)), ARRAYFORMULA(VLOOKUP(SPLIT(H833, "", ""),Injections!T:Y,6,FALSE)) },3))))"),"")</f>
        <v/>
      </c>
      <c r="S833" s="10"/>
      <c r="T833" s="1"/>
      <c r="V833" s="11"/>
      <c r="W833" s="12"/>
      <c r="X833" s="12"/>
      <c r="Y833" s="11"/>
      <c r="Z833" s="11"/>
      <c r="AA833" s="11"/>
    </row>
    <row r="834" spans="1:27" ht="13" x14ac:dyDescent="0.15">
      <c r="A834" s="7"/>
      <c r="G834" s="8"/>
      <c r="H834" s="8"/>
      <c r="I834" s="8"/>
      <c r="M834" s="8"/>
      <c r="R834" s="10" t="str">
        <f ca="1">IFERROR(__xludf.DUMMYFUNCTION("JOIN("","", SORT(UNIQUE(TOCOL({VLOOKUP(D834,DM_fish!A:B,2,FALSE),VLOOKUP(C834,DM_fish!A:B,2,FALSE), ARRAYFORMULA(VLOOKUP(SPLIT(E834, "", ""),Injections!B:G,6,FALSE)), ARRAYFORMULA(VLOOKUP(SPLIT(F834, "", ""),Injections!H:M,6,FALSE)), ARRAYFORMULA(VLOOKUP("&amp;"SPLIT(G834, "", ""),Injections!N:S,6,FALSE)), ARRAYFORMULA(VLOOKUP(SPLIT(H834, "", ""),Injections!T:Y,6,FALSE)) },3))))"),"")</f>
        <v/>
      </c>
      <c r="S834" s="10"/>
      <c r="T834" s="1"/>
      <c r="V834" s="11"/>
      <c r="W834" s="12"/>
      <c r="X834" s="12"/>
      <c r="Y834" s="11"/>
      <c r="Z834" s="11"/>
      <c r="AA834" s="11"/>
    </row>
    <row r="835" spans="1:27" ht="13" x14ac:dyDescent="0.15">
      <c r="A835" s="7"/>
      <c r="G835" s="8"/>
      <c r="H835" s="8"/>
      <c r="I835" s="8"/>
      <c r="M835" s="8"/>
      <c r="R835" s="10" t="str">
        <f ca="1">IFERROR(__xludf.DUMMYFUNCTION("JOIN("","", SORT(UNIQUE(TOCOL({VLOOKUP(D835,DM_fish!A:B,2,FALSE),VLOOKUP(C835,DM_fish!A:B,2,FALSE), ARRAYFORMULA(VLOOKUP(SPLIT(E835, "", ""),Injections!B:G,6,FALSE)), ARRAYFORMULA(VLOOKUP(SPLIT(F835, "", ""),Injections!H:M,6,FALSE)), ARRAYFORMULA(VLOOKUP("&amp;"SPLIT(G835, "", ""),Injections!N:S,6,FALSE)), ARRAYFORMULA(VLOOKUP(SPLIT(H835, "", ""),Injections!T:Y,6,FALSE)) },3))))"),"")</f>
        <v/>
      </c>
      <c r="S835" s="10"/>
      <c r="T835" s="1"/>
      <c r="V835" s="11"/>
      <c r="W835" s="12"/>
      <c r="X835" s="12"/>
      <c r="Y835" s="11"/>
      <c r="Z835" s="11"/>
      <c r="AA835" s="11"/>
    </row>
    <row r="836" spans="1:27" ht="13" x14ac:dyDescent="0.15">
      <c r="A836" s="7"/>
      <c r="G836" s="8"/>
      <c r="H836" s="8"/>
      <c r="I836" s="8"/>
      <c r="M836" s="8"/>
      <c r="R836" s="10" t="str">
        <f ca="1">IFERROR(__xludf.DUMMYFUNCTION("JOIN("","", SORT(UNIQUE(TOCOL({VLOOKUP(D836,DM_fish!A:B,2,FALSE),VLOOKUP(C836,DM_fish!A:B,2,FALSE), ARRAYFORMULA(VLOOKUP(SPLIT(E836, "", ""),Injections!B:G,6,FALSE)), ARRAYFORMULA(VLOOKUP(SPLIT(F836, "", ""),Injections!H:M,6,FALSE)), ARRAYFORMULA(VLOOKUP("&amp;"SPLIT(G836, "", ""),Injections!N:S,6,FALSE)), ARRAYFORMULA(VLOOKUP(SPLIT(H836, "", ""),Injections!T:Y,6,FALSE)) },3))))"),"")</f>
        <v/>
      </c>
      <c r="S836" s="10"/>
      <c r="T836" s="1"/>
      <c r="V836" s="11"/>
      <c r="W836" s="12"/>
      <c r="X836" s="12"/>
      <c r="Y836" s="11"/>
      <c r="Z836" s="11"/>
      <c r="AA836" s="11"/>
    </row>
    <row r="837" spans="1:27" ht="13" x14ac:dyDescent="0.15">
      <c r="A837" s="7"/>
      <c r="G837" s="8"/>
      <c r="H837" s="8"/>
      <c r="I837" s="8"/>
      <c r="M837" s="8"/>
      <c r="R837" s="10" t="str">
        <f ca="1">IFERROR(__xludf.DUMMYFUNCTION("JOIN("","", SORT(UNIQUE(TOCOL({VLOOKUP(D837,DM_fish!A:B,2,FALSE),VLOOKUP(C837,DM_fish!A:B,2,FALSE), ARRAYFORMULA(VLOOKUP(SPLIT(E837, "", ""),Injections!B:G,6,FALSE)), ARRAYFORMULA(VLOOKUP(SPLIT(F837, "", ""),Injections!H:M,6,FALSE)), ARRAYFORMULA(VLOOKUP("&amp;"SPLIT(G837, "", ""),Injections!N:S,6,FALSE)), ARRAYFORMULA(VLOOKUP(SPLIT(H837, "", ""),Injections!T:Y,6,FALSE)) },3))))"),"")</f>
        <v/>
      </c>
      <c r="S837" s="10"/>
      <c r="T837" s="1"/>
      <c r="V837" s="11"/>
      <c r="W837" s="12"/>
      <c r="X837" s="12"/>
      <c r="Y837" s="11"/>
      <c r="Z837" s="11"/>
      <c r="AA837" s="11"/>
    </row>
    <row r="838" spans="1:27" ht="13" x14ac:dyDescent="0.15">
      <c r="A838" s="7"/>
      <c r="G838" s="8"/>
      <c r="H838" s="8"/>
      <c r="I838" s="8"/>
      <c r="M838" s="8"/>
      <c r="R838" s="10" t="str">
        <f ca="1">IFERROR(__xludf.DUMMYFUNCTION("JOIN("","", SORT(UNIQUE(TOCOL({VLOOKUP(D838,DM_fish!A:B,2,FALSE),VLOOKUP(C838,DM_fish!A:B,2,FALSE), ARRAYFORMULA(VLOOKUP(SPLIT(E838, "", ""),Injections!B:G,6,FALSE)), ARRAYFORMULA(VLOOKUP(SPLIT(F838, "", ""),Injections!H:M,6,FALSE)), ARRAYFORMULA(VLOOKUP("&amp;"SPLIT(G838, "", ""),Injections!N:S,6,FALSE)), ARRAYFORMULA(VLOOKUP(SPLIT(H838, "", ""),Injections!T:Y,6,FALSE)) },3))))"),"")</f>
        <v/>
      </c>
      <c r="S838" s="10"/>
      <c r="T838" s="1"/>
      <c r="V838" s="11"/>
      <c r="W838" s="12"/>
      <c r="X838" s="12"/>
      <c r="Y838" s="11"/>
      <c r="Z838" s="11"/>
      <c r="AA838" s="11"/>
    </row>
    <row r="839" spans="1:27" ht="13" x14ac:dyDescent="0.15">
      <c r="A839" s="7"/>
      <c r="G839" s="8"/>
      <c r="H839" s="8"/>
      <c r="I839" s="8"/>
      <c r="M839" s="8"/>
      <c r="R839" s="10" t="str">
        <f ca="1">IFERROR(__xludf.DUMMYFUNCTION("JOIN("","", SORT(UNIQUE(TOCOL({VLOOKUP(D839,DM_fish!A:B,2,FALSE),VLOOKUP(C839,DM_fish!A:B,2,FALSE), ARRAYFORMULA(VLOOKUP(SPLIT(E839, "", ""),Injections!B:G,6,FALSE)), ARRAYFORMULA(VLOOKUP(SPLIT(F839, "", ""),Injections!H:M,6,FALSE)), ARRAYFORMULA(VLOOKUP("&amp;"SPLIT(G839, "", ""),Injections!N:S,6,FALSE)), ARRAYFORMULA(VLOOKUP(SPLIT(H839, "", ""),Injections!T:Y,6,FALSE)) },3))))"),"")</f>
        <v/>
      </c>
      <c r="S839" s="10"/>
      <c r="T839" s="1"/>
      <c r="V839" s="11"/>
      <c r="W839" s="12"/>
      <c r="X839" s="12"/>
      <c r="Y839" s="11"/>
      <c r="Z839" s="11"/>
      <c r="AA839" s="11"/>
    </row>
    <row r="840" spans="1:27" ht="13" x14ac:dyDescent="0.15">
      <c r="A840" s="7"/>
      <c r="G840" s="8"/>
      <c r="H840" s="8"/>
      <c r="I840" s="8"/>
      <c r="M840" s="8"/>
      <c r="R840" s="10" t="str">
        <f ca="1">IFERROR(__xludf.DUMMYFUNCTION("JOIN("","", SORT(UNIQUE(TOCOL({VLOOKUP(D840,DM_fish!A:B,2,FALSE),VLOOKUP(C840,DM_fish!A:B,2,FALSE), ARRAYFORMULA(VLOOKUP(SPLIT(E840, "", ""),Injections!B:G,6,FALSE)), ARRAYFORMULA(VLOOKUP(SPLIT(F840, "", ""),Injections!H:M,6,FALSE)), ARRAYFORMULA(VLOOKUP("&amp;"SPLIT(G840, "", ""),Injections!N:S,6,FALSE)), ARRAYFORMULA(VLOOKUP(SPLIT(H840, "", ""),Injections!T:Y,6,FALSE)) },3))))"),"")</f>
        <v/>
      </c>
      <c r="S840" s="10"/>
      <c r="T840" s="1"/>
      <c r="V840" s="11"/>
      <c r="W840" s="12"/>
      <c r="X840" s="12"/>
      <c r="Y840" s="11"/>
      <c r="Z840" s="11"/>
      <c r="AA840" s="11"/>
    </row>
    <row r="841" spans="1:27" ht="13" x14ac:dyDescent="0.15">
      <c r="A841" s="7"/>
      <c r="G841" s="8"/>
      <c r="H841" s="8"/>
      <c r="I841" s="8"/>
      <c r="M841" s="8"/>
      <c r="R841" s="10" t="str">
        <f ca="1">IFERROR(__xludf.DUMMYFUNCTION("JOIN("","", SORT(UNIQUE(TOCOL({VLOOKUP(D841,DM_fish!A:B,2,FALSE),VLOOKUP(C841,DM_fish!A:B,2,FALSE), ARRAYFORMULA(VLOOKUP(SPLIT(E841, "", ""),Injections!B:G,6,FALSE)), ARRAYFORMULA(VLOOKUP(SPLIT(F841, "", ""),Injections!H:M,6,FALSE)), ARRAYFORMULA(VLOOKUP("&amp;"SPLIT(G841, "", ""),Injections!N:S,6,FALSE)), ARRAYFORMULA(VLOOKUP(SPLIT(H841, "", ""),Injections!T:Y,6,FALSE)) },3))))"),"")</f>
        <v/>
      </c>
      <c r="S841" s="10"/>
      <c r="T841" s="1"/>
      <c r="V841" s="11"/>
      <c r="W841" s="12"/>
      <c r="X841" s="12"/>
      <c r="Y841" s="11"/>
      <c r="Z841" s="11"/>
      <c r="AA841" s="11"/>
    </row>
    <row r="842" spans="1:27" ht="13" x14ac:dyDescent="0.15">
      <c r="A842" s="7"/>
      <c r="G842" s="8"/>
      <c r="H842" s="8"/>
      <c r="I842" s="8"/>
      <c r="M842" s="8"/>
      <c r="R842" s="10" t="str">
        <f ca="1">IFERROR(__xludf.DUMMYFUNCTION("JOIN("","", SORT(UNIQUE(TOCOL({VLOOKUP(D842,DM_fish!A:B,2,FALSE),VLOOKUP(C842,DM_fish!A:B,2,FALSE), ARRAYFORMULA(VLOOKUP(SPLIT(E842, "", ""),Injections!B:G,6,FALSE)), ARRAYFORMULA(VLOOKUP(SPLIT(F842, "", ""),Injections!H:M,6,FALSE)), ARRAYFORMULA(VLOOKUP("&amp;"SPLIT(G842, "", ""),Injections!N:S,6,FALSE)), ARRAYFORMULA(VLOOKUP(SPLIT(H842, "", ""),Injections!T:Y,6,FALSE)) },3))))"),"")</f>
        <v/>
      </c>
      <c r="S842" s="10"/>
      <c r="T842" s="1"/>
      <c r="V842" s="11"/>
      <c r="W842" s="12"/>
      <c r="X842" s="12"/>
      <c r="Y842" s="11"/>
      <c r="Z842" s="11"/>
      <c r="AA842" s="11"/>
    </row>
    <row r="843" spans="1:27" ht="13" x14ac:dyDescent="0.15">
      <c r="A843" s="7"/>
      <c r="G843" s="8"/>
      <c r="H843" s="8"/>
      <c r="I843" s="8"/>
      <c r="M843" s="8"/>
      <c r="R843" s="10" t="str">
        <f ca="1">IFERROR(__xludf.DUMMYFUNCTION("JOIN("","", SORT(UNIQUE(TOCOL({VLOOKUP(D843,DM_fish!A:B,2,FALSE),VLOOKUP(C843,DM_fish!A:B,2,FALSE), ARRAYFORMULA(VLOOKUP(SPLIT(E843, "", ""),Injections!B:G,6,FALSE)), ARRAYFORMULA(VLOOKUP(SPLIT(F843, "", ""),Injections!H:M,6,FALSE)), ARRAYFORMULA(VLOOKUP("&amp;"SPLIT(G843, "", ""),Injections!N:S,6,FALSE)), ARRAYFORMULA(VLOOKUP(SPLIT(H843, "", ""),Injections!T:Y,6,FALSE)) },3))))"),"")</f>
        <v/>
      </c>
      <c r="S843" s="10"/>
      <c r="T843" s="1"/>
      <c r="V843" s="11"/>
      <c r="W843" s="12"/>
      <c r="X843" s="12"/>
      <c r="Y843" s="11"/>
      <c r="Z843" s="11"/>
      <c r="AA843" s="11"/>
    </row>
    <row r="844" spans="1:27" ht="13" x14ac:dyDescent="0.15">
      <c r="A844" s="7"/>
      <c r="G844" s="8"/>
      <c r="H844" s="8"/>
      <c r="I844" s="8"/>
      <c r="M844" s="8"/>
      <c r="R844" s="10" t="str">
        <f ca="1">IFERROR(__xludf.DUMMYFUNCTION("JOIN("","", SORT(UNIQUE(TOCOL({VLOOKUP(D844,DM_fish!A:B,2,FALSE),VLOOKUP(C844,DM_fish!A:B,2,FALSE), ARRAYFORMULA(VLOOKUP(SPLIT(E844, "", ""),Injections!B:G,6,FALSE)), ARRAYFORMULA(VLOOKUP(SPLIT(F844, "", ""),Injections!H:M,6,FALSE)), ARRAYFORMULA(VLOOKUP("&amp;"SPLIT(G844, "", ""),Injections!N:S,6,FALSE)), ARRAYFORMULA(VLOOKUP(SPLIT(H844, "", ""),Injections!T:Y,6,FALSE)) },3))))"),"")</f>
        <v/>
      </c>
      <c r="S844" s="10"/>
      <c r="T844" s="1"/>
      <c r="V844" s="11"/>
      <c r="W844" s="12"/>
      <c r="X844" s="12"/>
      <c r="Y844" s="11"/>
      <c r="Z844" s="11"/>
      <c r="AA844" s="11"/>
    </row>
    <row r="845" spans="1:27" ht="13" x14ac:dyDescent="0.15">
      <c r="A845" s="7"/>
      <c r="G845" s="8"/>
      <c r="H845" s="8"/>
      <c r="I845" s="8"/>
      <c r="M845" s="8"/>
      <c r="R845" s="10" t="str">
        <f ca="1">IFERROR(__xludf.DUMMYFUNCTION("JOIN("","", SORT(UNIQUE(TOCOL({VLOOKUP(D845,DM_fish!A:B,2,FALSE),VLOOKUP(C845,DM_fish!A:B,2,FALSE), ARRAYFORMULA(VLOOKUP(SPLIT(E845, "", ""),Injections!B:G,6,FALSE)), ARRAYFORMULA(VLOOKUP(SPLIT(F845, "", ""),Injections!H:M,6,FALSE)), ARRAYFORMULA(VLOOKUP("&amp;"SPLIT(G845, "", ""),Injections!N:S,6,FALSE)), ARRAYFORMULA(VLOOKUP(SPLIT(H845, "", ""),Injections!T:Y,6,FALSE)) },3))))"),"")</f>
        <v/>
      </c>
      <c r="S845" s="10"/>
      <c r="T845" s="1"/>
      <c r="V845" s="11"/>
      <c r="W845" s="12"/>
      <c r="X845" s="12"/>
      <c r="Y845" s="11"/>
      <c r="Z845" s="11"/>
      <c r="AA845" s="11"/>
    </row>
    <row r="846" spans="1:27" ht="13" x14ac:dyDescent="0.15">
      <c r="A846" s="7"/>
      <c r="G846" s="8"/>
      <c r="H846" s="8"/>
      <c r="I846" s="8"/>
      <c r="M846" s="8"/>
      <c r="R846" s="10" t="str">
        <f ca="1">IFERROR(__xludf.DUMMYFUNCTION("JOIN("","", SORT(UNIQUE(TOCOL({VLOOKUP(D846,DM_fish!A:B,2,FALSE),VLOOKUP(C846,DM_fish!A:B,2,FALSE), ARRAYFORMULA(VLOOKUP(SPLIT(E846, "", ""),Injections!B:G,6,FALSE)), ARRAYFORMULA(VLOOKUP(SPLIT(F846, "", ""),Injections!H:M,6,FALSE)), ARRAYFORMULA(VLOOKUP("&amp;"SPLIT(G846, "", ""),Injections!N:S,6,FALSE)), ARRAYFORMULA(VLOOKUP(SPLIT(H846, "", ""),Injections!T:Y,6,FALSE)) },3))))"),"")</f>
        <v/>
      </c>
      <c r="S846" s="10"/>
      <c r="T846" s="1"/>
      <c r="V846" s="11"/>
      <c r="W846" s="12"/>
      <c r="X846" s="12"/>
      <c r="Y846" s="11"/>
      <c r="Z846" s="11"/>
      <c r="AA846" s="11"/>
    </row>
    <row r="847" spans="1:27" ht="13" x14ac:dyDescent="0.15">
      <c r="A847" s="7"/>
      <c r="G847" s="8"/>
      <c r="H847" s="8"/>
      <c r="I847" s="8"/>
      <c r="M847" s="8"/>
      <c r="R847" s="10" t="str">
        <f ca="1">IFERROR(__xludf.DUMMYFUNCTION("JOIN("","", SORT(UNIQUE(TOCOL({VLOOKUP(D847,DM_fish!A:B,2,FALSE),VLOOKUP(C847,DM_fish!A:B,2,FALSE), ARRAYFORMULA(VLOOKUP(SPLIT(E847, "", ""),Injections!B:G,6,FALSE)), ARRAYFORMULA(VLOOKUP(SPLIT(F847, "", ""),Injections!H:M,6,FALSE)), ARRAYFORMULA(VLOOKUP("&amp;"SPLIT(G847, "", ""),Injections!N:S,6,FALSE)), ARRAYFORMULA(VLOOKUP(SPLIT(H847, "", ""),Injections!T:Y,6,FALSE)) },3))))"),"")</f>
        <v/>
      </c>
      <c r="S847" s="10"/>
      <c r="T847" s="1"/>
      <c r="V847" s="11"/>
      <c r="W847" s="12"/>
      <c r="X847" s="12"/>
      <c r="Y847" s="11"/>
      <c r="Z847" s="11"/>
      <c r="AA847" s="11"/>
    </row>
    <row r="848" spans="1:27" ht="13" x14ac:dyDescent="0.15">
      <c r="A848" s="7"/>
      <c r="G848" s="8"/>
      <c r="H848" s="8"/>
      <c r="I848" s="8"/>
      <c r="M848" s="8"/>
      <c r="R848" s="10" t="str">
        <f ca="1">IFERROR(__xludf.DUMMYFUNCTION("JOIN("","", SORT(UNIQUE(TOCOL({VLOOKUP(D848,DM_fish!A:B,2,FALSE),VLOOKUP(C848,DM_fish!A:B,2,FALSE), ARRAYFORMULA(VLOOKUP(SPLIT(E848, "", ""),Injections!B:G,6,FALSE)), ARRAYFORMULA(VLOOKUP(SPLIT(F848, "", ""),Injections!H:M,6,FALSE)), ARRAYFORMULA(VLOOKUP("&amp;"SPLIT(G848, "", ""),Injections!N:S,6,FALSE)), ARRAYFORMULA(VLOOKUP(SPLIT(H848, "", ""),Injections!T:Y,6,FALSE)) },3))))"),"")</f>
        <v/>
      </c>
      <c r="S848" s="10"/>
      <c r="T848" s="1"/>
      <c r="V848" s="11"/>
      <c r="W848" s="12"/>
      <c r="X848" s="12"/>
      <c r="Y848" s="11"/>
      <c r="Z848" s="11"/>
      <c r="AA848" s="11"/>
    </row>
    <row r="849" spans="1:27" ht="13" x14ac:dyDescent="0.15">
      <c r="A849" s="7"/>
      <c r="G849" s="8"/>
      <c r="H849" s="8"/>
      <c r="I849" s="8"/>
      <c r="M849" s="8"/>
      <c r="R849" s="10" t="str">
        <f ca="1">IFERROR(__xludf.DUMMYFUNCTION("JOIN("","", SORT(UNIQUE(TOCOL({VLOOKUP(D849,DM_fish!A:B,2,FALSE),VLOOKUP(C849,DM_fish!A:B,2,FALSE), ARRAYFORMULA(VLOOKUP(SPLIT(E849, "", ""),Injections!B:G,6,FALSE)), ARRAYFORMULA(VLOOKUP(SPLIT(F849, "", ""),Injections!H:M,6,FALSE)), ARRAYFORMULA(VLOOKUP("&amp;"SPLIT(G849, "", ""),Injections!N:S,6,FALSE)), ARRAYFORMULA(VLOOKUP(SPLIT(H849, "", ""),Injections!T:Y,6,FALSE)) },3))))"),"")</f>
        <v/>
      </c>
      <c r="S849" s="10"/>
      <c r="T849" s="1"/>
      <c r="V849" s="11"/>
      <c r="W849" s="12"/>
      <c r="X849" s="12"/>
      <c r="Y849" s="11"/>
      <c r="Z849" s="11"/>
      <c r="AA849" s="11"/>
    </row>
    <row r="850" spans="1:27" ht="13" x14ac:dyDescent="0.15">
      <c r="A850" s="7"/>
      <c r="G850" s="8"/>
      <c r="H850" s="8"/>
      <c r="I850" s="8"/>
      <c r="M850" s="8"/>
      <c r="R850" s="10" t="str">
        <f ca="1">IFERROR(__xludf.DUMMYFUNCTION("JOIN("","", SORT(UNIQUE(TOCOL({VLOOKUP(D850,DM_fish!A:B,2,FALSE),VLOOKUP(C850,DM_fish!A:B,2,FALSE), ARRAYFORMULA(VLOOKUP(SPLIT(E850, "", ""),Injections!B:G,6,FALSE)), ARRAYFORMULA(VLOOKUP(SPLIT(F850, "", ""),Injections!H:M,6,FALSE)), ARRAYFORMULA(VLOOKUP("&amp;"SPLIT(G850, "", ""),Injections!N:S,6,FALSE)), ARRAYFORMULA(VLOOKUP(SPLIT(H850, "", ""),Injections!T:Y,6,FALSE)) },3))))"),"")</f>
        <v/>
      </c>
      <c r="S850" s="10"/>
      <c r="T850" s="1"/>
      <c r="V850" s="11"/>
      <c r="W850" s="12"/>
      <c r="X850" s="12"/>
      <c r="Y850" s="11"/>
      <c r="Z850" s="11"/>
      <c r="AA850" s="11"/>
    </row>
    <row r="851" spans="1:27" ht="13" x14ac:dyDescent="0.15">
      <c r="A851" s="7"/>
      <c r="G851" s="8"/>
      <c r="H851" s="8"/>
      <c r="I851" s="8"/>
      <c r="M851" s="8"/>
      <c r="R851" s="10" t="str">
        <f ca="1">IFERROR(__xludf.DUMMYFUNCTION("JOIN("","", SORT(UNIQUE(TOCOL({VLOOKUP(D851,DM_fish!A:B,2,FALSE),VLOOKUP(C851,DM_fish!A:B,2,FALSE), ARRAYFORMULA(VLOOKUP(SPLIT(E851, "", ""),Injections!B:G,6,FALSE)), ARRAYFORMULA(VLOOKUP(SPLIT(F851, "", ""),Injections!H:M,6,FALSE)), ARRAYFORMULA(VLOOKUP("&amp;"SPLIT(G851, "", ""),Injections!N:S,6,FALSE)), ARRAYFORMULA(VLOOKUP(SPLIT(H851, "", ""),Injections!T:Y,6,FALSE)) },3))))"),"")</f>
        <v/>
      </c>
      <c r="S851" s="10"/>
      <c r="T851" s="1"/>
      <c r="V851" s="11"/>
      <c r="W851" s="12"/>
      <c r="X851" s="12"/>
      <c r="Y851" s="11"/>
      <c r="Z851" s="11"/>
      <c r="AA851" s="11"/>
    </row>
    <row r="852" spans="1:27" ht="13" x14ac:dyDescent="0.15">
      <c r="A852" s="7"/>
      <c r="G852" s="8"/>
      <c r="H852" s="8"/>
      <c r="I852" s="8"/>
      <c r="M852" s="8"/>
      <c r="R852" s="10" t="str">
        <f ca="1">IFERROR(__xludf.DUMMYFUNCTION("JOIN("","", SORT(UNIQUE(TOCOL({VLOOKUP(D852,DM_fish!A:B,2,FALSE),VLOOKUP(C852,DM_fish!A:B,2,FALSE), ARRAYFORMULA(VLOOKUP(SPLIT(E852, "", ""),Injections!B:G,6,FALSE)), ARRAYFORMULA(VLOOKUP(SPLIT(F852, "", ""),Injections!H:M,6,FALSE)), ARRAYFORMULA(VLOOKUP("&amp;"SPLIT(G852, "", ""),Injections!N:S,6,FALSE)), ARRAYFORMULA(VLOOKUP(SPLIT(H852, "", ""),Injections!T:Y,6,FALSE)) },3))))"),"")</f>
        <v/>
      </c>
      <c r="S852" s="10"/>
      <c r="T852" s="1"/>
      <c r="V852" s="11"/>
      <c r="W852" s="12"/>
      <c r="X852" s="12"/>
      <c r="Y852" s="11"/>
      <c r="Z852" s="11"/>
      <c r="AA852" s="11"/>
    </row>
    <row r="853" spans="1:27" ht="13" x14ac:dyDescent="0.15">
      <c r="A853" s="7"/>
      <c r="G853" s="8"/>
      <c r="H853" s="8"/>
      <c r="I853" s="8"/>
      <c r="M853" s="8"/>
      <c r="R853" s="10" t="str">
        <f ca="1">IFERROR(__xludf.DUMMYFUNCTION("JOIN("","", SORT(UNIQUE(TOCOL({VLOOKUP(D853,DM_fish!A:B,2,FALSE),VLOOKUP(C853,DM_fish!A:B,2,FALSE), ARRAYFORMULA(VLOOKUP(SPLIT(E853, "", ""),Injections!B:G,6,FALSE)), ARRAYFORMULA(VLOOKUP(SPLIT(F853, "", ""),Injections!H:M,6,FALSE)), ARRAYFORMULA(VLOOKUP("&amp;"SPLIT(G853, "", ""),Injections!N:S,6,FALSE)), ARRAYFORMULA(VLOOKUP(SPLIT(H853, "", ""),Injections!T:Y,6,FALSE)) },3))))"),"")</f>
        <v/>
      </c>
      <c r="S853" s="10"/>
      <c r="T853" s="1"/>
      <c r="V853" s="11"/>
      <c r="W853" s="12"/>
      <c r="X853" s="12"/>
      <c r="Y853" s="11"/>
      <c r="Z853" s="11"/>
      <c r="AA853" s="11"/>
    </row>
    <row r="854" spans="1:27" ht="13" x14ac:dyDescent="0.15">
      <c r="A854" s="7"/>
      <c r="G854" s="8"/>
      <c r="H854" s="8"/>
      <c r="I854" s="8"/>
      <c r="M854" s="8"/>
      <c r="R854" s="10" t="str">
        <f ca="1">IFERROR(__xludf.DUMMYFUNCTION("JOIN("","", SORT(UNIQUE(TOCOL({VLOOKUP(D854,DM_fish!A:B,2,FALSE),VLOOKUP(C854,DM_fish!A:B,2,FALSE), ARRAYFORMULA(VLOOKUP(SPLIT(E854, "", ""),Injections!B:G,6,FALSE)), ARRAYFORMULA(VLOOKUP(SPLIT(F854, "", ""),Injections!H:M,6,FALSE)), ARRAYFORMULA(VLOOKUP("&amp;"SPLIT(G854, "", ""),Injections!N:S,6,FALSE)), ARRAYFORMULA(VLOOKUP(SPLIT(H854, "", ""),Injections!T:Y,6,FALSE)) },3))))"),"")</f>
        <v/>
      </c>
      <c r="S854" s="10"/>
      <c r="T854" s="1"/>
      <c r="V854" s="11"/>
      <c r="W854" s="12"/>
      <c r="X854" s="12"/>
      <c r="Y854" s="11"/>
      <c r="Z854" s="11"/>
      <c r="AA854" s="11"/>
    </row>
    <row r="855" spans="1:27" ht="13" x14ac:dyDescent="0.15">
      <c r="A855" s="7"/>
      <c r="G855" s="8"/>
      <c r="H855" s="8"/>
      <c r="I855" s="8"/>
      <c r="M855" s="8"/>
      <c r="R855" s="10" t="str">
        <f ca="1">IFERROR(__xludf.DUMMYFUNCTION("JOIN("","", SORT(UNIQUE(TOCOL({VLOOKUP(D855,DM_fish!A:B,2,FALSE),VLOOKUP(C855,DM_fish!A:B,2,FALSE), ARRAYFORMULA(VLOOKUP(SPLIT(E855, "", ""),Injections!B:G,6,FALSE)), ARRAYFORMULA(VLOOKUP(SPLIT(F855, "", ""),Injections!H:M,6,FALSE)), ARRAYFORMULA(VLOOKUP("&amp;"SPLIT(G855, "", ""),Injections!N:S,6,FALSE)), ARRAYFORMULA(VLOOKUP(SPLIT(H855, "", ""),Injections!T:Y,6,FALSE)) },3))))"),"")</f>
        <v/>
      </c>
      <c r="S855" s="10"/>
      <c r="T855" s="1"/>
      <c r="V855" s="11"/>
      <c r="W855" s="12"/>
      <c r="X855" s="12"/>
      <c r="Y855" s="11"/>
      <c r="Z855" s="11"/>
      <c r="AA855" s="11"/>
    </row>
    <row r="856" spans="1:27" ht="13" x14ac:dyDescent="0.15">
      <c r="A856" s="7"/>
      <c r="G856" s="8"/>
      <c r="H856" s="8"/>
      <c r="I856" s="8"/>
      <c r="M856" s="8"/>
      <c r="R856" s="10" t="str">
        <f ca="1">IFERROR(__xludf.DUMMYFUNCTION("JOIN("","", SORT(UNIQUE(TOCOL({VLOOKUP(D856,DM_fish!A:B,2,FALSE),VLOOKUP(C856,DM_fish!A:B,2,FALSE), ARRAYFORMULA(VLOOKUP(SPLIT(E856, "", ""),Injections!B:G,6,FALSE)), ARRAYFORMULA(VLOOKUP(SPLIT(F856, "", ""),Injections!H:M,6,FALSE)), ARRAYFORMULA(VLOOKUP("&amp;"SPLIT(G856, "", ""),Injections!N:S,6,FALSE)), ARRAYFORMULA(VLOOKUP(SPLIT(H856, "", ""),Injections!T:Y,6,FALSE)) },3))))"),"")</f>
        <v/>
      </c>
      <c r="S856" s="10"/>
      <c r="T856" s="1"/>
      <c r="V856" s="11"/>
      <c r="W856" s="12"/>
      <c r="X856" s="12"/>
      <c r="Y856" s="11"/>
      <c r="Z856" s="11"/>
      <c r="AA856" s="11"/>
    </row>
    <row r="857" spans="1:27" ht="13" x14ac:dyDescent="0.15">
      <c r="A857" s="7"/>
      <c r="G857" s="8"/>
      <c r="H857" s="8"/>
      <c r="I857" s="8"/>
      <c r="M857" s="8"/>
      <c r="R857" s="10" t="str">
        <f ca="1">IFERROR(__xludf.DUMMYFUNCTION("JOIN("","", SORT(UNIQUE(TOCOL({VLOOKUP(D857,DM_fish!A:B,2,FALSE),VLOOKUP(C857,DM_fish!A:B,2,FALSE), ARRAYFORMULA(VLOOKUP(SPLIT(E857, "", ""),Injections!B:G,6,FALSE)), ARRAYFORMULA(VLOOKUP(SPLIT(F857, "", ""),Injections!H:M,6,FALSE)), ARRAYFORMULA(VLOOKUP("&amp;"SPLIT(G857, "", ""),Injections!N:S,6,FALSE)), ARRAYFORMULA(VLOOKUP(SPLIT(H857, "", ""),Injections!T:Y,6,FALSE)) },3))))"),"")</f>
        <v/>
      </c>
      <c r="S857" s="10"/>
      <c r="T857" s="1"/>
      <c r="V857" s="11"/>
      <c r="W857" s="12"/>
      <c r="X857" s="12"/>
      <c r="Y857" s="11"/>
      <c r="Z857" s="11"/>
      <c r="AA857" s="11"/>
    </row>
    <row r="858" spans="1:27" ht="13" x14ac:dyDescent="0.15">
      <c r="A858" s="7"/>
      <c r="G858" s="8"/>
      <c r="H858" s="8"/>
      <c r="I858" s="8"/>
      <c r="M858" s="8"/>
      <c r="R858" s="10" t="str">
        <f ca="1">IFERROR(__xludf.DUMMYFUNCTION("JOIN("","", SORT(UNIQUE(TOCOL({VLOOKUP(D858,DM_fish!A:B,2,FALSE),VLOOKUP(C858,DM_fish!A:B,2,FALSE), ARRAYFORMULA(VLOOKUP(SPLIT(E858, "", ""),Injections!B:G,6,FALSE)), ARRAYFORMULA(VLOOKUP(SPLIT(F858, "", ""),Injections!H:M,6,FALSE)), ARRAYFORMULA(VLOOKUP("&amp;"SPLIT(G858, "", ""),Injections!N:S,6,FALSE)), ARRAYFORMULA(VLOOKUP(SPLIT(H858, "", ""),Injections!T:Y,6,FALSE)) },3))))"),"")</f>
        <v/>
      </c>
      <c r="S858" s="10"/>
      <c r="T858" s="1"/>
      <c r="V858" s="11"/>
      <c r="W858" s="12"/>
      <c r="X858" s="12"/>
      <c r="Y858" s="11"/>
      <c r="Z858" s="11"/>
      <c r="AA858" s="11"/>
    </row>
    <row r="859" spans="1:27" ht="13" x14ac:dyDescent="0.15">
      <c r="A859" s="7"/>
      <c r="G859" s="8"/>
      <c r="H859" s="8"/>
      <c r="I859" s="8"/>
      <c r="M859" s="8"/>
      <c r="R859" s="10" t="str">
        <f ca="1">IFERROR(__xludf.DUMMYFUNCTION("JOIN("","", SORT(UNIQUE(TOCOL({VLOOKUP(D859,DM_fish!A:B,2,FALSE),VLOOKUP(C859,DM_fish!A:B,2,FALSE), ARRAYFORMULA(VLOOKUP(SPLIT(E859, "", ""),Injections!B:G,6,FALSE)), ARRAYFORMULA(VLOOKUP(SPLIT(F859, "", ""),Injections!H:M,6,FALSE)), ARRAYFORMULA(VLOOKUP("&amp;"SPLIT(G859, "", ""),Injections!N:S,6,FALSE)), ARRAYFORMULA(VLOOKUP(SPLIT(H859, "", ""),Injections!T:Y,6,FALSE)) },3))))"),"")</f>
        <v/>
      </c>
      <c r="S859" s="10"/>
      <c r="T859" s="1"/>
      <c r="V859" s="11"/>
      <c r="W859" s="12"/>
      <c r="X859" s="12"/>
      <c r="Y859" s="11"/>
      <c r="Z859" s="11"/>
      <c r="AA859" s="11"/>
    </row>
    <row r="860" spans="1:27" ht="13" x14ac:dyDescent="0.15">
      <c r="A860" s="7"/>
      <c r="G860" s="8"/>
      <c r="H860" s="8"/>
      <c r="I860" s="8"/>
      <c r="M860" s="8"/>
      <c r="R860" s="10" t="str">
        <f ca="1">IFERROR(__xludf.DUMMYFUNCTION("JOIN("","", SORT(UNIQUE(TOCOL({VLOOKUP(D860,DM_fish!A:B,2,FALSE),VLOOKUP(C860,DM_fish!A:B,2,FALSE), ARRAYFORMULA(VLOOKUP(SPLIT(E860, "", ""),Injections!B:G,6,FALSE)), ARRAYFORMULA(VLOOKUP(SPLIT(F860, "", ""),Injections!H:M,6,FALSE)), ARRAYFORMULA(VLOOKUP("&amp;"SPLIT(G860, "", ""),Injections!N:S,6,FALSE)), ARRAYFORMULA(VLOOKUP(SPLIT(H860, "", ""),Injections!T:Y,6,FALSE)) },3))))"),"")</f>
        <v/>
      </c>
      <c r="S860" s="10"/>
      <c r="T860" s="1"/>
      <c r="V860" s="11"/>
      <c r="W860" s="12"/>
      <c r="X860" s="12"/>
      <c r="Y860" s="11"/>
      <c r="Z860" s="11"/>
      <c r="AA860" s="11"/>
    </row>
    <row r="861" spans="1:27" ht="13" x14ac:dyDescent="0.15">
      <c r="A861" s="7"/>
      <c r="G861" s="8"/>
      <c r="H861" s="8"/>
      <c r="I861" s="8"/>
      <c r="M861" s="8"/>
      <c r="R861" s="10" t="str">
        <f ca="1">IFERROR(__xludf.DUMMYFUNCTION("JOIN("","", SORT(UNIQUE(TOCOL({VLOOKUP(D861,DM_fish!A:B,2,FALSE),VLOOKUP(C861,DM_fish!A:B,2,FALSE), ARRAYFORMULA(VLOOKUP(SPLIT(E861, "", ""),Injections!B:G,6,FALSE)), ARRAYFORMULA(VLOOKUP(SPLIT(F861, "", ""),Injections!H:M,6,FALSE)), ARRAYFORMULA(VLOOKUP("&amp;"SPLIT(G861, "", ""),Injections!N:S,6,FALSE)), ARRAYFORMULA(VLOOKUP(SPLIT(H861, "", ""),Injections!T:Y,6,FALSE)) },3))))"),"")</f>
        <v/>
      </c>
      <c r="S861" s="10"/>
      <c r="T861" s="1"/>
      <c r="V861" s="11"/>
      <c r="W861" s="12"/>
      <c r="X861" s="12"/>
      <c r="Y861" s="11"/>
      <c r="Z861" s="11"/>
      <c r="AA861" s="11"/>
    </row>
    <row r="862" spans="1:27" ht="13" x14ac:dyDescent="0.15">
      <c r="A862" s="7"/>
      <c r="G862" s="8"/>
      <c r="H862" s="8"/>
      <c r="I862" s="8"/>
      <c r="M862" s="8"/>
      <c r="R862" s="10" t="str">
        <f ca="1">IFERROR(__xludf.DUMMYFUNCTION("JOIN("","", SORT(UNIQUE(TOCOL({VLOOKUP(D862,DM_fish!A:B,2,FALSE),VLOOKUP(C862,DM_fish!A:B,2,FALSE), ARRAYFORMULA(VLOOKUP(SPLIT(E862, "", ""),Injections!B:G,6,FALSE)), ARRAYFORMULA(VLOOKUP(SPLIT(F862, "", ""),Injections!H:M,6,FALSE)), ARRAYFORMULA(VLOOKUP("&amp;"SPLIT(G862, "", ""),Injections!N:S,6,FALSE)), ARRAYFORMULA(VLOOKUP(SPLIT(H862, "", ""),Injections!T:Y,6,FALSE)) },3))))"),"")</f>
        <v/>
      </c>
      <c r="S862" s="10"/>
      <c r="T862" s="1"/>
      <c r="V862" s="11"/>
      <c r="W862" s="12"/>
      <c r="X862" s="12"/>
      <c r="Y862" s="11"/>
      <c r="Z862" s="11"/>
      <c r="AA862" s="11"/>
    </row>
    <row r="863" spans="1:27" ht="13" x14ac:dyDescent="0.15">
      <c r="A863" s="7"/>
      <c r="G863" s="8"/>
      <c r="H863" s="8"/>
      <c r="I863" s="8"/>
      <c r="M863" s="8"/>
      <c r="R863" s="10" t="str">
        <f ca="1">IFERROR(__xludf.DUMMYFUNCTION("JOIN("","", SORT(UNIQUE(TOCOL({VLOOKUP(D863,DM_fish!A:B,2,FALSE),VLOOKUP(C863,DM_fish!A:B,2,FALSE), ARRAYFORMULA(VLOOKUP(SPLIT(E863, "", ""),Injections!B:G,6,FALSE)), ARRAYFORMULA(VLOOKUP(SPLIT(F863, "", ""),Injections!H:M,6,FALSE)), ARRAYFORMULA(VLOOKUP("&amp;"SPLIT(G863, "", ""),Injections!N:S,6,FALSE)), ARRAYFORMULA(VLOOKUP(SPLIT(H863, "", ""),Injections!T:Y,6,FALSE)) },3))))"),"")</f>
        <v/>
      </c>
      <c r="S863" s="10"/>
      <c r="T863" s="1"/>
      <c r="V863" s="11"/>
      <c r="W863" s="12"/>
      <c r="X863" s="12"/>
      <c r="Y863" s="11"/>
      <c r="Z863" s="11"/>
      <c r="AA863" s="11"/>
    </row>
    <row r="864" spans="1:27" ht="13" x14ac:dyDescent="0.15">
      <c r="A864" s="7"/>
      <c r="G864" s="8"/>
      <c r="H864" s="8"/>
      <c r="I864" s="8"/>
      <c r="M864" s="8"/>
      <c r="R864" s="10" t="str">
        <f ca="1">IFERROR(__xludf.DUMMYFUNCTION("JOIN("","", SORT(UNIQUE(TOCOL({VLOOKUP(D864,DM_fish!A:B,2,FALSE),VLOOKUP(C864,DM_fish!A:B,2,FALSE), ARRAYFORMULA(VLOOKUP(SPLIT(E864, "", ""),Injections!B:G,6,FALSE)), ARRAYFORMULA(VLOOKUP(SPLIT(F864, "", ""),Injections!H:M,6,FALSE)), ARRAYFORMULA(VLOOKUP("&amp;"SPLIT(G864, "", ""),Injections!N:S,6,FALSE)), ARRAYFORMULA(VLOOKUP(SPLIT(H864, "", ""),Injections!T:Y,6,FALSE)) },3))))"),"")</f>
        <v/>
      </c>
      <c r="S864" s="10"/>
      <c r="T864" s="1"/>
      <c r="V864" s="11"/>
      <c r="W864" s="12"/>
      <c r="X864" s="12"/>
      <c r="Y864" s="11"/>
      <c r="Z864" s="11"/>
      <c r="AA864" s="11"/>
    </row>
    <row r="865" spans="1:27" ht="13" x14ac:dyDescent="0.15">
      <c r="A865" s="7"/>
      <c r="G865" s="8"/>
      <c r="H865" s="8"/>
      <c r="I865" s="8"/>
      <c r="M865" s="8"/>
      <c r="R865" s="10" t="str">
        <f ca="1">IFERROR(__xludf.DUMMYFUNCTION("JOIN("","", SORT(UNIQUE(TOCOL({VLOOKUP(D865,DM_fish!A:B,2,FALSE),VLOOKUP(C865,DM_fish!A:B,2,FALSE), ARRAYFORMULA(VLOOKUP(SPLIT(E865, "", ""),Injections!B:G,6,FALSE)), ARRAYFORMULA(VLOOKUP(SPLIT(F865, "", ""),Injections!H:M,6,FALSE)), ARRAYFORMULA(VLOOKUP("&amp;"SPLIT(G865, "", ""),Injections!N:S,6,FALSE)), ARRAYFORMULA(VLOOKUP(SPLIT(H865, "", ""),Injections!T:Y,6,FALSE)) },3))))"),"")</f>
        <v/>
      </c>
      <c r="S865" s="10"/>
      <c r="T865" s="1"/>
      <c r="V865" s="11"/>
      <c r="W865" s="12"/>
      <c r="X865" s="12"/>
      <c r="Y865" s="11"/>
      <c r="Z865" s="11"/>
      <c r="AA865" s="11"/>
    </row>
    <row r="866" spans="1:27" ht="13" x14ac:dyDescent="0.15">
      <c r="A866" s="7"/>
      <c r="G866" s="8"/>
      <c r="H866" s="8"/>
      <c r="I866" s="8"/>
      <c r="M866" s="8"/>
      <c r="R866" s="10" t="str">
        <f ca="1">IFERROR(__xludf.DUMMYFUNCTION("JOIN("","", SORT(UNIQUE(TOCOL({VLOOKUP(D866,DM_fish!A:B,2,FALSE),VLOOKUP(C866,DM_fish!A:B,2,FALSE), ARRAYFORMULA(VLOOKUP(SPLIT(E866, "", ""),Injections!B:G,6,FALSE)), ARRAYFORMULA(VLOOKUP(SPLIT(F866, "", ""),Injections!H:M,6,FALSE)), ARRAYFORMULA(VLOOKUP("&amp;"SPLIT(G866, "", ""),Injections!N:S,6,FALSE)), ARRAYFORMULA(VLOOKUP(SPLIT(H866, "", ""),Injections!T:Y,6,FALSE)) },3))))"),"")</f>
        <v/>
      </c>
      <c r="S866" s="10"/>
      <c r="T866" s="1"/>
      <c r="V866" s="11"/>
      <c r="W866" s="12"/>
      <c r="X866" s="12"/>
      <c r="Y866" s="11"/>
      <c r="Z866" s="11"/>
      <c r="AA866" s="11"/>
    </row>
    <row r="867" spans="1:27" ht="13" x14ac:dyDescent="0.15">
      <c r="A867" s="7"/>
      <c r="G867" s="8"/>
      <c r="H867" s="8"/>
      <c r="I867" s="8"/>
      <c r="M867" s="8"/>
      <c r="R867" s="10" t="str">
        <f ca="1">IFERROR(__xludf.DUMMYFUNCTION("JOIN("","", SORT(UNIQUE(TOCOL({VLOOKUP(D867,DM_fish!A:B,2,FALSE),VLOOKUP(C867,DM_fish!A:B,2,FALSE), ARRAYFORMULA(VLOOKUP(SPLIT(E867, "", ""),Injections!B:G,6,FALSE)), ARRAYFORMULA(VLOOKUP(SPLIT(F867, "", ""),Injections!H:M,6,FALSE)), ARRAYFORMULA(VLOOKUP("&amp;"SPLIT(G867, "", ""),Injections!N:S,6,FALSE)), ARRAYFORMULA(VLOOKUP(SPLIT(H867, "", ""),Injections!T:Y,6,FALSE)) },3))))"),"")</f>
        <v/>
      </c>
      <c r="S867" s="10"/>
      <c r="T867" s="1"/>
      <c r="V867" s="11"/>
      <c r="W867" s="12"/>
      <c r="X867" s="12"/>
      <c r="Y867" s="11"/>
      <c r="Z867" s="11"/>
      <c r="AA867" s="11"/>
    </row>
    <row r="868" spans="1:27" ht="13" x14ac:dyDescent="0.15">
      <c r="A868" s="7"/>
      <c r="G868" s="8"/>
      <c r="H868" s="8"/>
      <c r="I868" s="8"/>
      <c r="M868" s="8"/>
      <c r="R868" s="10" t="str">
        <f ca="1">IFERROR(__xludf.DUMMYFUNCTION("JOIN("","", SORT(UNIQUE(TOCOL({VLOOKUP(D868,DM_fish!A:B,2,FALSE),VLOOKUP(C868,DM_fish!A:B,2,FALSE), ARRAYFORMULA(VLOOKUP(SPLIT(E868, "", ""),Injections!B:G,6,FALSE)), ARRAYFORMULA(VLOOKUP(SPLIT(F868, "", ""),Injections!H:M,6,FALSE)), ARRAYFORMULA(VLOOKUP("&amp;"SPLIT(G868, "", ""),Injections!N:S,6,FALSE)), ARRAYFORMULA(VLOOKUP(SPLIT(H868, "", ""),Injections!T:Y,6,FALSE)) },3))))"),"")</f>
        <v/>
      </c>
      <c r="S868" s="10"/>
      <c r="T868" s="1"/>
      <c r="V868" s="11"/>
      <c r="W868" s="12"/>
      <c r="X868" s="12"/>
      <c r="Y868" s="11"/>
      <c r="Z868" s="11"/>
      <c r="AA868" s="11"/>
    </row>
    <row r="869" spans="1:27" ht="13" x14ac:dyDescent="0.15">
      <c r="A869" s="7"/>
      <c r="G869" s="8"/>
      <c r="H869" s="8"/>
      <c r="I869" s="8"/>
      <c r="M869" s="8"/>
      <c r="R869" s="10" t="str">
        <f ca="1">IFERROR(__xludf.DUMMYFUNCTION("JOIN("","", SORT(UNIQUE(TOCOL({VLOOKUP(D869,DM_fish!A:B,2,FALSE),VLOOKUP(C869,DM_fish!A:B,2,FALSE), ARRAYFORMULA(VLOOKUP(SPLIT(E869, "", ""),Injections!B:G,6,FALSE)), ARRAYFORMULA(VLOOKUP(SPLIT(F869, "", ""),Injections!H:M,6,FALSE)), ARRAYFORMULA(VLOOKUP("&amp;"SPLIT(G869, "", ""),Injections!N:S,6,FALSE)), ARRAYFORMULA(VLOOKUP(SPLIT(H869, "", ""),Injections!T:Y,6,FALSE)) },3))))"),"")</f>
        <v/>
      </c>
      <c r="S869" s="10"/>
      <c r="T869" s="1"/>
      <c r="V869" s="11"/>
      <c r="W869" s="12"/>
      <c r="X869" s="12"/>
      <c r="Y869" s="11"/>
      <c r="Z869" s="11"/>
      <c r="AA869" s="11"/>
    </row>
    <row r="870" spans="1:27" ht="13" x14ac:dyDescent="0.15">
      <c r="A870" s="7"/>
      <c r="G870" s="8"/>
      <c r="H870" s="8"/>
      <c r="I870" s="8"/>
      <c r="M870" s="8"/>
      <c r="R870" s="10" t="str">
        <f ca="1">IFERROR(__xludf.DUMMYFUNCTION("JOIN("","", SORT(UNIQUE(TOCOL({VLOOKUP(D870,DM_fish!A:B,2,FALSE),VLOOKUP(C870,DM_fish!A:B,2,FALSE), ARRAYFORMULA(VLOOKUP(SPLIT(E870, "", ""),Injections!B:G,6,FALSE)), ARRAYFORMULA(VLOOKUP(SPLIT(F870, "", ""),Injections!H:M,6,FALSE)), ARRAYFORMULA(VLOOKUP("&amp;"SPLIT(G870, "", ""),Injections!N:S,6,FALSE)), ARRAYFORMULA(VLOOKUP(SPLIT(H870, "", ""),Injections!T:Y,6,FALSE)) },3))))"),"")</f>
        <v/>
      </c>
      <c r="S870" s="10"/>
      <c r="T870" s="1"/>
      <c r="V870" s="11"/>
      <c r="W870" s="12"/>
      <c r="X870" s="12"/>
      <c r="Y870" s="11"/>
      <c r="Z870" s="11"/>
      <c r="AA870" s="11"/>
    </row>
    <row r="871" spans="1:27" ht="13" x14ac:dyDescent="0.15">
      <c r="A871" s="7"/>
      <c r="G871" s="8"/>
      <c r="H871" s="8"/>
      <c r="I871" s="8"/>
      <c r="M871" s="8"/>
      <c r="R871" s="10" t="str">
        <f ca="1">IFERROR(__xludf.DUMMYFUNCTION("JOIN("","", SORT(UNIQUE(TOCOL({VLOOKUP(D871,DM_fish!A:B,2,FALSE),VLOOKUP(C871,DM_fish!A:B,2,FALSE), ARRAYFORMULA(VLOOKUP(SPLIT(E871, "", ""),Injections!B:G,6,FALSE)), ARRAYFORMULA(VLOOKUP(SPLIT(F871, "", ""),Injections!H:M,6,FALSE)), ARRAYFORMULA(VLOOKUP("&amp;"SPLIT(G871, "", ""),Injections!N:S,6,FALSE)), ARRAYFORMULA(VLOOKUP(SPLIT(H871, "", ""),Injections!T:Y,6,FALSE)) },3))))"),"")</f>
        <v/>
      </c>
      <c r="S871" s="10"/>
      <c r="T871" s="1"/>
      <c r="V871" s="11"/>
      <c r="W871" s="12"/>
      <c r="X871" s="12"/>
      <c r="Y871" s="11"/>
      <c r="Z871" s="11"/>
      <c r="AA871" s="11"/>
    </row>
    <row r="872" spans="1:27" ht="13" x14ac:dyDescent="0.15">
      <c r="A872" s="7"/>
      <c r="G872" s="8"/>
      <c r="H872" s="8"/>
      <c r="I872" s="8"/>
      <c r="M872" s="8"/>
      <c r="R872" s="10" t="str">
        <f ca="1">IFERROR(__xludf.DUMMYFUNCTION("JOIN("","", SORT(UNIQUE(TOCOL({VLOOKUP(D872,DM_fish!A:B,2,FALSE),VLOOKUP(C872,DM_fish!A:B,2,FALSE), ARRAYFORMULA(VLOOKUP(SPLIT(E872, "", ""),Injections!B:G,6,FALSE)), ARRAYFORMULA(VLOOKUP(SPLIT(F872, "", ""),Injections!H:M,6,FALSE)), ARRAYFORMULA(VLOOKUP("&amp;"SPLIT(G872, "", ""),Injections!N:S,6,FALSE)), ARRAYFORMULA(VLOOKUP(SPLIT(H872, "", ""),Injections!T:Y,6,FALSE)) },3))))"),"")</f>
        <v/>
      </c>
      <c r="S872" s="10"/>
      <c r="T872" s="1"/>
      <c r="V872" s="11"/>
      <c r="W872" s="12"/>
      <c r="X872" s="12"/>
      <c r="Y872" s="11"/>
      <c r="Z872" s="11"/>
      <c r="AA872" s="11"/>
    </row>
    <row r="873" spans="1:27" ht="13" x14ac:dyDescent="0.15">
      <c r="A873" s="7"/>
      <c r="G873" s="8"/>
      <c r="H873" s="8"/>
      <c r="I873" s="8"/>
      <c r="M873" s="8"/>
      <c r="R873" s="10" t="str">
        <f ca="1">IFERROR(__xludf.DUMMYFUNCTION("JOIN("","", SORT(UNIQUE(TOCOL({VLOOKUP(D873,DM_fish!A:B,2,FALSE),VLOOKUP(C873,DM_fish!A:B,2,FALSE), ARRAYFORMULA(VLOOKUP(SPLIT(E873, "", ""),Injections!B:G,6,FALSE)), ARRAYFORMULA(VLOOKUP(SPLIT(F873, "", ""),Injections!H:M,6,FALSE)), ARRAYFORMULA(VLOOKUP("&amp;"SPLIT(G873, "", ""),Injections!N:S,6,FALSE)), ARRAYFORMULA(VLOOKUP(SPLIT(H873, "", ""),Injections!T:Y,6,FALSE)) },3))))"),"")</f>
        <v/>
      </c>
      <c r="S873" s="10"/>
      <c r="T873" s="1"/>
      <c r="V873" s="11"/>
      <c r="W873" s="12"/>
      <c r="X873" s="12"/>
      <c r="Y873" s="11"/>
      <c r="Z873" s="11"/>
      <c r="AA873" s="11"/>
    </row>
    <row r="874" spans="1:27" ht="13" x14ac:dyDescent="0.15">
      <c r="A874" s="7"/>
      <c r="G874" s="8"/>
      <c r="H874" s="8"/>
      <c r="I874" s="8"/>
      <c r="M874" s="8"/>
      <c r="R874" s="10" t="str">
        <f ca="1">IFERROR(__xludf.DUMMYFUNCTION("JOIN("","", SORT(UNIQUE(TOCOL({VLOOKUP(D874,DM_fish!A:B,2,FALSE),VLOOKUP(C874,DM_fish!A:B,2,FALSE), ARRAYFORMULA(VLOOKUP(SPLIT(E874, "", ""),Injections!B:G,6,FALSE)), ARRAYFORMULA(VLOOKUP(SPLIT(F874, "", ""),Injections!H:M,6,FALSE)), ARRAYFORMULA(VLOOKUP("&amp;"SPLIT(G874, "", ""),Injections!N:S,6,FALSE)), ARRAYFORMULA(VLOOKUP(SPLIT(H874, "", ""),Injections!T:Y,6,FALSE)) },3))))"),"")</f>
        <v/>
      </c>
      <c r="S874" s="10"/>
      <c r="T874" s="1"/>
      <c r="V874" s="11"/>
      <c r="W874" s="12"/>
      <c r="X874" s="12"/>
      <c r="Y874" s="11"/>
      <c r="Z874" s="11"/>
      <c r="AA874" s="11"/>
    </row>
    <row r="875" spans="1:27" ht="13" x14ac:dyDescent="0.15">
      <c r="A875" s="7"/>
      <c r="G875" s="8"/>
      <c r="H875" s="8"/>
      <c r="I875" s="8"/>
      <c r="M875" s="8"/>
      <c r="R875" s="10" t="str">
        <f ca="1">IFERROR(__xludf.DUMMYFUNCTION("JOIN("","", SORT(UNIQUE(TOCOL({VLOOKUP(D875,DM_fish!A:B,2,FALSE),VLOOKUP(C875,DM_fish!A:B,2,FALSE), ARRAYFORMULA(VLOOKUP(SPLIT(E875, "", ""),Injections!B:G,6,FALSE)), ARRAYFORMULA(VLOOKUP(SPLIT(F875, "", ""),Injections!H:M,6,FALSE)), ARRAYFORMULA(VLOOKUP("&amp;"SPLIT(G875, "", ""),Injections!N:S,6,FALSE)), ARRAYFORMULA(VLOOKUP(SPLIT(H875, "", ""),Injections!T:Y,6,FALSE)) },3))))"),"")</f>
        <v/>
      </c>
      <c r="S875" s="10"/>
      <c r="T875" s="1"/>
      <c r="V875" s="11"/>
      <c r="W875" s="12"/>
      <c r="X875" s="12"/>
      <c r="Y875" s="11"/>
      <c r="Z875" s="11"/>
      <c r="AA875" s="11"/>
    </row>
    <row r="876" spans="1:27" ht="13" x14ac:dyDescent="0.15">
      <c r="A876" s="7"/>
      <c r="G876" s="8"/>
      <c r="H876" s="8"/>
      <c r="I876" s="8"/>
      <c r="M876" s="8"/>
      <c r="R876" s="10" t="str">
        <f ca="1">IFERROR(__xludf.DUMMYFUNCTION("JOIN("","", SORT(UNIQUE(TOCOL({VLOOKUP(D876,DM_fish!A:B,2,FALSE),VLOOKUP(C876,DM_fish!A:B,2,FALSE), ARRAYFORMULA(VLOOKUP(SPLIT(E876, "", ""),Injections!B:G,6,FALSE)), ARRAYFORMULA(VLOOKUP(SPLIT(F876, "", ""),Injections!H:M,6,FALSE)), ARRAYFORMULA(VLOOKUP("&amp;"SPLIT(G876, "", ""),Injections!N:S,6,FALSE)), ARRAYFORMULA(VLOOKUP(SPLIT(H876, "", ""),Injections!T:Y,6,FALSE)) },3))))"),"")</f>
        <v/>
      </c>
      <c r="S876" s="10"/>
      <c r="T876" s="1"/>
      <c r="V876" s="11"/>
      <c r="W876" s="12"/>
      <c r="X876" s="12"/>
      <c r="Y876" s="11"/>
      <c r="Z876" s="11"/>
      <c r="AA876" s="11"/>
    </row>
    <row r="877" spans="1:27" ht="13" x14ac:dyDescent="0.15">
      <c r="A877" s="7"/>
      <c r="G877" s="8"/>
      <c r="H877" s="8"/>
      <c r="I877" s="8"/>
      <c r="M877" s="8"/>
      <c r="R877" s="10" t="str">
        <f ca="1">IFERROR(__xludf.DUMMYFUNCTION("JOIN("","", SORT(UNIQUE(TOCOL({VLOOKUP(D877,DM_fish!A:B,2,FALSE),VLOOKUP(C877,DM_fish!A:B,2,FALSE), ARRAYFORMULA(VLOOKUP(SPLIT(E877, "", ""),Injections!B:G,6,FALSE)), ARRAYFORMULA(VLOOKUP(SPLIT(F877, "", ""),Injections!H:M,6,FALSE)), ARRAYFORMULA(VLOOKUP("&amp;"SPLIT(G877, "", ""),Injections!N:S,6,FALSE)), ARRAYFORMULA(VLOOKUP(SPLIT(H877, "", ""),Injections!T:Y,6,FALSE)) },3))))"),"")</f>
        <v/>
      </c>
      <c r="S877" s="10"/>
      <c r="T877" s="1"/>
      <c r="V877" s="11"/>
      <c r="W877" s="12"/>
      <c r="X877" s="12"/>
      <c r="Y877" s="11"/>
      <c r="Z877" s="11"/>
      <c r="AA877" s="11"/>
    </row>
    <row r="878" spans="1:27" ht="13" x14ac:dyDescent="0.15">
      <c r="A878" s="7"/>
      <c r="G878" s="8"/>
      <c r="H878" s="8"/>
      <c r="I878" s="8"/>
      <c r="M878" s="8"/>
      <c r="R878" s="10" t="str">
        <f ca="1">IFERROR(__xludf.DUMMYFUNCTION("JOIN("","", SORT(UNIQUE(TOCOL({VLOOKUP(D878,DM_fish!A:B,2,FALSE),VLOOKUP(C878,DM_fish!A:B,2,FALSE), ARRAYFORMULA(VLOOKUP(SPLIT(E878, "", ""),Injections!B:G,6,FALSE)), ARRAYFORMULA(VLOOKUP(SPLIT(F878, "", ""),Injections!H:M,6,FALSE)), ARRAYFORMULA(VLOOKUP("&amp;"SPLIT(G878, "", ""),Injections!N:S,6,FALSE)), ARRAYFORMULA(VLOOKUP(SPLIT(H878, "", ""),Injections!T:Y,6,FALSE)) },3))))"),"")</f>
        <v/>
      </c>
      <c r="S878" s="10"/>
      <c r="T878" s="1"/>
      <c r="V878" s="11"/>
      <c r="W878" s="12"/>
      <c r="X878" s="12"/>
      <c r="Y878" s="11"/>
      <c r="Z878" s="11"/>
      <c r="AA878" s="11"/>
    </row>
    <row r="879" spans="1:27" ht="13" x14ac:dyDescent="0.15">
      <c r="A879" s="7"/>
      <c r="G879" s="8"/>
      <c r="H879" s="8"/>
      <c r="I879" s="8"/>
      <c r="M879" s="8"/>
      <c r="R879" s="10" t="str">
        <f ca="1">IFERROR(__xludf.DUMMYFUNCTION("JOIN("","", SORT(UNIQUE(TOCOL({VLOOKUP(D879,DM_fish!A:B,2,FALSE),VLOOKUP(C879,DM_fish!A:B,2,FALSE), ARRAYFORMULA(VLOOKUP(SPLIT(E879, "", ""),Injections!B:G,6,FALSE)), ARRAYFORMULA(VLOOKUP(SPLIT(F879, "", ""),Injections!H:M,6,FALSE)), ARRAYFORMULA(VLOOKUP("&amp;"SPLIT(G879, "", ""),Injections!N:S,6,FALSE)), ARRAYFORMULA(VLOOKUP(SPLIT(H879, "", ""),Injections!T:Y,6,FALSE)) },3))))"),"")</f>
        <v/>
      </c>
      <c r="S879" s="10"/>
      <c r="T879" s="1"/>
      <c r="V879" s="11"/>
      <c r="W879" s="12"/>
      <c r="X879" s="12"/>
      <c r="Y879" s="11"/>
      <c r="Z879" s="11"/>
      <c r="AA879" s="11"/>
    </row>
    <row r="880" spans="1:27" ht="13" x14ac:dyDescent="0.15">
      <c r="A880" s="7"/>
      <c r="G880" s="8"/>
      <c r="H880" s="8"/>
      <c r="I880" s="8"/>
      <c r="M880" s="8"/>
      <c r="R880" s="10" t="str">
        <f ca="1">IFERROR(__xludf.DUMMYFUNCTION("JOIN("","", SORT(UNIQUE(TOCOL({VLOOKUP(D880,DM_fish!A:B,2,FALSE),VLOOKUP(C880,DM_fish!A:B,2,FALSE), ARRAYFORMULA(VLOOKUP(SPLIT(E880, "", ""),Injections!B:G,6,FALSE)), ARRAYFORMULA(VLOOKUP(SPLIT(F880, "", ""),Injections!H:M,6,FALSE)), ARRAYFORMULA(VLOOKUP("&amp;"SPLIT(G880, "", ""),Injections!N:S,6,FALSE)), ARRAYFORMULA(VLOOKUP(SPLIT(H880, "", ""),Injections!T:Y,6,FALSE)) },3))))"),"")</f>
        <v/>
      </c>
      <c r="S880" s="10"/>
      <c r="T880" s="1"/>
      <c r="V880" s="11"/>
      <c r="W880" s="12"/>
      <c r="X880" s="12"/>
      <c r="Y880" s="11"/>
      <c r="Z880" s="11"/>
      <c r="AA880" s="11"/>
    </row>
    <row r="881" spans="1:27" ht="13" x14ac:dyDescent="0.15">
      <c r="A881" s="7"/>
      <c r="G881" s="8"/>
      <c r="H881" s="8"/>
      <c r="I881" s="8"/>
      <c r="M881" s="8"/>
      <c r="R881" s="10" t="str">
        <f ca="1">IFERROR(__xludf.DUMMYFUNCTION("JOIN("","", SORT(UNIQUE(TOCOL({VLOOKUP(D881,DM_fish!A:B,2,FALSE),VLOOKUP(C881,DM_fish!A:B,2,FALSE), ARRAYFORMULA(VLOOKUP(SPLIT(E881, "", ""),Injections!B:G,6,FALSE)), ARRAYFORMULA(VLOOKUP(SPLIT(F881, "", ""),Injections!H:M,6,FALSE)), ARRAYFORMULA(VLOOKUP("&amp;"SPLIT(G881, "", ""),Injections!N:S,6,FALSE)), ARRAYFORMULA(VLOOKUP(SPLIT(H881, "", ""),Injections!T:Y,6,FALSE)) },3))))"),"")</f>
        <v/>
      </c>
      <c r="S881" s="10"/>
      <c r="T881" s="1"/>
      <c r="V881" s="11"/>
      <c r="W881" s="12"/>
      <c r="X881" s="12"/>
      <c r="Y881" s="11"/>
      <c r="Z881" s="11"/>
      <c r="AA881" s="11"/>
    </row>
    <row r="882" spans="1:27" ht="13" x14ac:dyDescent="0.15">
      <c r="A882" s="7"/>
      <c r="G882" s="8"/>
      <c r="H882" s="8"/>
      <c r="I882" s="8"/>
      <c r="M882" s="8"/>
      <c r="R882" s="10" t="str">
        <f ca="1">IFERROR(__xludf.DUMMYFUNCTION("JOIN("","", SORT(UNIQUE(TOCOL({VLOOKUP(D882,DM_fish!A:B,2,FALSE),VLOOKUP(C882,DM_fish!A:B,2,FALSE), ARRAYFORMULA(VLOOKUP(SPLIT(E882, "", ""),Injections!B:G,6,FALSE)), ARRAYFORMULA(VLOOKUP(SPLIT(F882, "", ""),Injections!H:M,6,FALSE)), ARRAYFORMULA(VLOOKUP("&amp;"SPLIT(G882, "", ""),Injections!N:S,6,FALSE)), ARRAYFORMULA(VLOOKUP(SPLIT(H882, "", ""),Injections!T:Y,6,FALSE)) },3))))"),"")</f>
        <v/>
      </c>
      <c r="S882" s="10"/>
      <c r="T882" s="1"/>
      <c r="V882" s="11"/>
      <c r="W882" s="12"/>
      <c r="X882" s="12"/>
      <c r="Y882" s="11"/>
      <c r="Z882" s="11"/>
      <c r="AA882" s="11"/>
    </row>
    <row r="883" spans="1:27" ht="13" x14ac:dyDescent="0.15">
      <c r="A883" s="7"/>
      <c r="G883" s="8"/>
      <c r="H883" s="8"/>
      <c r="I883" s="8"/>
      <c r="M883" s="8"/>
      <c r="R883" s="10" t="str">
        <f ca="1">IFERROR(__xludf.DUMMYFUNCTION("JOIN("","", SORT(UNIQUE(TOCOL({VLOOKUP(D883,DM_fish!A:B,2,FALSE),VLOOKUP(C883,DM_fish!A:B,2,FALSE), ARRAYFORMULA(VLOOKUP(SPLIT(E883, "", ""),Injections!B:G,6,FALSE)), ARRAYFORMULA(VLOOKUP(SPLIT(F883, "", ""),Injections!H:M,6,FALSE)), ARRAYFORMULA(VLOOKUP("&amp;"SPLIT(G883, "", ""),Injections!N:S,6,FALSE)), ARRAYFORMULA(VLOOKUP(SPLIT(H883, "", ""),Injections!T:Y,6,FALSE)) },3))))"),"")</f>
        <v/>
      </c>
      <c r="S883" s="10"/>
      <c r="T883" s="1"/>
      <c r="V883" s="11"/>
      <c r="W883" s="12"/>
      <c r="X883" s="12"/>
      <c r="Y883" s="11"/>
      <c r="Z883" s="11"/>
      <c r="AA883" s="11"/>
    </row>
    <row r="884" spans="1:27" ht="13" x14ac:dyDescent="0.15">
      <c r="A884" s="7"/>
      <c r="G884" s="8"/>
      <c r="H884" s="8"/>
      <c r="I884" s="8"/>
      <c r="M884" s="8"/>
      <c r="R884" s="10" t="str">
        <f ca="1">IFERROR(__xludf.DUMMYFUNCTION("JOIN("","", SORT(UNIQUE(TOCOL({VLOOKUP(D884,DM_fish!A:B,2,FALSE),VLOOKUP(C884,DM_fish!A:B,2,FALSE), ARRAYFORMULA(VLOOKUP(SPLIT(E884, "", ""),Injections!B:G,6,FALSE)), ARRAYFORMULA(VLOOKUP(SPLIT(F884, "", ""),Injections!H:M,6,FALSE)), ARRAYFORMULA(VLOOKUP("&amp;"SPLIT(G884, "", ""),Injections!N:S,6,FALSE)), ARRAYFORMULA(VLOOKUP(SPLIT(H884, "", ""),Injections!T:Y,6,FALSE)) },3))))"),"")</f>
        <v/>
      </c>
      <c r="S884" s="10"/>
      <c r="T884" s="1"/>
      <c r="V884" s="11"/>
      <c r="W884" s="12"/>
      <c r="X884" s="12"/>
      <c r="Y884" s="11"/>
      <c r="Z884" s="11"/>
      <c r="AA884" s="11"/>
    </row>
    <row r="885" spans="1:27" ht="13" x14ac:dyDescent="0.15">
      <c r="A885" s="7"/>
      <c r="G885" s="8"/>
      <c r="H885" s="8"/>
      <c r="I885" s="8"/>
      <c r="M885" s="8"/>
      <c r="R885" s="10" t="str">
        <f ca="1">IFERROR(__xludf.DUMMYFUNCTION("JOIN("","", SORT(UNIQUE(TOCOL({VLOOKUP(D885,DM_fish!A:B,2,FALSE),VLOOKUP(C885,DM_fish!A:B,2,FALSE), ARRAYFORMULA(VLOOKUP(SPLIT(E885, "", ""),Injections!B:G,6,FALSE)), ARRAYFORMULA(VLOOKUP(SPLIT(F885, "", ""),Injections!H:M,6,FALSE)), ARRAYFORMULA(VLOOKUP("&amp;"SPLIT(G885, "", ""),Injections!N:S,6,FALSE)), ARRAYFORMULA(VLOOKUP(SPLIT(H885, "", ""),Injections!T:Y,6,FALSE)) },3))))"),"")</f>
        <v/>
      </c>
      <c r="S885" s="10"/>
      <c r="T885" s="1"/>
      <c r="V885" s="11"/>
      <c r="W885" s="12"/>
      <c r="X885" s="12"/>
      <c r="Y885" s="11"/>
      <c r="Z885" s="11"/>
      <c r="AA885" s="11"/>
    </row>
    <row r="886" spans="1:27" ht="13" x14ac:dyDescent="0.15">
      <c r="A886" s="7"/>
      <c r="G886" s="8"/>
      <c r="H886" s="8"/>
      <c r="I886" s="8"/>
      <c r="M886" s="8"/>
      <c r="R886" s="10" t="str">
        <f ca="1">IFERROR(__xludf.DUMMYFUNCTION("JOIN("","", SORT(UNIQUE(TOCOL({VLOOKUP(D886,DM_fish!A:B,2,FALSE),VLOOKUP(C886,DM_fish!A:B,2,FALSE), ARRAYFORMULA(VLOOKUP(SPLIT(E886, "", ""),Injections!B:G,6,FALSE)), ARRAYFORMULA(VLOOKUP(SPLIT(F886, "", ""),Injections!H:M,6,FALSE)), ARRAYFORMULA(VLOOKUP("&amp;"SPLIT(G886, "", ""),Injections!N:S,6,FALSE)), ARRAYFORMULA(VLOOKUP(SPLIT(H886, "", ""),Injections!T:Y,6,FALSE)) },3))))"),"")</f>
        <v/>
      </c>
      <c r="S886" s="10"/>
      <c r="T886" s="1"/>
      <c r="V886" s="11"/>
      <c r="W886" s="12"/>
      <c r="X886" s="12"/>
      <c r="Y886" s="11"/>
      <c r="Z886" s="11"/>
      <c r="AA886" s="11"/>
    </row>
    <row r="887" spans="1:27" ht="13" x14ac:dyDescent="0.15">
      <c r="A887" s="7"/>
      <c r="G887" s="8"/>
      <c r="H887" s="8"/>
      <c r="I887" s="8"/>
      <c r="M887" s="8"/>
      <c r="R887" s="10" t="str">
        <f ca="1">IFERROR(__xludf.DUMMYFUNCTION("JOIN("","", SORT(UNIQUE(TOCOL({VLOOKUP(D887,DM_fish!A:B,2,FALSE),VLOOKUP(C887,DM_fish!A:B,2,FALSE), ARRAYFORMULA(VLOOKUP(SPLIT(E887, "", ""),Injections!B:G,6,FALSE)), ARRAYFORMULA(VLOOKUP(SPLIT(F887, "", ""),Injections!H:M,6,FALSE)), ARRAYFORMULA(VLOOKUP("&amp;"SPLIT(G887, "", ""),Injections!N:S,6,FALSE)), ARRAYFORMULA(VLOOKUP(SPLIT(H887, "", ""),Injections!T:Y,6,FALSE)) },3))))"),"")</f>
        <v/>
      </c>
      <c r="S887" s="10"/>
      <c r="T887" s="1"/>
      <c r="V887" s="11"/>
      <c r="W887" s="12"/>
      <c r="X887" s="12"/>
      <c r="Y887" s="11"/>
      <c r="Z887" s="11"/>
      <c r="AA887" s="11"/>
    </row>
    <row r="888" spans="1:27" ht="13" x14ac:dyDescent="0.15">
      <c r="A888" s="7"/>
      <c r="G888" s="8"/>
      <c r="H888" s="8"/>
      <c r="I888" s="8"/>
      <c r="M888" s="8"/>
      <c r="R888" s="10" t="str">
        <f ca="1">IFERROR(__xludf.DUMMYFUNCTION("JOIN("","", SORT(UNIQUE(TOCOL({VLOOKUP(D888,DM_fish!A:B,2,FALSE),VLOOKUP(C888,DM_fish!A:B,2,FALSE), ARRAYFORMULA(VLOOKUP(SPLIT(E888, "", ""),Injections!B:G,6,FALSE)), ARRAYFORMULA(VLOOKUP(SPLIT(F888, "", ""),Injections!H:M,6,FALSE)), ARRAYFORMULA(VLOOKUP("&amp;"SPLIT(G888, "", ""),Injections!N:S,6,FALSE)), ARRAYFORMULA(VLOOKUP(SPLIT(H888, "", ""),Injections!T:Y,6,FALSE)) },3))))"),"")</f>
        <v/>
      </c>
      <c r="S888" s="10"/>
      <c r="T888" s="1"/>
      <c r="V888" s="11"/>
      <c r="W888" s="12"/>
      <c r="X888" s="12"/>
      <c r="Y888" s="11"/>
      <c r="Z888" s="11"/>
      <c r="AA888" s="11"/>
    </row>
    <row r="889" spans="1:27" ht="13" x14ac:dyDescent="0.15">
      <c r="A889" s="7"/>
      <c r="G889" s="8"/>
      <c r="H889" s="8"/>
      <c r="I889" s="8"/>
      <c r="M889" s="8"/>
      <c r="R889" s="10" t="str">
        <f ca="1">IFERROR(__xludf.DUMMYFUNCTION("JOIN("","", SORT(UNIQUE(TOCOL({VLOOKUP(D889,DM_fish!A:B,2,FALSE),VLOOKUP(C889,DM_fish!A:B,2,FALSE), ARRAYFORMULA(VLOOKUP(SPLIT(E889, "", ""),Injections!B:G,6,FALSE)), ARRAYFORMULA(VLOOKUP(SPLIT(F889, "", ""),Injections!H:M,6,FALSE)), ARRAYFORMULA(VLOOKUP("&amp;"SPLIT(G889, "", ""),Injections!N:S,6,FALSE)), ARRAYFORMULA(VLOOKUP(SPLIT(H889, "", ""),Injections!T:Y,6,FALSE)) },3))))"),"")</f>
        <v/>
      </c>
      <c r="S889" s="10"/>
      <c r="T889" s="1"/>
      <c r="V889" s="11"/>
      <c r="W889" s="12"/>
      <c r="X889" s="12"/>
      <c r="Y889" s="11"/>
      <c r="Z889" s="11"/>
      <c r="AA889" s="11"/>
    </row>
    <row r="890" spans="1:27" ht="13" x14ac:dyDescent="0.15">
      <c r="A890" s="7"/>
      <c r="G890" s="8"/>
      <c r="H890" s="8"/>
      <c r="I890" s="8"/>
      <c r="M890" s="8"/>
      <c r="R890" s="10" t="str">
        <f ca="1">IFERROR(__xludf.DUMMYFUNCTION("JOIN("","", SORT(UNIQUE(TOCOL({VLOOKUP(D890,DM_fish!A:B,2,FALSE),VLOOKUP(C890,DM_fish!A:B,2,FALSE), ARRAYFORMULA(VLOOKUP(SPLIT(E890, "", ""),Injections!B:G,6,FALSE)), ARRAYFORMULA(VLOOKUP(SPLIT(F890, "", ""),Injections!H:M,6,FALSE)), ARRAYFORMULA(VLOOKUP("&amp;"SPLIT(G890, "", ""),Injections!N:S,6,FALSE)), ARRAYFORMULA(VLOOKUP(SPLIT(H890, "", ""),Injections!T:Y,6,FALSE)) },3))))"),"")</f>
        <v/>
      </c>
      <c r="S890" s="10"/>
      <c r="T890" s="1"/>
      <c r="V890" s="11"/>
      <c r="W890" s="12"/>
      <c r="X890" s="12"/>
      <c r="Y890" s="11"/>
      <c r="Z890" s="11"/>
      <c r="AA890" s="11"/>
    </row>
    <row r="891" spans="1:27" ht="13" x14ac:dyDescent="0.15">
      <c r="A891" s="7"/>
      <c r="G891" s="8"/>
      <c r="H891" s="8"/>
      <c r="I891" s="8"/>
      <c r="M891" s="8"/>
      <c r="R891" s="10" t="str">
        <f ca="1">IFERROR(__xludf.DUMMYFUNCTION("JOIN("","", SORT(UNIQUE(TOCOL({VLOOKUP(D891,DM_fish!A:B,2,FALSE),VLOOKUP(C891,DM_fish!A:B,2,FALSE), ARRAYFORMULA(VLOOKUP(SPLIT(E891, "", ""),Injections!B:G,6,FALSE)), ARRAYFORMULA(VLOOKUP(SPLIT(F891, "", ""),Injections!H:M,6,FALSE)), ARRAYFORMULA(VLOOKUP("&amp;"SPLIT(G891, "", ""),Injections!N:S,6,FALSE)), ARRAYFORMULA(VLOOKUP(SPLIT(H891, "", ""),Injections!T:Y,6,FALSE)) },3))))"),"")</f>
        <v/>
      </c>
      <c r="S891" s="10"/>
      <c r="T891" s="1"/>
      <c r="V891" s="11"/>
      <c r="W891" s="12"/>
      <c r="X891" s="12"/>
      <c r="Y891" s="11"/>
      <c r="Z891" s="11"/>
      <c r="AA891" s="11"/>
    </row>
    <row r="892" spans="1:27" ht="13" x14ac:dyDescent="0.15">
      <c r="A892" s="7"/>
      <c r="G892" s="8"/>
      <c r="H892" s="8"/>
      <c r="I892" s="8"/>
      <c r="M892" s="8"/>
      <c r="R892" s="10" t="str">
        <f ca="1">IFERROR(__xludf.DUMMYFUNCTION("JOIN("","", SORT(UNIQUE(TOCOL({VLOOKUP(D892,DM_fish!A:B,2,FALSE),VLOOKUP(C892,DM_fish!A:B,2,FALSE), ARRAYFORMULA(VLOOKUP(SPLIT(E892, "", ""),Injections!B:G,6,FALSE)), ARRAYFORMULA(VLOOKUP(SPLIT(F892, "", ""),Injections!H:M,6,FALSE)), ARRAYFORMULA(VLOOKUP("&amp;"SPLIT(G892, "", ""),Injections!N:S,6,FALSE)), ARRAYFORMULA(VLOOKUP(SPLIT(H892, "", ""),Injections!T:Y,6,FALSE)) },3))))"),"")</f>
        <v/>
      </c>
      <c r="S892" s="10"/>
      <c r="T892" s="1"/>
      <c r="V892" s="11"/>
      <c r="W892" s="12"/>
      <c r="X892" s="12"/>
      <c r="Y892" s="11"/>
      <c r="Z892" s="11"/>
      <c r="AA892" s="11"/>
    </row>
    <row r="893" spans="1:27" ht="13" x14ac:dyDescent="0.15">
      <c r="A893" s="7"/>
      <c r="G893" s="8"/>
      <c r="H893" s="8"/>
      <c r="I893" s="8"/>
      <c r="M893" s="8"/>
      <c r="R893" s="10" t="str">
        <f ca="1">IFERROR(__xludf.DUMMYFUNCTION("JOIN("","", SORT(UNIQUE(TOCOL({VLOOKUP(D893,DM_fish!A:B,2,FALSE),VLOOKUP(C893,DM_fish!A:B,2,FALSE), ARRAYFORMULA(VLOOKUP(SPLIT(E893, "", ""),Injections!B:G,6,FALSE)), ARRAYFORMULA(VLOOKUP(SPLIT(F893, "", ""),Injections!H:M,6,FALSE)), ARRAYFORMULA(VLOOKUP("&amp;"SPLIT(G893, "", ""),Injections!N:S,6,FALSE)), ARRAYFORMULA(VLOOKUP(SPLIT(H893, "", ""),Injections!T:Y,6,FALSE)) },3))))"),"")</f>
        <v/>
      </c>
      <c r="S893" s="10"/>
      <c r="T893" s="1"/>
      <c r="V893" s="11"/>
      <c r="W893" s="12"/>
      <c r="X893" s="12"/>
      <c r="Y893" s="11"/>
      <c r="Z893" s="11"/>
      <c r="AA893" s="11"/>
    </row>
    <row r="894" spans="1:27" ht="13" x14ac:dyDescent="0.15">
      <c r="A894" s="7"/>
      <c r="G894" s="8"/>
      <c r="H894" s="8"/>
      <c r="I894" s="8"/>
      <c r="M894" s="8"/>
      <c r="R894" s="10" t="str">
        <f ca="1">IFERROR(__xludf.DUMMYFUNCTION("JOIN("","", SORT(UNIQUE(TOCOL({VLOOKUP(D894,DM_fish!A:B,2,FALSE),VLOOKUP(C894,DM_fish!A:B,2,FALSE), ARRAYFORMULA(VLOOKUP(SPLIT(E894, "", ""),Injections!B:G,6,FALSE)), ARRAYFORMULA(VLOOKUP(SPLIT(F894, "", ""),Injections!H:M,6,FALSE)), ARRAYFORMULA(VLOOKUP("&amp;"SPLIT(G894, "", ""),Injections!N:S,6,FALSE)), ARRAYFORMULA(VLOOKUP(SPLIT(H894, "", ""),Injections!T:Y,6,FALSE)) },3))))"),"")</f>
        <v/>
      </c>
      <c r="S894" s="10"/>
      <c r="T894" s="1"/>
      <c r="V894" s="11"/>
      <c r="W894" s="12"/>
      <c r="X894" s="12"/>
      <c r="Y894" s="11"/>
      <c r="Z894" s="11"/>
      <c r="AA894" s="11"/>
    </row>
    <row r="895" spans="1:27" ht="13" x14ac:dyDescent="0.15">
      <c r="A895" s="7"/>
      <c r="G895" s="8"/>
      <c r="H895" s="8"/>
      <c r="I895" s="8"/>
      <c r="M895" s="8"/>
      <c r="R895" s="10" t="str">
        <f ca="1">IFERROR(__xludf.DUMMYFUNCTION("JOIN("","", SORT(UNIQUE(TOCOL({VLOOKUP(D895,DM_fish!A:B,2,FALSE),VLOOKUP(C895,DM_fish!A:B,2,FALSE), ARRAYFORMULA(VLOOKUP(SPLIT(E895, "", ""),Injections!B:G,6,FALSE)), ARRAYFORMULA(VLOOKUP(SPLIT(F895, "", ""),Injections!H:M,6,FALSE)), ARRAYFORMULA(VLOOKUP("&amp;"SPLIT(G895, "", ""),Injections!N:S,6,FALSE)), ARRAYFORMULA(VLOOKUP(SPLIT(H895, "", ""),Injections!T:Y,6,FALSE)) },3))))"),"")</f>
        <v/>
      </c>
      <c r="S895" s="10"/>
      <c r="T895" s="1"/>
      <c r="V895" s="11"/>
      <c r="W895" s="12"/>
      <c r="X895" s="12"/>
      <c r="Y895" s="11"/>
      <c r="Z895" s="11"/>
      <c r="AA895" s="11"/>
    </row>
    <row r="896" spans="1:27" ht="13" x14ac:dyDescent="0.15">
      <c r="A896" s="7"/>
      <c r="G896" s="8"/>
      <c r="H896" s="8"/>
      <c r="I896" s="8"/>
      <c r="M896" s="8"/>
      <c r="R896" s="10" t="str">
        <f ca="1">IFERROR(__xludf.DUMMYFUNCTION("JOIN("","", SORT(UNIQUE(TOCOL({VLOOKUP(D896,DM_fish!A:B,2,FALSE),VLOOKUP(C896,DM_fish!A:B,2,FALSE), ARRAYFORMULA(VLOOKUP(SPLIT(E896, "", ""),Injections!B:G,6,FALSE)), ARRAYFORMULA(VLOOKUP(SPLIT(F896, "", ""),Injections!H:M,6,FALSE)), ARRAYFORMULA(VLOOKUP("&amp;"SPLIT(G896, "", ""),Injections!N:S,6,FALSE)), ARRAYFORMULA(VLOOKUP(SPLIT(H896, "", ""),Injections!T:Y,6,FALSE)) },3))))"),"")</f>
        <v/>
      </c>
      <c r="S896" s="10"/>
      <c r="T896" s="1"/>
      <c r="V896" s="11"/>
      <c r="W896" s="12"/>
      <c r="X896" s="12"/>
      <c r="Y896" s="11"/>
      <c r="Z896" s="11"/>
      <c r="AA896" s="11"/>
    </row>
    <row r="897" spans="1:27" ht="13" x14ac:dyDescent="0.15">
      <c r="A897" s="7"/>
      <c r="G897" s="8"/>
      <c r="H897" s="8"/>
      <c r="I897" s="8"/>
      <c r="M897" s="8"/>
      <c r="R897" s="10" t="str">
        <f ca="1">IFERROR(__xludf.DUMMYFUNCTION("JOIN("","", SORT(UNIQUE(TOCOL({VLOOKUP(D897,DM_fish!A:B,2,FALSE),VLOOKUP(C897,DM_fish!A:B,2,FALSE), ARRAYFORMULA(VLOOKUP(SPLIT(E897, "", ""),Injections!B:G,6,FALSE)), ARRAYFORMULA(VLOOKUP(SPLIT(F897, "", ""),Injections!H:M,6,FALSE)), ARRAYFORMULA(VLOOKUP("&amp;"SPLIT(G897, "", ""),Injections!N:S,6,FALSE)), ARRAYFORMULA(VLOOKUP(SPLIT(H897, "", ""),Injections!T:Y,6,FALSE)) },3))))"),"")</f>
        <v/>
      </c>
      <c r="S897" s="10"/>
      <c r="T897" s="1"/>
      <c r="V897" s="11"/>
      <c r="W897" s="12"/>
      <c r="X897" s="12"/>
      <c r="Y897" s="11"/>
      <c r="Z897" s="11"/>
      <c r="AA897" s="11"/>
    </row>
    <row r="898" spans="1:27" ht="13" x14ac:dyDescent="0.15">
      <c r="A898" s="7"/>
      <c r="G898" s="8"/>
      <c r="H898" s="8"/>
      <c r="I898" s="8"/>
      <c r="M898" s="8"/>
      <c r="R898" s="10" t="str">
        <f ca="1">IFERROR(__xludf.DUMMYFUNCTION("JOIN("","", SORT(UNIQUE(TOCOL({VLOOKUP(D898,DM_fish!A:B,2,FALSE),VLOOKUP(C898,DM_fish!A:B,2,FALSE), ARRAYFORMULA(VLOOKUP(SPLIT(E898, "", ""),Injections!B:G,6,FALSE)), ARRAYFORMULA(VLOOKUP(SPLIT(F898, "", ""),Injections!H:M,6,FALSE)), ARRAYFORMULA(VLOOKUP("&amp;"SPLIT(G898, "", ""),Injections!N:S,6,FALSE)), ARRAYFORMULA(VLOOKUP(SPLIT(H898, "", ""),Injections!T:Y,6,FALSE)) },3))))"),"")</f>
        <v/>
      </c>
      <c r="S898" s="10"/>
      <c r="T898" s="1"/>
      <c r="V898" s="11"/>
      <c r="W898" s="12"/>
      <c r="X898" s="12"/>
      <c r="Y898" s="11"/>
      <c r="Z898" s="11"/>
      <c r="AA898" s="11"/>
    </row>
    <row r="899" spans="1:27" ht="13" x14ac:dyDescent="0.15">
      <c r="A899" s="7"/>
      <c r="G899" s="8"/>
      <c r="H899" s="8"/>
      <c r="I899" s="8"/>
      <c r="M899" s="8"/>
      <c r="R899" s="10" t="str">
        <f ca="1">IFERROR(__xludf.DUMMYFUNCTION("JOIN("","", SORT(UNIQUE(TOCOL({VLOOKUP(D899,DM_fish!A:B,2,FALSE),VLOOKUP(C899,DM_fish!A:B,2,FALSE), ARRAYFORMULA(VLOOKUP(SPLIT(E899, "", ""),Injections!B:G,6,FALSE)), ARRAYFORMULA(VLOOKUP(SPLIT(F899, "", ""),Injections!H:M,6,FALSE)), ARRAYFORMULA(VLOOKUP("&amp;"SPLIT(G899, "", ""),Injections!N:S,6,FALSE)), ARRAYFORMULA(VLOOKUP(SPLIT(H899, "", ""),Injections!T:Y,6,FALSE)) },3))))"),"")</f>
        <v/>
      </c>
      <c r="S899" s="10"/>
      <c r="T899" s="1"/>
      <c r="V899" s="11"/>
      <c r="W899" s="12"/>
      <c r="X899" s="12"/>
      <c r="Y899" s="11"/>
      <c r="Z899" s="11"/>
      <c r="AA899" s="11"/>
    </row>
    <row r="900" spans="1:27" ht="13" x14ac:dyDescent="0.15">
      <c r="A900" s="7"/>
      <c r="G900" s="8"/>
      <c r="H900" s="8"/>
      <c r="I900" s="8"/>
      <c r="M900" s="8"/>
      <c r="R900" s="10" t="str">
        <f ca="1">IFERROR(__xludf.DUMMYFUNCTION("JOIN("","", SORT(UNIQUE(TOCOL({VLOOKUP(D900,DM_fish!A:B,2,FALSE),VLOOKUP(C900,DM_fish!A:B,2,FALSE), ARRAYFORMULA(VLOOKUP(SPLIT(E900, "", ""),Injections!B:G,6,FALSE)), ARRAYFORMULA(VLOOKUP(SPLIT(F900, "", ""),Injections!H:M,6,FALSE)), ARRAYFORMULA(VLOOKUP("&amp;"SPLIT(G900, "", ""),Injections!N:S,6,FALSE)), ARRAYFORMULA(VLOOKUP(SPLIT(H900, "", ""),Injections!T:Y,6,FALSE)) },3))))"),"")</f>
        <v/>
      </c>
      <c r="S900" s="10"/>
      <c r="T900" s="1"/>
      <c r="V900" s="11"/>
      <c r="W900" s="12"/>
      <c r="X900" s="12"/>
      <c r="Y900" s="11"/>
      <c r="Z900" s="11"/>
      <c r="AA900" s="11"/>
    </row>
    <row r="901" spans="1:27" ht="13" x14ac:dyDescent="0.15">
      <c r="A901" s="7"/>
      <c r="G901" s="8"/>
      <c r="H901" s="8"/>
      <c r="I901" s="8"/>
      <c r="M901" s="8"/>
      <c r="R901" s="10" t="str">
        <f ca="1">IFERROR(__xludf.DUMMYFUNCTION("JOIN("","", SORT(UNIQUE(TOCOL({VLOOKUP(D901,DM_fish!A:B,2,FALSE),VLOOKUP(C901,DM_fish!A:B,2,FALSE), ARRAYFORMULA(VLOOKUP(SPLIT(E901, "", ""),Injections!B:G,6,FALSE)), ARRAYFORMULA(VLOOKUP(SPLIT(F901, "", ""),Injections!H:M,6,FALSE)), ARRAYFORMULA(VLOOKUP("&amp;"SPLIT(G901, "", ""),Injections!N:S,6,FALSE)), ARRAYFORMULA(VLOOKUP(SPLIT(H901, "", ""),Injections!T:Y,6,FALSE)) },3))))"),"")</f>
        <v/>
      </c>
      <c r="S901" s="10"/>
      <c r="T901" s="1"/>
      <c r="V901" s="11"/>
      <c r="W901" s="12"/>
      <c r="X901" s="12"/>
      <c r="Y901" s="11"/>
      <c r="Z901" s="11"/>
      <c r="AA901" s="11"/>
    </row>
    <row r="902" spans="1:27" ht="13" x14ac:dyDescent="0.15">
      <c r="A902" s="7"/>
      <c r="G902" s="8"/>
      <c r="H902" s="8"/>
      <c r="I902" s="8"/>
      <c r="M902" s="8"/>
      <c r="R902" s="10" t="str">
        <f ca="1">IFERROR(__xludf.DUMMYFUNCTION("JOIN("","", SORT(UNIQUE(TOCOL({VLOOKUP(D902,DM_fish!A:B,2,FALSE),VLOOKUP(C902,DM_fish!A:B,2,FALSE), ARRAYFORMULA(VLOOKUP(SPLIT(E902, "", ""),Injections!B:G,6,FALSE)), ARRAYFORMULA(VLOOKUP(SPLIT(F902, "", ""),Injections!H:M,6,FALSE)), ARRAYFORMULA(VLOOKUP("&amp;"SPLIT(G902, "", ""),Injections!N:S,6,FALSE)), ARRAYFORMULA(VLOOKUP(SPLIT(H902, "", ""),Injections!T:Y,6,FALSE)) },3))))"),"")</f>
        <v/>
      </c>
      <c r="S902" s="10"/>
      <c r="T902" s="1"/>
      <c r="V902" s="11"/>
      <c r="W902" s="12"/>
      <c r="X902" s="12"/>
      <c r="Y902" s="11"/>
      <c r="Z902" s="11"/>
      <c r="AA902" s="11"/>
    </row>
    <row r="903" spans="1:27" ht="13" x14ac:dyDescent="0.15">
      <c r="A903" s="7"/>
      <c r="G903" s="8"/>
      <c r="H903" s="8"/>
      <c r="I903" s="8"/>
      <c r="M903" s="8"/>
      <c r="R903" s="10" t="str">
        <f ca="1">IFERROR(__xludf.DUMMYFUNCTION("JOIN("","", SORT(UNIQUE(TOCOL({VLOOKUP(D903,DM_fish!A:B,2,FALSE),VLOOKUP(C903,DM_fish!A:B,2,FALSE), ARRAYFORMULA(VLOOKUP(SPLIT(E903, "", ""),Injections!B:G,6,FALSE)), ARRAYFORMULA(VLOOKUP(SPLIT(F903, "", ""),Injections!H:M,6,FALSE)), ARRAYFORMULA(VLOOKUP("&amp;"SPLIT(G903, "", ""),Injections!N:S,6,FALSE)), ARRAYFORMULA(VLOOKUP(SPLIT(H903, "", ""),Injections!T:Y,6,FALSE)) },3))))"),"")</f>
        <v/>
      </c>
      <c r="S903" s="10"/>
      <c r="T903" s="1"/>
      <c r="V903" s="11"/>
      <c r="W903" s="12"/>
      <c r="X903" s="12"/>
      <c r="Y903" s="11"/>
      <c r="Z903" s="11"/>
      <c r="AA903" s="11"/>
    </row>
    <row r="904" spans="1:27" ht="13" x14ac:dyDescent="0.15">
      <c r="A904" s="7"/>
      <c r="G904" s="8"/>
      <c r="H904" s="8"/>
      <c r="I904" s="8"/>
      <c r="M904" s="8"/>
      <c r="R904" s="10" t="str">
        <f ca="1">IFERROR(__xludf.DUMMYFUNCTION("JOIN("","", SORT(UNIQUE(TOCOL({VLOOKUP(D904,DM_fish!A:B,2,FALSE),VLOOKUP(C904,DM_fish!A:B,2,FALSE), ARRAYFORMULA(VLOOKUP(SPLIT(E904, "", ""),Injections!B:G,6,FALSE)), ARRAYFORMULA(VLOOKUP(SPLIT(F904, "", ""),Injections!H:M,6,FALSE)), ARRAYFORMULA(VLOOKUP("&amp;"SPLIT(G904, "", ""),Injections!N:S,6,FALSE)), ARRAYFORMULA(VLOOKUP(SPLIT(H904, "", ""),Injections!T:Y,6,FALSE)) },3))))"),"")</f>
        <v/>
      </c>
      <c r="S904" s="10"/>
      <c r="T904" s="1"/>
      <c r="V904" s="11"/>
      <c r="W904" s="12"/>
      <c r="X904" s="12"/>
      <c r="Y904" s="11"/>
      <c r="Z904" s="11"/>
      <c r="AA904" s="11"/>
    </row>
    <row r="905" spans="1:27" ht="13" x14ac:dyDescent="0.15">
      <c r="A905" s="7"/>
      <c r="G905" s="8"/>
      <c r="H905" s="8"/>
      <c r="I905" s="8"/>
      <c r="M905" s="8"/>
      <c r="R905" s="10" t="str">
        <f ca="1">IFERROR(__xludf.DUMMYFUNCTION("JOIN("","", SORT(UNIQUE(TOCOL({VLOOKUP(D905,DM_fish!A:B,2,FALSE),VLOOKUP(C905,DM_fish!A:B,2,FALSE), ARRAYFORMULA(VLOOKUP(SPLIT(E905, "", ""),Injections!B:G,6,FALSE)), ARRAYFORMULA(VLOOKUP(SPLIT(F905, "", ""),Injections!H:M,6,FALSE)), ARRAYFORMULA(VLOOKUP("&amp;"SPLIT(G905, "", ""),Injections!N:S,6,FALSE)), ARRAYFORMULA(VLOOKUP(SPLIT(H905, "", ""),Injections!T:Y,6,FALSE)) },3))))"),"")</f>
        <v/>
      </c>
      <c r="S905" s="10"/>
      <c r="T905" s="1"/>
      <c r="V905" s="11"/>
      <c r="W905" s="12"/>
      <c r="X905" s="12"/>
      <c r="Y905" s="11"/>
      <c r="Z905" s="11"/>
      <c r="AA905" s="11"/>
    </row>
    <row r="906" spans="1:27" ht="13" x14ac:dyDescent="0.15">
      <c r="A906" s="7"/>
      <c r="G906" s="8"/>
      <c r="H906" s="8"/>
      <c r="I906" s="8"/>
      <c r="M906" s="8"/>
      <c r="R906" s="10" t="str">
        <f ca="1">IFERROR(__xludf.DUMMYFUNCTION("JOIN("","", SORT(UNIQUE(TOCOL({VLOOKUP(D906,DM_fish!A:B,2,FALSE),VLOOKUP(C906,DM_fish!A:B,2,FALSE), ARRAYFORMULA(VLOOKUP(SPLIT(E906, "", ""),Injections!B:G,6,FALSE)), ARRAYFORMULA(VLOOKUP(SPLIT(F906, "", ""),Injections!H:M,6,FALSE)), ARRAYFORMULA(VLOOKUP("&amp;"SPLIT(G906, "", ""),Injections!N:S,6,FALSE)), ARRAYFORMULA(VLOOKUP(SPLIT(H906, "", ""),Injections!T:Y,6,FALSE)) },3))))"),"")</f>
        <v/>
      </c>
      <c r="S906" s="10"/>
      <c r="T906" s="1"/>
      <c r="V906" s="11"/>
      <c r="W906" s="12"/>
      <c r="X906" s="12"/>
      <c r="Y906" s="11"/>
      <c r="Z906" s="11"/>
      <c r="AA906" s="11"/>
    </row>
    <row r="907" spans="1:27" ht="13" x14ac:dyDescent="0.15">
      <c r="A907" s="7"/>
      <c r="G907" s="8"/>
      <c r="H907" s="8"/>
      <c r="I907" s="8"/>
      <c r="M907" s="8"/>
      <c r="R907" s="10" t="str">
        <f ca="1">IFERROR(__xludf.DUMMYFUNCTION("JOIN("","", SORT(UNIQUE(TOCOL({VLOOKUP(D907,DM_fish!A:B,2,FALSE),VLOOKUP(C907,DM_fish!A:B,2,FALSE), ARRAYFORMULA(VLOOKUP(SPLIT(E907, "", ""),Injections!B:G,6,FALSE)), ARRAYFORMULA(VLOOKUP(SPLIT(F907, "", ""),Injections!H:M,6,FALSE)), ARRAYFORMULA(VLOOKUP("&amp;"SPLIT(G907, "", ""),Injections!N:S,6,FALSE)), ARRAYFORMULA(VLOOKUP(SPLIT(H907, "", ""),Injections!T:Y,6,FALSE)) },3))))"),"")</f>
        <v/>
      </c>
      <c r="S907" s="10"/>
      <c r="T907" s="1"/>
      <c r="V907" s="11"/>
      <c r="W907" s="12"/>
      <c r="X907" s="12"/>
      <c r="Y907" s="11"/>
      <c r="Z907" s="11"/>
      <c r="AA907" s="11"/>
    </row>
    <row r="908" spans="1:27" ht="13" x14ac:dyDescent="0.15">
      <c r="A908" s="7"/>
      <c r="G908" s="8"/>
      <c r="H908" s="8"/>
      <c r="I908" s="8"/>
      <c r="M908" s="8"/>
      <c r="R908" s="10" t="str">
        <f ca="1">IFERROR(__xludf.DUMMYFUNCTION("JOIN("","", SORT(UNIQUE(TOCOL({VLOOKUP(D908,DM_fish!A:B,2,FALSE),VLOOKUP(C908,DM_fish!A:B,2,FALSE), ARRAYFORMULA(VLOOKUP(SPLIT(E908, "", ""),Injections!B:G,6,FALSE)), ARRAYFORMULA(VLOOKUP(SPLIT(F908, "", ""),Injections!H:M,6,FALSE)), ARRAYFORMULA(VLOOKUP("&amp;"SPLIT(G908, "", ""),Injections!N:S,6,FALSE)), ARRAYFORMULA(VLOOKUP(SPLIT(H908, "", ""),Injections!T:Y,6,FALSE)) },3))))"),"")</f>
        <v/>
      </c>
      <c r="S908" s="10"/>
      <c r="T908" s="1"/>
      <c r="V908" s="11"/>
      <c r="W908" s="12"/>
      <c r="X908" s="12"/>
      <c r="Y908" s="11"/>
      <c r="Z908" s="11"/>
      <c r="AA908" s="11"/>
    </row>
    <row r="909" spans="1:27" ht="13" x14ac:dyDescent="0.15">
      <c r="A909" s="7"/>
      <c r="G909" s="8"/>
      <c r="H909" s="8"/>
      <c r="I909" s="8"/>
      <c r="M909" s="8"/>
      <c r="R909" s="10" t="str">
        <f ca="1">IFERROR(__xludf.DUMMYFUNCTION("JOIN("","", SORT(UNIQUE(TOCOL({VLOOKUP(D909,DM_fish!A:B,2,FALSE),VLOOKUP(C909,DM_fish!A:B,2,FALSE), ARRAYFORMULA(VLOOKUP(SPLIT(E909, "", ""),Injections!B:G,6,FALSE)), ARRAYFORMULA(VLOOKUP(SPLIT(F909, "", ""),Injections!H:M,6,FALSE)), ARRAYFORMULA(VLOOKUP("&amp;"SPLIT(G909, "", ""),Injections!N:S,6,FALSE)), ARRAYFORMULA(VLOOKUP(SPLIT(H909, "", ""),Injections!T:Y,6,FALSE)) },3))))"),"")</f>
        <v/>
      </c>
      <c r="S909" s="10"/>
      <c r="T909" s="1"/>
      <c r="V909" s="11"/>
      <c r="W909" s="12"/>
      <c r="X909" s="12"/>
      <c r="Y909" s="11"/>
      <c r="Z909" s="11"/>
      <c r="AA909" s="11"/>
    </row>
    <row r="910" spans="1:27" ht="13" x14ac:dyDescent="0.15">
      <c r="A910" s="7"/>
      <c r="G910" s="8"/>
      <c r="H910" s="8"/>
      <c r="I910" s="8"/>
      <c r="M910" s="8"/>
      <c r="R910" s="10" t="str">
        <f ca="1">IFERROR(__xludf.DUMMYFUNCTION("JOIN("","", SORT(UNIQUE(TOCOL({VLOOKUP(D910,DM_fish!A:B,2,FALSE),VLOOKUP(C910,DM_fish!A:B,2,FALSE), ARRAYFORMULA(VLOOKUP(SPLIT(E910, "", ""),Injections!B:G,6,FALSE)), ARRAYFORMULA(VLOOKUP(SPLIT(F910, "", ""),Injections!H:M,6,FALSE)), ARRAYFORMULA(VLOOKUP("&amp;"SPLIT(G910, "", ""),Injections!N:S,6,FALSE)), ARRAYFORMULA(VLOOKUP(SPLIT(H910, "", ""),Injections!T:Y,6,FALSE)) },3))))"),"")</f>
        <v/>
      </c>
      <c r="S910" s="10"/>
      <c r="T910" s="1"/>
      <c r="V910" s="11"/>
      <c r="W910" s="12"/>
      <c r="X910" s="12"/>
      <c r="Y910" s="11"/>
      <c r="Z910" s="11"/>
      <c r="AA910" s="11"/>
    </row>
    <row r="911" spans="1:27" ht="13" x14ac:dyDescent="0.15">
      <c r="A911" s="7"/>
      <c r="G911" s="8"/>
      <c r="H911" s="8"/>
      <c r="I911" s="8"/>
      <c r="M911" s="8"/>
      <c r="R911" s="10" t="str">
        <f ca="1">IFERROR(__xludf.DUMMYFUNCTION("JOIN("","", SORT(UNIQUE(TOCOL({VLOOKUP(D911,DM_fish!A:B,2,FALSE),VLOOKUP(C911,DM_fish!A:B,2,FALSE), ARRAYFORMULA(VLOOKUP(SPLIT(E911, "", ""),Injections!B:G,6,FALSE)), ARRAYFORMULA(VLOOKUP(SPLIT(F911, "", ""),Injections!H:M,6,FALSE)), ARRAYFORMULA(VLOOKUP("&amp;"SPLIT(G911, "", ""),Injections!N:S,6,FALSE)), ARRAYFORMULA(VLOOKUP(SPLIT(H911, "", ""),Injections!T:Y,6,FALSE)) },3))))"),"")</f>
        <v/>
      </c>
      <c r="S911" s="10"/>
      <c r="T911" s="1"/>
      <c r="V911" s="11"/>
      <c r="W911" s="12"/>
      <c r="X911" s="12"/>
      <c r="Y911" s="11"/>
      <c r="Z911" s="11"/>
      <c r="AA911" s="11"/>
    </row>
    <row r="912" spans="1:27" ht="13" x14ac:dyDescent="0.15">
      <c r="A912" s="7"/>
      <c r="G912" s="8"/>
      <c r="H912" s="8"/>
      <c r="I912" s="8"/>
      <c r="M912" s="8"/>
      <c r="R912" s="10" t="str">
        <f ca="1">IFERROR(__xludf.DUMMYFUNCTION("JOIN("","", SORT(UNIQUE(TOCOL({VLOOKUP(D912,DM_fish!A:B,2,FALSE),VLOOKUP(C912,DM_fish!A:B,2,FALSE), ARRAYFORMULA(VLOOKUP(SPLIT(E912, "", ""),Injections!B:G,6,FALSE)), ARRAYFORMULA(VLOOKUP(SPLIT(F912, "", ""),Injections!H:M,6,FALSE)), ARRAYFORMULA(VLOOKUP("&amp;"SPLIT(G912, "", ""),Injections!N:S,6,FALSE)), ARRAYFORMULA(VLOOKUP(SPLIT(H912, "", ""),Injections!T:Y,6,FALSE)) },3))))"),"")</f>
        <v/>
      </c>
      <c r="S912" s="10"/>
      <c r="T912" s="1"/>
      <c r="V912" s="11"/>
      <c r="W912" s="12"/>
      <c r="X912" s="12"/>
      <c r="Y912" s="11"/>
      <c r="Z912" s="11"/>
      <c r="AA912" s="11"/>
    </row>
    <row r="913" spans="1:27" ht="13" x14ac:dyDescent="0.15">
      <c r="A913" s="7"/>
      <c r="G913" s="8"/>
      <c r="H913" s="8"/>
      <c r="I913" s="8"/>
      <c r="M913" s="8"/>
      <c r="R913" s="10" t="str">
        <f ca="1">IFERROR(__xludf.DUMMYFUNCTION("JOIN("","", SORT(UNIQUE(TOCOL({VLOOKUP(D913,DM_fish!A:B,2,FALSE),VLOOKUP(C913,DM_fish!A:B,2,FALSE), ARRAYFORMULA(VLOOKUP(SPLIT(E913, "", ""),Injections!B:G,6,FALSE)), ARRAYFORMULA(VLOOKUP(SPLIT(F913, "", ""),Injections!H:M,6,FALSE)), ARRAYFORMULA(VLOOKUP("&amp;"SPLIT(G913, "", ""),Injections!N:S,6,FALSE)), ARRAYFORMULA(VLOOKUP(SPLIT(H913, "", ""),Injections!T:Y,6,FALSE)) },3))))"),"")</f>
        <v/>
      </c>
      <c r="S913" s="10"/>
      <c r="T913" s="1"/>
      <c r="V913" s="11"/>
      <c r="W913" s="12"/>
      <c r="X913" s="12"/>
      <c r="Y913" s="11"/>
      <c r="Z913" s="11"/>
      <c r="AA913" s="11"/>
    </row>
    <row r="914" spans="1:27" ht="13" x14ac:dyDescent="0.15">
      <c r="A914" s="7"/>
      <c r="G914" s="8"/>
      <c r="H914" s="8"/>
      <c r="I914" s="8"/>
      <c r="M914" s="8"/>
      <c r="R914" s="10" t="str">
        <f ca="1">IFERROR(__xludf.DUMMYFUNCTION("JOIN("","", SORT(UNIQUE(TOCOL({VLOOKUP(D914,DM_fish!A:B,2,FALSE),VLOOKUP(C914,DM_fish!A:B,2,FALSE), ARRAYFORMULA(VLOOKUP(SPLIT(E914, "", ""),Injections!B:G,6,FALSE)), ARRAYFORMULA(VLOOKUP(SPLIT(F914, "", ""),Injections!H:M,6,FALSE)), ARRAYFORMULA(VLOOKUP("&amp;"SPLIT(G914, "", ""),Injections!N:S,6,FALSE)), ARRAYFORMULA(VLOOKUP(SPLIT(H914, "", ""),Injections!T:Y,6,FALSE)) },3))))"),"")</f>
        <v/>
      </c>
      <c r="S914" s="10"/>
      <c r="T914" s="1"/>
      <c r="V914" s="11"/>
      <c r="W914" s="12"/>
      <c r="X914" s="12"/>
      <c r="Y914" s="11"/>
      <c r="Z914" s="11"/>
      <c r="AA914" s="11"/>
    </row>
    <row r="915" spans="1:27" ht="13" x14ac:dyDescent="0.15">
      <c r="A915" s="7"/>
      <c r="G915" s="8"/>
      <c r="H915" s="8"/>
      <c r="I915" s="8"/>
      <c r="M915" s="8"/>
      <c r="R915" s="10" t="str">
        <f ca="1">IFERROR(__xludf.DUMMYFUNCTION("JOIN("","", SORT(UNIQUE(TOCOL({VLOOKUP(D915,DM_fish!A:B,2,FALSE),VLOOKUP(C915,DM_fish!A:B,2,FALSE), ARRAYFORMULA(VLOOKUP(SPLIT(E915, "", ""),Injections!B:G,6,FALSE)), ARRAYFORMULA(VLOOKUP(SPLIT(F915, "", ""),Injections!H:M,6,FALSE)), ARRAYFORMULA(VLOOKUP("&amp;"SPLIT(G915, "", ""),Injections!N:S,6,FALSE)), ARRAYFORMULA(VLOOKUP(SPLIT(H915, "", ""),Injections!T:Y,6,FALSE)) },3))))"),"")</f>
        <v/>
      </c>
      <c r="S915" s="10"/>
      <c r="T915" s="1"/>
      <c r="V915" s="11"/>
      <c r="W915" s="12"/>
      <c r="X915" s="12"/>
      <c r="Y915" s="11"/>
      <c r="Z915" s="11"/>
      <c r="AA915" s="11"/>
    </row>
    <row r="916" spans="1:27" ht="13" x14ac:dyDescent="0.15">
      <c r="A916" s="7"/>
      <c r="G916" s="8"/>
      <c r="H916" s="8"/>
      <c r="I916" s="8"/>
      <c r="M916" s="8"/>
      <c r="R916" s="10" t="str">
        <f ca="1">IFERROR(__xludf.DUMMYFUNCTION("JOIN("","", SORT(UNIQUE(TOCOL({VLOOKUP(D916,DM_fish!A:B,2,FALSE),VLOOKUP(C916,DM_fish!A:B,2,FALSE), ARRAYFORMULA(VLOOKUP(SPLIT(E916, "", ""),Injections!B:G,6,FALSE)), ARRAYFORMULA(VLOOKUP(SPLIT(F916, "", ""),Injections!H:M,6,FALSE)), ARRAYFORMULA(VLOOKUP("&amp;"SPLIT(G916, "", ""),Injections!N:S,6,FALSE)), ARRAYFORMULA(VLOOKUP(SPLIT(H916, "", ""),Injections!T:Y,6,FALSE)) },3))))"),"")</f>
        <v/>
      </c>
      <c r="S916" s="10"/>
      <c r="T916" s="1"/>
      <c r="V916" s="11"/>
      <c r="W916" s="12"/>
      <c r="X916" s="12"/>
      <c r="Y916" s="11"/>
      <c r="Z916" s="11"/>
      <c r="AA916" s="11"/>
    </row>
    <row r="917" spans="1:27" ht="13" x14ac:dyDescent="0.15">
      <c r="A917" s="7"/>
      <c r="G917" s="8"/>
      <c r="H917" s="8"/>
      <c r="I917" s="8"/>
      <c r="M917" s="8"/>
      <c r="R917" s="10" t="str">
        <f ca="1">IFERROR(__xludf.DUMMYFUNCTION("JOIN("","", SORT(UNIQUE(TOCOL({VLOOKUP(D917,DM_fish!A:B,2,FALSE),VLOOKUP(C917,DM_fish!A:B,2,FALSE), ARRAYFORMULA(VLOOKUP(SPLIT(E917, "", ""),Injections!B:G,6,FALSE)), ARRAYFORMULA(VLOOKUP(SPLIT(F917, "", ""),Injections!H:M,6,FALSE)), ARRAYFORMULA(VLOOKUP("&amp;"SPLIT(G917, "", ""),Injections!N:S,6,FALSE)), ARRAYFORMULA(VLOOKUP(SPLIT(H917, "", ""),Injections!T:Y,6,FALSE)) },3))))"),"")</f>
        <v/>
      </c>
      <c r="S917" s="10"/>
      <c r="T917" s="1"/>
      <c r="V917" s="11"/>
      <c r="W917" s="12"/>
      <c r="X917" s="12"/>
      <c r="Y917" s="11"/>
      <c r="Z917" s="11"/>
      <c r="AA917" s="11"/>
    </row>
    <row r="918" spans="1:27" ht="13" x14ac:dyDescent="0.15">
      <c r="A918" s="7"/>
      <c r="G918" s="8"/>
      <c r="H918" s="8"/>
      <c r="I918" s="8"/>
      <c r="M918" s="8"/>
      <c r="R918" s="10" t="str">
        <f ca="1">IFERROR(__xludf.DUMMYFUNCTION("JOIN("","", SORT(UNIQUE(TOCOL({VLOOKUP(D918,DM_fish!A:B,2,FALSE),VLOOKUP(C918,DM_fish!A:B,2,FALSE), ARRAYFORMULA(VLOOKUP(SPLIT(E918, "", ""),Injections!B:G,6,FALSE)), ARRAYFORMULA(VLOOKUP(SPLIT(F918, "", ""),Injections!H:M,6,FALSE)), ARRAYFORMULA(VLOOKUP("&amp;"SPLIT(G918, "", ""),Injections!N:S,6,FALSE)), ARRAYFORMULA(VLOOKUP(SPLIT(H918, "", ""),Injections!T:Y,6,FALSE)) },3))))"),"")</f>
        <v/>
      </c>
      <c r="S918" s="10"/>
      <c r="T918" s="1"/>
      <c r="V918" s="11"/>
      <c r="W918" s="12"/>
      <c r="X918" s="12"/>
      <c r="Y918" s="11"/>
      <c r="Z918" s="11"/>
      <c r="AA918" s="11"/>
    </row>
    <row r="919" spans="1:27" ht="13" x14ac:dyDescent="0.15">
      <c r="A919" s="7"/>
      <c r="G919" s="8"/>
      <c r="H919" s="8"/>
      <c r="I919" s="8"/>
      <c r="M919" s="8"/>
      <c r="R919" s="10" t="str">
        <f ca="1">IFERROR(__xludf.DUMMYFUNCTION("JOIN("","", SORT(UNIQUE(TOCOL({VLOOKUP(D919,DM_fish!A:B,2,FALSE),VLOOKUP(C919,DM_fish!A:B,2,FALSE), ARRAYFORMULA(VLOOKUP(SPLIT(E919, "", ""),Injections!B:G,6,FALSE)), ARRAYFORMULA(VLOOKUP(SPLIT(F919, "", ""),Injections!H:M,6,FALSE)), ARRAYFORMULA(VLOOKUP("&amp;"SPLIT(G919, "", ""),Injections!N:S,6,FALSE)), ARRAYFORMULA(VLOOKUP(SPLIT(H919, "", ""),Injections!T:Y,6,FALSE)) },3))))"),"")</f>
        <v/>
      </c>
      <c r="S919" s="10"/>
      <c r="T919" s="1"/>
      <c r="V919" s="11"/>
      <c r="W919" s="12"/>
      <c r="X919" s="12"/>
      <c r="Y919" s="11"/>
      <c r="Z919" s="11"/>
      <c r="AA919" s="11"/>
    </row>
    <row r="920" spans="1:27" ht="13" x14ac:dyDescent="0.15">
      <c r="A920" s="7"/>
      <c r="G920" s="8"/>
      <c r="H920" s="8"/>
      <c r="I920" s="8"/>
      <c r="M920" s="8"/>
      <c r="R920" s="10" t="str">
        <f ca="1">IFERROR(__xludf.DUMMYFUNCTION("JOIN("","", SORT(UNIQUE(TOCOL({VLOOKUP(D920,DM_fish!A:B,2,FALSE),VLOOKUP(C920,DM_fish!A:B,2,FALSE), ARRAYFORMULA(VLOOKUP(SPLIT(E920, "", ""),Injections!B:G,6,FALSE)), ARRAYFORMULA(VLOOKUP(SPLIT(F920, "", ""),Injections!H:M,6,FALSE)), ARRAYFORMULA(VLOOKUP("&amp;"SPLIT(G920, "", ""),Injections!N:S,6,FALSE)), ARRAYFORMULA(VLOOKUP(SPLIT(H920, "", ""),Injections!T:Y,6,FALSE)) },3))))"),"")</f>
        <v/>
      </c>
      <c r="S920" s="10"/>
      <c r="T920" s="1"/>
      <c r="V920" s="11"/>
      <c r="W920" s="12"/>
      <c r="X920" s="12"/>
      <c r="Y920" s="11"/>
      <c r="Z920" s="11"/>
      <c r="AA920" s="11"/>
    </row>
    <row r="921" spans="1:27" ht="13" x14ac:dyDescent="0.15">
      <c r="A921" s="7"/>
      <c r="G921" s="8"/>
      <c r="H921" s="8"/>
      <c r="I921" s="8"/>
      <c r="M921" s="8"/>
      <c r="R921" s="10" t="str">
        <f ca="1">IFERROR(__xludf.DUMMYFUNCTION("JOIN("","", SORT(UNIQUE(TOCOL({VLOOKUP(D921,DM_fish!A:B,2,FALSE),VLOOKUP(C921,DM_fish!A:B,2,FALSE), ARRAYFORMULA(VLOOKUP(SPLIT(E921, "", ""),Injections!B:G,6,FALSE)), ARRAYFORMULA(VLOOKUP(SPLIT(F921, "", ""),Injections!H:M,6,FALSE)), ARRAYFORMULA(VLOOKUP("&amp;"SPLIT(G921, "", ""),Injections!N:S,6,FALSE)), ARRAYFORMULA(VLOOKUP(SPLIT(H921, "", ""),Injections!T:Y,6,FALSE)) },3))))"),"")</f>
        <v/>
      </c>
      <c r="S921" s="10"/>
      <c r="T921" s="1"/>
      <c r="V921" s="11"/>
      <c r="W921" s="12"/>
      <c r="X921" s="12"/>
      <c r="Y921" s="11"/>
      <c r="Z921" s="11"/>
      <c r="AA921" s="11"/>
    </row>
    <row r="922" spans="1:27" ht="13" x14ac:dyDescent="0.15">
      <c r="A922" s="7"/>
      <c r="G922" s="8"/>
      <c r="H922" s="8"/>
      <c r="I922" s="8"/>
      <c r="M922" s="8"/>
      <c r="R922" s="10" t="str">
        <f ca="1">IFERROR(__xludf.DUMMYFUNCTION("JOIN("","", SORT(UNIQUE(TOCOL({VLOOKUP(D922,DM_fish!A:B,2,FALSE),VLOOKUP(C922,DM_fish!A:B,2,FALSE), ARRAYFORMULA(VLOOKUP(SPLIT(E922, "", ""),Injections!B:G,6,FALSE)), ARRAYFORMULA(VLOOKUP(SPLIT(F922, "", ""),Injections!H:M,6,FALSE)), ARRAYFORMULA(VLOOKUP("&amp;"SPLIT(G922, "", ""),Injections!N:S,6,FALSE)), ARRAYFORMULA(VLOOKUP(SPLIT(H922, "", ""),Injections!T:Y,6,FALSE)) },3))))"),"")</f>
        <v/>
      </c>
      <c r="S922" s="10"/>
      <c r="T922" s="1"/>
      <c r="V922" s="11"/>
      <c r="W922" s="12"/>
      <c r="X922" s="12"/>
      <c r="Y922" s="11"/>
      <c r="Z922" s="11"/>
      <c r="AA922" s="11"/>
    </row>
    <row r="923" spans="1:27" ht="13" x14ac:dyDescent="0.15">
      <c r="A923" s="7"/>
      <c r="G923" s="8"/>
      <c r="H923" s="8"/>
      <c r="I923" s="8"/>
      <c r="M923" s="8"/>
      <c r="R923" s="10" t="str">
        <f ca="1">IFERROR(__xludf.DUMMYFUNCTION("JOIN("","", SORT(UNIQUE(TOCOL({VLOOKUP(D923,DM_fish!A:B,2,FALSE),VLOOKUP(C923,DM_fish!A:B,2,FALSE), ARRAYFORMULA(VLOOKUP(SPLIT(E923, "", ""),Injections!B:G,6,FALSE)), ARRAYFORMULA(VLOOKUP(SPLIT(F923, "", ""),Injections!H:M,6,FALSE)), ARRAYFORMULA(VLOOKUP("&amp;"SPLIT(G923, "", ""),Injections!N:S,6,FALSE)), ARRAYFORMULA(VLOOKUP(SPLIT(H923, "", ""),Injections!T:Y,6,FALSE)) },3))))"),"")</f>
        <v/>
      </c>
      <c r="S923" s="10"/>
      <c r="T923" s="1"/>
      <c r="V923" s="11"/>
      <c r="W923" s="12"/>
      <c r="X923" s="12"/>
      <c r="Y923" s="11"/>
      <c r="Z923" s="11"/>
      <c r="AA923" s="11"/>
    </row>
    <row r="924" spans="1:27" ht="13" x14ac:dyDescent="0.15">
      <c r="A924" s="7"/>
      <c r="G924" s="8"/>
      <c r="H924" s="8"/>
      <c r="I924" s="8"/>
      <c r="M924" s="8"/>
      <c r="R924" s="10" t="str">
        <f ca="1">IFERROR(__xludf.DUMMYFUNCTION("JOIN("","", SORT(UNIQUE(TOCOL({VLOOKUP(D924,DM_fish!A:B,2,FALSE),VLOOKUP(C924,DM_fish!A:B,2,FALSE), ARRAYFORMULA(VLOOKUP(SPLIT(E924, "", ""),Injections!B:G,6,FALSE)), ARRAYFORMULA(VLOOKUP(SPLIT(F924, "", ""),Injections!H:M,6,FALSE)), ARRAYFORMULA(VLOOKUP("&amp;"SPLIT(G924, "", ""),Injections!N:S,6,FALSE)), ARRAYFORMULA(VLOOKUP(SPLIT(H924, "", ""),Injections!T:Y,6,FALSE)) },3))))"),"")</f>
        <v/>
      </c>
      <c r="S924" s="10"/>
      <c r="T924" s="1"/>
      <c r="V924" s="11"/>
      <c r="W924" s="12"/>
      <c r="X924" s="12"/>
      <c r="Y924" s="11"/>
      <c r="Z924" s="11"/>
      <c r="AA924" s="11"/>
    </row>
    <row r="925" spans="1:27" ht="13" x14ac:dyDescent="0.15">
      <c r="A925" s="7"/>
      <c r="G925" s="8"/>
      <c r="H925" s="8"/>
      <c r="I925" s="8"/>
      <c r="M925" s="8"/>
      <c r="R925" s="10" t="str">
        <f ca="1">IFERROR(__xludf.DUMMYFUNCTION("JOIN("","", SORT(UNIQUE(TOCOL({VLOOKUP(D925,DM_fish!A:B,2,FALSE),VLOOKUP(C925,DM_fish!A:B,2,FALSE), ARRAYFORMULA(VLOOKUP(SPLIT(E925, "", ""),Injections!B:G,6,FALSE)), ARRAYFORMULA(VLOOKUP(SPLIT(F925, "", ""),Injections!H:M,6,FALSE)), ARRAYFORMULA(VLOOKUP("&amp;"SPLIT(G925, "", ""),Injections!N:S,6,FALSE)), ARRAYFORMULA(VLOOKUP(SPLIT(H925, "", ""),Injections!T:Y,6,FALSE)) },3))))"),"")</f>
        <v/>
      </c>
      <c r="S925" s="10"/>
      <c r="T925" s="1"/>
      <c r="V925" s="11"/>
      <c r="W925" s="12"/>
      <c r="X925" s="12"/>
      <c r="Y925" s="11"/>
      <c r="Z925" s="11"/>
      <c r="AA925" s="11"/>
    </row>
    <row r="926" spans="1:27" ht="13" x14ac:dyDescent="0.15">
      <c r="A926" s="7"/>
      <c r="G926" s="8"/>
      <c r="H926" s="8"/>
      <c r="I926" s="8"/>
      <c r="M926" s="8"/>
      <c r="R926" s="10" t="str">
        <f ca="1">IFERROR(__xludf.DUMMYFUNCTION("JOIN("","", SORT(UNIQUE(TOCOL({VLOOKUP(D926,DM_fish!A:B,2,FALSE),VLOOKUP(C926,DM_fish!A:B,2,FALSE), ARRAYFORMULA(VLOOKUP(SPLIT(E926, "", ""),Injections!B:G,6,FALSE)), ARRAYFORMULA(VLOOKUP(SPLIT(F926, "", ""),Injections!H:M,6,FALSE)), ARRAYFORMULA(VLOOKUP("&amp;"SPLIT(G926, "", ""),Injections!N:S,6,FALSE)), ARRAYFORMULA(VLOOKUP(SPLIT(H926, "", ""),Injections!T:Y,6,FALSE)) },3))))"),"")</f>
        <v/>
      </c>
      <c r="S926" s="10"/>
      <c r="T926" s="1"/>
      <c r="V926" s="11"/>
      <c r="W926" s="12"/>
      <c r="X926" s="12"/>
      <c r="Y926" s="11"/>
      <c r="Z926" s="11"/>
      <c r="AA926" s="11"/>
    </row>
    <row r="927" spans="1:27" ht="13" x14ac:dyDescent="0.15">
      <c r="A927" s="7"/>
      <c r="G927" s="8"/>
      <c r="H927" s="8"/>
      <c r="I927" s="8"/>
      <c r="M927" s="8"/>
      <c r="R927" s="10" t="str">
        <f ca="1">IFERROR(__xludf.DUMMYFUNCTION("JOIN("","", SORT(UNIQUE(TOCOL({VLOOKUP(D927,DM_fish!A:B,2,FALSE),VLOOKUP(C927,DM_fish!A:B,2,FALSE), ARRAYFORMULA(VLOOKUP(SPLIT(E927, "", ""),Injections!B:G,6,FALSE)), ARRAYFORMULA(VLOOKUP(SPLIT(F927, "", ""),Injections!H:M,6,FALSE)), ARRAYFORMULA(VLOOKUP("&amp;"SPLIT(G927, "", ""),Injections!N:S,6,FALSE)), ARRAYFORMULA(VLOOKUP(SPLIT(H927, "", ""),Injections!T:Y,6,FALSE)) },3))))"),"")</f>
        <v/>
      </c>
      <c r="S927" s="10"/>
      <c r="T927" s="1"/>
      <c r="V927" s="11"/>
      <c r="W927" s="12"/>
      <c r="X927" s="12"/>
      <c r="Y927" s="11"/>
      <c r="Z927" s="11"/>
      <c r="AA927" s="11"/>
    </row>
    <row r="928" spans="1:27" ht="13" x14ac:dyDescent="0.15">
      <c r="A928" s="7"/>
      <c r="G928" s="8"/>
      <c r="H928" s="8"/>
      <c r="I928" s="8"/>
      <c r="M928" s="8"/>
      <c r="R928" s="10" t="str">
        <f ca="1">IFERROR(__xludf.DUMMYFUNCTION("JOIN("","", SORT(UNIQUE(TOCOL({VLOOKUP(D928,DM_fish!A:B,2,FALSE),VLOOKUP(C928,DM_fish!A:B,2,FALSE), ARRAYFORMULA(VLOOKUP(SPLIT(E928, "", ""),Injections!B:G,6,FALSE)), ARRAYFORMULA(VLOOKUP(SPLIT(F928, "", ""),Injections!H:M,6,FALSE)), ARRAYFORMULA(VLOOKUP("&amp;"SPLIT(G928, "", ""),Injections!N:S,6,FALSE)), ARRAYFORMULA(VLOOKUP(SPLIT(H928, "", ""),Injections!T:Y,6,FALSE)) },3))))"),"")</f>
        <v/>
      </c>
      <c r="S928" s="10"/>
      <c r="T928" s="1"/>
      <c r="V928" s="11"/>
      <c r="W928" s="12"/>
      <c r="X928" s="12"/>
      <c r="Y928" s="11"/>
      <c r="Z928" s="11"/>
      <c r="AA928" s="11"/>
    </row>
    <row r="929" spans="1:27" ht="13" x14ac:dyDescent="0.15">
      <c r="A929" s="7"/>
      <c r="G929" s="8"/>
      <c r="H929" s="8"/>
      <c r="I929" s="8"/>
      <c r="M929" s="8"/>
      <c r="R929" s="10" t="str">
        <f ca="1">IFERROR(__xludf.DUMMYFUNCTION("JOIN("","", SORT(UNIQUE(TOCOL({VLOOKUP(D929,DM_fish!A:B,2,FALSE),VLOOKUP(C929,DM_fish!A:B,2,FALSE), ARRAYFORMULA(VLOOKUP(SPLIT(E929, "", ""),Injections!B:G,6,FALSE)), ARRAYFORMULA(VLOOKUP(SPLIT(F929, "", ""),Injections!H:M,6,FALSE)), ARRAYFORMULA(VLOOKUP("&amp;"SPLIT(G929, "", ""),Injections!N:S,6,FALSE)), ARRAYFORMULA(VLOOKUP(SPLIT(H929, "", ""),Injections!T:Y,6,FALSE)) },3))))"),"")</f>
        <v/>
      </c>
      <c r="S929" s="10"/>
      <c r="T929" s="1"/>
      <c r="V929" s="11"/>
      <c r="W929" s="12"/>
      <c r="X929" s="12"/>
      <c r="Y929" s="11"/>
      <c r="Z929" s="11"/>
      <c r="AA929" s="11"/>
    </row>
    <row r="930" spans="1:27" ht="13" x14ac:dyDescent="0.15">
      <c r="A930" s="7"/>
      <c r="G930" s="8"/>
      <c r="H930" s="8"/>
      <c r="I930" s="8"/>
      <c r="M930" s="8"/>
      <c r="R930" s="10" t="str">
        <f ca="1">IFERROR(__xludf.DUMMYFUNCTION("JOIN("","", SORT(UNIQUE(TOCOL({VLOOKUP(D930,DM_fish!A:B,2,FALSE),VLOOKUP(C930,DM_fish!A:B,2,FALSE), ARRAYFORMULA(VLOOKUP(SPLIT(E930, "", ""),Injections!B:G,6,FALSE)), ARRAYFORMULA(VLOOKUP(SPLIT(F930, "", ""),Injections!H:M,6,FALSE)), ARRAYFORMULA(VLOOKUP("&amp;"SPLIT(G930, "", ""),Injections!N:S,6,FALSE)), ARRAYFORMULA(VLOOKUP(SPLIT(H930, "", ""),Injections!T:Y,6,FALSE)) },3))))"),"")</f>
        <v/>
      </c>
      <c r="S930" s="10"/>
      <c r="T930" s="1"/>
      <c r="V930" s="11"/>
      <c r="W930" s="12"/>
      <c r="X930" s="12"/>
      <c r="Y930" s="11"/>
      <c r="Z930" s="11"/>
      <c r="AA930" s="11"/>
    </row>
    <row r="931" spans="1:27" ht="13" x14ac:dyDescent="0.15">
      <c r="A931" s="7"/>
      <c r="G931" s="8"/>
      <c r="H931" s="8"/>
      <c r="I931" s="8"/>
      <c r="M931" s="8"/>
      <c r="R931" s="10" t="str">
        <f ca="1">IFERROR(__xludf.DUMMYFUNCTION("JOIN("","", SORT(UNIQUE(TOCOL({VLOOKUP(D931,DM_fish!A:B,2,FALSE),VLOOKUP(C931,DM_fish!A:B,2,FALSE), ARRAYFORMULA(VLOOKUP(SPLIT(E931, "", ""),Injections!B:G,6,FALSE)), ARRAYFORMULA(VLOOKUP(SPLIT(F931, "", ""),Injections!H:M,6,FALSE)), ARRAYFORMULA(VLOOKUP("&amp;"SPLIT(G931, "", ""),Injections!N:S,6,FALSE)), ARRAYFORMULA(VLOOKUP(SPLIT(H931, "", ""),Injections!T:Y,6,FALSE)) },3))))"),"")</f>
        <v/>
      </c>
      <c r="S931" s="10"/>
      <c r="T931" s="1"/>
      <c r="V931" s="11"/>
      <c r="W931" s="12"/>
      <c r="X931" s="12"/>
      <c r="Y931" s="11"/>
      <c r="Z931" s="11"/>
      <c r="AA931" s="11"/>
    </row>
    <row r="932" spans="1:27" ht="13" x14ac:dyDescent="0.15">
      <c r="A932" s="7"/>
      <c r="G932" s="8"/>
      <c r="H932" s="8"/>
      <c r="I932" s="8"/>
      <c r="M932" s="8"/>
      <c r="R932" s="10" t="str">
        <f ca="1">IFERROR(__xludf.DUMMYFUNCTION("JOIN("","", SORT(UNIQUE(TOCOL({VLOOKUP(D932,DM_fish!A:B,2,FALSE),VLOOKUP(C932,DM_fish!A:B,2,FALSE), ARRAYFORMULA(VLOOKUP(SPLIT(E932, "", ""),Injections!B:G,6,FALSE)), ARRAYFORMULA(VLOOKUP(SPLIT(F932, "", ""),Injections!H:M,6,FALSE)), ARRAYFORMULA(VLOOKUP("&amp;"SPLIT(G932, "", ""),Injections!N:S,6,FALSE)), ARRAYFORMULA(VLOOKUP(SPLIT(H932, "", ""),Injections!T:Y,6,FALSE)) },3))))"),"")</f>
        <v/>
      </c>
      <c r="S932" s="10"/>
      <c r="T932" s="1"/>
      <c r="V932" s="11"/>
      <c r="W932" s="12"/>
      <c r="X932" s="12"/>
      <c r="Y932" s="11"/>
      <c r="Z932" s="11"/>
      <c r="AA932" s="11"/>
    </row>
    <row r="933" spans="1:27" ht="13" x14ac:dyDescent="0.15">
      <c r="A933" s="7"/>
      <c r="G933" s="8"/>
      <c r="H933" s="8"/>
      <c r="I933" s="8"/>
      <c r="M933" s="8"/>
      <c r="R933" s="10" t="str">
        <f ca="1">IFERROR(__xludf.DUMMYFUNCTION("JOIN("","", SORT(UNIQUE(TOCOL({VLOOKUP(D933,DM_fish!A:B,2,FALSE),VLOOKUP(C933,DM_fish!A:B,2,FALSE), ARRAYFORMULA(VLOOKUP(SPLIT(E933, "", ""),Injections!B:G,6,FALSE)), ARRAYFORMULA(VLOOKUP(SPLIT(F933, "", ""),Injections!H:M,6,FALSE)), ARRAYFORMULA(VLOOKUP("&amp;"SPLIT(G933, "", ""),Injections!N:S,6,FALSE)), ARRAYFORMULA(VLOOKUP(SPLIT(H933, "", ""),Injections!T:Y,6,FALSE)) },3))))"),"")</f>
        <v/>
      </c>
      <c r="S933" s="10"/>
      <c r="T933" s="1"/>
      <c r="V933" s="11"/>
      <c r="W933" s="12"/>
      <c r="X933" s="12"/>
      <c r="Y933" s="11"/>
      <c r="Z933" s="11"/>
      <c r="AA933" s="11"/>
    </row>
    <row r="934" spans="1:27" ht="13" x14ac:dyDescent="0.15">
      <c r="A934" s="7"/>
      <c r="G934" s="8"/>
      <c r="H934" s="8"/>
      <c r="I934" s="8"/>
      <c r="M934" s="8"/>
      <c r="R934" s="10" t="str">
        <f ca="1">IFERROR(__xludf.DUMMYFUNCTION("JOIN("","", SORT(UNIQUE(TOCOL({VLOOKUP(D934,DM_fish!A:B,2,FALSE),VLOOKUP(C934,DM_fish!A:B,2,FALSE), ARRAYFORMULA(VLOOKUP(SPLIT(E934, "", ""),Injections!B:G,6,FALSE)), ARRAYFORMULA(VLOOKUP(SPLIT(F934, "", ""),Injections!H:M,6,FALSE)), ARRAYFORMULA(VLOOKUP("&amp;"SPLIT(G934, "", ""),Injections!N:S,6,FALSE)), ARRAYFORMULA(VLOOKUP(SPLIT(H934, "", ""),Injections!T:Y,6,FALSE)) },3))))"),"")</f>
        <v/>
      </c>
      <c r="S934" s="10"/>
      <c r="T934" s="1"/>
      <c r="V934" s="11"/>
      <c r="W934" s="12"/>
      <c r="X934" s="12"/>
      <c r="Y934" s="11"/>
      <c r="Z934" s="11"/>
      <c r="AA934" s="11"/>
    </row>
    <row r="935" spans="1:27" ht="13" x14ac:dyDescent="0.15">
      <c r="A935" s="7"/>
      <c r="G935" s="8"/>
      <c r="H935" s="8"/>
      <c r="I935" s="8"/>
      <c r="M935" s="8"/>
      <c r="R935" s="10" t="str">
        <f ca="1">IFERROR(__xludf.DUMMYFUNCTION("JOIN("","", SORT(UNIQUE(TOCOL({VLOOKUP(D935,DM_fish!A:B,2,FALSE),VLOOKUP(C935,DM_fish!A:B,2,FALSE), ARRAYFORMULA(VLOOKUP(SPLIT(E935, "", ""),Injections!B:G,6,FALSE)), ARRAYFORMULA(VLOOKUP(SPLIT(F935, "", ""),Injections!H:M,6,FALSE)), ARRAYFORMULA(VLOOKUP("&amp;"SPLIT(G935, "", ""),Injections!N:S,6,FALSE)), ARRAYFORMULA(VLOOKUP(SPLIT(H935, "", ""),Injections!T:Y,6,FALSE)) },3))))"),"")</f>
        <v/>
      </c>
      <c r="S935" s="10"/>
      <c r="T935" s="1"/>
      <c r="V935" s="11"/>
      <c r="W935" s="12"/>
      <c r="X935" s="12"/>
      <c r="Y935" s="11"/>
      <c r="Z935" s="11"/>
      <c r="AA935" s="11"/>
    </row>
    <row r="936" spans="1:27" ht="13" x14ac:dyDescent="0.15">
      <c r="A936" s="7"/>
      <c r="G936" s="8"/>
      <c r="H936" s="8"/>
      <c r="I936" s="8"/>
      <c r="M936" s="8"/>
      <c r="R936" s="10" t="str">
        <f ca="1">IFERROR(__xludf.DUMMYFUNCTION("JOIN("","", SORT(UNIQUE(TOCOL({VLOOKUP(D936,DM_fish!A:B,2,FALSE),VLOOKUP(C936,DM_fish!A:B,2,FALSE), ARRAYFORMULA(VLOOKUP(SPLIT(E936, "", ""),Injections!B:G,6,FALSE)), ARRAYFORMULA(VLOOKUP(SPLIT(F936, "", ""),Injections!H:M,6,FALSE)), ARRAYFORMULA(VLOOKUP("&amp;"SPLIT(G936, "", ""),Injections!N:S,6,FALSE)), ARRAYFORMULA(VLOOKUP(SPLIT(H936, "", ""),Injections!T:Y,6,FALSE)) },3))))"),"")</f>
        <v/>
      </c>
      <c r="S936" s="10"/>
      <c r="T936" s="1"/>
      <c r="V936" s="11"/>
      <c r="W936" s="12"/>
      <c r="X936" s="12"/>
      <c r="Y936" s="11"/>
      <c r="Z936" s="11"/>
      <c r="AA936" s="11"/>
    </row>
    <row r="937" spans="1:27" ht="13" x14ac:dyDescent="0.15">
      <c r="A937" s="7"/>
      <c r="G937" s="8"/>
      <c r="H937" s="8"/>
      <c r="I937" s="8"/>
      <c r="M937" s="8"/>
      <c r="R937" s="10" t="str">
        <f ca="1">IFERROR(__xludf.DUMMYFUNCTION("JOIN("","", SORT(UNIQUE(TOCOL({VLOOKUP(D937,DM_fish!A:B,2,FALSE),VLOOKUP(C937,DM_fish!A:B,2,FALSE), ARRAYFORMULA(VLOOKUP(SPLIT(E937, "", ""),Injections!B:G,6,FALSE)), ARRAYFORMULA(VLOOKUP(SPLIT(F937, "", ""),Injections!H:M,6,FALSE)), ARRAYFORMULA(VLOOKUP("&amp;"SPLIT(G937, "", ""),Injections!N:S,6,FALSE)), ARRAYFORMULA(VLOOKUP(SPLIT(H937, "", ""),Injections!T:Y,6,FALSE)) },3))))"),"")</f>
        <v/>
      </c>
      <c r="S937" s="10"/>
      <c r="T937" s="1"/>
      <c r="V937" s="11"/>
      <c r="W937" s="12"/>
      <c r="X937" s="12"/>
      <c r="Y937" s="11"/>
      <c r="Z937" s="11"/>
      <c r="AA937" s="11"/>
    </row>
    <row r="938" spans="1:27" ht="13" x14ac:dyDescent="0.15">
      <c r="A938" s="7"/>
      <c r="G938" s="8"/>
      <c r="H938" s="8"/>
      <c r="I938" s="8"/>
      <c r="M938" s="8"/>
      <c r="R938" s="10" t="str">
        <f ca="1">IFERROR(__xludf.DUMMYFUNCTION("JOIN("","", SORT(UNIQUE(TOCOL({VLOOKUP(D938,DM_fish!A:B,2,FALSE),VLOOKUP(C938,DM_fish!A:B,2,FALSE), ARRAYFORMULA(VLOOKUP(SPLIT(E938, "", ""),Injections!B:G,6,FALSE)), ARRAYFORMULA(VLOOKUP(SPLIT(F938, "", ""),Injections!H:M,6,FALSE)), ARRAYFORMULA(VLOOKUP("&amp;"SPLIT(G938, "", ""),Injections!N:S,6,FALSE)), ARRAYFORMULA(VLOOKUP(SPLIT(H938, "", ""),Injections!T:Y,6,FALSE)) },3))))"),"")</f>
        <v/>
      </c>
      <c r="S938" s="10"/>
      <c r="T938" s="1"/>
      <c r="V938" s="11"/>
      <c r="W938" s="12"/>
      <c r="X938" s="12"/>
      <c r="Y938" s="11"/>
      <c r="Z938" s="11"/>
      <c r="AA938" s="11"/>
    </row>
    <row r="939" spans="1:27" ht="13" x14ac:dyDescent="0.15">
      <c r="A939" s="7"/>
      <c r="G939" s="8"/>
      <c r="H939" s="8"/>
      <c r="I939" s="8"/>
      <c r="M939" s="8"/>
      <c r="R939" s="10" t="str">
        <f ca="1">IFERROR(__xludf.DUMMYFUNCTION("JOIN("","", SORT(UNIQUE(TOCOL({VLOOKUP(D939,DM_fish!A:B,2,FALSE),VLOOKUP(C939,DM_fish!A:B,2,FALSE), ARRAYFORMULA(VLOOKUP(SPLIT(E939, "", ""),Injections!B:G,6,FALSE)), ARRAYFORMULA(VLOOKUP(SPLIT(F939, "", ""),Injections!H:M,6,FALSE)), ARRAYFORMULA(VLOOKUP("&amp;"SPLIT(G939, "", ""),Injections!N:S,6,FALSE)), ARRAYFORMULA(VLOOKUP(SPLIT(H939, "", ""),Injections!T:Y,6,FALSE)) },3))))"),"")</f>
        <v/>
      </c>
      <c r="S939" s="10"/>
      <c r="T939" s="1"/>
      <c r="V939" s="11"/>
      <c r="W939" s="12"/>
      <c r="X939" s="12"/>
      <c r="Y939" s="11"/>
      <c r="Z939" s="11"/>
      <c r="AA939" s="11"/>
    </row>
    <row r="940" spans="1:27" ht="13" x14ac:dyDescent="0.15">
      <c r="A940" s="7"/>
      <c r="G940" s="8"/>
      <c r="H940" s="8"/>
      <c r="I940" s="8"/>
      <c r="M940" s="8"/>
      <c r="R940" s="10" t="str">
        <f ca="1">IFERROR(__xludf.DUMMYFUNCTION("JOIN("","", SORT(UNIQUE(TOCOL({VLOOKUP(D940,DM_fish!A:B,2,FALSE),VLOOKUP(C940,DM_fish!A:B,2,FALSE), ARRAYFORMULA(VLOOKUP(SPLIT(E940, "", ""),Injections!B:G,6,FALSE)), ARRAYFORMULA(VLOOKUP(SPLIT(F940, "", ""),Injections!H:M,6,FALSE)), ARRAYFORMULA(VLOOKUP("&amp;"SPLIT(G940, "", ""),Injections!N:S,6,FALSE)), ARRAYFORMULA(VLOOKUP(SPLIT(H940, "", ""),Injections!T:Y,6,FALSE)) },3))))"),"")</f>
        <v/>
      </c>
      <c r="S940" s="10"/>
      <c r="T940" s="1"/>
      <c r="V940" s="11"/>
      <c r="W940" s="12"/>
      <c r="X940" s="12"/>
      <c r="Y940" s="11"/>
      <c r="Z940" s="11"/>
      <c r="AA940" s="11"/>
    </row>
    <row r="941" spans="1:27" ht="13" x14ac:dyDescent="0.15">
      <c r="A941" s="7"/>
      <c r="G941" s="8"/>
      <c r="H941" s="8"/>
      <c r="I941" s="8"/>
      <c r="M941" s="8"/>
      <c r="R941" s="10" t="str">
        <f ca="1">IFERROR(__xludf.DUMMYFUNCTION("JOIN("","", SORT(UNIQUE(TOCOL({VLOOKUP(D941,DM_fish!A:B,2,FALSE),VLOOKUP(C941,DM_fish!A:B,2,FALSE), ARRAYFORMULA(VLOOKUP(SPLIT(E941, "", ""),Injections!B:G,6,FALSE)), ARRAYFORMULA(VLOOKUP(SPLIT(F941, "", ""),Injections!H:M,6,FALSE)), ARRAYFORMULA(VLOOKUP("&amp;"SPLIT(G941, "", ""),Injections!N:S,6,FALSE)), ARRAYFORMULA(VLOOKUP(SPLIT(H941, "", ""),Injections!T:Y,6,FALSE)) },3))))"),"")</f>
        <v/>
      </c>
      <c r="S941" s="10"/>
      <c r="T941" s="1"/>
      <c r="V941" s="11"/>
      <c r="W941" s="12"/>
      <c r="X941" s="12"/>
      <c r="Y941" s="11"/>
      <c r="Z941" s="11"/>
      <c r="AA941" s="11"/>
    </row>
    <row r="942" spans="1:27" ht="13" x14ac:dyDescent="0.15">
      <c r="A942" s="7"/>
      <c r="G942" s="8"/>
      <c r="H942" s="8"/>
      <c r="I942" s="8"/>
      <c r="M942" s="8"/>
      <c r="R942" s="10" t="str">
        <f ca="1">IFERROR(__xludf.DUMMYFUNCTION("JOIN("","", SORT(UNIQUE(TOCOL({VLOOKUP(D942,DM_fish!A:B,2,FALSE),VLOOKUP(C942,DM_fish!A:B,2,FALSE), ARRAYFORMULA(VLOOKUP(SPLIT(E942, "", ""),Injections!B:G,6,FALSE)), ARRAYFORMULA(VLOOKUP(SPLIT(F942, "", ""),Injections!H:M,6,FALSE)), ARRAYFORMULA(VLOOKUP("&amp;"SPLIT(G942, "", ""),Injections!N:S,6,FALSE)), ARRAYFORMULA(VLOOKUP(SPLIT(H942, "", ""),Injections!T:Y,6,FALSE)) },3))))"),"")</f>
        <v/>
      </c>
      <c r="S942" s="10"/>
      <c r="T942" s="1"/>
      <c r="V942" s="11"/>
      <c r="W942" s="12"/>
      <c r="X942" s="12"/>
      <c r="Y942" s="11"/>
      <c r="Z942" s="11"/>
      <c r="AA942" s="11"/>
    </row>
    <row r="943" spans="1:27" ht="13" x14ac:dyDescent="0.15">
      <c r="A943" s="7"/>
      <c r="G943" s="8"/>
      <c r="H943" s="8"/>
      <c r="I943" s="8"/>
      <c r="M943" s="8"/>
      <c r="R943" s="10" t="str">
        <f ca="1">IFERROR(__xludf.DUMMYFUNCTION("JOIN("","", SORT(UNIQUE(TOCOL({VLOOKUP(D943,DM_fish!A:B,2,FALSE),VLOOKUP(C943,DM_fish!A:B,2,FALSE), ARRAYFORMULA(VLOOKUP(SPLIT(E943, "", ""),Injections!B:G,6,FALSE)), ARRAYFORMULA(VLOOKUP(SPLIT(F943, "", ""),Injections!H:M,6,FALSE)), ARRAYFORMULA(VLOOKUP("&amp;"SPLIT(G943, "", ""),Injections!N:S,6,FALSE)), ARRAYFORMULA(VLOOKUP(SPLIT(H943, "", ""),Injections!T:Y,6,FALSE)) },3))))"),"")</f>
        <v/>
      </c>
      <c r="S943" s="10"/>
      <c r="T943" s="1"/>
      <c r="V943" s="11"/>
      <c r="W943" s="12"/>
      <c r="X943" s="12"/>
      <c r="Y943" s="11"/>
      <c r="Z943" s="11"/>
      <c r="AA943" s="11"/>
    </row>
    <row r="944" spans="1:27" ht="13" x14ac:dyDescent="0.15">
      <c r="A944" s="7"/>
      <c r="G944" s="8"/>
      <c r="H944" s="8"/>
      <c r="I944" s="8"/>
      <c r="M944" s="8"/>
      <c r="R944" s="10" t="str">
        <f ca="1">IFERROR(__xludf.DUMMYFUNCTION("JOIN("","", SORT(UNIQUE(TOCOL({VLOOKUP(D944,DM_fish!A:B,2,FALSE),VLOOKUP(C944,DM_fish!A:B,2,FALSE), ARRAYFORMULA(VLOOKUP(SPLIT(E944, "", ""),Injections!B:G,6,FALSE)), ARRAYFORMULA(VLOOKUP(SPLIT(F944, "", ""),Injections!H:M,6,FALSE)), ARRAYFORMULA(VLOOKUP("&amp;"SPLIT(G944, "", ""),Injections!N:S,6,FALSE)), ARRAYFORMULA(VLOOKUP(SPLIT(H944, "", ""),Injections!T:Y,6,FALSE)) },3))))"),"")</f>
        <v/>
      </c>
      <c r="S944" s="10"/>
      <c r="T944" s="1"/>
      <c r="V944" s="11"/>
      <c r="W944" s="12"/>
      <c r="X944" s="12"/>
      <c r="Y944" s="11"/>
      <c r="Z944" s="11"/>
      <c r="AA944" s="11"/>
    </row>
    <row r="945" spans="1:27" ht="13" x14ac:dyDescent="0.15">
      <c r="A945" s="7"/>
      <c r="G945" s="8"/>
      <c r="H945" s="8"/>
      <c r="I945" s="8"/>
      <c r="M945" s="8"/>
      <c r="R945" s="10" t="str">
        <f ca="1">IFERROR(__xludf.DUMMYFUNCTION("JOIN("","", SORT(UNIQUE(TOCOL({VLOOKUP(D945,DM_fish!A:B,2,FALSE),VLOOKUP(C945,DM_fish!A:B,2,FALSE), ARRAYFORMULA(VLOOKUP(SPLIT(E945, "", ""),Injections!B:G,6,FALSE)), ARRAYFORMULA(VLOOKUP(SPLIT(F945, "", ""),Injections!H:M,6,FALSE)), ARRAYFORMULA(VLOOKUP("&amp;"SPLIT(G945, "", ""),Injections!N:S,6,FALSE)), ARRAYFORMULA(VLOOKUP(SPLIT(H945, "", ""),Injections!T:Y,6,FALSE)) },3))))"),"")</f>
        <v/>
      </c>
      <c r="S945" s="10"/>
      <c r="T945" s="1"/>
      <c r="V945" s="11"/>
      <c r="W945" s="12"/>
      <c r="X945" s="12"/>
      <c r="Y945" s="11"/>
      <c r="Z945" s="11"/>
      <c r="AA945" s="11"/>
    </row>
    <row r="946" spans="1:27" ht="13" x14ac:dyDescent="0.15">
      <c r="A946" s="7"/>
      <c r="G946" s="8"/>
      <c r="H946" s="8"/>
      <c r="I946" s="8"/>
      <c r="M946" s="8"/>
      <c r="R946" s="10" t="str">
        <f ca="1">IFERROR(__xludf.DUMMYFUNCTION("JOIN("","", SORT(UNIQUE(TOCOL({VLOOKUP(D946,DM_fish!A:B,2,FALSE),VLOOKUP(C946,DM_fish!A:B,2,FALSE), ARRAYFORMULA(VLOOKUP(SPLIT(E946, "", ""),Injections!B:G,6,FALSE)), ARRAYFORMULA(VLOOKUP(SPLIT(F946, "", ""),Injections!H:M,6,FALSE)), ARRAYFORMULA(VLOOKUP("&amp;"SPLIT(G946, "", ""),Injections!N:S,6,FALSE)), ARRAYFORMULA(VLOOKUP(SPLIT(H946, "", ""),Injections!T:Y,6,FALSE)) },3))))"),"")</f>
        <v/>
      </c>
      <c r="S946" s="10"/>
      <c r="T946" s="1"/>
      <c r="V946" s="11"/>
      <c r="W946" s="12"/>
      <c r="X946" s="12"/>
      <c r="Y946" s="11"/>
      <c r="Z946" s="11"/>
      <c r="AA946" s="11"/>
    </row>
    <row r="947" spans="1:27" ht="13" x14ac:dyDescent="0.15">
      <c r="A947" s="7"/>
      <c r="G947" s="8"/>
      <c r="H947" s="8"/>
      <c r="I947" s="8"/>
      <c r="M947" s="8"/>
      <c r="R947" s="10" t="str">
        <f ca="1">IFERROR(__xludf.DUMMYFUNCTION("JOIN("","", SORT(UNIQUE(TOCOL({VLOOKUP(D947,DM_fish!A:B,2,FALSE),VLOOKUP(C947,DM_fish!A:B,2,FALSE), ARRAYFORMULA(VLOOKUP(SPLIT(E947, "", ""),Injections!B:G,6,FALSE)), ARRAYFORMULA(VLOOKUP(SPLIT(F947, "", ""),Injections!H:M,6,FALSE)), ARRAYFORMULA(VLOOKUP("&amp;"SPLIT(G947, "", ""),Injections!N:S,6,FALSE)), ARRAYFORMULA(VLOOKUP(SPLIT(H947, "", ""),Injections!T:Y,6,FALSE)) },3))))"),"")</f>
        <v/>
      </c>
      <c r="S947" s="10"/>
      <c r="T947" s="1"/>
      <c r="V947" s="11"/>
      <c r="W947" s="12"/>
      <c r="X947" s="12"/>
      <c r="Y947" s="11"/>
      <c r="Z947" s="11"/>
      <c r="AA947" s="11"/>
    </row>
    <row r="948" spans="1:27" ht="13" x14ac:dyDescent="0.15">
      <c r="A948" s="7"/>
      <c r="G948" s="8"/>
      <c r="H948" s="8"/>
      <c r="I948" s="8"/>
      <c r="M948" s="8"/>
      <c r="R948" s="10" t="str">
        <f ca="1">IFERROR(__xludf.DUMMYFUNCTION("JOIN("","", SORT(UNIQUE(TOCOL({VLOOKUP(D948,DM_fish!A:B,2,FALSE),VLOOKUP(C948,DM_fish!A:B,2,FALSE), ARRAYFORMULA(VLOOKUP(SPLIT(E948, "", ""),Injections!B:G,6,FALSE)), ARRAYFORMULA(VLOOKUP(SPLIT(F948, "", ""),Injections!H:M,6,FALSE)), ARRAYFORMULA(VLOOKUP("&amp;"SPLIT(G948, "", ""),Injections!N:S,6,FALSE)), ARRAYFORMULA(VLOOKUP(SPLIT(H948, "", ""),Injections!T:Y,6,FALSE)) },3))))"),"")</f>
        <v/>
      </c>
      <c r="S948" s="10"/>
      <c r="T948" s="1"/>
      <c r="V948" s="11"/>
      <c r="W948" s="12"/>
      <c r="X948" s="12"/>
      <c r="Y948" s="11"/>
      <c r="Z948" s="11"/>
      <c r="AA948" s="11"/>
    </row>
    <row r="949" spans="1:27" ht="13" x14ac:dyDescent="0.15">
      <c r="A949" s="7"/>
      <c r="G949" s="8"/>
      <c r="H949" s="8"/>
      <c r="I949" s="8"/>
      <c r="M949" s="8"/>
      <c r="R949" s="10" t="str">
        <f ca="1">IFERROR(__xludf.DUMMYFUNCTION("JOIN("","", SORT(UNIQUE(TOCOL({VLOOKUP(D949,DM_fish!A:B,2,FALSE),VLOOKUP(C949,DM_fish!A:B,2,FALSE), ARRAYFORMULA(VLOOKUP(SPLIT(E949, "", ""),Injections!B:G,6,FALSE)), ARRAYFORMULA(VLOOKUP(SPLIT(F949, "", ""),Injections!H:M,6,FALSE)), ARRAYFORMULA(VLOOKUP("&amp;"SPLIT(G949, "", ""),Injections!N:S,6,FALSE)), ARRAYFORMULA(VLOOKUP(SPLIT(H949, "", ""),Injections!T:Y,6,FALSE)) },3))))"),"")</f>
        <v/>
      </c>
      <c r="S949" s="10"/>
      <c r="T949" s="1"/>
      <c r="V949" s="11"/>
      <c r="W949" s="12"/>
      <c r="X949" s="12"/>
      <c r="Y949" s="11"/>
      <c r="Z949" s="11"/>
      <c r="AA949" s="11"/>
    </row>
    <row r="950" spans="1:27" ht="13" x14ac:dyDescent="0.15">
      <c r="A950" s="7"/>
      <c r="G950" s="8"/>
      <c r="H950" s="8"/>
      <c r="I950" s="8"/>
      <c r="M950" s="8"/>
      <c r="R950" s="10" t="str">
        <f ca="1">IFERROR(__xludf.DUMMYFUNCTION("JOIN("","", SORT(UNIQUE(TOCOL({VLOOKUP(D950,DM_fish!A:B,2,FALSE),VLOOKUP(C950,DM_fish!A:B,2,FALSE), ARRAYFORMULA(VLOOKUP(SPLIT(E950, "", ""),Injections!B:G,6,FALSE)), ARRAYFORMULA(VLOOKUP(SPLIT(F950, "", ""),Injections!H:M,6,FALSE)), ARRAYFORMULA(VLOOKUP("&amp;"SPLIT(G950, "", ""),Injections!N:S,6,FALSE)), ARRAYFORMULA(VLOOKUP(SPLIT(H950, "", ""),Injections!T:Y,6,FALSE)) },3))))"),"")</f>
        <v/>
      </c>
      <c r="S950" s="10"/>
      <c r="T950" s="1"/>
      <c r="V950" s="11"/>
      <c r="W950" s="12"/>
      <c r="X950" s="12"/>
      <c r="Y950" s="11"/>
      <c r="Z950" s="11"/>
      <c r="AA950" s="11"/>
    </row>
    <row r="951" spans="1:27" ht="13" x14ac:dyDescent="0.15">
      <c r="A951" s="7"/>
      <c r="G951" s="8"/>
      <c r="H951" s="8"/>
      <c r="I951" s="8"/>
      <c r="M951" s="8"/>
      <c r="R951" s="10" t="str">
        <f ca="1">IFERROR(__xludf.DUMMYFUNCTION("JOIN("","", SORT(UNIQUE(TOCOL({VLOOKUP(D951,DM_fish!A:B,2,FALSE),VLOOKUP(C951,DM_fish!A:B,2,FALSE), ARRAYFORMULA(VLOOKUP(SPLIT(E951, "", ""),Injections!B:G,6,FALSE)), ARRAYFORMULA(VLOOKUP(SPLIT(F951, "", ""),Injections!H:M,6,FALSE)), ARRAYFORMULA(VLOOKUP("&amp;"SPLIT(G951, "", ""),Injections!N:S,6,FALSE)), ARRAYFORMULA(VLOOKUP(SPLIT(H951, "", ""),Injections!T:Y,6,FALSE)) },3))))"),"")</f>
        <v/>
      </c>
      <c r="S951" s="10"/>
      <c r="T951" s="1"/>
      <c r="V951" s="11"/>
      <c r="W951" s="12"/>
      <c r="X951" s="12"/>
      <c r="Y951" s="11"/>
      <c r="Z951" s="11"/>
      <c r="AA951" s="11"/>
    </row>
    <row r="952" spans="1:27" ht="13" x14ac:dyDescent="0.15">
      <c r="A952" s="7"/>
      <c r="G952" s="8"/>
      <c r="H952" s="8"/>
      <c r="I952" s="8"/>
      <c r="M952" s="8"/>
      <c r="R952" s="10" t="str">
        <f ca="1">IFERROR(__xludf.DUMMYFUNCTION("JOIN("","", SORT(UNIQUE(TOCOL({VLOOKUP(D952,DM_fish!A:B,2,FALSE),VLOOKUP(C952,DM_fish!A:B,2,FALSE), ARRAYFORMULA(VLOOKUP(SPLIT(E952, "", ""),Injections!B:G,6,FALSE)), ARRAYFORMULA(VLOOKUP(SPLIT(F952, "", ""),Injections!H:M,6,FALSE)), ARRAYFORMULA(VLOOKUP("&amp;"SPLIT(G952, "", ""),Injections!N:S,6,FALSE)), ARRAYFORMULA(VLOOKUP(SPLIT(H952, "", ""),Injections!T:Y,6,FALSE)) },3))))"),"")</f>
        <v/>
      </c>
      <c r="S952" s="10"/>
      <c r="T952" s="1"/>
      <c r="V952" s="11"/>
      <c r="W952" s="12"/>
      <c r="X952" s="12"/>
      <c r="Y952" s="11"/>
      <c r="Z952" s="11"/>
      <c r="AA952" s="11"/>
    </row>
    <row r="953" spans="1:27" ht="13" x14ac:dyDescent="0.15">
      <c r="A953" s="7"/>
      <c r="G953" s="8"/>
      <c r="H953" s="8"/>
      <c r="I953" s="8"/>
      <c r="M953" s="8"/>
      <c r="R953" s="10" t="str">
        <f ca="1">IFERROR(__xludf.DUMMYFUNCTION("JOIN("","", SORT(UNIQUE(TOCOL({VLOOKUP(D953,DM_fish!A:B,2,FALSE),VLOOKUP(C953,DM_fish!A:B,2,FALSE), ARRAYFORMULA(VLOOKUP(SPLIT(E953, "", ""),Injections!B:G,6,FALSE)), ARRAYFORMULA(VLOOKUP(SPLIT(F953, "", ""),Injections!H:M,6,FALSE)), ARRAYFORMULA(VLOOKUP("&amp;"SPLIT(G953, "", ""),Injections!N:S,6,FALSE)), ARRAYFORMULA(VLOOKUP(SPLIT(H953, "", ""),Injections!T:Y,6,FALSE)) },3))))"),"")</f>
        <v/>
      </c>
      <c r="S953" s="10"/>
      <c r="T953" s="1"/>
      <c r="V953" s="11"/>
      <c r="W953" s="12"/>
      <c r="X953" s="12"/>
      <c r="Y953" s="11"/>
      <c r="Z953" s="11"/>
      <c r="AA953" s="11"/>
    </row>
    <row r="954" spans="1:27" ht="13" x14ac:dyDescent="0.15">
      <c r="A954" s="7"/>
      <c r="G954" s="8"/>
      <c r="H954" s="8"/>
      <c r="I954" s="8"/>
      <c r="M954" s="8"/>
      <c r="R954" s="10" t="str">
        <f ca="1">IFERROR(__xludf.DUMMYFUNCTION("JOIN("","", SORT(UNIQUE(TOCOL({VLOOKUP(D954,DM_fish!A:B,2,FALSE),VLOOKUP(C954,DM_fish!A:B,2,FALSE), ARRAYFORMULA(VLOOKUP(SPLIT(E954, "", ""),Injections!B:G,6,FALSE)), ARRAYFORMULA(VLOOKUP(SPLIT(F954, "", ""),Injections!H:M,6,FALSE)), ARRAYFORMULA(VLOOKUP("&amp;"SPLIT(G954, "", ""),Injections!N:S,6,FALSE)), ARRAYFORMULA(VLOOKUP(SPLIT(H954, "", ""),Injections!T:Y,6,FALSE)) },3))))"),"")</f>
        <v/>
      </c>
      <c r="S954" s="10"/>
      <c r="T954" s="1"/>
      <c r="V954" s="11"/>
      <c r="W954" s="12"/>
      <c r="X954" s="12"/>
      <c r="Y954" s="11"/>
      <c r="Z954" s="11"/>
      <c r="AA954" s="11"/>
    </row>
    <row r="955" spans="1:27" ht="13" x14ac:dyDescent="0.15">
      <c r="A955" s="7"/>
      <c r="G955" s="8"/>
      <c r="H955" s="8"/>
      <c r="I955" s="8"/>
      <c r="M955" s="8"/>
      <c r="R955" s="10" t="str">
        <f ca="1">IFERROR(__xludf.DUMMYFUNCTION("JOIN("","", SORT(UNIQUE(TOCOL({VLOOKUP(D955,DM_fish!A:B,2,FALSE),VLOOKUP(C955,DM_fish!A:B,2,FALSE), ARRAYFORMULA(VLOOKUP(SPLIT(E955, "", ""),Injections!B:G,6,FALSE)), ARRAYFORMULA(VLOOKUP(SPLIT(F955, "", ""),Injections!H:M,6,FALSE)), ARRAYFORMULA(VLOOKUP("&amp;"SPLIT(G955, "", ""),Injections!N:S,6,FALSE)), ARRAYFORMULA(VLOOKUP(SPLIT(H955, "", ""),Injections!T:Y,6,FALSE)) },3))))"),"")</f>
        <v/>
      </c>
      <c r="S955" s="10"/>
      <c r="T955" s="1"/>
      <c r="V955" s="11"/>
      <c r="W955" s="12"/>
      <c r="X955" s="12"/>
      <c r="Y955" s="11"/>
      <c r="Z955" s="11"/>
      <c r="AA955" s="11"/>
    </row>
    <row r="956" spans="1:27" ht="13" x14ac:dyDescent="0.15">
      <c r="A956" s="7"/>
      <c r="G956" s="8"/>
      <c r="H956" s="8"/>
      <c r="I956" s="8"/>
      <c r="M956" s="8"/>
      <c r="R956" s="10" t="str">
        <f ca="1">IFERROR(__xludf.DUMMYFUNCTION("JOIN("","", SORT(UNIQUE(TOCOL({VLOOKUP(D956,DM_fish!A:B,2,FALSE),VLOOKUP(C956,DM_fish!A:B,2,FALSE), ARRAYFORMULA(VLOOKUP(SPLIT(E956, "", ""),Injections!B:G,6,FALSE)), ARRAYFORMULA(VLOOKUP(SPLIT(F956, "", ""),Injections!H:M,6,FALSE)), ARRAYFORMULA(VLOOKUP("&amp;"SPLIT(G956, "", ""),Injections!N:S,6,FALSE)), ARRAYFORMULA(VLOOKUP(SPLIT(H956, "", ""),Injections!T:Y,6,FALSE)) },3))))"),"")</f>
        <v/>
      </c>
      <c r="S956" s="10"/>
      <c r="T956" s="1"/>
      <c r="V956" s="11"/>
      <c r="W956" s="12"/>
      <c r="X956" s="12"/>
      <c r="Y956" s="11"/>
      <c r="Z956" s="11"/>
      <c r="AA956" s="11"/>
    </row>
    <row r="957" spans="1:27" ht="13" x14ac:dyDescent="0.15">
      <c r="A957" s="7"/>
      <c r="G957" s="8"/>
      <c r="H957" s="8"/>
      <c r="I957" s="8"/>
      <c r="M957" s="8"/>
      <c r="R957" s="10" t="str">
        <f ca="1">IFERROR(__xludf.DUMMYFUNCTION("JOIN("","", SORT(UNIQUE(TOCOL({VLOOKUP(D957,DM_fish!A:B,2,FALSE),VLOOKUP(C957,DM_fish!A:B,2,FALSE), ARRAYFORMULA(VLOOKUP(SPLIT(E957, "", ""),Injections!B:G,6,FALSE)), ARRAYFORMULA(VLOOKUP(SPLIT(F957, "", ""),Injections!H:M,6,FALSE)), ARRAYFORMULA(VLOOKUP("&amp;"SPLIT(G957, "", ""),Injections!N:S,6,FALSE)), ARRAYFORMULA(VLOOKUP(SPLIT(H957, "", ""),Injections!T:Y,6,FALSE)) },3))))"),"")</f>
        <v/>
      </c>
      <c r="S957" s="10"/>
      <c r="T957" s="1"/>
      <c r="V957" s="11"/>
      <c r="W957" s="12"/>
      <c r="X957" s="12"/>
      <c r="Y957" s="11"/>
      <c r="Z957" s="11"/>
      <c r="AA957" s="11"/>
    </row>
    <row r="958" spans="1:27" ht="13" x14ac:dyDescent="0.15">
      <c r="A958" s="7"/>
      <c r="G958" s="8"/>
      <c r="H958" s="8"/>
      <c r="I958" s="8"/>
      <c r="M958" s="8"/>
      <c r="R958" s="10" t="str">
        <f ca="1">IFERROR(__xludf.DUMMYFUNCTION("JOIN("","", SORT(UNIQUE(TOCOL({VLOOKUP(D958,DM_fish!A:B,2,FALSE),VLOOKUP(C958,DM_fish!A:B,2,FALSE), ARRAYFORMULA(VLOOKUP(SPLIT(E958, "", ""),Injections!B:G,6,FALSE)), ARRAYFORMULA(VLOOKUP(SPLIT(F958, "", ""),Injections!H:M,6,FALSE)), ARRAYFORMULA(VLOOKUP("&amp;"SPLIT(G958, "", ""),Injections!N:S,6,FALSE)), ARRAYFORMULA(VLOOKUP(SPLIT(H958, "", ""),Injections!T:Y,6,FALSE)) },3))))"),"")</f>
        <v/>
      </c>
      <c r="S958" s="10"/>
      <c r="T958" s="1"/>
      <c r="V958" s="11"/>
      <c r="W958" s="12"/>
      <c r="X958" s="12"/>
      <c r="Y958" s="11"/>
      <c r="Z958" s="11"/>
      <c r="AA958" s="11"/>
    </row>
    <row r="959" spans="1:27" ht="13" x14ac:dyDescent="0.15">
      <c r="A959" s="7"/>
      <c r="G959" s="8"/>
      <c r="H959" s="8"/>
      <c r="I959" s="8"/>
      <c r="M959" s="8"/>
      <c r="R959" s="10" t="str">
        <f ca="1">IFERROR(__xludf.DUMMYFUNCTION("JOIN("","", SORT(UNIQUE(TOCOL({VLOOKUP(D959,DM_fish!A:B,2,FALSE),VLOOKUP(C959,DM_fish!A:B,2,FALSE), ARRAYFORMULA(VLOOKUP(SPLIT(E959, "", ""),Injections!B:G,6,FALSE)), ARRAYFORMULA(VLOOKUP(SPLIT(F959, "", ""),Injections!H:M,6,FALSE)), ARRAYFORMULA(VLOOKUP("&amp;"SPLIT(G959, "", ""),Injections!N:S,6,FALSE)), ARRAYFORMULA(VLOOKUP(SPLIT(H959, "", ""),Injections!T:Y,6,FALSE)) },3))))"),"")</f>
        <v/>
      </c>
      <c r="S959" s="10"/>
      <c r="T959" s="1"/>
      <c r="V959" s="11"/>
      <c r="W959" s="12"/>
      <c r="X959" s="12"/>
      <c r="Y959" s="11"/>
      <c r="Z959" s="11"/>
      <c r="AA959" s="11"/>
    </row>
    <row r="960" spans="1:27" ht="13" x14ac:dyDescent="0.15">
      <c r="A960" s="7"/>
      <c r="G960" s="8"/>
      <c r="H960" s="8"/>
      <c r="I960" s="8"/>
      <c r="M960" s="8"/>
      <c r="R960" s="10" t="str">
        <f ca="1">IFERROR(__xludf.DUMMYFUNCTION("JOIN("","", SORT(UNIQUE(TOCOL({VLOOKUP(D960,DM_fish!A:B,2,FALSE),VLOOKUP(C960,DM_fish!A:B,2,FALSE), ARRAYFORMULA(VLOOKUP(SPLIT(E960, "", ""),Injections!B:G,6,FALSE)), ARRAYFORMULA(VLOOKUP(SPLIT(F960, "", ""),Injections!H:M,6,FALSE)), ARRAYFORMULA(VLOOKUP("&amp;"SPLIT(G960, "", ""),Injections!N:S,6,FALSE)), ARRAYFORMULA(VLOOKUP(SPLIT(H960, "", ""),Injections!T:Y,6,FALSE)) },3))))"),"")</f>
        <v/>
      </c>
      <c r="S960" s="10"/>
      <c r="T960" s="1"/>
      <c r="V960" s="11"/>
      <c r="W960" s="12"/>
      <c r="X960" s="12"/>
      <c r="Y960" s="11"/>
      <c r="Z960" s="11"/>
      <c r="AA960" s="11"/>
    </row>
    <row r="961" spans="1:27" ht="13" x14ac:dyDescent="0.15">
      <c r="A961" s="7"/>
      <c r="G961" s="8"/>
      <c r="H961" s="8"/>
      <c r="I961" s="8"/>
      <c r="M961" s="8"/>
      <c r="R961" s="10" t="str">
        <f ca="1">IFERROR(__xludf.DUMMYFUNCTION("JOIN("","", SORT(UNIQUE(TOCOL({VLOOKUP(D961,DM_fish!A:B,2,FALSE),VLOOKUP(C961,DM_fish!A:B,2,FALSE), ARRAYFORMULA(VLOOKUP(SPLIT(E961, "", ""),Injections!B:G,6,FALSE)), ARRAYFORMULA(VLOOKUP(SPLIT(F961, "", ""),Injections!H:M,6,FALSE)), ARRAYFORMULA(VLOOKUP("&amp;"SPLIT(G961, "", ""),Injections!N:S,6,FALSE)), ARRAYFORMULA(VLOOKUP(SPLIT(H961, "", ""),Injections!T:Y,6,FALSE)) },3))))"),"")</f>
        <v/>
      </c>
      <c r="S961" s="10"/>
      <c r="T961" s="1"/>
      <c r="V961" s="11"/>
      <c r="W961" s="12"/>
      <c r="X961" s="12"/>
      <c r="Y961" s="11"/>
      <c r="Z961" s="11"/>
      <c r="AA961" s="11"/>
    </row>
    <row r="962" spans="1:27" ht="13" x14ac:dyDescent="0.15">
      <c r="A962" s="7"/>
      <c r="G962" s="8"/>
      <c r="H962" s="8"/>
      <c r="I962" s="8"/>
      <c r="M962" s="8"/>
      <c r="R962" s="10" t="str">
        <f ca="1">IFERROR(__xludf.DUMMYFUNCTION("JOIN("","", SORT(UNIQUE(TOCOL({VLOOKUP(D962,DM_fish!A:B,2,FALSE),VLOOKUP(C962,DM_fish!A:B,2,FALSE), ARRAYFORMULA(VLOOKUP(SPLIT(E962, "", ""),Injections!B:G,6,FALSE)), ARRAYFORMULA(VLOOKUP(SPLIT(F962, "", ""),Injections!H:M,6,FALSE)), ARRAYFORMULA(VLOOKUP("&amp;"SPLIT(G962, "", ""),Injections!N:S,6,FALSE)), ARRAYFORMULA(VLOOKUP(SPLIT(H962, "", ""),Injections!T:Y,6,FALSE)) },3))))"),"")</f>
        <v/>
      </c>
      <c r="S962" s="10"/>
      <c r="T962" s="1"/>
      <c r="V962" s="11"/>
      <c r="W962" s="12"/>
      <c r="X962" s="12"/>
      <c r="Y962" s="11"/>
      <c r="Z962" s="11"/>
      <c r="AA962" s="11"/>
    </row>
    <row r="963" spans="1:27" ht="13" x14ac:dyDescent="0.15">
      <c r="A963" s="7"/>
      <c r="G963" s="8"/>
      <c r="H963" s="8"/>
      <c r="I963" s="8"/>
      <c r="M963" s="8"/>
      <c r="R963" s="10" t="str">
        <f ca="1">IFERROR(__xludf.DUMMYFUNCTION("JOIN("","", SORT(UNIQUE(TOCOL({VLOOKUP(D963,DM_fish!A:B,2,FALSE),VLOOKUP(C963,DM_fish!A:B,2,FALSE), ARRAYFORMULA(VLOOKUP(SPLIT(E963, "", ""),Injections!B:G,6,FALSE)), ARRAYFORMULA(VLOOKUP(SPLIT(F963, "", ""),Injections!H:M,6,FALSE)), ARRAYFORMULA(VLOOKUP("&amp;"SPLIT(G963, "", ""),Injections!N:S,6,FALSE)), ARRAYFORMULA(VLOOKUP(SPLIT(H963, "", ""),Injections!T:Y,6,FALSE)) },3))))"),"")</f>
        <v/>
      </c>
      <c r="S963" s="10"/>
      <c r="T963" s="1"/>
      <c r="V963" s="11"/>
      <c r="W963" s="12"/>
      <c r="X963" s="12"/>
      <c r="Y963" s="11"/>
      <c r="Z963" s="11"/>
      <c r="AA963" s="11"/>
    </row>
    <row r="964" spans="1:27" ht="13" x14ac:dyDescent="0.15">
      <c r="A964" s="7"/>
      <c r="G964" s="8"/>
      <c r="H964" s="8"/>
      <c r="I964" s="8"/>
      <c r="M964" s="8"/>
      <c r="R964" s="10" t="str">
        <f ca="1">IFERROR(__xludf.DUMMYFUNCTION("JOIN("","", SORT(UNIQUE(TOCOL({VLOOKUP(D964,DM_fish!A:B,2,FALSE),VLOOKUP(C964,DM_fish!A:B,2,FALSE), ARRAYFORMULA(VLOOKUP(SPLIT(E964, "", ""),Injections!B:G,6,FALSE)), ARRAYFORMULA(VLOOKUP(SPLIT(F964, "", ""),Injections!H:M,6,FALSE)), ARRAYFORMULA(VLOOKUP("&amp;"SPLIT(G964, "", ""),Injections!N:S,6,FALSE)), ARRAYFORMULA(VLOOKUP(SPLIT(H964, "", ""),Injections!T:Y,6,FALSE)) },3))))"),"")</f>
        <v/>
      </c>
      <c r="S964" s="10"/>
      <c r="T964" s="1"/>
      <c r="V964" s="11"/>
      <c r="W964" s="12"/>
      <c r="X964" s="12"/>
      <c r="Y964" s="11"/>
      <c r="Z964" s="11"/>
      <c r="AA964" s="11"/>
    </row>
    <row r="965" spans="1:27" ht="13" x14ac:dyDescent="0.15">
      <c r="A965" s="7"/>
      <c r="G965" s="8"/>
      <c r="H965" s="8"/>
      <c r="I965" s="8"/>
      <c r="M965" s="8"/>
      <c r="R965" s="10" t="str">
        <f ca="1">IFERROR(__xludf.DUMMYFUNCTION("JOIN("","", SORT(UNIQUE(TOCOL({VLOOKUP(D965,DM_fish!A:B,2,FALSE),VLOOKUP(C965,DM_fish!A:B,2,FALSE), ARRAYFORMULA(VLOOKUP(SPLIT(E965, "", ""),Injections!B:G,6,FALSE)), ARRAYFORMULA(VLOOKUP(SPLIT(F965, "", ""),Injections!H:M,6,FALSE)), ARRAYFORMULA(VLOOKUP("&amp;"SPLIT(G965, "", ""),Injections!N:S,6,FALSE)), ARRAYFORMULA(VLOOKUP(SPLIT(H965, "", ""),Injections!T:Y,6,FALSE)) },3))))"),"")</f>
        <v/>
      </c>
      <c r="S965" s="10"/>
      <c r="T965" s="1"/>
      <c r="V965" s="11"/>
      <c r="W965" s="12"/>
      <c r="X965" s="12"/>
      <c r="Y965" s="11"/>
      <c r="Z965" s="11"/>
      <c r="AA965" s="11"/>
    </row>
    <row r="966" spans="1:27" ht="13" x14ac:dyDescent="0.15">
      <c r="A966" s="7"/>
      <c r="G966" s="8"/>
      <c r="H966" s="8"/>
      <c r="I966" s="8"/>
      <c r="M966" s="8"/>
      <c r="R966" s="10" t="str">
        <f ca="1">IFERROR(__xludf.DUMMYFUNCTION("JOIN("","", SORT(UNIQUE(TOCOL({VLOOKUP(D966,DM_fish!A:B,2,FALSE),VLOOKUP(C966,DM_fish!A:B,2,FALSE), ARRAYFORMULA(VLOOKUP(SPLIT(E966, "", ""),Injections!B:G,6,FALSE)), ARRAYFORMULA(VLOOKUP(SPLIT(F966, "", ""),Injections!H:M,6,FALSE)), ARRAYFORMULA(VLOOKUP("&amp;"SPLIT(G966, "", ""),Injections!N:S,6,FALSE)), ARRAYFORMULA(VLOOKUP(SPLIT(H966, "", ""),Injections!T:Y,6,FALSE)) },3))))"),"")</f>
        <v/>
      </c>
      <c r="S966" s="10"/>
      <c r="T966" s="1"/>
      <c r="V966" s="11"/>
      <c r="W966" s="12"/>
      <c r="X966" s="12"/>
      <c r="Y966" s="11"/>
      <c r="Z966" s="11"/>
      <c r="AA966" s="11"/>
    </row>
    <row r="967" spans="1:27" ht="13" x14ac:dyDescent="0.15">
      <c r="A967" s="7"/>
      <c r="G967" s="8"/>
      <c r="H967" s="8"/>
      <c r="I967" s="8"/>
      <c r="M967" s="8"/>
      <c r="R967" s="10" t="str">
        <f ca="1">IFERROR(__xludf.DUMMYFUNCTION("JOIN("","", SORT(UNIQUE(TOCOL({VLOOKUP(D967,DM_fish!A:B,2,FALSE),VLOOKUP(C967,DM_fish!A:B,2,FALSE), ARRAYFORMULA(VLOOKUP(SPLIT(E967, "", ""),Injections!B:G,6,FALSE)), ARRAYFORMULA(VLOOKUP(SPLIT(F967, "", ""),Injections!H:M,6,FALSE)), ARRAYFORMULA(VLOOKUP("&amp;"SPLIT(G967, "", ""),Injections!N:S,6,FALSE)), ARRAYFORMULA(VLOOKUP(SPLIT(H967, "", ""),Injections!T:Y,6,FALSE)) },3))))"),"")</f>
        <v/>
      </c>
      <c r="S967" s="10"/>
      <c r="T967" s="1"/>
      <c r="V967" s="11"/>
      <c r="W967" s="12"/>
      <c r="X967" s="12"/>
      <c r="Y967" s="11"/>
      <c r="Z967" s="11"/>
      <c r="AA967" s="11"/>
    </row>
    <row r="968" spans="1:27" ht="13" x14ac:dyDescent="0.15">
      <c r="A968" s="7"/>
      <c r="G968" s="8"/>
      <c r="H968" s="8"/>
      <c r="I968" s="8"/>
      <c r="M968" s="8"/>
      <c r="R968" s="10" t="str">
        <f ca="1">IFERROR(__xludf.DUMMYFUNCTION("JOIN("","", SORT(UNIQUE(TOCOL({VLOOKUP(D968,DM_fish!A:B,2,FALSE),VLOOKUP(C968,DM_fish!A:B,2,FALSE), ARRAYFORMULA(VLOOKUP(SPLIT(E968, "", ""),Injections!B:G,6,FALSE)), ARRAYFORMULA(VLOOKUP(SPLIT(F968, "", ""),Injections!H:M,6,FALSE)), ARRAYFORMULA(VLOOKUP("&amp;"SPLIT(G968, "", ""),Injections!N:S,6,FALSE)), ARRAYFORMULA(VLOOKUP(SPLIT(H968, "", ""),Injections!T:Y,6,FALSE)) },3))))"),"")</f>
        <v/>
      </c>
      <c r="S968" s="10"/>
      <c r="T968" s="1"/>
      <c r="V968" s="11"/>
      <c r="W968" s="12"/>
      <c r="X968" s="12"/>
      <c r="Y968" s="11"/>
      <c r="Z968" s="11"/>
      <c r="AA968" s="11"/>
    </row>
    <row r="969" spans="1:27" ht="13" x14ac:dyDescent="0.15">
      <c r="A969" s="7"/>
      <c r="G969" s="8"/>
      <c r="H969" s="8"/>
      <c r="I969" s="8"/>
      <c r="M969" s="8"/>
      <c r="R969" s="10" t="str">
        <f ca="1">IFERROR(__xludf.DUMMYFUNCTION("JOIN("","", SORT(UNIQUE(TOCOL({VLOOKUP(D969,DM_fish!A:B,2,FALSE),VLOOKUP(C969,DM_fish!A:B,2,FALSE), ARRAYFORMULA(VLOOKUP(SPLIT(E969, "", ""),Injections!B:G,6,FALSE)), ARRAYFORMULA(VLOOKUP(SPLIT(F969, "", ""),Injections!H:M,6,FALSE)), ARRAYFORMULA(VLOOKUP("&amp;"SPLIT(G969, "", ""),Injections!N:S,6,FALSE)), ARRAYFORMULA(VLOOKUP(SPLIT(H969, "", ""),Injections!T:Y,6,FALSE)) },3))))"),"")</f>
        <v/>
      </c>
      <c r="S969" s="10"/>
      <c r="T969" s="1"/>
      <c r="V969" s="11"/>
      <c r="W969" s="12"/>
      <c r="X969" s="12"/>
      <c r="Y969" s="11"/>
      <c r="Z969" s="11"/>
      <c r="AA969" s="11"/>
    </row>
    <row r="970" spans="1:27" ht="13" x14ac:dyDescent="0.15">
      <c r="A970" s="7"/>
      <c r="G970" s="8"/>
      <c r="H970" s="8"/>
      <c r="I970" s="8"/>
      <c r="M970" s="8"/>
      <c r="R970" s="10" t="str">
        <f ca="1">IFERROR(__xludf.DUMMYFUNCTION("JOIN("","", SORT(UNIQUE(TOCOL({VLOOKUP(D970,DM_fish!A:B,2,FALSE),VLOOKUP(C970,DM_fish!A:B,2,FALSE), ARRAYFORMULA(VLOOKUP(SPLIT(E970, "", ""),Injections!B:G,6,FALSE)), ARRAYFORMULA(VLOOKUP(SPLIT(F970, "", ""),Injections!H:M,6,FALSE)), ARRAYFORMULA(VLOOKUP("&amp;"SPLIT(G970, "", ""),Injections!N:S,6,FALSE)), ARRAYFORMULA(VLOOKUP(SPLIT(H970, "", ""),Injections!T:Y,6,FALSE)) },3))))"),"")</f>
        <v/>
      </c>
      <c r="S970" s="10"/>
      <c r="T970" s="1"/>
      <c r="V970" s="11"/>
      <c r="W970" s="12"/>
      <c r="X970" s="12"/>
      <c r="Y970" s="11"/>
      <c r="Z970" s="11"/>
      <c r="AA970" s="11"/>
    </row>
    <row r="971" spans="1:27" ht="13" x14ac:dyDescent="0.15">
      <c r="A971" s="7"/>
      <c r="G971" s="8"/>
      <c r="H971" s="8"/>
      <c r="I971" s="8"/>
      <c r="M971" s="8"/>
      <c r="R971" s="10" t="str">
        <f ca="1">IFERROR(__xludf.DUMMYFUNCTION("JOIN("","", SORT(UNIQUE(TOCOL({VLOOKUP(D971,DM_fish!A:B,2,FALSE),VLOOKUP(C971,DM_fish!A:B,2,FALSE), ARRAYFORMULA(VLOOKUP(SPLIT(E971, "", ""),Injections!B:G,6,FALSE)), ARRAYFORMULA(VLOOKUP(SPLIT(F971, "", ""),Injections!H:M,6,FALSE)), ARRAYFORMULA(VLOOKUP("&amp;"SPLIT(G971, "", ""),Injections!N:S,6,FALSE)), ARRAYFORMULA(VLOOKUP(SPLIT(H971, "", ""),Injections!T:Y,6,FALSE)) },3))))"),"")</f>
        <v/>
      </c>
      <c r="S971" s="10"/>
      <c r="T971" s="1"/>
      <c r="V971" s="11"/>
      <c r="W971" s="12"/>
      <c r="X971" s="12"/>
      <c r="Y971" s="11"/>
      <c r="Z971" s="11"/>
      <c r="AA971" s="11"/>
    </row>
    <row r="972" spans="1:27" ht="13" x14ac:dyDescent="0.15">
      <c r="A972" s="7"/>
      <c r="G972" s="8"/>
      <c r="H972" s="8"/>
      <c r="I972" s="8"/>
      <c r="M972" s="8"/>
      <c r="R972" s="10" t="str">
        <f ca="1">IFERROR(__xludf.DUMMYFUNCTION("JOIN("","", SORT(UNIQUE(TOCOL({VLOOKUP(D972,DM_fish!A:B,2,FALSE),VLOOKUP(C972,DM_fish!A:B,2,FALSE), ARRAYFORMULA(VLOOKUP(SPLIT(E972, "", ""),Injections!B:G,6,FALSE)), ARRAYFORMULA(VLOOKUP(SPLIT(F972, "", ""),Injections!H:M,6,FALSE)), ARRAYFORMULA(VLOOKUP("&amp;"SPLIT(G972, "", ""),Injections!N:S,6,FALSE)), ARRAYFORMULA(VLOOKUP(SPLIT(H972, "", ""),Injections!T:Y,6,FALSE)) },3))))"),"")</f>
        <v/>
      </c>
      <c r="S972" s="10"/>
      <c r="T972" s="1"/>
      <c r="V972" s="11"/>
      <c r="W972" s="12"/>
      <c r="X972" s="12"/>
      <c r="Y972" s="11"/>
      <c r="Z972" s="11"/>
      <c r="AA972" s="11"/>
    </row>
    <row r="973" spans="1:27" ht="13" x14ac:dyDescent="0.15">
      <c r="A973" s="7"/>
      <c r="G973" s="8"/>
      <c r="H973" s="8"/>
      <c r="I973" s="8"/>
      <c r="M973" s="8"/>
      <c r="R973" s="10" t="str">
        <f ca="1">IFERROR(__xludf.DUMMYFUNCTION("JOIN("","", SORT(UNIQUE(TOCOL({VLOOKUP(D973,DM_fish!A:B,2,FALSE),VLOOKUP(C973,DM_fish!A:B,2,FALSE), ARRAYFORMULA(VLOOKUP(SPLIT(E973, "", ""),Injections!B:G,6,FALSE)), ARRAYFORMULA(VLOOKUP(SPLIT(F973, "", ""),Injections!H:M,6,FALSE)), ARRAYFORMULA(VLOOKUP("&amp;"SPLIT(G973, "", ""),Injections!N:S,6,FALSE)), ARRAYFORMULA(VLOOKUP(SPLIT(H973, "", ""),Injections!T:Y,6,FALSE)) },3))))"),"")</f>
        <v/>
      </c>
      <c r="S973" s="10"/>
      <c r="T973" s="1"/>
      <c r="V973" s="11"/>
      <c r="W973" s="12"/>
      <c r="X973" s="12"/>
      <c r="Y973" s="11"/>
      <c r="Z973" s="11"/>
      <c r="AA973" s="11"/>
    </row>
    <row r="974" spans="1:27" ht="13" x14ac:dyDescent="0.15">
      <c r="A974" s="7"/>
      <c r="G974" s="8"/>
      <c r="H974" s="8"/>
      <c r="I974" s="8"/>
      <c r="M974" s="8"/>
      <c r="R974" s="10" t="str">
        <f ca="1">IFERROR(__xludf.DUMMYFUNCTION("JOIN("","", SORT(UNIQUE(TOCOL({VLOOKUP(D974,DM_fish!A:B,2,FALSE),VLOOKUP(C974,DM_fish!A:B,2,FALSE), ARRAYFORMULA(VLOOKUP(SPLIT(E974, "", ""),Injections!B:G,6,FALSE)), ARRAYFORMULA(VLOOKUP(SPLIT(F974, "", ""),Injections!H:M,6,FALSE)), ARRAYFORMULA(VLOOKUP("&amp;"SPLIT(G974, "", ""),Injections!N:S,6,FALSE)), ARRAYFORMULA(VLOOKUP(SPLIT(H974, "", ""),Injections!T:Y,6,FALSE)) },3))))"),"")</f>
        <v/>
      </c>
      <c r="S974" s="10"/>
      <c r="T974" s="1"/>
      <c r="V974" s="11"/>
      <c r="W974" s="12"/>
      <c r="X974" s="12"/>
      <c r="Y974" s="11"/>
      <c r="Z974" s="11"/>
      <c r="AA974" s="11"/>
    </row>
    <row r="975" spans="1:27" ht="13" x14ac:dyDescent="0.15">
      <c r="A975" s="7"/>
      <c r="G975" s="8"/>
      <c r="H975" s="8"/>
      <c r="I975" s="8"/>
      <c r="M975" s="8"/>
      <c r="R975" s="10" t="str">
        <f ca="1">IFERROR(__xludf.DUMMYFUNCTION("JOIN("","", SORT(UNIQUE(TOCOL({VLOOKUP(D975,DM_fish!A:B,2,FALSE),VLOOKUP(C975,DM_fish!A:B,2,FALSE), ARRAYFORMULA(VLOOKUP(SPLIT(E975, "", ""),Injections!B:G,6,FALSE)), ARRAYFORMULA(VLOOKUP(SPLIT(F975, "", ""),Injections!H:M,6,FALSE)), ARRAYFORMULA(VLOOKUP("&amp;"SPLIT(G975, "", ""),Injections!N:S,6,FALSE)), ARRAYFORMULA(VLOOKUP(SPLIT(H975, "", ""),Injections!T:Y,6,FALSE)) },3))))"),"")</f>
        <v/>
      </c>
      <c r="S975" s="10"/>
      <c r="T975" s="1"/>
      <c r="V975" s="11"/>
      <c r="W975" s="12"/>
      <c r="X975" s="12"/>
      <c r="Y975" s="11"/>
      <c r="Z975" s="11"/>
      <c r="AA975" s="11"/>
    </row>
    <row r="976" spans="1:27" ht="13" x14ac:dyDescent="0.15">
      <c r="A976" s="7"/>
      <c r="G976" s="8"/>
      <c r="H976" s="8"/>
      <c r="I976" s="8"/>
      <c r="M976" s="8"/>
      <c r="R976" s="10" t="str">
        <f ca="1">IFERROR(__xludf.DUMMYFUNCTION("JOIN("","", SORT(UNIQUE(TOCOL({VLOOKUP(D976,DM_fish!A:B,2,FALSE),VLOOKUP(C976,DM_fish!A:B,2,FALSE), ARRAYFORMULA(VLOOKUP(SPLIT(E976, "", ""),Injections!B:G,6,FALSE)), ARRAYFORMULA(VLOOKUP(SPLIT(F976, "", ""),Injections!H:M,6,FALSE)), ARRAYFORMULA(VLOOKUP("&amp;"SPLIT(G976, "", ""),Injections!N:S,6,FALSE)), ARRAYFORMULA(VLOOKUP(SPLIT(H976, "", ""),Injections!T:Y,6,FALSE)) },3))))"),"")</f>
        <v/>
      </c>
      <c r="S976" s="10"/>
      <c r="T976" s="1"/>
      <c r="V976" s="11"/>
      <c r="W976" s="12"/>
      <c r="X976" s="12"/>
      <c r="Y976" s="11"/>
      <c r="Z976" s="11"/>
      <c r="AA976" s="11"/>
    </row>
    <row r="977" spans="1:27" ht="13" x14ac:dyDescent="0.15">
      <c r="A977" s="7"/>
      <c r="G977" s="8"/>
      <c r="H977" s="8"/>
      <c r="I977" s="8"/>
      <c r="M977" s="8"/>
      <c r="R977" s="10" t="str">
        <f ca="1">IFERROR(__xludf.DUMMYFUNCTION("JOIN("","", SORT(UNIQUE(TOCOL({VLOOKUP(D977,DM_fish!A:B,2,FALSE),VLOOKUP(C977,DM_fish!A:B,2,FALSE), ARRAYFORMULA(VLOOKUP(SPLIT(E977, "", ""),Injections!B:G,6,FALSE)), ARRAYFORMULA(VLOOKUP(SPLIT(F977, "", ""),Injections!H:M,6,FALSE)), ARRAYFORMULA(VLOOKUP("&amp;"SPLIT(G977, "", ""),Injections!N:S,6,FALSE)), ARRAYFORMULA(VLOOKUP(SPLIT(H977, "", ""),Injections!T:Y,6,FALSE)) },3))))"),"")</f>
        <v/>
      </c>
      <c r="S977" s="10"/>
      <c r="T977" s="1"/>
      <c r="V977" s="11"/>
      <c r="W977" s="12"/>
      <c r="X977" s="12"/>
      <c r="Y977" s="11"/>
      <c r="Z977" s="11"/>
      <c r="AA977" s="11"/>
    </row>
    <row r="978" spans="1:27" ht="13" x14ac:dyDescent="0.15">
      <c r="A978" s="7"/>
      <c r="G978" s="8"/>
      <c r="H978" s="8"/>
      <c r="I978" s="8"/>
      <c r="M978" s="8"/>
      <c r="R978" s="10" t="str">
        <f ca="1">IFERROR(__xludf.DUMMYFUNCTION("JOIN("","", SORT(UNIQUE(TOCOL({VLOOKUP(D978,DM_fish!A:B,2,FALSE),VLOOKUP(C978,DM_fish!A:B,2,FALSE), ARRAYFORMULA(VLOOKUP(SPLIT(E978, "", ""),Injections!B:G,6,FALSE)), ARRAYFORMULA(VLOOKUP(SPLIT(F978, "", ""),Injections!H:M,6,FALSE)), ARRAYFORMULA(VLOOKUP("&amp;"SPLIT(G978, "", ""),Injections!N:S,6,FALSE)), ARRAYFORMULA(VLOOKUP(SPLIT(H978, "", ""),Injections!T:Y,6,FALSE)) },3))))"),"")</f>
        <v/>
      </c>
      <c r="S978" s="10"/>
      <c r="T978" s="1"/>
      <c r="V978" s="11"/>
      <c r="W978" s="12"/>
      <c r="X978" s="12"/>
      <c r="Y978" s="11"/>
      <c r="Z978" s="11"/>
      <c r="AA978" s="11"/>
    </row>
    <row r="979" spans="1:27" ht="13" x14ac:dyDescent="0.15">
      <c r="A979" s="7"/>
      <c r="G979" s="8"/>
      <c r="H979" s="8"/>
      <c r="I979" s="8"/>
      <c r="M979" s="8"/>
      <c r="R979" s="10" t="str">
        <f ca="1">IFERROR(__xludf.DUMMYFUNCTION("JOIN("","", SORT(UNIQUE(TOCOL({VLOOKUP(D979,DM_fish!A:B,2,FALSE),VLOOKUP(C979,DM_fish!A:B,2,FALSE), ARRAYFORMULA(VLOOKUP(SPLIT(E979, "", ""),Injections!B:G,6,FALSE)), ARRAYFORMULA(VLOOKUP(SPLIT(F979, "", ""),Injections!H:M,6,FALSE)), ARRAYFORMULA(VLOOKUP("&amp;"SPLIT(G979, "", ""),Injections!N:S,6,FALSE)), ARRAYFORMULA(VLOOKUP(SPLIT(H979, "", ""),Injections!T:Y,6,FALSE)) },3))))"),"")</f>
        <v/>
      </c>
      <c r="S979" s="10"/>
      <c r="T979" s="1"/>
      <c r="V979" s="11"/>
      <c r="W979" s="12"/>
      <c r="X979" s="12"/>
      <c r="Y979" s="11"/>
      <c r="Z979" s="11"/>
      <c r="AA979" s="11"/>
    </row>
    <row r="980" spans="1:27" ht="13" x14ac:dyDescent="0.15">
      <c r="A980" s="7"/>
      <c r="G980" s="8"/>
      <c r="H980" s="8"/>
      <c r="I980" s="8"/>
      <c r="M980" s="8"/>
      <c r="R980" s="10" t="str">
        <f ca="1">IFERROR(__xludf.DUMMYFUNCTION("JOIN("","", SORT(UNIQUE(TOCOL({VLOOKUP(D980,DM_fish!A:B,2,FALSE),VLOOKUP(C980,DM_fish!A:B,2,FALSE), ARRAYFORMULA(VLOOKUP(SPLIT(E980, "", ""),Injections!B:G,6,FALSE)), ARRAYFORMULA(VLOOKUP(SPLIT(F980, "", ""),Injections!H:M,6,FALSE)), ARRAYFORMULA(VLOOKUP("&amp;"SPLIT(G980, "", ""),Injections!N:S,6,FALSE)), ARRAYFORMULA(VLOOKUP(SPLIT(H980, "", ""),Injections!T:Y,6,FALSE)) },3))))"),"")</f>
        <v/>
      </c>
      <c r="S980" s="10"/>
      <c r="T980" s="1"/>
      <c r="V980" s="11"/>
      <c r="W980" s="12"/>
      <c r="X980" s="12"/>
      <c r="Y980" s="11"/>
      <c r="Z980" s="11"/>
      <c r="AA980" s="11"/>
    </row>
    <row r="981" spans="1:27" ht="13" x14ac:dyDescent="0.15">
      <c r="A981" s="7"/>
      <c r="G981" s="8"/>
      <c r="H981" s="8"/>
      <c r="I981" s="8"/>
      <c r="M981" s="8"/>
      <c r="R981" s="10" t="str">
        <f ca="1">IFERROR(__xludf.DUMMYFUNCTION("JOIN("","", SORT(UNIQUE(TOCOL({VLOOKUP(D981,DM_fish!A:B,2,FALSE),VLOOKUP(C981,DM_fish!A:B,2,FALSE), ARRAYFORMULA(VLOOKUP(SPLIT(E981, "", ""),Injections!B:G,6,FALSE)), ARRAYFORMULA(VLOOKUP(SPLIT(F981, "", ""),Injections!H:M,6,FALSE)), ARRAYFORMULA(VLOOKUP("&amp;"SPLIT(G981, "", ""),Injections!N:S,6,FALSE)), ARRAYFORMULA(VLOOKUP(SPLIT(H981, "", ""),Injections!T:Y,6,FALSE)) },3))))"),"")</f>
        <v/>
      </c>
      <c r="S981" s="10"/>
      <c r="T981" s="1"/>
      <c r="V981" s="11"/>
      <c r="W981" s="12"/>
      <c r="X981" s="12"/>
      <c r="Y981" s="11"/>
      <c r="Z981" s="11"/>
      <c r="AA981" s="11"/>
    </row>
    <row r="982" spans="1:27" ht="13" x14ac:dyDescent="0.15">
      <c r="A982" s="7"/>
      <c r="G982" s="8"/>
      <c r="H982" s="8"/>
      <c r="I982" s="8"/>
      <c r="M982" s="8"/>
      <c r="R982" s="10" t="str">
        <f ca="1">IFERROR(__xludf.DUMMYFUNCTION("JOIN("","", SORT(UNIQUE(TOCOL({VLOOKUP(D982,DM_fish!A:B,2,FALSE),VLOOKUP(C982,DM_fish!A:B,2,FALSE), ARRAYFORMULA(VLOOKUP(SPLIT(E982, "", ""),Injections!B:G,6,FALSE)), ARRAYFORMULA(VLOOKUP(SPLIT(F982, "", ""),Injections!H:M,6,FALSE)), ARRAYFORMULA(VLOOKUP("&amp;"SPLIT(G982, "", ""),Injections!N:S,6,FALSE)), ARRAYFORMULA(VLOOKUP(SPLIT(H982, "", ""),Injections!T:Y,6,FALSE)) },3))))"),"")</f>
        <v/>
      </c>
      <c r="S982" s="10"/>
      <c r="T982" s="1"/>
      <c r="V982" s="11"/>
      <c r="W982" s="12"/>
      <c r="X982" s="12"/>
      <c r="Y982" s="11"/>
      <c r="Z982" s="11"/>
      <c r="AA982" s="11"/>
    </row>
    <row r="983" spans="1:27" ht="13" x14ac:dyDescent="0.15">
      <c r="A983" s="7"/>
      <c r="G983" s="8"/>
      <c r="H983" s="8"/>
      <c r="I983" s="8"/>
      <c r="M983" s="8"/>
      <c r="R983" s="10" t="str">
        <f ca="1">IFERROR(__xludf.DUMMYFUNCTION("JOIN("","", SORT(UNIQUE(TOCOL({VLOOKUP(D983,DM_fish!A:B,2,FALSE),VLOOKUP(C983,DM_fish!A:B,2,FALSE), ARRAYFORMULA(VLOOKUP(SPLIT(E983, "", ""),Injections!B:G,6,FALSE)), ARRAYFORMULA(VLOOKUP(SPLIT(F983, "", ""),Injections!H:M,6,FALSE)), ARRAYFORMULA(VLOOKUP("&amp;"SPLIT(G983, "", ""),Injections!N:S,6,FALSE)), ARRAYFORMULA(VLOOKUP(SPLIT(H983, "", ""),Injections!T:Y,6,FALSE)) },3))))"),"")</f>
        <v/>
      </c>
      <c r="S983" s="10"/>
      <c r="T983" s="1"/>
      <c r="V983" s="11"/>
      <c r="W983" s="12"/>
      <c r="X983" s="12"/>
      <c r="Y983" s="11"/>
      <c r="Z983" s="11"/>
      <c r="AA983" s="11"/>
    </row>
    <row r="984" spans="1:27" ht="13" x14ac:dyDescent="0.15">
      <c r="A984" s="7"/>
      <c r="G984" s="8"/>
      <c r="H984" s="8"/>
      <c r="I984" s="8"/>
      <c r="M984" s="8"/>
      <c r="R984" s="10" t="str">
        <f ca="1">IFERROR(__xludf.DUMMYFUNCTION("JOIN("","", SORT(UNIQUE(TOCOL({VLOOKUP(D984,DM_fish!A:B,2,FALSE),VLOOKUP(C984,DM_fish!A:B,2,FALSE), ARRAYFORMULA(VLOOKUP(SPLIT(E984, "", ""),Injections!B:G,6,FALSE)), ARRAYFORMULA(VLOOKUP(SPLIT(F984, "", ""),Injections!H:M,6,FALSE)), ARRAYFORMULA(VLOOKUP("&amp;"SPLIT(G984, "", ""),Injections!N:S,6,FALSE)), ARRAYFORMULA(VLOOKUP(SPLIT(H984, "", ""),Injections!T:Y,6,FALSE)) },3))))"),"")</f>
        <v/>
      </c>
      <c r="S984" s="10"/>
      <c r="T984" s="1"/>
      <c r="V984" s="11"/>
      <c r="W984" s="12"/>
      <c r="X984" s="12"/>
      <c r="Y984" s="11"/>
      <c r="Z984" s="11"/>
      <c r="AA984" s="11"/>
    </row>
    <row r="985" spans="1:27" ht="13" x14ac:dyDescent="0.15">
      <c r="A985" s="7"/>
      <c r="G985" s="8"/>
      <c r="H985" s="8"/>
      <c r="I985" s="8"/>
      <c r="M985" s="8"/>
      <c r="R985" s="10" t="str">
        <f ca="1">IFERROR(__xludf.DUMMYFUNCTION("JOIN("","", SORT(UNIQUE(TOCOL({VLOOKUP(D985,DM_fish!A:B,2,FALSE),VLOOKUP(C985,DM_fish!A:B,2,FALSE), ARRAYFORMULA(VLOOKUP(SPLIT(E985, "", ""),Injections!B:G,6,FALSE)), ARRAYFORMULA(VLOOKUP(SPLIT(F985, "", ""),Injections!H:M,6,FALSE)), ARRAYFORMULA(VLOOKUP("&amp;"SPLIT(G985, "", ""),Injections!N:S,6,FALSE)), ARRAYFORMULA(VLOOKUP(SPLIT(H985, "", ""),Injections!T:Y,6,FALSE)) },3))))"),"")</f>
        <v/>
      </c>
      <c r="S985" s="10"/>
      <c r="T985" s="1"/>
      <c r="V985" s="11"/>
      <c r="W985" s="12"/>
      <c r="X985" s="12"/>
      <c r="Y985" s="11"/>
      <c r="Z985" s="11"/>
      <c r="AA985" s="11"/>
    </row>
    <row r="986" spans="1:27" ht="13" x14ac:dyDescent="0.15">
      <c r="A986" s="7"/>
      <c r="G986" s="8"/>
      <c r="H986" s="8"/>
      <c r="I986" s="8"/>
      <c r="M986" s="8"/>
      <c r="R986" s="10" t="str">
        <f ca="1">IFERROR(__xludf.DUMMYFUNCTION("JOIN("","", SORT(UNIQUE(TOCOL({VLOOKUP(D986,DM_fish!A:B,2,FALSE),VLOOKUP(C986,DM_fish!A:B,2,FALSE), ARRAYFORMULA(VLOOKUP(SPLIT(E986, "", ""),Injections!B:G,6,FALSE)), ARRAYFORMULA(VLOOKUP(SPLIT(F986, "", ""),Injections!H:M,6,FALSE)), ARRAYFORMULA(VLOOKUP("&amp;"SPLIT(G986, "", ""),Injections!N:S,6,FALSE)), ARRAYFORMULA(VLOOKUP(SPLIT(H986, "", ""),Injections!T:Y,6,FALSE)) },3))))"),"")</f>
        <v/>
      </c>
      <c r="S986" s="10"/>
      <c r="T986" s="1"/>
      <c r="V986" s="11"/>
      <c r="W986" s="12"/>
      <c r="X986" s="12"/>
      <c r="Y986" s="11"/>
      <c r="Z986" s="11"/>
      <c r="AA986" s="11"/>
    </row>
    <row r="987" spans="1:27" ht="13" x14ac:dyDescent="0.15">
      <c r="A987" s="7"/>
      <c r="G987" s="8"/>
      <c r="H987" s="8"/>
      <c r="I987" s="8"/>
      <c r="M987" s="8"/>
      <c r="R987" s="10" t="str">
        <f ca="1">IFERROR(__xludf.DUMMYFUNCTION("JOIN("","", SORT(UNIQUE(TOCOL({VLOOKUP(D987,DM_fish!A:B,2,FALSE),VLOOKUP(C987,DM_fish!A:B,2,FALSE), ARRAYFORMULA(VLOOKUP(SPLIT(E987, "", ""),Injections!B:G,6,FALSE)), ARRAYFORMULA(VLOOKUP(SPLIT(F987, "", ""),Injections!H:M,6,FALSE)), ARRAYFORMULA(VLOOKUP("&amp;"SPLIT(G987, "", ""),Injections!N:S,6,FALSE)), ARRAYFORMULA(VLOOKUP(SPLIT(H987, "", ""),Injections!T:Y,6,FALSE)) },3))))"),"")</f>
        <v/>
      </c>
      <c r="S987" s="10"/>
      <c r="T987" s="1"/>
      <c r="V987" s="11"/>
      <c r="W987" s="12"/>
      <c r="X987" s="12"/>
      <c r="Y987" s="11"/>
      <c r="Z987" s="11"/>
      <c r="AA987" s="11"/>
    </row>
    <row r="988" spans="1:27" ht="13" x14ac:dyDescent="0.15">
      <c r="A988" s="7"/>
      <c r="G988" s="8"/>
      <c r="H988" s="8"/>
      <c r="I988" s="8"/>
      <c r="M988" s="8"/>
      <c r="R988" s="10" t="str">
        <f ca="1">IFERROR(__xludf.DUMMYFUNCTION("JOIN("","", SORT(UNIQUE(TOCOL({VLOOKUP(D988,DM_fish!A:B,2,FALSE),VLOOKUP(C988,DM_fish!A:B,2,FALSE), ARRAYFORMULA(VLOOKUP(SPLIT(E988, "", ""),Injections!B:G,6,FALSE)), ARRAYFORMULA(VLOOKUP(SPLIT(F988, "", ""),Injections!H:M,6,FALSE)), ARRAYFORMULA(VLOOKUP("&amp;"SPLIT(G988, "", ""),Injections!N:S,6,FALSE)), ARRAYFORMULA(VLOOKUP(SPLIT(H988, "", ""),Injections!T:Y,6,FALSE)) },3))))"),"")</f>
        <v/>
      </c>
      <c r="S988" s="10"/>
      <c r="T988" s="1"/>
      <c r="V988" s="11"/>
      <c r="W988" s="12"/>
      <c r="X988" s="12"/>
      <c r="Y988" s="11"/>
      <c r="Z988" s="11"/>
      <c r="AA988" s="11"/>
    </row>
    <row r="989" spans="1:27" ht="13" x14ac:dyDescent="0.15">
      <c r="A989" s="7"/>
      <c r="G989" s="8"/>
      <c r="H989" s="8"/>
      <c r="I989" s="8"/>
      <c r="M989" s="8"/>
      <c r="R989" s="10" t="str">
        <f ca="1">IFERROR(__xludf.DUMMYFUNCTION("JOIN("","", SORT(UNIQUE(TOCOL({VLOOKUP(D989,DM_fish!A:B,2,FALSE),VLOOKUP(C989,DM_fish!A:B,2,FALSE), ARRAYFORMULA(VLOOKUP(SPLIT(E989, "", ""),Injections!B:G,6,FALSE)), ARRAYFORMULA(VLOOKUP(SPLIT(F989, "", ""),Injections!H:M,6,FALSE)), ARRAYFORMULA(VLOOKUP("&amp;"SPLIT(G989, "", ""),Injections!N:S,6,FALSE)), ARRAYFORMULA(VLOOKUP(SPLIT(H989, "", ""),Injections!T:Y,6,FALSE)) },3))))"),"")</f>
        <v/>
      </c>
      <c r="S989" s="10"/>
      <c r="T989" s="1"/>
      <c r="V989" s="11"/>
      <c r="W989" s="12"/>
      <c r="X989" s="12"/>
      <c r="Y989" s="11"/>
      <c r="Z989" s="11"/>
      <c r="AA989" s="11"/>
    </row>
    <row r="990" spans="1:27" ht="13" x14ac:dyDescent="0.15">
      <c r="A990" s="7"/>
      <c r="G990" s="8"/>
      <c r="H990" s="8"/>
      <c r="I990" s="8"/>
      <c r="M990" s="8"/>
      <c r="R990" s="10" t="str">
        <f ca="1">IFERROR(__xludf.DUMMYFUNCTION("JOIN("","", SORT(UNIQUE(TOCOL({VLOOKUP(D990,DM_fish!A:B,2,FALSE),VLOOKUP(C990,DM_fish!A:B,2,FALSE), ARRAYFORMULA(VLOOKUP(SPLIT(E990, "", ""),Injections!B:G,6,FALSE)), ARRAYFORMULA(VLOOKUP(SPLIT(F990, "", ""),Injections!H:M,6,FALSE)), ARRAYFORMULA(VLOOKUP("&amp;"SPLIT(G990, "", ""),Injections!N:S,6,FALSE)), ARRAYFORMULA(VLOOKUP(SPLIT(H990, "", ""),Injections!T:Y,6,FALSE)) },3))))"),"")</f>
        <v/>
      </c>
      <c r="S990" s="10"/>
      <c r="T990" s="1"/>
      <c r="V990" s="11"/>
      <c r="W990" s="12"/>
      <c r="X990" s="12"/>
      <c r="Y990" s="11"/>
      <c r="Z990" s="11"/>
      <c r="AA990" s="11"/>
    </row>
    <row r="991" spans="1:27" ht="13" x14ac:dyDescent="0.15">
      <c r="A991" s="7"/>
      <c r="G991" s="8"/>
      <c r="H991" s="8"/>
      <c r="I991" s="8"/>
      <c r="M991" s="8"/>
      <c r="R991" s="10" t="str">
        <f ca="1">IFERROR(__xludf.DUMMYFUNCTION("JOIN("","", SORT(UNIQUE(TOCOL({VLOOKUP(D991,DM_fish!A:B,2,FALSE),VLOOKUP(C991,DM_fish!A:B,2,FALSE), ARRAYFORMULA(VLOOKUP(SPLIT(E991, "", ""),Injections!B:G,6,FALSE)), ARRAYFORMULA(VLOOKUP(SPLIT(F991, "", ""),Injections!H:M,6,FALSE)), ARRAYFORMULA(VLOOKUP("&amp;"SPLIT(G991, "", ""),Injections!N:S,6,FALSE)), ARRAYFORMULA(VLOOKUP(SPLIT(H991, "", ""),Injections!T:Y,6,FALSE)) },3))))"),"")</f>
        <v/>
      </c>
      <c r="S991" s="10"/>
      <c r="T991" s="1"/>
      <c r="V991" s="11"/>
      <c r="W991" s="12"/>
      <c r="X991" s="12"/>
      <c r="Y991" s="11"/>
      <c r="Z991" s="11"/>
      <c r="AA991" s="11"/>
    </row>
    <row r="992" spans="1:27" ht="13" x14ac:dyDescent="0.15">
      <c r="A992" s="7"/>
      <c r="G992" s="8"/>
      <c r="H992" s="8"/>
      <c r="I992" s="8"/>
      <c r="M992" s="8"/>
      <c r="R992" s="10" t="str">
        <f ca="1">IFERROR(__xludf.DUMMYFUNCTION("JOIN("","", SORT(UNIQUE(TOCOL({VLOOKUP(D992,DM_fish!A:B,2,FALSE),VLOOKUP(C992,DM_fish!A:B,2,FALSE), ARRAYFORMULA(VLOOKUP(SPLIT(E992, "", ""),Injections!B:G,6,FALSE)), ARRAYFORMULA(VLOOKUP(SPLIT(F992, "", ""),Injections!H:M,6,FALSE)), ARRAYFORMULA(VLOOKUP("&amp;"SPLIT(G992, "", ""),Injections!N:S,6,FALSE)), ARRAYFORMULA(VLOOKUP(SPLIT(H992, "", ""),Injections!T:Y,6,FALSE)) },3))))"),"")</f>
        <v/>
      </c>
      <c r="S992" s="10"/>
      <c r="T992" s="1"/>
      <c r="V992" s="11"/>
      <c r="W992" s="12"/>
      <c r="X992" s="12"/>
      <c r="Y992" s="11"/>
      <c r="Z992" s="11"/>
      <c r="AA992" s="11"/>
    </row>
    <row r="993" spans="1:27" ht="13" x14ac:dyDescent="0.15">
      <c r="A993" s="7"/>
      <c r="G993" s="8"/>
      <c r="H993" s="8"/>
      <c r="I993" s="8"/>
      <c r="M993" s="8"/>
      <c r="R993" s="10" t="str">
        <f ca="1">IFERROR(__xludf.DUMMYFUNCTION("JOIN("","", SORT(UNIQUE(TOCOL({VLOOKUP(D993,DM_fish!A:B,2,FALSE),VLOOKUP(C993,DM_fish!A:B,2,FALSE), ARRAYFORMULA(VLOOKUP(SPLIT(E993, "", ""),Injections!B:G,6,FALSE)), ARRAYFORMULA(VLOOKUP(SPLIT(F993, "", ""),Injections!H:M,6,FALSE)), ARRAYFORMULA(VLOOKUP("&amp;"SPLIT(G993, "", ""),Injections!N:S,6,FALSE)), ARRAYFORMULA(VLOOKUP(SPLIT(H993, "", ""),Injections!T:Y,6,FALSE)) },3))))"),"")</f>
        <v/>
      </c>
      <c r="S993" s="10"/>
      <c r="T993" s="1"/>
      <c r="V993" s="11"/>
      <c r="W993" s="12"/>
      <c r="X993" s="12"/>
      <c r="Y993" s="11"/>
      <c r="Z993" s="11"/>
      <c r="AA993" s="11"/>
    </row>
    <row r="994" spans="1:27" ht="13" x14ac:dyDescent="0.15">
      <c r="A994" s="7"/>
      <c r="G994" s="8"/>
      <c r="H994" s="8"/>
      <c r="I994" s="8"/>
      <c r="M994" s="8"/>
      <c r="R994" s="10" t="str">
        <f ca="1">IFERROR(__xludf.DUMMYFUNCTION("JOIN("","", SORT(UNIQUE(TOCOL({VLOOKUP(D994,DM_fish!A:B,2,FALSE),VLOOKUP(C994,DM_fish!A:B,2,FALSE), ARRAYFORMULA(VLOOKUP(SPLIT(E994, "", ""),Injections!B:G,6,FALSE)), ARRAYFORMULA(VLOOKUP(SPLIT(F994, "", ""),Injections!H:M,6,FALSE)), ARRAYFORMULA(VLOOKUP("&amp;"SPLIT(G994, "", ""),Injections!N:S,6,FALSE)), ARRAYFORMULA(VLOOKUP(SPLIT(H994, "", ""),Injections!T:Y,6,FALSE)) },3))))"),"")</f>
        <v/>
      </c>
      <c r="S994" s="10"/>
      <c r="T994" s="1"/>
      <c r="V994" s="11"/>
      <c r="W994" s="12"/>
      <c r="X994" s="12"/>
      <c r="Y994" s="11"/>
      <c r="Z994" s="11"/>
      <c r="AA994" s="11"/>
    </row>
    <row r="995" spans="1:27" ht="13" x14ac:dyDescent="0.15">
      <c r="A995" s="7"/>
      <c r="G995" s="8"/>
      <c r="H995" s="8"/>
      <c r="I995" s="8"/>
      <c r="M995" s="8"/>
      <c r="R995" s="10" t="str">
        <f ca="1">IFERROR(__xludf.DUMMYFUNCTION("JOIN("","", SORT(UNIQUE(TOCOL({VLOOKUP(D995,DM_fish!A:B,2,FALSE),VLOOKUP(C995,DM_fish!A:B,2,FALSE), ARRAYFORMULA(VLOOKUP(SPLIT(E995, "", ""),Injections!B:G,6,FALSE)), ARRAYFORMULA(VLOOKUP(SPLIT(F995, "", ""),Injections!H:M,6,FALSE)), ARRAYFORMULA(VLOOKUP("&amp;"SPLIT(G995, "", ""),Injections!N:S,6,FALSE)), ARRAYFORMULA(VLOOKUP(SPLIT(H995, "", ""),Injections!T:Y,6,FALSE)) },3))))"),"")</f>
        <v/>
      </c>
      <c r="S995" s="10"/>
      <c r="T995" s="1"/>
      <c r="V995" s="11"/>
      <c r="W995" s="12"/>
      <c r="X995" s="12"/>
      <c r="Y995" s="11"/>
      <c r="Z995" s="11"/>
      <c r="AA995" s="11"/>
    </row>
    <row r="996" spans="1:27" ht="13" x14ac:dyDescent="0.15">
      <c r="A996" s="7"/>
      <c r="G996" s="8"/>
      <c r="H996" s="8"/>
      <c r="I996" s="8"/>
      <c r="M996" s="8"/>
      <c r="R996" s="10" t="str">
        <f ca="1">IFERROR(__xludf.DUMMYFUNCTION("JOIN("","", SORT(UNIQUE(TOCOL({VLOOKUP(D996,DM_fish!A:B,2,FALSE),VLOOKUP(C996,DM_fish!A:B,2,FALSE), ARRAYFORMULA(VLOOKUP(SPLIT(E996, "", ""),Injections!B:G,6,FALSE)), ARRAYFORMULA(VLOOKUP(SPLIT(F996, "", ""),Injections!H:M,6,FALSE)), ARRAYFORMULA(VLOOKUP("&amp;"SPLIT(G996, "", ""),Injections!N:S,6,FALSE)), ARRAYFORMULA(VLOOKUP(SPLIT(H996, "", ""),Injections!T:Y,6,FALSE)) },3))))"),"")</f>
        <v/>
      </c>
      <c r="S996" s="10"/>
      <c r="T996" s="1"/>
      <c r="V996" s="11"/>
      <c r="W996" s="12"/>
      <c r="X996" s="12"/>
      <c r="Y996" s="11"/>
      <c r="Z996" s="11"/>
      <c r="AA996" s="11"/>
    </row>
    <row r="997" spans="1:27" ht="13" x14ac:dyDescent="0.15">
      <c r="A997" s="7"/>
      <c r="G997" s="8"/>
      <c r="H997" s="8"/>
      <c r="I997" s="8"/>
      <c r="M997" s="8"/>
      <c r="R997" s="10" t="str">
        <f ca="1">IFERROR(__xludf.DUMMYFUNCTION("JOIN("","", SORT(UNIQUE(TOCOL({VLOOKUP(D997,DM_fish!A:B,2,FALSE),VLOOKUP(C997,DM_fish!A:B,2,FALSE), ARRAYFORMULA(VLOOKUP(SPLIT(E997, "", ""),Injections!B:G,6,FALSE)), ARRAYFORMULA(VLOOKUP(SPLIT(F997, "", ""),Injections!H:M,6,FALSE)), ARRAYFORMULA(VLOOKUP("&amp;"SPLIT(G997, "", ""),Injections!N:S,6,FALSE)), ARRAYFORMULA(VLOOKUP(SPLIT(H997, "", ""),Injections!T:Y,6,FALSE)) },3))))"),"")</f>
        <v/>
      </c>
      <c r="S997" s="10"/>
      <c r="T997" s="1"/>
      <c r="V997" s="11"/>
      <c r="W997" s="12"/>
      <c r="X997" s="12"/>
      <c r="Y997" s="11"/>
      <c r="Z997" s="11"/>
      <c r="AA997" s="11"/>
    </row>
    <row r="998" spans="1:27" ht="13" x14ac:dyDescent="0.15">
      <c r="A998" s="7"/>
      <c r="G998" s="8"/>
      <c r="H998" s="8"/>
      <c r="I998" s="8"/>
      <c r="M998" s="8"/>
      <c r="R998" s="10" t="str">
        <f ca="1">IFERROR(__xludf.DUMMYFUNCTION("JOIN("","", SORT(UNIQUE(TOCOL({VLOOKUP(D998,DM_fish!A:B,2,FALSE),VLOOKUP(C998,DM_fish!A:B,2,FALSE), ARRAYFORMULA(VLOOKUP(SPLIT(E998, "", ""),Injections!B:G,6,FALSE)), ARRAYFORMULA(VLOOKUP(SPLIT(F998, "", ""),Injections!H:M,6,FALSE)), ARRAYFORMULA(VLOOKUP("&amp;"SPLIT(G998, "", ""),Injections!N:S,6,FALSE)), ARRAYFORMULA(VLOOKUP(SPLIT(H998, "", ""),Injections!T:Y,6,FALSE)) },3))))"),"")</f>
        <v/>
      </c>
      <c r="S998" s="10"/>
      <c r="T998" s="1"/>
      <c r="V998" s="11"/>
      <c r="W998" s="12"/>
      <c r="X998" s="12"/>
      <c r="Y998" s="11"/>
      <c r="Z998" s="11"/>
      <c r="AA998" s="11"/>
    </row>
    <row r="999" spans="1:27" ht="13" x14ac:dyDescent="0.15">
      <c r="A999" s="7"/>
      <c r="G999" s="8"/>
      <c r="H999" s="8"/>
      <c r="I999" s="8"/>
      <c r="M999" s="8"/>
      <c r="R999" s="10" t="str">
        <f ca="1">IFERROR(__xludf.DUMMYFUNCTION("JOIN("","", SORT(UNIQUE(TOCOL({VLOOKUP(D999,DM_fish!A:B,2,FALSE),VLOOKUP(C999,DM_fish!A:B,2,FALSE), ARRAYFORMULA(VLOOKUP(SPLIT(E999, "", ""),Injections!B:G,6,FALSE)), ARRAYFORMULA(VLOOKUP(SPLIT(F999, "", ""),Injections!H:M,6,FALSE)), ARRAYFORMULA(VLOOKUP("&amp;"SPLIT(G999, "", ""),Injections!N:S,6,FALSE)), ARRAYFORMULA(VLOOKUP(SPLIT(H999, "", ""),Injections!T:Y,6,FALSE)) },3))))"),"")</f>
        <v/>
      </c>
      <c r="S999" s="10"/>
      <c r="T999" s="1"/>
      <c r="V999" s="11"/>
      <c r="W999" s="12"/>
      <c r="X999" s="12"/>
      <c r="Y999" s="11"/>
      <c r="Z999" s="11"/>
      <c r="AA999" s="11"/>
    </row>
    <row r="1000" spans="1:27" ht="13" x14ac:dyDescent="0.15">
      <c r="A1000" s="7"/>
      <c r="G1000" s="8"/>
      <c r="H1000" s="8"/>
      <c r="I1000" s="8"/>
      <c r="M1000" s="8"/>
      <c r="R1000" s="10" t="str">
        <f ca="1">IFERROR(__xludf.DUMMYFUNCTION("JOIN("","", SORT(UNIQUE(TOCOL({VLOOKUP(D1000,DM_fish!A:B,2,FALSE),VLOOKUP(C1000,DM_fish!A:B,2,FALSE), ARRAYFORMULA(VLOOKUP(SPLIT(E1000, "", ""),Injections!B:G,6,FALSE)), ARRAYFORMULA(VLOOKUP(SPLIT(F1000, "", ""),Injections!H:M,6,FALSE)), ARRAYFORMULA(VLOO"&amp;"KUP(SPLIT(G1000, "", ""),Injections!N:S,6,FALSE)), ARRAYFORMULA(VLOOKUP(SPLIT(H1000, "", ""),Injections!T:Y,6,FALSE)) },3))))"),"")</f>
        <v/>
      </c>
      <c r="S1000" s="10"/>
      <c r="T1000" s="1"/>
      <c r="V1000" s="11"/>
      <c r="W1000" s="12"/>
      <c r="X1000" s="12"/>
      <c r="Y1000" s="11"/>
      <c r="Z1000" s="11"/>
      <c r="AA1000" s="11"/>
    </row>
    <row r="1001" spans="1:27" ht="13" x14ac:dyDescent="0.15">
      <c r="A1001" s="7"/>
      <c r="G1001" s="8"/>
      <c r="H1001" s="8"/>
      <c r="I1001" s="8"/>
      <c r="M1001" s="8"/>
      <c r="R1001" s="10" t="str">
        <f ca="1">IFERROR(__xludf.DUMMYFUNCTION("JOIN("","", SORT(UNIQUE(TOCOL({VLOOKUP(D1001,DM_fish!A:B,2,FALSE),VLOOKUP(C1001,DM_fish!A:B,2,FALSE), ARRAYFORMULA(VLOOKUP(SPLIT(E1001, "", ""),Injections!B:G,6,FALSE)), ARRAYFORMULA(VLOOKUP(SPLIT(F1001, "", ""),Injections!H:M,6,FALSE)), ARRAYFORMULA(VLOO"&amp;"KUP(SPLIT(G1001, "", ""),Injections!N:S,6,FALSE)), ARRAYFORMULA(VLOOKUP(SPLIT(H1001, "", ""),Injections!T:Y,6,FALSE)) },3))))"),"")</f>
        <v/>
      </c>
      <c r="S1001" s="10"/>
      <c r="T1001" s="1"/>
      <c r="V1001" s="11"/>
      <c r="W1001" s="12"/>
      <c r="X1001" s="12"/>
      <c r="Y1001" s="11"/>
      <c r="Z1001" s="11"/>
      <c r="AA1001" s="11"/>
    </row>
    <row r="1002" spans="1:27" ht="13" x14ac:dyDescent="0.15">
      <c r="A1002" s="7"/>
      <c r="G1002" s="8"/>
      <c r="H1002" s="8"/>
      <c r="I1002" s="8"/>
      <c r="M1002" s="8"/>
      <c r="R1002" s="10" t="str">
        <f ca="1">IFERROR(__xludf.DUMMYFUNCTION("JOIN("","", SORT(UNIQUE(TOCOL({VLOOKUP(D1002,DM_fish!A:B,2,FALSE),VLOOKUP(C1002,DM_fish!A:B,2,FALSE), ARRAYFORMULA(VLOOKUP(SPLIT(E1002, "", ""),Injections!B:G,6,FALSE)), ARRAYFORMULA(VLOOKUP(SPLIT(F1002, "", ""),Injections!H:M,6,FALSE)), ARRAYFORMULA(VLOO"&amp;"KUP(SPLIT(G1002, "", ""),Injections!N:S,6,FALSE)), ARRAYFORMULA(VLOOKUP(SPLIT(H1002, "", ""),Injections!T:Y,6,FALSE)) },3))))"),"")</f>
        <v/>
      </c>
      <c r="S1002" s="10"/>
      <c r="T1002" s="1"/>
      <c r="V1002" s="11"/>
      <c r="W1002" s="12"/>
      <c r="X1002" s="12"/>
      <c r="Y1002" s="11"/>
      <c r="Z1002" s="11"/>
      <c r="AA1002" s="11"/>
    </row>
    <row r="1003" spans="1:27" ht="13" x14ac:dyDescent="0.15">
      <c r="A1003" s="7"/>
      <c r="G1003" s="8"/>
      <c r="H1003" s="8"/>
      <c r="I1003" s="8"/>
      <c r="M1003" s="8"/>
      <c r="R1003" s="10" t="str">
        <f ca="1">IFERROR(__xludf.DUMMYFUNCTION("JOIN("","", SORT(UNIQUE(TOCOL({VLOOKUP(D1003,DM_fish!A:B,2,FALSE),VLOOKUP(C1003,DM_fish!A:B,2,FALSE), ARRAYFORMULA(VLOOKUP(SPLIT(E1003, "", ""),Injections!B:G,6,FALSE)), ARRAYFORMULA(VLOOKUP(SPLIT(F1003, "", ""),Injections!H:M,6,FALSE)), ARRAYFORMULA(VLOO"&amp;"KUP(SPLIT(G1003, "", ""),Injections!N:S,6,FALSE)), ARRAYFORMULA(VLOOKUP(SPLIT(H1003, "", ""),Injections!T:Y,6,FALSE)) },3))))"),"")</f>
        <v/>
      </c>
      <c r="S1003" s="10"/>
      <c r="T1003" s="1"/>
      <c r="V1003" s="11"/>
      <c r="W1003" s="12"/>
      <c r="X1003" s="12"/>
      <c r="Y1003" s="11"/>
      <c r="Z1003" s="11"/>
      <c r="AA1003" s="11"/>
    </row>
    <row r="1004" spans="1:27" ht="13" x14ac:dyDescent="0.15">
      <c r="A1004" s="7"/>
      <c r="G1004" s="8"/>
      <c r="H1004" s="8"/>
      <c r="I1004" s="8"/>
      <c r="M1004" s="8"/>
      <c r="R1004" s="10" t="str">
        <f ca="1">IFERROR(__xludf.DUMMYFUNCTION("JOIN("","", SORT(UNIQUE(TOCOL({VLOOKUP(D1004,DM_fish!A:B,2,FALSE),VLOOKUP(C1004,DM_fish!A:B,2,FALSE), ARRAYFORMULA(VLOOKUP(SPLIT(E1004, "", ""),Injections!B:G,6,FALSE)), ARRAYFORMULA(VLOOKUP(SPLIT(F1004, "", ""),Injections!H:M,6,FALSE)), ARRAYFORMULA(VLOO"&amp;"KUP(SPLIT(G1004, "", ""),Injections!N:S,6,FALSE)), ARRAYFORMULA(VLOOKUP(SPLIT(H1004, "", ""),Injections!T:Y,6,FALSE)) },3))))"),"")</f>
        <v/>
      </c>
      <c r="S1004" s="10"/>
      <c r="T1004" s="1"/>
      <c r="V1004" s="11"/>
      <c r="W1004" s="12"/>
      <c r="X1004" s="12"/>
      <c r="Y1004" s="11"/>
      <c r="Z1004" s="11"/>
      <c r="AA1004" s="11"/>
    </row>
    <row r="1005" spans="1:27" ht="13" x14ac:dyDescent="0.15">
      <c r="A1005" s="7"/>
      <c r="G1005" s="8"/>
      <c r="H1005" s="8"/>
      <c r="I1005" s="8"/>
      <c r="M1005" s="8"/>
      <c r="R1005" s="10" t="str">
        <f ca="1">IFERROR(__xludf.DUMMYFUNCTION("JOIN("","", SORT(UNIQUE(TOCOL({VLOOKUP(D1005,DM_fish!A:B,2,FALSE),VLOOKUP(C1005,DM_fish!A:B,2,FALSE), ARRAYFORMULA(VLOOKUP(SPLIT(E1005, "", ""),Injections!B:G,6,FALSE)), ARRAYFORMULA(VLOOKUP(SPLIT(F1005, "", ""),Injections!H:M,6,FALSE)), ARRAYFORMULA(VLOO"&amp;"KUP(SPLIT(G1005, "", ""),Injections!N:S,6,FALSE)), ARRAYFORMULA(VLOOKUP(SPLIT(H1005, "", ""),Injections!T:Y,6,FALSE)) },3))))"),"")</f>
        <v/>
      </c>
      <c r="S1005" s="10"/>
      <c r="T1005" s="1"/>
      <c r="V1005" s="11"/>
      <c r="W1005" s="12"/>
      <c r="X1005" s="12"/>
      <c r="Y1005" s="11"/>
      <c r="Z1005" s="11"/>
      <c r="AA1005" s="11"/>
    </row>
    <row r="1006" spans="1:27" ht="13" x14ac:dyDescent="0.15">
      <c r="A1006" s="7"/>
      <c r="G1006" s="8"/>
      <c r="H1006" s="8"/>
      <c r="I1006" s="8"/>
      <c r="M1006" s="8"/>
      <c r="R1006" s="10" t="str">
        <f ca="1">IFERROR(__xludf.DUMMYFUNCTION("JOIN("","", SORT(UNIQUE(TOCOL({VLOOKUP(D1006,DM_fish!A:B,2,FALSE),VLOOKUP(C1006,DM_fish!A:B,2,FALSE), ARRAYFORMULA(VLOOKUP(SPLIT(E1006, "", ""),Injections!B:G,6,FALSE)), ARRAYFORMULA(VLOOKUP(SPLIT(F1006, "", ""),Injections!H:M,6,FALSE)), ARRAYFORMULA(VLOO"&amp;"KUP(SPLIT(G1006, "", ""),Injections!N:S,6,FALSE)), ARRAYFORMULA(VLOOKUP(SPLIT(H1006, "", ""),Injections!T:Y,6,FALSE)) },3))))"),"")</f>
        <v/>
      </c>
      <c r="S1006" s="10"/>
      <c r="T1006" s="1"/>
      <c r="V1006" s="11"/>
      <c r="W1006" s="12"/>
      <c r="X1006" s="12"/>
      <c r="Y1006" s="11"/>
      <c r="Z1006" s="11"/>
      <c r="AA1006" s="11"/>
    </row>
    <row r="1007" spans="1:27" ht="13" x14ac:dyDescent="0.15">
      <c r="A1007" s="7"/>
      <c r="G1007" s="8"/>
      <c r="H1007" s="8"/>
      <c r="I1007" s="8"/>
      <c r="M1007" s="8"/>
      <c r="R1007" s="10" t="str">
        <f ca="1">IFERROR(__xludf.DUMMYFUNCTION("JOIN("","", SORT(UNIQUE(TOCOL({VLOOKUP(D1007,DM_fish!A:B,2,FALSE),VLOOKUP(C1007,DM_fish!A:B,2,FALSE), ARRAYFORMULA(VLOOKUP(SPLIT(E1007, "", ""),Injections!B:G,6,FALSE)), ARRAYFORMULA(VLOOKUP(SPLIT(F1007, "", ""),Injections!H:M,6,FALSE)), ARRAYFORMULA(VLOO"&amp;"KUP(SPLIT(G1007, "", ""),Injections!N:S,6,FALSE)), ARRAYFORMULA(VLOOKUP(SPLIT(H1007, "", ""),Injections!T:Y,6,FALSE)) },3))))"),"")</f>
        <v/>
      </c>
      <c r="S1007" s="10"/>
      <c r="T1007" s="1"/>
      <c r="V1007" s="11"/>
      <c r="W1007" s="12"/>
      <c r="X1007" s="12"/>
      <c r="Y1007" s="11"/>
      <c r="Z1007" s="11"/>
      <c r="AA1007" s="11"/>
    </row>
    <row r="1008" spans="1:27" ht="13" x14ac:dyDescent="0.15">
      <c r="A1008" s="7"/>
      <c r="G1008" s="8"/>
      <c r="H1008" s="8"/>
      <c r="I1008" s="8"/>
      <c r="M1008" s="8"/>
      <c r="R1008" s="10" t="str">
        <f ca="1">IFERROR(__xludf.DUMMYFUNCTION("JOIN("","", SORT(UNIQUE(TOCOL({VLOOKUP(D1008,DM_fish!A:B,2,FALSE),VLOOKUP(C1008,DM_fish!A:B,2,FALSE), ARRAYFORMULA(VLOOKUP(SPLIT(E1008, "", ""),Injections!B:G,6,FALSE)), ARRAYFORMULA(VLOOKUP(SPLIT(F1008, "", ""),Injections!H:M,6,FALSE)), ARRAYFORMULA(VLOO"&amp;"KUP(SPLIT(G1008, "", ""),Injections!N:S,6,FALSE)), ARRAYFORMULA(VLOOKUP(SPLIT(H1008, "", ""),Injections!T:Y,6,FALSE)) },3))))"),"")</f>
        <v/>
      </c>
      <c r="S1008" s="10"/>
      <c r="T1008" s="1"/>
      <c r="V1008" s="11"/>
      <c r="W1008" s="12"/>
      <c r="X1008" s="12"/>
      <c r="Y1008" s="11"/>
      <c r="Z1008" s="11"/>
      <c r="AA1008" s="11"/>
    </row>
    <row r="1009" spans="1:27" ht="13" x14ac:dyDescent="0.15">
      <c r="A1009" s="7"/>
      <c r="G1009" s="8"/>
      <c r="H1009" s="8"/>
      <c r="I1009" s="8"/>
      <c r="M1009" s="8"/>
      <c r="R1009" s="10" t="str">
        <f ca="1">IFERROR(__xludf.DUMMYFUNCTION("JOIN("","", SORT(UNIQUE(TOCOL({VLOOKUP(D1009,DM_fish!A:B,2,FALSE),VLOOKUP(C1009,DM_fish!A:B,2,FALSE), ARRAYFORMULA(VLOOKUP(SPLIT(E1009, "", ""),Injections!B:G,6,FALSE)), ARRAYFORMULA(VLOOKUP(SPLIT(F1009, "", ""),Injections!H:M,6,FALSE)), ARRAYFORMULA(VLOO"&amp;"KUP(SPLIT(G1009, "", ""),Injections!N:S,6,FALSE)), ARRAYFORMULA(VLOOKUP(SPLIT(H1009, "", ""),Injections!T:Y,6,FALSE)) },3))))"),"")</f>
        <v/>
      </c>
      <c r="S1009" s="10"/>
      <c r="T1009" s="1"/>
      <c r="V1009" s="11"/>
      <c r="W1009" s="12"/>
      <c r="X1009" s="12"/>
      <c r="Y1009" s="11"/>
      <c r="Z1009" s="11"/>
      <c r="AA1009" s="11"/>
    </row>
    <row r="1010" spans="1:27" ht="13" x14ac:dyDescent="0.15">
      <c r="A1010" s="7"/>
      <c r="G1010" s="8"/>
      <c r="H1010" s="8"/>
      <c r="I1010" s="8"/>
      <c r="M1010" s="8"/>
      <c r="R1010" s="10" t="str">
        <f ca="1">IFERROR(__xludf.DUMMYFUNCTION("JOIN("","", SORT(UNIQUE(TOCOL({VLOOKUP(D1010,DM_fish!A:B,2,FALSE),VLOOKUP(C1010,DM_fish!A:B,2,FALSE), ARRAYFORMULA(VLOOKUP(SPLIT(E1010, "", ""),Injections!B:G,6,FALSE)), ARRAYFORMULA(VLOOKUP(SPLIT(F1010, "", ""),Injections!H:M,6,FALSE)), ARRAYFORMULA(VLOO"&amp;"KUP(SPLIT(G1010, "", ""),Injections!N:S,6,FALSE)), ARRAYFORMULA(VLOOKUP(SPLIT(H1010, "", ""),Injections!T:Y,6,FALSE)) },3))))"),"")</f>
        <v/>
      </c>
      <c r="S1010" s="10"/>
      <c r="T1010" s="1"/>
      <c r="V1010" s="11"/>
      <c r="W1010" s="12"/>
      <c r="X1010" s="12"/>
      <c r="Y1010" s="11"/>
      <c r="Z1010" s="11"/>
      <c r="AA1010" s="11"/>
    </row>
    <row r="1011" spans="1:27" ht="13" x14ac:dyDescent="0.15">
      <c r="A1011" s="7"/>
      <c r="G1011" s="8"/>
      <c r="H1011" s="8"/>
      <c r="I1011" s="8"/>
      <c r="M1011" s="8"/>
      <c r="R1011" s="10" t="str">
        <f ca="1">IFERROR(__xludf.DUMMYFUNCTION("JOIN("","", SORT(UNIQUE(TOCOL({VLOOKUP(D1011,DM_fish!A:B,2,FALSE),VLOOKUP(C1011,DM_fish!A:B,2,FALSE), ARRAYFORMULA(VLOOKUP(SPLIT(E1011, "", ""),Injections!B:G,6,FALSE)), ARRAYFORMULA(VLOOKUP(SPLIT(F1011, "", ""),Injections!H:M,6,FALSE)), ARRAYFORMULA(VLOO"&amp;"KUP(SPLIT(G1011, "", ""),Injections!N:S,6,FALSE)), ARRAYFORMULA(VLOOKUP(SPLIT(H1011, "", ""),Injections!T:Y,6,FALSE)) },3))))"),"")</f>
        <v/>
      </c>
      <c r="S1011" s="10"/>
      <c r="T1011" s="1"/>
      <c r="V1011" s="11"/>
      <c r="W1011" s="12"/>
      <c r="X1011" s="12"/>
      <c r="Y1011" s="11"/>
      <c r="Z1011" s="11"/>
      <c r="AA1011" s="11"/>
    </row>
    <row r="1012" spans="1:27" ht="13" x14ac:dyDescent="0.15">
      <c r="A1012" s="7"/>
      <c r="G1012" s="8"/>
      <c r="H1012" s="8"/>
      <c r="I1012" s="8"/>
      <c r="M1012" s="8"/>
      <c r="R1012" s="10" t="str">
        <f ca="1">IFERROR(__xludf.DUMMYFUNCTION("JOIN("","", SORT(UNIQUE(TOCOL({VLOOKUP(D1012,DM_fish!A:B,2,FALSE),VLOOKUP(C1012,DM_fish!A:B,2,FALSE), ARRAYFORMULA(VLOOKUP(SPLIT(E1012, "", ""),Injections!B:G,6,FALSE)), ARRAYFORMULA(VLOOKUP(SPLIT(F1012, "", ""),Injections!H:M,6,FALSE)), ARRAYFORMULA(VLOO"&amp;"KUP(SPLIT(G1012, "", ""),Injections!N:S,6,FALSE)), ARRAYFORMULA(VLOOKUP(SPLIT(H1012, "", ""),Injections!T:Y,6,FALSE)) },3))))"),"")</f>
        <v/>
      </c>
      <c r="S1012" s="10"/>
      <c r="T1012" s="1"/>
      <c r="V1012" s="11"/>
      <c r="W1012" s="12"/>
      <c r="X1012" s="12"/>
      <c r="Y1012" s="11"/>
      <c r="Z1012" s="11"/>
      <c r="AA1012" s="11"/>
    </row>
    <row r="1013" spans="1:27" ht="13" x14ac:dyDescent="0.15">
      <c r="A1013" s="7"/>
      <c r="G1013" s="8"/>
      <c r="H1013" s="8"/>
      <c r="I1013" s="8"/>
      <c r="M1013" s="8"/>
      <c r="R1013" s="10" t="str">
        <f ca="1">IFERROR(__xludf.DUMMYFUNCTION("JOIN("","", SORT(UNIQUE(TOCOL({VLOOKUP(D1013,DM_fish!A:B,2,FALSE),VLOOKUP(C1013,DM_fish!A:B,2,FALSE), ARRAYFORMULA(VLOOKUP(SPLIT(E1013, "", ""),Injections!B:G,6,FALSE)), ARRAYFORMULA(VLOOKUP(SPLIT(F1013, "", ""),Injections!H:M,6,FALSE)), ARRAYFORMULA(VLOO"&amp;"KUP(SPLIT(G1013, "", ""),Injections!N:S,6,FALSE)), ARRAYFORMULA(VLOOKUP(SPLIT(H1013, "", ""),Injections!T:Y,6,FALSE)) },3))))"),"")</f>
        <v/>
      </c>
      <c r="S1013" s="10"/>
      <c r="T1013" s="1"/>
      <c r="V1013" s="11"/>
      <c r="W1013" s="12"/>
      <c r="X1013" s="12"/>
      <c r="Y1013" s="11"/>
      <c r="Z1013" s="11"/>
      <c r="AA1013" s="11"/>
    </row>
    <row r="1014" spans="1:27" ht="13" x14ac:dyDescent="0.15">
      <c r="A1014" s="7"/>
      <c r="G1014" s="8"/>
      <c r="H1014" s="8"/>
      <c r="I1014" s="8"/>
      <c r="M1014" s="8"/>
      <c r="R1014" s="10" t="str">
        <f ca="1">IFERROR(__xludf.DUMMYFUNCTION("JOIN("","", SORT(UNIQUE(TOCOL({VLOOKUP(D1014,DM_fish!A:B,2,FALSE),VLOOKUP(C1014,DM_fish!A:B,2,FALSE), ARRAYFORMULA(VLOOKUP(SPLIT(E1014, "", ""),Injections!B:G,6,FALSE)), ARRAYFORMULA(VLOOKUP(SPLIT(F1014, "", ""),Injections!H:M,6,FALSE)), ARRAYFORMULA(VLOO"&amp;"KUP(SPLIT(G1014, "", ""),Injections!N:S,6,FALSE)), ARRAYFORMULA(VLOOKUP(SPLIT(H1014, "", ""),Injections!T:Y,6,FALSE)) },3))))"),"")</f>
        <v/>
      </c>
      <c r="S1014" s="10"/>
      <c r="T1014" s="1"/>
      <c r="V1014" s="11"/>
      <c r="W1014" s="12"/>
      <c r="X1014" s="12"/>
      <c r="Y1014" s="11"/>
      <c r="Z1014" s="11"/>
      <c r="AA1014" s="11"/>
    </row>
    <row r="1015" spans="1:27" ht="13" x14ac:dyDescent="0.15">
      <c r="A1015" s="7"/>
      <c r="G1015" s="8"/>
      <c r="H1015" s="8"/>
      <c r="I1015" s="8"/>
      <c r="M1015" s="8"/>
      <c r="R1015" s="10" t="str">
        <f ca="1">IFERROR(__xludf.DUMMYFUNCTION("JOIN("","", SORT(UNIQUE(TOCOL({VLOOKUP(D1015,DM_fish!A:B,2,FALSE),VLOOKUP(C1015,DM_fish!A:B,2,FALSE), ARRAYFORMULA(VLOOKUP(SPLIT(E1015, "", ""),Injections!B:G,6,FALSE)), ARRAYFORMULA(VLOOKUP(SPLIT(F1015, "", ""),Injections!H:M,6,FALSE)), ARRAYFORMULA(VLOO"&amp;"KUP(SPLIT(G1015, "", ""),Injections!N:S,6,FALSE)), ARRAYFORMULA(VLOOKUP(SPLIT(H1015, "", ""),Injections!T:Y,6,FALSE)) },3))))"),"")</f>
        <v/>
      </c>
      <c r="S1015" s="10"/>
      <c r="T1015" s="1"/>
      <c r="V1015" s="11"/>
      <c r="W1015" s="12"/>
      <c r="X1015" s="12"/>
      <c r="Y1015" s="11"/>
      <c r="Z1015" s="11"/>
      <c r="AA1015" s="11"/>
    </row>
    <row r="1016" spans="1:27" ht="13" x14ac:dyDescent="0.15">
      <c r="A1016" s="7"/>
      <c r="G1016" s="8"/>
      <c r="H1016" s="8"/>
      <c r="I1016" s="8"/>
      <c r="M1016" s="8"/>
      <c r="R1016" s="10" t="str">
        <f ca="1">IFERROR(__xludf.DUMMYFUNCTION("JOIN("","", SORT(UNIQUE(TOCOL({VLOOKUP(D1016,DM_fish!A:B,2,FALSE),VLOOKUP(C1016,DM_fish!A:B,2,FALSE), ARRAYFORMULA(VLOOKUP(SPLIT(E1016, "", ""),Injections!B:G,6,FALSE)), ARRAYFORMULA(VLOOKUP(SPLIT(F1016, "", ""),Injections!H:M,6,FALSE)), ARRAYFORMULA(VLOO"&amp;"KUP(SPLIT(G1016, "", ""),Injections!N:S,6,FALSE)), ARRAYFORMULA(VLOOKUP(SPLIT(H1016, "", ""),Injections!T:Y,6,FALSE)) },3))))"),"")</f>
        <v/>
      </c>
      <c r="S1016" s="10"/>
      <c r="T1016" s="1"/>
      <c r="V1016" s="11"/>
      <c r="W1016" s="12"/>
      <c r="X1016" s="12"/>
      <c r="Y1016" s="11"/>
      <c r="Z1016" s="11"/>
      <c r="AA1016" s="11"/>
    </row>
    <row r="1017" spans="1:27" ht="13" x14ac:dyDescent="0.15">
      <c r="A1017" s="7"/>
      <c r="G1017" s="8"/>
      <c r="H1017" s="8"/>
      <c r="I1017" s="8"/>
      <c r="M1017" s="8"/>
      <c r="R1017" s="10" t="str">
        <f ca="1">IFERROR(__xludf.DUMMYFUNCTION("JOIN("","", SORT(UNIQUE(TOCOL({VLOOKUP(D1017,DM_fish!A:B,2,FALSE),VLOOKUP(C1017,DM_fish!A:B,2,FALSE), ARRAYFORMULA(VLOOKUP(SPLIT(E1017, "", ""),Injections!B:G,6,FALSE)), ARRAYFORMULA(VLOOKUP(SPLIT(F1017, "", ""),Injections!H:M,6,FALSE)), ARRAYFORMULA(VLOO"&amp;"KUP(SPLIT(G1017, "", ""),Injections!N:S,6,FALSE)), ARRAYFORMULA(VLOOKUP(SPLIT(H1017, "", ""),Injections!T:Y,6,FALSE)) },3))))"),"")</f>
        <v/>
      </c>
      <c r="S1017" s="10"/>
      <c r="T1017" s="1"/>
      <c r="V1017" s="11"/>
      <c r="W1017" s="12"/>
      <c r="X1017" s="12"/>
      <c r="Y1017" s="11"/>
      <c r="Z1017" s="11"/>
      <c r="AA1017" s="11"/>
    </row>
    <row r="1018" spans="1:27" ht="13" x14ac:dyDescent="0.15">
      <c r="A1018" s="7"/>
      <c r="G1018" s="8"/>
      <c r="H1018" s="8"/>
      <c r="I1018" s="8"/>
      <c r="M1018" s="8"/>
      <c r="R1018" s="10" t="str">
        <f ca="1">IFERROR(__xludf.DUMMYFUNCTION("JOIN("","", SORT(UNIQUE(TOCOL({VLOOKUP(D1018,DM_fish!A:B,2,FALSE),VLOOKUP(C1018,DM_fish!A:B,2,FALSE), ARRAYFORMULA(VLOOKUP(SPLIT(E1018, "", ""),Injections!B:G,6,FALSE)), ARRAYFORMULA(VLOOKUP(SPLIT(F1018, "", ""),Injections!H:M,6,FALSE)), ARRAYFORMULA(VLOO"&amp;"KUP(SPLIT(G1018, "", ""),Injections!N:S,6,FALSE)), ARRAYFORMULA(VLOOKUP(SPLIT(H1018, "", ""),Injections!T:Y,6,FALSE)) },3))))"),"")</f>
        <v/>
      </c>
      <c r="S1018" s="10"/>
      <c r="T1018" s="1"/>
      <c r="V1018" s="11"/>
      <c r="W1018" s="12"/>
      <c r="X1018" s="12"/>
      <c r="Y1018" s="11"/>
      <c r="Z1018" s="11"/>
      <c r="AA1018" s="11"/>
    </row>
    <row r="1019" spans="1:27" ht="13" x14ac:dyDescent="0.15">
      <c r="A1019" s="7"/>
      <c r="G1019" s="8"/>
      <c r="H1019" s="8"/>
      <c r="I1019" s="8"/>
      <c r="M1019" s="8"/>
      <c r="R1019" s="10" t="str">
        <f ca="1">IFERROR(__xludf.DUMMYFUNCTION("JOIN("","", SORT(UNIQUE(TOCOL({VLOOKUP(D1019,DM_fish!A:B,2,FALSE),VLOOKUP(C1019,DM_fish!A:B,2,FALSE), ARRAYFORMULA(VLOOKUP(SPLIT(E1019, "", ""),Injections!B:G,6,FALSE)), ARRAYFORMULA(VLOOKUP(SPLIT(F1019, "", ""),Injections!H:M,6,FALSE)), ARRAYFORMULA(VLOO"&amp;"KUP(SPLIT(G1019, "", ""),Injections!N:S,6,FALSE)), ARRAYFORMULA(VLOOKUP(SPLIT(H1019, "", ""),Injections!T:Y,6,FALSE)) },3))))"),"")</f>
        <v/>
      </c>
      <c r="S1019" s="10"/>
      <c r="T1019" s="1"/>
      <c r="V1019" s="11"/>
      <c r="W1019" s="12"/>
      <c r="X1019" s="12"/>
      <c r="Y1019" s="11"/>
      <c r="Z1019" s="11"/>
      <c r="AA1019" s="11"/>
    </row>
    <row r="1020" spans="1:27" ht="13" x14ac:dyDescent="0.15">
      <c r="A1020" s="7"/>
      <c r="G1020" s="8"/>
      <c r="H1020" s="8"/>
      <c r="I1020" s="8"/>
      <c r="M1020" s="8"/>
      <c r="R1020" s="10" t="str">
        <f ca="1">IFERROR(__xludf.DUMMYFUNCTION("JOIN("","", SORT(UNIQUE(TOCOL({VLOOKUP(D1020,DM_fish!A:B,2,FALSE),VLOOKUP(C1020,DM_fish!A:B,2,FALSE), ARRAYFORMULA(VLOOKUP(SPLIT(E1020, "", ""),Injections!B:G,6,FALSE)), ARRAYFORMULA(VLOOKUP(SPLIT(F1020, "", ""),Injections!H:M,6,FALSE)), ARRAYFORMULA(VLOO"&amp;"KUP(SPLIT(G1020, "", ""),Injections!N:S,6,FALSE)), ARRAYFORMULA(VLOOKUP(SPLIT(H1020, "", ""),Injections!T:Y,6,FALSE)) },3))))"),"")</f>
        <v/>
      </c>
      <c r="S1020" s="10"/>
      <c r="T1020" s="1"/>
      <c r="V1020" s="11"/>
      <c r="W1020" s="12"/>
      <c r="X1020" s="12"/>
      <c r="Y1020" s="11"/>
      <c r="Z1020" s="11"/>
      <c r="AA1020" s="11"/>
    </row>
    <row r="1021" spans="1:27" ht="13" x14ac:dyDescent="0.15">
      <c r="A1021" s="7"/>
      <c r="G1021" s="8"/>
      <c r="H1021" s="8"/>
      <c r="I1021" s="8"/>
      <c r="M1021" s="8"/>
      <c r="R1021" s="10" t="str">
        <f ca="1">IFERROR(__xludf.DUMMYFUNCTION("JOIN("","", SORT(UNIQUE(TOCOL({VLOOKUP(D1021,DM_fish!A:B,2,FALSE),VLOOKUP(C1021,DM_fish!A:B,2,FALSE), ARRAYFORMULA(VLOOKUP(SPLIT(E1021, "", ""),Injections!B:G,6,FALSE)), ARRAYFORMULA(VLOOKUP(SPLIT(F1021, "", ""),Injections!H:M,6,FALSE)), ARRAYFORMULA(VLOO"&amp;"KUP(SPLIT(G1021, "", ""),Injections!N:S,6,FALSE)), ARRAYFORMULA(VLOOKUP(SPLIT(H1021, "", ""),Injections!T:Y,6,FALSE)) },3))))"),"")</f>
        <v/>
      </c>
      <c r="S1021" s="10"/>
      <c r="T1021" s="1"/>
      <c r="V1021" s="11"/>
      <c r="W1021" s="12"/>
      <c r="X1021" s="12"/>
      <c r="Y1021" s="11"/>
      <c r="Z1021" s="11"/>
      <c r="AA1021" s="11"/>
    </row>
    <row r="1022" spans="1:27" ht="13" x14ac:dyDescent="0.15">
      <c r="A1022" s="7"/>
      <c r="G1022" s="8"/>
      <c r="H1022" s="8"/>
      <c r="I1022" s="8"/>
      <c r="M1022" s="8"/>
      <c r="R1022" s="10" t="str">
        <f ca="1">IFERROR(__xludf.DUMMYFUNCTION("JOIN("","", SORT(UNIQUE(TOCOL({VLOOKUP(D1022,DM_fish!A:B,2,FALSE),VLOOKUP(C1022,DM_fish!A:B,2,FALSE), ARRAYFORMULA(VLOOKUP(SPLIT(E1022, "", ""),Injections!B:G,6,FALSE)), ARRAYFORMULA(VLOOKUP(SPLIT(F1022, "", ""),Injections!H:M,6,FALSE)), ARRAYFORMULA(VLOO"&amp;"KUP(SPLIT(G1022, "", ""),Injections!N:S,6,FALSE)), ARRAYFORMULA(VLOOKUP(SPLIT(H1022, "", ""),Injections!T:Y,6,FALSE)) },3))))"),"")</f>
        <v/>
      </c>
      <c r="S1022" s="10"/>
      <c r="T1022" s="1"/>
      <c r="V1022" s="11"/>
      <c r="W1022" s="12"/>
      <c r="X1022" s="12"/>
      <c r="Y1022" s="11"/>
      <c r="Z1022" s="11"/>
      <c r="AA1022" s="11"/>
    </row>
    <row r="1023" spans="1:27" ht="13" x14ac:dyDescent="0.15">
      <c r="A1023" s="7"/>
      <c r="G1023" s="8"/>
      <c r="H1023" s="8"/>
      <c r="I1023" s="8"/>
      <c r="M1023" s="8"/>
      <c r="R1023" s="10" t="str">
        <f ca="1">IFERROR(__xludf.DUMMYFUNCTION("JOIN("","", SORT(UNIQUE(TOCOL({VLOOKUP(D1023,DM_fish!A:B,2,FALSE),VLOOKUP(C1023,DM_fish!A:B,2,FALSE), ARRAYFORMULA(VLOOKUP(SPLIT(E1023, "", ""),Injections!B:G,6,FALSE)), ARRAYFORMULA(VLOOKUP(SPLIT(F1023, "", ""),Injections!H:M,6,FALSE)), ARRAYFORMULA(VLOO"&amp;"KUP(SPLIT(G1023, "", ""),Injections!N:S,6,FALSE)), ARRAYFORMULA(VLOOKUP(SPLIT(H1023, "", ""),Injections!T:Y,6,FALSE)) },3))))"),"")</f>
        <v/>
      </c>
      <c r="S1023" s="10"/>
      <c r="T1023" s="1"/>
      <c r="V1023" s="11"/>
      <c r="W1023" s="12"/>
      <c r="X1023" s="12"/>
      <c r="Y1023" s="11"/>
      <c r="Z1023" s="11"/>
      <c r="AA1023" s="11"/>
    </row>
    <row r="1024" spans="1:27" ht="13" x14ac:dyDescent="0.15">
      <c r="A1024" s="7"/>
      <c r="G1024" s="8"/>
      <c r="H1024" s="8"/>
      <c r="I1024" s="8"/>
      <c r="M1024" s="8"/>
      <c r="R1024" s="10" t="str">
        <f ca="1">IFERROR(__xludf.DUMMYFUNCTION("JOIN("","", SORT(UNIQUE(TOCOL({VLOOKUP(D1024,DM_fish!A:B,2,FALSE),VLOOKUP(C1024,DM_fish!A:B,2,FALSE), ARRAYFORMULA(VLOOKUP(SPLIT(E1024, "", ""),Injections!B:G,6,FALSE)), ARRAYFORMULA(VLOOKUP(SPLIT(F1024, "", ""),Injections!H:M,6,FALSE)), ARRAYFORMULA(VLOO"&amp;"KUP(SPLIT(G1024, "", ""),Injections!N:S,6,FALSE)), ARRAYFORMULA(VLOOKUP(SPLIT(H1024, "", ""),Injections!T:Y,6,FALSE)) },3))))"),"")</f>
        <v/>
      </c>
      <c r="S1024" s="10"/>
      <c r="T1024" s="1"/>
      <c r="V1024" s="11"/>
      <c r="W1024" s="12"/>
      <c r="X1024" s="12"/>
      <c r="Y1024" s="11"/>
      <c r="Z1024" s="11"/>
      <c r="AA1024" s="11"/>
    </row>
    <row r="1025" spans="1:27" ht="13" x14ac:dyDescent="0.15">
      <c r="A1025" s="7"/>
      <c r="G1025" s="8"/>
      <c r="H1025" s="8"/>
      <c r="I1025" s="8"/>
      <c r="M1025" s="8"/>
      <c r="R1025" s="10" t="str">
        <f ca="1">IFERROR(__xludf.DUMMYFUNCTION("JOIN("","", SORT(UNIQUE(TOCOL({VLOOKUP(D1025,DM_fish!A:B,2,FALSE),VLOOKUP(C1025,DM_fish!A:B,2,FALSE), ARRAYFORMULA(VLOOKUP(SPLIT(E1025, "", ""),Injections!B:G,6,FALSE)), ARRAYFORMULA(VLOOKUP(SPLIT(F1025, "", ""),Injections!H:M,6,FALSE)), ARRAYFORMULA(VLOO"&amp;"KUP(SPLIT(G1025, "", ""),Injections!N:S,6,FALSE)), ARRAYFORMULA(VLOOKUP(SPLIT(H1025, "", ""),Injections!T:Y,6,FALSE)) },3))))"),"")</f>
        <v/>
      </c>
      <c r="S1025" s="10"/>
      <c r="T1025" s="1"/>
      <c r="V1025" s="11"/>
      <c r="W1025" s="12"/>
      <c r="X1025" s="12"/>
      <c r="Y1025" s="11"/>
      <c r="Z1025" s="11"/>
      <c r="AA1025" s="11"/>
    </row>
    <row r="1026" spans="1:27" ht="13" x14ac:dyDescent="0.15">
      <c r="A1026" s="7"/>
      <c r="G1026" s="8"/>
      <c r="H1026" s="8"/>
      <c r="I1026" s="8"/>
      <c r="M1026" s="8"/>
      <c r="R1026" s="10" t="str">
        <f ca="1">IFERROR(__xludf.DUMMYFUNCTION("JOIN("","", SORT(UNIQUE(TOCOL({VLOOKUP(D1026,DM_fish!A:B,2,FALSE),VLOOKUP(C1026,DM_fish!A:B,2,FALSE), ARRAYFORMULA(VLOOKUP(SPLIT(E1026, "", ""),Injections!B:G,6,FALSE)), ARRAYFORMULA(VLOOKUP(SPLIT(F1026, "", ""),Injections!H:M,6,FALSE)), ARRAYFORMULA(VLOO"&amp;"KUP(SPLIT(G1026, "", ""),Injections!N:S,6,FALSE)), ARRAYFORMULA(VLOOKUP(SPLIT(H1026, "", ""),Injections!T:Y,6,FALSE)) },3))))"),"")</f>
        <v/>
      </c>
      <c r="S1026" s="10"/>
      <c r="T1026" s="1"/>
      <c r="V1026" s="11"/>
      <c r="W1026" s="12"/>
      <c r="X1026" s="12"/>
      <c r="Y1026" s="11"/>
      <c r="Z1026" s="11"/>
      <c r="AA1026" s="11"/>
    </row>
    <row r="1027" spans="1:27" ht="13" x14ac:dyDescent="0.15">
      <c r="A1027" s="7"/>
      <c r="G1027" s="8"/>
      <c r="H1027" s="8"/>
      <c r="I1027" s="8"/>
      <c r="M1027" s="8"/>
      <c r="R1027" s="10" t="str">
        <f ca="1">IFERROR(__xludf.DUMMYFUNCTION("JOIN("","", SORT(UNIQUE(TOCOL({VLOOKUP(D1027,DM_fish!A:B,2,FALSE),VLOOKUP(C1027,DM_fish!A:B,2,FALSE), ARRAYFORMULA(VLOOKUP(SPLIT(E1027, "", ""),Injections!B:G,6,FALSE)), ARRAYFORMULA(VLOOKUP(SPLIT(F1027, "", ""),Injections!H:M,6,FALSE)), ARRAYFORMULA(VLOO"&amp;"KUP(SPLIT(G1027, "", ""),Injections!N:S,6,FALSE)), ARRAYFORMULA(VLOOKUP(SPLIT(H1027, "", ""),Injections!T:Y,6,FALSE)) },3))))"),"")</f>
        <v/>
      </c>
      <c r="S1027" s="10"/>
      <c r="T1027" s="1"/>
      <c r="V1027" s="11"/>
      <c r="W1027" s="12"/>
      <c r="X1027" s="12"/>
      <c r="Y1027" s="11"/>
      <c r="Z1027" s="11"/>
      <c r="AA1027" s="11"/>
    </row>
    <row r="1028" spans="1:27" ht="13" x14ac:dyDescent="0.15">
      <c r="A1028" s="7"/>
      <c r="G1028" s="8"/>
      <c r="H1028" s="8"/>
      <c r="I1028" s="8"/>
      <c r="M1028" s="8"/>
      <c r="R1028" s="10" t="str">
        <f ca="1">IFERROR(__xludf.DUMMYFUNCTION("JOIN("","", SORT(UNIQUE(TOCOL({VLOOKUP(D1028,DM_fish!A:B,2,FALSE),VLOOKUP(C1028,DM_fish!A:B,2,FALSE), ARRAYFORMULA(VLOOKUP(SPLIT(E1028, "", ""),Injections!B:G,6,FALSE)), ARRAYFORMULA(VLOOKUP(SPLIT(F1028, "", ""),Injections!H:M,6,FALSE)), ARRAYFORMULA(VLOO"&amp;"KUP(SPLIT(G1028, "", ""),Injections!N:S,6,FALSE)), ARRAYFORMULA(VLOOKUP(SPLIT(H1028, "", ""),Injections!T:Y,6,FALSE)) },3))))"),"")</f>
        <v/>
      </c>
      <c r="S1028" s="10"/>
      <c r="T1028" s="1"/>
      <c r="V1028" s="11"/>
      <c r="W1028" s="12"/>
      <c r="X1028" s="12"/>
      <c r="Y1028" s="11"/>
      <c r="Z1028" s="11"/>
      <c r="AA1028" s="11"/>
    </row>
    <row r="1029" spans="1:27" ht="13" x14ac:dyDescent="0.15">
      <c r="A1029" s="7"/>
      <c r="G1029" s="8"/>
      <c r="H1029" s="8"/>
      <c r="I1029" s="8"/>
      <c r="M1029" s="8"/>
      <c r="R1029" s="10" t="str">
        <f ca="1">IFERROR(__xludf.DUMMYFUNCTION("JOIN("","", SORT(UNIQUE(TOCOL({VLOOKUP(D1029,DM_fish!A:B,2,FALSE),VLOOKUP(C1029,DM_fish!A:B,2,FALSE), ARRAYFORMULA(VLOOKUP(SPLIT(E1029, "", ""),Injections!B:G,6,FALSE)), ARRAYFORMULA(VLOOKUP(SPLIT(F1029, "", ""),Injections!H:M,6,FALSE)), ARRAYFORMULA(VLOO"&amp;"KUP(SPLIT(G1029, "", ""),Injections!N:S,6,FALSE)), ARRAYFORMULA(VLOOKUP(SPLIT(H1029, "", ""),Injections!T:Y,6,FALSE)) },3))))"),"")</f>
        <v/>
      </c>
      <c r="S1029" s="10"/>
      <c r="T1029" s="1"/>
      <c r="V1029" s="11"/>
      <c r="W1029" s="12"/>
      <c r="X1029" s="12"/>
      <c r="Y1029" s="11"/>
      <c r="Z1029" s="11"/>
      <c r="AA1029" s="11"/>
    </row>
    <row r="1030" spans="1:27" ht="13" x14ac:dyDescent="0.15">
      <c r="A1030" s="7"/>
      <c r="G1030" s="8"/>
      <c r="H1030" s="8"/>
      <c r="I1030" s="8"/>
      <c r="M1030" s="8"/>
      <c r="R1030" s="10" t="str">
        <f ca="1">IFERROR(__xludf.DUMMYFUNCTION("JOIN("","", SORT(UNIQUE(TOCOL({VLOOKUP(D1030,DM_fish!A:B,2,FALSE),VLOOKUP(C1030,DM_fish!A:B,2,FALSE), ARRAYFORMULA(VLOOKUP(SPLIT(E1030, "", ""),Injections!B:G,6,FALSE)), ARRAYFORMULA(VLOOKUP(SPLIT(F1030, "", ""),Injections!H:M,6,FALSE)), ARRAYFORMULA(VLOO"&amp;"KUP(SPLIT(G1030, "", ""),Injections!N:S,6,FALSE)), ARRAYFORMULA(VLOOKUP(SPLIT(H1030, "", ""),Injections!T:Y,6,FALSE)) },3))))"),"")</f>
        <v/>
      </c>
      <c r="S1030" s="10"/>
      <c r="T1030" s="1"/>
      <c r="V1030" s="11"/>
      <c r="W1030" s="12"/>
      <c r="X1030" s="12"/>
      <c r="Y1030" s="11"/>
      <c r="Z1030" s="11"/>
      <c r="AA1030" s="11"/>
    </row>
    <row r="1031" spans="1:27" ht="13" x14ac:dyDescent="0.15">
      <c r="A1031" s="7"/>
      <c r="G1031" s="8"/>
      <c r="H1031" s="8"/>
      <c r="I1031" s="8"/>
      <c r="M1031" s="8"/>
      <c r="R1031" s="10" t="str">
        <f ca="1">IFERROR(__xludf.DUMMYFUNCTION("JOIN("","", SORT(UNIQUE(TOCOL({VLOOKUP(D1031,DM_fish!A:B,2,FALSE),VLOOKUP(C1031,DM_fish!A:B,2,FALSE), ARRAYFORMULA(VLOOKUP(SPLIT(E1031, "", ""),Injections!B:G,6,FALSE)), ARRAYFORMULA(VLOOKUP(SPLIT(F1031, "", ""),Injections!H:M,6,FALSE)), ARRAYFORMULA(VLOO"&amp;"KUP(SPLIT(G1031, "", ""),Injections!N:S,6,FALSE)), ARRAYFORMULA(VLOOKUP(SPLIT(H1031, "", ""),Injections!T:Y,6,FALSE)) },3))))"),"")</f>
        <v/>
      </c>
      <c r="S1031" s="10"/>
      <c r="T1031" s="1"/>
      <c r="V1031" s="11"/>
      <c r="W1031" s="12"/>
      <c r="X1031" s="12"/>
      <c r="Y1031" s="11"/>
      <c r="Z1031" s="11"/>
      <c r="AA1031" s="11"/>
    </row>
    <row r="1032" spans="1:27" ht="13" x14ac:dyDescent="0.15">
      <c r="A1032" s="7"/>
      <c r="G1032" s="8"/>
      <c r="H1032" s="8"/>
      <c r="I1032" s="8"/>
      <c r="M1032" s="8"/>
      <c r="R1032" s="10" t="str">
        <f ca="1">IFERROR(__xludf.DUMMYFUNCTION("JOIN("","", SORT(UNIQUE(TOCOL({VLOOKUP(D1032,DM_fish!A:B,2,FALSE),VLOOKUP(C1032,DM_fish!A:B,2,FALSE), ARRAYFORMULA(VLOOKUP(SPLIT(E1032, "", ""),Injections!B:G,6,FALSE)), ARRAYFORMULA(VLOOKUP(SPLIT(F1032, "", ""),Injections!H:M,6,FALSE)), ARRAYFORMULA(VLOO"&amp;"KUP(SPLIT(G1032, "", ""),Injections!N:S,6,FALSE)), ARRAYFORMULA(VLOOKUP(SPLIT(H1032, "", ""),Injections!T:Y,6,FALSE)) },3))))"),"")</f>
        <v/>
      </c>
      <c r="S1032" s="10"/>
      <c r="T1032" s="1"/>
      <c r="V1032" s="11"/>
      <c r="W1032" s="12"/>
      <c r="X1032" s="12"/>
      <c r="Y1032" s="11"/>
      <c r="Z1032" s="11"/>
      <c r="AA1032" s="11"/>
    </row>
    <row r="1033" spans="1:27" ht="13" x14ac:dyDescent="0.15">
      <c r="A1033" s="7"/>
      <c r="G1033" s="8"/>
      <c r="H1033" s="8"/>
      <c r="I1033" s="8"/>
      <c r="M1033" s="8"/>
      <c r="R1033" s="10" t="str">
        <f ca="1">IFERROR(__xludf.DUMMYFUNCTION("JOIN("","", SORT(UNIQUE(TOCOL({VLOOKUP(D1033,DM_fish!A:B,2,FALSE),VLOOKUP(C1033,DM_fish!A:B,2,FALSE), ARRAYFORMULA(VLOOKUP(SPLIT(E1033, "", ""),Injections!B:G,6,FALSE)), ARRAYFORMULA(VLOOKUP(SPLIT(F1033, "", ""),Injections!H:M,6,FALSE)), ARRAYFORMULA(VLOO"&amp;"KUP(SPLIT(G1033, "", ""),Injections!N:S,6,FALSE)), ARRAYFORMULA(VLOOKUP(SPLIT(H1033, "", ""),Injections!T:Y,6,FALSE)) },3))))"),"")</f>
        <v/>
      </c>
      <c r="S1033" s="10"/>
      <c r="T1033" s="1"/>
      <c r="V1033" s="11"/>
      <c r="W1033" s="12"/>
      <c r="X1033" s="12"/>
      <c r="Y1033" s="11"/>
      <c r="Z1033" s="11"/>
      <c r="AA1033" s="11"/>
    </row>
    <row r="1034" spans="1:27" ht="13" x14ac:dyDescent="0.15">
      <c r="A1034" s="7"/>
      <c r="G1034" s="8"/>
      <c r="H1034" s="8"/>
      <c r="I1034" s="8"/>
      <c r="M1034" s="8"/>
      <c r="R1034" s="10" t="str">
        <f ca="1">IFERROR(__xludf.DUMMYFUNCTION("JOIN("","", SORT(UNIQUE(TOCOL({VLOOKUP(D1034,DM_fish!A:B,2,FALSE),VLOOKUP(C1034,DM_fish!A:B,2,FALSE), ARRAYFORMULA(VLOOKUP(SPLIT(E1034, "", ""),Injections!B:G,6,FALSE)), ARRAYFORMULA(VLOOKUP(SPLIT(F1034, "", ""),Injections!H:M,6,FALSE)), ARRAYFORMULA(VLOO"&amp;"KUP(SPLIT(G1034, "", ""),Injections!N:S,6,FALSE)), ARRAYFORMULA(VLOOKUP(SPLIT(H1034, "", ""),Injections!T:Y,6,FALSE)) },3))))"),"")</f>
        <v/>
      </c>
      <c r="S1034" s="10"/>
      <c r="T1034" s="1"/>
      <c r="V1034" s="11"/>
      <c r="W1034" s="12"/>
      <c r="X1034" s="12"/>
      <c r="Y1034" s="11"/>
      <c r="Z1034" s="11"/>
      <c r="AA1034" s="11"/>
    </row>
    <row r="1035" spans="1:27" ht="13" x14ac:dyDescent="0.15">
      <c r="A1035" s="7"/>
      <c r="G1035" s="8"/>
      <c r="H1035" s="8"/>
      <c r="I1035" s="8"/>
      <c r="M1035" s="8"/>
      <c r="R1035" s="10" t="str">
        <f ca="1">IFERROR(__xludf.DUMMYFUNCTION("JOIN("","", SORT(UNIQUE(TOCOL({VLOOKUP(D1035,DM_fish!A:B,2,FALSE),VLOOKUP(C1035,DM_fish!A:B,2,FALSE), ARRAYFORMULA(VLOOKUP(SPLIT(E1035, "", ""),Injections!B:G,6,FALSE)), ARRAYFORMULA(VLOOKUP(SPLIT(F1035, "", ""),Injections!H:M,6,FALSE)), ARRAYFORMULA(VLOO"&amp;"KUP(SPLIT(G1035, "", ""),Injections!N:S,6,FALSE)), ARRAYFORMULA(VLOOKUP(SPLIT(H1035, "", ""),Injections!T:Y,6,FALSE)) },3))))"),"")</f>
        <v/>
      </c>
      <c r="S1035" s="10"/>
      <c r="T1035" s="1"/>
      <c r="V1035" s="11"/>
      <c r="W1035" s="12"/>
      <c r="X1035" s="12"/>
      <c r="Y1035" s="11"/>
      <c r="Z1035" s="11"/>
      <c r="AA1035" s="11"/>
    </row>
    <row r="1036" spans="1:27" ht="13" x14ac:dyDescent="0.15">
      <c r="A1036" s="7"/>
      <c r="G1036" s="8"/>
      <c r="H1036" s="8"/>
      <c r="I1036" s="8"/>
      <c r="M1036" s="8"/>
      <c r="R1036" s="10" t="str">
        <f ca="1">IFERROR(__xludf.DUMMYFUNCTION("JOIN("","", SORT(UNIQUE(TOCOL({VLOOKUP(D1036,DM_fish!A:B,2,FALSE),VLOOKUP(C1036,DM_fish!A:B,2,FALSE), ARRAYFORMULA(VLOOKUP(SPLIT(E1036, "", ""),Injections!B:G,6,FALSE)), ARRAYFORMULA(VLOOKUP(SPLIT(F1036, "", ""),Injections!H:M,6,FALSE)), ARRAYFORMULA(VLOO"&amp;"KUP(SPLIT(G1036, "", ""),Injections!N:S,6,FALSE)), ARRAYFORMULA(VLOOKUP(SPLIT(H1036, "", ""),Injections!T:Y,6,FALSE)) },3))))"),"")</f>
        <v/>
      </c>
      <c r="S1036" s="10"/>
      <c r="T1036" s="1"/>
      <c r="V1036" s="11"/>
      <c r="W1036" s="12"/>
      <c r="X1036" s="12"/>
      <c r="Y1036" s="11"/>
      <c r="Z1036" s="11"/>
      <c r="AA1036" s="11"/>
    </row>
    <row r="1037" spans="1:27" ht="13" x14ac:dyDescent="0.15">
      <c r="A1037" s="7"/>
      <c r="G1037" s="8"/>
      <c r="H1037" s="8"/>
      <c r="I1037" s="8"/>
      <c r="M1037" s="8"/>
      <c r="R1037" s="10" t="str">
        <f ca="1">IFERROR(__xludf.DUMMYFUNCTION("JOIN("","", SORT(UNIQUE(TOCOL({VLOOKUP(D1037,DM_fish!A:B,2,FALSE),VLOOKUP(C1037,DM_fish!A:B,2,FALSE), ARRAYFORMULA(VLOOKUP(SPLIT(E1037, "", ""),Injections!B:G,6,FALSE)), ARRAYFORMULA(VLOOKUP(SPLIT(F1037, "", ""),Injections!H:M,6,FALSE)), ARRAYFORMULA(VLOO"&amp;"KUP(SPLIT(G1037, "", ""),Injections!N:S,6,FALSE)), ARRAYFORMULA(VLOOKUP(SPLIT(H1037, "", ""),Injections!T:Y,6,FALSE)) },3))))"),"")</f>
        <v/>
      </c>
      <c r="S1037" s="10"/>
      <c r="T1037" s="1"/>
      <c r="V1037" s="11"/>
      <c r="W1037" s="12"/>
      <c r="X1037" s="12"/>
      <c r="Y1037" s="11"/>
      <c r="Z1037" s="11"/>
      <c r="AA1037" s="11"/>
    </row>
    <row r="1038" spans="1:27" ht="13" x14ac:dyDescent="0.15">
      <c r="A1038" s="7"/>
      <c r="G1038" s="8"/>
      <c r="H1038" s="8"/>
      <c r="I1038" s="8"/>
      <c r="M1038" s="8"/>
      <c r="R1038" s="10" t="str">
        <f ca="1">IFERROR(__xludf.DUMMYFUNCTION("JOIN("","", SORT(UNIQUE(TOCOL({VLOOKUP(D1038,DM_fish!A:B,2,FALSE),VLOOKUP(C1038,DM_fish!A:B,2,FALSE), ARRAYFORMULA(VLOOKUP(SPLIT(E1038, "", ""),Injections!B:G,6,FALSE)), ARRAYFORMULA(VLOOKUP(SPLIT(F1038, "", ""),Injections!H:M,6,FALSE)), ARRAYFORMULA(VLOO"&amp;"KUP(SPLIT(G1038, "", ""),Injections!N:S,6,FALSE)), ARRAYFORMULA(VLOOKUP(SPLIT(H1038, "", ""),Injections!T:Y,6,FALSE)) },3))))"),"")</f>
        <v/>
      </c>
      <c r="S1038" s="10"/>
      <c r="T1038" s="1"/>
      <c r="V1038" s="11"/>
      <c r="W1038" s="12"/>
      <c r="X1038" s="12"/>
      <c r="Y1038" s="11"/>
      <c r="Z1038" s="11"/>
      <c r="AA1038" s="11"/>
    </row>
    <row r="1039" spans="1:27" ht="13" x14ac:dyDescent="0.15">
      <c r="A1039" s="7"/>
      <c r="G1039" s="8"/>
      <c r="H1039" s="8"/>
      <c r="I1039" s="8"/>
      <c r="M1039" s="8"/>
      <c r="R1039" s="10" t="str">
        <f ca="1">IFERROR(__xludf.DUMMYFUNCTION("JOIN("","", SORT(UNIQUE(TOCOL({VLOOKUP(D1039,DM_fish!A:B,2,FALSE),VLOOKUP(C1039,DM_fish!A:B,2,FALSE), ARRAYFORMULA(VLOOKUP(SPLIT(E1039, "", ""),Injections!B:G,6,FALSE)), ARRAYFORMULA(VLOOKUP(SPLIT(F1039, "", ""),Injections!H:M,6,FALSE)), ARRAYFORMULA(VLOO"&amp;"KUP(SPLIT(G1039, "", ""),Injections!N:S,6,FALSE)), ARRAYFORMULA(VLOOKUP(SPLIT(H1039, "", ""),Injections!T:Y,6,FALSE)) },3))))"),"")</f>
        <v/>
      </c>
      <c r="S1039" s="10"/>
      <c r="T1039" s="1"/>
      <c r="V1039" s="11"/>
      <c r="W1039" s="12"/>
      <c r="X1039" s="12"/>
      <c r="Y1039" s="11"/>
      <c r="Z1039" s="11"/>
      <c r="AA1039" s="11"/>
    </row>
    <row r="1040" spans="1:27" ht="13" x14ac:dyDescent="0.15">
      <c r="A1040" s="7"/>
      <c r="G1040" s="8"/>
      <c r="H1040" s="8"/>
      <c r="I1040" s="8"/>
      <c r="M1040" s="8"/>
      <c r="R1040" s="10" t="str">
        <f ca="1">IFERROR(__xludf.DUMMYFUNCTION("JOIN("","", SORT(UNIQUE(TOCOL({VLOOKUP(D1040,DM_fish!A:B,2,FALSE),VLOOKUP(C1040,DM_fish!A:B,2,FALSE), ARRAYFORMULA(VLOOKUP(SPLIT(E1040, "", ""),Injections!B:G,6,FALSE)), ARRAYFORMULA(VLOOKUP(SPLIT(F1040, "", ""),Injections!H:M,6,FALSE)), ARRAYFORMULA(VLOO"&amp;"KUP(SPLIT(G1040, "", ""),Injections!N:S,6,FALSE)), ARRAYFORMULA(VLOOKUP(SPLIT(H1040, "", ""),Injections!T:Y,6,FALSE)) },3))))"),"")</f>
        <v/>
      </c>
      <c r="S1040" s="10"/>
      <c r="T1040" s="1"/>
      <c r="V1040" s="11"/>
      <c r="W1040" s="12"/>
      <c r="X1040" s="12"/>
      <c r="Y1040" s="11"/>
      <c r="Z1040" s="11"/>
      <c r="AA1040" s="11"/>
    </row>
    <row r="1041" spans="1:27" ht="13" x14ac:dyDescent="0.15">
      <c r="A1041" s="7"/>
      <c r="G1041" s="8"/>
      <c r="H1041" s="8"/>
      <c r="I1041" s="8"/>
      <c r="M1041" s="8"/>
      <c r="R1041" s="10" t="str">
        <f ca="1">IFERROR(__xludf.DUMMYFUNCTION("JOIN("","", SORT(UNIQUE(TOCOL({VLOOKUP(D1041,DM_fish!A:B,2,FALSE),VLOOKUP(C1041,DM_fish!A:B,2,FALSE), ARRAYFORMULA(VLOOKUP(SPLIT(E1041, "", ""),Injections!B:G,6,FALSE)), ARRAYFORMULA(VLOOKUP(SPLIT(F1041, "", ""),Injections!H:M,6,FALSE)), ARRAYFORMULA(VLOO"&amp;"KUP(SPLIT(G1041, "", ""),Injections!N:S,6,FALSE)), ARRAYFORMULA(VLOOKUP(SPLIT(H1041, "", ""),Injections!T:Y,6,FALSE)) },3))))"),"")</f>
        <v/>
      </c>
      <c r="S1041" s="10"/>
      <c r="T1041" s="1"/>
      <c r="V1041" s="11"/>
      <c r="W1041" s="12"/>
      <c r="X1041" s="12"/>
      <c r="Y1041" s="11"/>
      <c r="Z1041" s="11"/>
      <c r="AA1041" s="11"/>
    </row>
    <row r="1042" spans="1:27" ht="13" x14ac:dyDescent="0.15">
      <c r="A1042" s="7"/>
      <c r="G1042" s="8"/>
      <c r="H1042" s="8"/>
      <c r="I1042" s="8"/>
      <c r="M1042" s="8"/>
      <c r="R1042" s="10" t="str">
        <f ca="1">IFERROR(__xludf.DUMMYFUNCTION("JOIN("","", SORT(UNIQUE(TOCOL({VLOOKUP(D1042,DM_fish!A:B,2,FALSE),VLOOKUP(C1042,DM_fish!A:B,2,FALSE), ARRAYFORMULA(VLOOKUP(SPLIT(E1042, "", ""),Injections!B:G,6,FALSE)), ARRAYFORMULA(VLOOKUP(SPLIT(F1042, "", ""),Injections!H:M,6,FALSE)), ARRAYFORMULA(VLOO"&amp;"KUP(SPLIT(G1042, "", ""),Injections!N:S,6,FALSE)), ARRAYFORMULA(VLOOKUP(SPLIT(H1042, "", ""),Injections!T:Y,6,FALSE)) },3))))"),"")</f>
        <v/>
      </c>
      <c r="S1042" s="10"/>
      <c r="T1042" s="1"/>
      <c r="V1042" s="11"/>
      <c r="W1042" s="12"/>
      <c r="X1042" s="12"/>
      <c r="Y1042" s="11"/>
      <c r="Z1042" s="11"/>
      <c r="AA1042" s="11"/>
    </row>
    <row r="1043" spans="1:27" ht="13" x14ac:dyDescent="0.15">
      <c r="A1043" s="7"/>
      <c r="G1043" s="8"/>
      <c r="H1043" s="8"/>
      <c r="I1043" s="8"/>
      <c r="M1043" s="8"/>
      <c r="R1043" s="10" t="str">
        <f ca="1">IFERROR(__xludf.DUMMYFUNCTION("JOIN("","", SORT(UNIQUE(TOCOL({VLOOKUP(D1043,DM_fish!A:B,2,FALSE),VLOOKUP(C1043,DM_fish!A:B,2,FALSE), ARRAYFORMULA(VLOOKUP(SPLIT(E1043, "", ""),Injections!B:G,6,FALSE)), ARRAYFORMULA(VLOOKUP(SPLIT(F1043, "", ""),Injections!H:M,6,FALSE)), ARRAYFORMULA(VLOO"&amp;"KUP(SPLIT(G1043, "", ""),Injections!N:S,6,FALSE)), ARRAYFORMULA(VLOOKUP(SPLIT(H1043, "", ""),Injections!T:Y,6,FALSE)) },3))))"),"")</f>
        <v/>
      </c>
      <c r="S1043" s="10"/>
      <c r="T1043" s="1"/>
      <c r="V1043" s="11"/>
      <c r="W1043" s="12"/>
      <c r="X1043" s="12"/>
      <c r="Y1043" s="11"/>
      <c r="Z1043" s="11"/>
      <c r="AA1043" s="11"/>
    </row>
    <row r="1044" spans="1:27" ht="13" x14ac:dyDescent="0.15">
      <c r="A1044" s="7"/>
      <c r="G1044" s="8"/>
      <c r="H1044" s="8"/>
      <c r="I1044" s="8"/>
      <c r="M1044" s="8"/>
      <c r="R1044" s="10" t="str">
        <f ca="1">IFERROR(__xludf.DUMMYFUNCTION("JOIN("","", SORT(UNIQUE(TOCOL({VLOOKUP(D1044,DM_fish!A:B,2,FALSE),VLOOKUP(C1044,DM_fish!A:B,2,FALSE), ARRAYFORMULA(VLOOKUP(SPLIT(E1044, "", ""),Injections!B:G,6,FALSE)), ARRAYFORMULA(VLOOKUP(SPLIT(F1044, "", ""),Injections!H:M,6,FALSE)), ARRAYFORMULA(VLOO"&amp;"KUP(SPLIT(G1044, "", ""),Injections!N:S,6,FALSE)), ARRAYFORMULA(VLOOKUP(SPLIT(H1044, "", ""),Injections!T:Y,6,FALSE)) },3))))"),"")</f>
        <v/>
      </c>
      <c r="S1044" s="10"/>
      <c r="T1044" s="1"/>
      <c r="V1044" s="11"/>
      <c r="W1044" s="12"/>
      <c r="X1044" s="12"/>
      <c r="Y1044" s="11"/>
      <c r="Z1044" s="11"/>
      <c r="AA1044" s="11"/>
    </row>
    <row r="1045" spans="1:27" ht="13" x14ac:dyDescent="0.15">
      <c r="A1045" s="7"/>
      <c r="G1045" s="8"/>
      <c r="H1045" s="8"/>
      <c r="I1045" s="8"/>
      <c r="M1045" s="8"/>
      <c r="R1045" s="10" t="str">
        <f ca="1">IFERROR(__xludf.DUMMYFUNCTION("JOIN("","", SORT(UNIQUE(TOCOL({VLOOKUP(D1045,DM_fish!A:B,2,FALSE),VLOOKUP(C1045,DM_fish!A:B,2,FALSE), ARRAYFORMULA(VLOOKUP(SPLIT(E1045, "", ""),Injections!B:G,6,FALSE)), ARRAYFORMULA(VLOOKUP(SPLIT(F1045, "", ""),Injections!H:M,6,FALSE)), ARRAYFORMULA(VLOO"&amp;"KUP(SPLIT(G1045, "", ""),Injections!N:S,6,FALSE)), ARRAYFORMULA(VLOOKUP(SPLIT(H1045, "", ""),Injections!T:Y,6,FALSE)) },3))))"),"")</f>
        <v/>
      </c>
      <c r="S1045" s="10"/>
      <c r="T1045" s="1"/>
      <c r="V1045" s="11"/>
      <c r="W1045" s="12"/>
      <c r="X1045" s="12"/>
      <c r="Y1045" s="11"/>
      <c r="Z1045" s="11"/>
      <c r="AA1045" s="11"/>
    </row>
    <row r="1046" spans="1:27" ht="13" x14ac:dyDescent="0.15">
      <c r="A1046" s="7"/>
      <c r="G1046" s="8"/>
      <c r="H1046" s="8"/>
      <c r="I1046" s="8"/>
      <c r="M1046" s="8"/>
      <c r="R1046" s="10" t="str">
        <f ca="1">IFERROR(__xludf.DUMMYFUNCTION("JOIN("","", SORT(UNIQUE(TOCOL({VLOOKUP(D1046,DM_fish!A:B,2,FALSE),VLOOKUP(C1046,DM_fish!A:B,2,FALSE), ARRAYFORMULA(VLOOKUP(SPLIT(E1046, "", ""),Injections!B:G,6,FALSE)), ARRAYFORMULA(VLOOKUP(SPLIT(F1046, "", ""),Injections!H:M,6,FALSE)), ARRAYFORMULA(VLOO"&amp;"KUP(SPLIT(G1046, "", ""),Injections!N:S,6,FALSE)), ARRAYFORMULA(VLOOKUP(SPLIT(H1046, "", ""),Injections!T:Y,6,FALSE)) },3))))"),"")</f>
        <v/>
      </c>
      <c r="S1046" s="10"/>
      <c r="T1046" s="1"/>
      <c r="V1046" s="11"/>
      <c r="W1046" s="12"/>
      <c r="X1046" s="12"/>
      <c r="Y1046" s="11"/>
      <c r="Z1046" s="11"/>
      <c r="AA1046" s="11"/>
    </row>
    <row r="1047" spans="1:27" ht="13" x14ac:dyDescent="0.15">
      <c r="A1047" s="7"/>
      <c r="G1047" s="8"/>
      <c r="H1047" s="8"/>
      <c r="I1047" s="8"/>
      <c r="M1047" s="8"/>
      <c r="R1047" s="10" t="str">
        <f ca="1">IFERROR(__xludf.DUMMYFUNCTION("JOIN("","", SORT(UNIQUE(TOCOL({VLOOKUP(D1047,DM_fish!A:B,2,FALSE),VLOOKUP(C1047,DM_fish!A:B,2,FALSE), ARRAYFORMULA(VLOOKUP(SPLIT(E1047, "", ""),Injections!B:G,6,FALSE)), ARRAYFORMULA(VLOOKUP(SPLIT(F1047, "", ""),Injections!H:M,6,FALSE)), ARRAYFORMULA(VLOO"&amp;"KUP(SPLIT(G1047, "", ""),Injections!N:S,6,FALSE)), ARRAYFORMULA(VLOOKUP(SPLIT(H1047, "", ""),Injections!T:Y,6,FALSE)) },3))))"),"")</f>
        <v/>
      </c>
      <c r="S1047" s="10"/>
      <c r="T1047" s="1"/>
      <c r="V1047" s="11"/>
      <c r="W1047" s="12"/>
      <c r="X1047" s="12"/>
      <c r="Y1047" s="11"/>
      <c r="Z1047" s="11"/>
      <c r="AA1047" s="11"/>
    </row>
    <row r="1048" spans="1:27" ht="13" x14ac:dyDescent="0.15">
      <c r="A1048" s="7"/>
      <c r="G1048" s="8"/>
      <c r="H1048" s="8"/>
      <c r="I1048" s="8"/>
      <c r="M1048" s="8"/>
      <c r="R1048" s="10" t="str">
        <f ca="1">IFERROR(__xludf.DUMMYFUNCTION("JOIN("","", SORT(UNIQUE(TOCOL({VLOOKUP(D1048,DM_fish!A:B,2,FALSE),VLOOKUP(C1048,DM_fish!A:B,2,FALSE), ARRAYFORMULA(VLOOKUP(SPLIT(E1048, "", ""),Injections!B:G,6,FALSE)), ARRAYFORMULA(VLOOKUP(SPLIT(F1048, "", ""),Injections!H:M,6,FALSE)), ARRAYFORMULA(VLOO"&amp;"KUP(SPLIT(G1048, "", ""),Injections!N:S,6,FALSE)), ARRAYFORMULA(VLOOKUP(SPLIT(H1048, "", ""),Injections!T:Y,6,FALSE)) },3))))"),"")</f>
        <v/>
      </c>
      <c r="S1048" s="10"/>
      <c r="T1048" s="1"/>
      <c r="V1048" s="11"/>
      <c r="W1048" s="12"/>
      <c r="X1048" s="12"/>
      <c r="Y1048" s="11"/>
      <c r="Z1048" s="11"/>
      <c r="AA1048" s="11"/>
    </row>
    <row r="1049" spans="1:27" ht="13" x14ac:dyDescent="0.15">
      <c r="A1049" s="7"/>
      <c r="G1049" s="8"/>
      <c r="H1049" s="8"/>
      <c r="I1049" s="8"/>
      <c r="M1049" s="8"/>
      <c r="R1049" s="10" t="str">
        <f ca="1">IFERROR(__xludf.DUMMYFUNCTION("JOIN("","", SORT(UNIQUE(TOCOL({VLOOKUP(D1049,DM_fish!A:B,2,FALSE),VLOOKUP(C1049,DM_fish!A:B,2,FALSE), ARRAYFORMULA(VLOOKUP(SPLIT(E1049, "", ""),Injections!B:G,6,FALSE)), ARRAYFORMULA(VLOOKUP(SPLIT(F1049, "", ""),Injections!H:M,6,FALSE)), ARRAYFORMULA(VLOO"&amp;"KUP(SPLIT(G1049, "", ""),Injections!N:S,6,FALSE)), ARRAYFORMULA(VLOOKUP(SPLIT(H1049, "", ""),Injections!T:Y,6,FALSE)) },3))))"),"")</f>
        <v/>
      </c>
      <c r="S1049" s="10"/>
      <c r="T1049" s="1"/>
      <c r="V1049" s="11"/>
      <c r="W1049" s="12"/>
      <c r="X1049" s="12"/>
      <c r="Y1049" s="11"/>
      <c r="Z1049" s="11"/>
      <c r="AA1049" s="11"/>
    </row>
    <row r="1050" spans="1:27" ht="13" x14ac:dyDescent="0.15">
      <c r="A1050" s="7"/>
      <c r="G1050" s="8"/>
      <c r="H1050" s="8"/>
      <c r="I1050" s="8"/>
      <c r="M1050" s="8"/>
      <c r="R1050" s="10" t="str">
        <f ca="1">IFERROR(__xludf.DUMMYFUNCTION("JOIN("","", SORT(UNIQUE(TOCOL({VLOOKUP(D1050,DM_fish!A:B,2,FALSE),VLOOKUP(C1050,DM_fish!A:B,2,FALSE), ARRAYFORMULA(VLOOKUP(SPLIT(E1050, "", ""),Injections!B:G,6,FALSE)), ARRAYFORMULA(VLOOKUP(SPLIT(F1050, "", ""),Injections!H:M,6,FALSE)), ARRAYFORMULA(VLOO"&amp;"KUP(SPLIT(G1050, "", ""),Injections!N:S,6,FALSE)), ARRAYFORMULA(VLOOKUP(SPLIT(H1050, "", ""),Injections!T:Y,6,FALSE)) },3))))"),"")</f>
        <v/>
      </c>
      <c r="S1050" s="10"/>
      <c r="T1050" s="1"/>
      <c r="V1050" s="11"/>
      <c r="W1050" s="12"/>
      <c r="X1050" s="12"/>
      <c r="Y1050" s="11"/>
      <c r="Z1050" s="11"/>
      <c r="AA1050" s="11"/>
    </row>
    <row r="1051" spans="1:27" ht="13" x14ac:dyDescent="0.15">
      <c r="A1051" s="7"/>
      <c r="G1051" s="8"/>
      <c r="H1051" s="8"/>
      <c r="I1051" s="8"/>
      <c r="M1051" s="8"/>
      <c r="R1051" s="10" t="str">
        <f ca="1">IFERROR(__xludf.DUMMYFUNCTION("JOIN("","", SORT(UNIQUE(TOCOL({VLOOKUP(D1051,DM_fish!A:B,2,FALSE),VLOOKUP(C1051,DM_fish!A:B,2,FALSE), ARRAYFORMULA(VLOOKUP(SPLIT(E1051, "", ""),Injections!B:G,6,FALSE)), ARRAYFORMULA(VLOOKUP(SPLIT(F1051, "", ""),Injections!H:M,6,FALSE)), ARRAYFORMULA(VLOO"&amp;"KUP(SPLIT(G1051, "", ""),Injections!N:S,6,FALSE)), ARRAYFORMULA(VLOOKUP(SPLIT(H1051, "", ""),Injections!T:Y,6,FALSE)) },3))))"),"")</f>
        <v/>
      </c>
      <c r="S1051" s="10"/>
      <c r="T1051" s="1"/>
      <c r="V1051" s="11"/>
      <c r="W1051" s="12"/>
      <c r="X1051" s="12"/>
      <c r="Y1051" s="11"/>
      <c r="Z1051" s="11"/>
      <c r="AA1051" s="11"/>
    </row>
    <row r="1052" spans="1:27" ht="13" x14ac:dyDescent="0.15">
      <c r="A1052" s="7"/>
      <c r="G1052" s="8"/>
      <c r="H1052" s="8"/>
      <c r="I1052" s="8"/>
      <c r="M1052" s="8"/>
      <c r="R1052" s="10" t="str">
        <f ca="1">IFERROR(__xludf.DUMMYFUNCTION("JOIN("","", SORT(UNIQUE(TOCOL({VLOOKUP(D1052,DM_fish!A:B,2,FALSE),VLOOKUP(C1052,DM_fish!A:B,2,FALSE), ARRAYFORMULA(VLOOKUP(SPLIT(E1052, "", ""),Injections!B:G,6,FALSE)), ARRAYFORMULA(VLOOKUP(SPLIT(F1052, "", ""),Injections!H:M,6,FALSE)), ARRAYFORMULA(VLOO"&amp;"KUP(SPLIT(G1052, "", ""),Injections!N:S,6,FALSE)), ARRAYFORMULA(VLOOKUP(SPLIT(H1052, "", ""),Injections!T:Y,6,FALSE)) },3))))"),"")</f>
        <v/>
      </c>
      <c r="S1052" s="10"/>
      <c r="T1052" s="1"/>
      <c r="V1052" s="11"/>
      <c r="W1052" s="12"/>
      <c r="X1052" s="12"/>
      <c r="Y1052" s="11"/>
      <c r="Z1052" s="11"/>
      <c r="AA1052" s="11"/>
    </row>
    <row r="1053" spans="1:27" ht="13" x14ac:dyDescent="0.15">
      <c r="A1053" s="7"/>
      <c r="G1053" s="8"/>
      <c r="H1053" s="8"/>
      <c r="I1053" s="8"/>
      <c r="M1053" s="8"/>
      <c r="R1053" s="10" t="str">
        <f ca="1">IFERROR(__xludf.DUMMYFUNCTION("JOIN("","", SORT(UNIQUE(TOCOL({VLOOKUP(D1053,DM_fish!A:B,2,FALSE),VLOOKUP(C1053,DM_fish!A:B,2,FALSE), ARRAYFORMULA(VLOOKUP(SPLIT(E1053, "", ""),Injections!B:G,6,FALSE)), ARRAYFORMULA(VLOOKUP(SPLIT(F1053, "", ""),Injections!H:M,6,FALSE)), ARRAYFORMULA(VLOO"&amp;"KUP(SPLIT(G1053, "", ""),Injections!N:S,6,FALSE)), ARRAYFORMULA(VLOOKUP(SPLIT(H1053, "", ""),Injections!T:Y,6,FALSE)) },3))))"),"")</f>
        <v/>
      </c>
      <c r="S1053" s="10"/>
      <c r="T1053" s="1"/>
      <c r="V1053" s="11"/>
      <c r="W1053" s="12"/>
      <c r="X1053" s="12"/>
      <c r="Y1053" s="11"/>
      <c r="Z1053" s="11"/>
      <c r="AA1053" s="11"/>
    </row>
    <row r="1054" spans="1:27" ht="13" x14ac:dyDescent="0.15">
      <c r="A1054" s="7"/>
      <c r="G1054" s="8"/>
      <c r="H1054" s="8"/>
      <c r="I1054" s="8"/>
      <c r="M1054" s="8"/>
      <c r="R1054" s="10" t="str">
        <f ca="1">IFERROR(__xludf.DUMMYFUNCTION("JOIN("","", SORT(UNIQUE(TOCOL({VLOOKUP(D1054,DM_fish!A:B,2,FALSE),VLOOKUP(C1054,DM_fish!A:B,2,FALSE), ARRAYFORMULA(VLOOKUP(SPLIT(E1054, "", ""),Injections!B:G,6,FALSE)), ARRAYFORMULA(VLOOKUP(SPLIT(F1054, "", ""),Injections!H:M,6,FALSE)), ARRAYFORMULA(VLOO"&amp;"KUP(SPLIT(G1054, "", ""),Injections!N:S,6,FALSE)), ARRAYFORMULA(VLOOKUP(SPLIT(H1054, "", ""),Injections!T:Y,6,FALSE)) },3))))"),"")</f>
        <v/>
      </c>
      <c r="S1054" s="10"/>
      <c r="T1054" s="1"/>
      <c r="V1054" s="11"/>
      <c r="W1054" s="12"/>
      <c r="X1054" s="12"/>
      <c r="Y1054" s="11"/>
      <c r="Z1054" s="11"/>
      <c r="AA1054" s="11"/>
    </row>
    <row r="1055" spans="1:27" ht="13" x14ac:dyDescent="0.15">
      <c r="A1055" s="7"/>
      <c r="G1055" s="8"/>
      <c r="H1055" s="8"/>
      <c r="I1055" s="8"/>
      <c r="M1055" s="8"/>
      <c r="R1055" s="10" t="str">
        <f ca="1">IFERROR(__xludf.DUMMYFUNCTION("JOIN("","", SORT(UNIQUE(TOCOL({VLOOKUP(D1055,DM_fish!A:B,2,FALSE),VLOOKUP(C1055,DM_fish!A:B,2,FALSE), ARRAYFORMULA(VLOOKUP(SPLIT(E1055, "", ""),Injections!B:G,6,FALSE)), ARRAYFORMULA(VLOOKUP(SPLIT(F1055, "", ""),Injections!H:M,6,FALSE)), ARRAYFORMULA(VLOO"&amp;"KUP(SPLIT(G1055, "", ""),Injections!N:S,6,FALSE)), ARRAYFORMULA(VLOOKUP(SPLIT(H1055, "", ""),Injections!T:Y,6,FALSE)) },3))))"),"")</f>
        <v/>
      </c>
      <c r="S1055" s="10"/>
      <c r="T1055" s="1"/>
      <c r="V1055" s="11"/>
      <c r="W1055" s="12"/>
      <c r="X1055" s="12"/>
      <c r="Y1055" s="11"/>
      <c r="Z1055" s="11"/>
      <c r="AA1055" s="11"/>
    </row>
    <row r="1056" spans="1:27" ht="13" x14ac:dyDescent="0.15">
      <c r="A1056" s="7"/>
      <c r="G1056" s="8"/>
      <c r="H1056" s="8"/>
      <c r="I1056" s="8"/>
      <c r="M1056" s="8"/>
      <c r="R1056" s="10" t="str">
        <f ca="1">IFERROR(__xludf.DUMMYFUNCTION("JOIN("","", SORT(UNIQUE(TOCOL({VLOOKUP(D1056,DM_fish!A:B,2,FALSE),VLOOKUP(C1056,DM_fish!A:B,2,FALSE), ARRAYFORMULA(VLOOKUP(SPLIT(E1056, "", ""),Injections!B:G,6,FALSE)), ARRAYFORMULA(VLOOKUP(SPLIT(F1056, "", ""),Injections!H:M,6,FALSE)), ARRAYFORMULA(VLOO"&amp;"KUP(SPLIT(G1056, "", ""),Injections!N:S,6,FALSE)), ARRAYFORMULA(VLOOKUP(SPLIT(H1056, "", ""),Injections!T:Y,6,FALSE)) },3))))"),"")</f>
        <v/>
      </c>
      <c r="S1056" s="10"/>
      <c r="T1056" s="1"/>
      <c r="V1056" s="11"/>
      <c r="W1056" s="12"/>
      <c r="X1056" s="12"/>
      <c r="Y1056" s="11"/>
      <c r="Z1056" s="11"/>
      <c r="AA1056" s="11"/>
    </row>
    <row r="1057" spans="1:27" ht="13" x14ac:dyDescent="0.15">
      <c r="A1057" s="7"/>
      <c r="G1057" s="8"/>
      <c r="H1057" s="8"/>
      <c r="I1057" s="8"/>
      <c r="M1057" s="8"/>
      <c r="R1057" s="10" t="str">
        <f ca="1">IFERROR(__xludf.DUMMYFUNCTION("JOIN("","", SORT(UNIQUE(TOCOL({VLOOKUP(D1057,DM_fish!A:B,2,FALSE),VLOOKUP(C1057,DM_fish!A:B,2,FALSE), ARRAYFORMULA(VLOOKUP(SPLIT(E1057, "", ""),Injections!B:G,6,FALSE)), ARRAYFORMULA(VLOOKUP(SPLIT(F1057, "", ""),Injections!H:M,6,FALSE)), ARRAYFORMULA(VLOO"&amp;"KUP(SPLIT(G1057, "", ""),Injections!N:S,6,FALSE)), ARRAYFORMULA(VLOOKUP(SPLIT(H1057, "", ""),Injections!T:Y,6,FALSE)) },3))))"),"")</f>
        <v/>
      </c>
      <c r="S1057" s="10"/>
      <c r="T1057" s="1"/>
      <c r="V1057" s="11"/>
      <c r="W1057" s="12"/>
      <c r="X1057" s="12"/>
      <c r="Y1057" s="11"/>
      <c r="Z1057" s="11"/>
      <c r="AA1057" s="11"/>
    </row>
    <row r="1058" spans="1:27" ht="13" x14ac:dyDescent="0.15">
      <c r="A1058" s="7"/>
      <c r="G1058" s="8"/>
      <c r="H1058" s="8"/>
      <c r="I1058" s="8"/>
      <c r="M1058" s="8"/>
      <c r="R1058" s="10" t="str">
        <f ca="1">IFERROR(__xludf.DUMMYFUNCTION("JOIN("","", SORT(UNIQUE(TOCOL({VLOOKUP(D1058,DM_fish!A:B,2,FALSE),VLOOKUP(C1058,DM_fish!A:B,2,FALSE), ARRAYFORMULA(VLOOKUP(SPLIT(E1058, "", ""),Injections!B:G,6,FALSE)), ARRAYFORMULA(VLOOKUP(SPLIT(F1058, "", ""),Injections!H:M,6,FALSE)), ARRAYFORMULA(VLOO"&amp;"KUP(SPLIT(G1058, "", ""),Injections!N:S,6,FALSE)), ARRAYFORMULA(VLOOKUP(SPLIT(H1058, "", ""),Injections!T:Y,6,FALSE)) },3))))"),"")</f>
        <v/>
      </c>
      <c r="S1058" s="10"/>
      <c r="T1058" s="1"/>
      <c r="V1058" s="11"/>
      <c r="W1058" s="12"/>
      <c r="X1058" s="12"/>
      <c r="Y1058" s="11"/>
      <c r="Z1058" s="11"/>
      <c r="AA1058" s="11"/>
    </row>
    <row r="1059" spans="1:27" ht="13" x14ac:dyDescent="0.15">
      <c r="A1059" s="7"/>
      <c r="G1059" s="8"/>
      <c r="H1059" s="8"/>
      <c r="I1059" s="8"/>
      <c r="M1059" s="8"/>
      <c r="R1059" s="10" t="str">
        <f ca="1">IFERROR(__xludf.DUMMYFUNCTION("JOIN("","", SORT(UNIQUE(TOCOL({VLOOKUP(D1059,DM_fish!A:B,2,FALSE),VLOOKUP(C1059,DM_fish!A:B,2,FALSE), ARRAYFORMULA(VLOOKUP(SPLIT(E1059, "", ""),Injections!B:G,6,FALSE)), ARRAYFORMULA(VLOOKUP(SPLIT(F1059, "", ""),Injections!H:M,6,FALSE)), ARRAYFORMULA(VLOO"&amp;"KUP(SPLIT(G1059, "", ""),Injections!N:S,6,FALSE)), ARRAYFORMULA(VLOOKUP(SPLIT(H1059, "", ""),Injections!T:Y,6,FALSE)) },3))))"),"")</f>
        <v/>
      </c>
      <c r="S1059" s="10"/>
      <c r="T1059" s="1"/>
      <c r="V1059" s="11"/>
      <c r="W1059" s="12"/>
      <c r="X1059" s="12"/>
      <c r="Y1059" s="11"/>
      <c r="Z1059" s="11"/>
      <c r="AA1059" s="11"/>
    </row>
    <row r="1060" spans="1:27" ht="13" x14ac:dyDescent="0.15">
      <c r="A1060" s="7"/>
      <c r="G1060" s="8"/>
      <c r="H1060" s="8"/>
      <c r="I1060" s="8"/>
      <c r="M1060" s="8"/>
      <c r="R1060" s="10" t="str">
        <f ca="1">IFERROR(__xludf.DUMMYFUNCTION("JOIN("","", SORT(UNIQUE(TOCOL({VLOOKUP(D1060,DM_fish!A:B,2,FALSE),VLOOKUP(C1060,DM_fish!A:B,2,FALSE), ARRAYFORMULA(VLOOKUP(SPLIT(E1060, "", ""),Injections!B:G,6,FALSE)), ARRAYFORMULA(VLOOKUP(SPLIT(F1060, "", ""),Injections!H:M,6,FALSE)), ARRAYFORMULA(VLOO"&amp;"KUP(SPLIT(G1060, "", ""),Injections!N:S,6,FALSE)), ARRAYFORMULA(VLOOKUP(SPLIT(H1060, "", ""),Injections!T:Y,6,FALSE)) },3))))"),"")</f>
        <v/>
      </c>
      <c r="S1060" s="10"/>
      <c r="T1060" s="1"/>
      <c r="V1060" s="11"/>
      <c r="W1060" s="12"/>
      <c r="X1060" s="12"/>
      <c r="Y1060" s="11"/>
      <c r="Z1060" s="11"/>
      <c r="AA1060" s="11"/>
    </row>
    <row r="1061" spans="1:27" ht="13" x14ac:dyDescent="0.15">
      <c r="A1061" s="7"/>
      <c r="G1061" s="8"/>
      <c r="H1061" s="8"/>
      <c r="I1061" s="8"/>
      <c r="M1061" s="8"/>
      <c r="R1061" s="10" t="str">
        <f ca="1">IFERROR(__xludf.DUMMYFUNCTION("JOIN("","", SORT(UNIQUE(TOCOL({VLOOKUP(D1061,DM_fish!A:B,2,FALSE),VLOOKUP(C1061,DM_fish!A:B,2,FALSE), ARRAYFORMULA(VLOOKUP(SPLIT(E1061, "", ""),Injections!B:G,6,FALSE)), ARRAYFORMULA(VLOOKUP(SPLIT(F1061, "", ""),Injections!H:M,6,FALSE)), ARRAYFORMULA(VLOO"&amp;"KUP(SPLIT(G1061, "", ""),Injections!N:S,6,FALSE)), ARRAYFORMULA(VLOOKUP(SPLIT(H1061, "", ""),Injections!T:Y,6,FALSE)) },3))))"),"")</f>
        <v/>
      </c>
      <c r="S1061" s="10"/>
      <c r="T1061" s="1"/>
      <c r="V1061" s="11"/>
      <c r="W1061" s="12"/>
      <c r="X1061" s="12"/>
      <c r="Y1061" s="11"/>
      <c r="Z1061" s="11"/>
      <c r="AA1061" s="11"/>
    </row>
    <row r="1062" spans="1:27" ht="13" x14ac:dyDescent="0.15">
      <c r="A1062" s="7"/>
      <c r="G1062" s="8"/>
      <c r="H1062" s="8"/>
      <c r="I1062" s="8"/>
      <c r="M1062" s="8"/>
      <c r="R1062" s="10" t="str">
        <f ca="1">IFERROR(__xludf.DUMMYFUNCTION("JOIN("","", SORT(UNIQUE(TOCOL({VLOOKUP(D1062,DM_fish!A:B,2,FALSE),VLOOKUP(C1062,DM_fish!A:B,2,FALSE), ARRAYFORMULA(VLOOKUP(SPLIT(E1062, "", ""),Injections!B:G,6,FALSE)), ARRAYFORMULA(VLOOKUP(SPLIT(F1062, "", ""),Injections!H:M,6,FALSE)), ARRAYFORMULA(VLOO"&amp;"KUP(SPLIT(G1062, "", ""),Injections!N:S,6,FALSE)), ARRAYFORMULA(VLOOKUP(SPLIT(H1062, "", ""),Injections!T:Y,6,FALSE)) },3))))"),"")</f>
        <v/>
      </c>
      <c r="S1062" s="10"/>
      <c r="T1062" s="1"/>
      <c r="V1062" s="11"/>
      <c r="W1062" s="12"/>
      <c r="X1062" s="12"/>
      <c r="Y1062" s="11"/>
      <c r="Z1062" s="11"/>
      <c r="AA1062" s="11"/>
    </row>
    <row r="1063" spans="1:27" ht="13" x14ac:dyDescent="0.15">
      <c r="A1063" s="7"/>
      <c r="G1063" s="8"/>
      <c r="H1063" s="8"/>
      <c r="I1063" s="8"/>
      <c r="M1063" s="8"/>
      <c r="R1063" s="10" t="str">
        <f ca="1">IFERROR(__xludf.DUMMYFUNCTION("JOIN("","", SORT(UNIQUE(TOCOL({VLOOKUP(D1063,DM_fish!A:B,2,FALSE),VLOOKUP(C1063,DM_fish!A:B,2,FALSE), ARRAYFORMULA(VLOOKUP(SPLIT(E1063, "", ""),Injections!B:G,6,FALSE)), ARRAYFORMULA(VLOOKUP(SPLIT(F1063, "", ""),Injections!H:M,6,FALSE)), ARRAYFORMULA(VLOO"&amp;"KUP(SPLIT(G1063, "", ""),Injections!N:S,6,FALSE)), ARRAYFORMULA(VLOOKUP(SPLIT(H1063, "", ""),Injections!T:Y,6,FALSE)) },3))))"),"")</f>
        <v/>
      </c>
      <c r="S1063" s="10"/>
      <c r="T1063" s="1"/>
      <c r="V1063" s="11"/>
      <c r="W1063" s="12"/>
      <c r="X1063" s="12"/>
      <c r="Y1063" s="11"/>
      <c r="Z1063" s="11"/>
      <c r="AA1063" s="11"/>
    </row>
    <row r="1064" spans="1:27" ht="13" x14ac:dyDescent="0.15">
      <c r="A1064" s="7"/>
      <c r="G1064" s="8"/>
      <c r="H1064" s="8"/>
      <c r="I1064" s="8"/>
      <c r="M1064" s="8"/>
      <c r="R1064" s="10" t="str">
        <f ca="1">IFERROR(__xludf.DUMMYFUNCTION("JOIN("","", SORT(UNIQUE(TOCOL({VLOOKUP(D1064,DM_fish!A:B,2,FALSE),VLOOKUP(C1064,DM_fish!A:B,2,FALSE), ARRAYFORMULA(VLOOKUP(SPLIT(E1064, "", ""),Injections!B:G,6,FALSE)), ARRAYFORMULA(VLOOKUP(SPLIT(F1064, "", ""),Injections!H:M,6,FALSE)), ARRAYFORMULA(VLOO"&amp;"KUP(SPLIT(G1064, "", ""),Injections!N:S,6,FALSE)), ARRAYFORMULA(VLOOKUP(SPLIT(H1064, "", ""),Injections!T:Y,6,FALSE)) },3))))"),"")</f>
        <v/>
      </c>
      <c r="S1064" s="10"/>
      <c r="T1064" s="1"/>
      <c r="V1064" s="11"/>
      <c r="W1064" s="12"/>
      <c r="X1064" s="12"/>
      <c r="Y1064" s="11"/>
      <c r="Z1064" s="11"/>
      <c r="AA1064" s="11"/>
    </row>
    <row r="1065" spans="1:27" ht="13" x14ac:dyDescent="0.15">
      <c r="A1065" s="7"/>
      <c r="G1065" s="8"/>
      <c r="H1065" s="8"/>
      <c r="I1065" s="8"/>
      <c r="M1065" s="8"/>
      <c r="R1065" s="10" t="str">
        <f ca="1">IFERROR(__xludf.DUMMYFUNCTION("JOIN("","", SORT(UNIQUE(TOCOL({VLOOKUP(D1065,DM_fish!A:B,2,FALSE),VLOOKUP(C1065,DM_fish!A:B,2,FALSE), ARRAYFORMULA(VLOOKUP(SPLIT(E1065, "", ""),Injections!B:G,6,FALSE)), ARRAYFORMULA(VLOOKUP(SPLIT(F1065, "", ""),Injections!H:M,6,FALSE)), ARRAYFORMULA(VLOO"&amp;"KUP(SPLIT(G1065, "", ""),Injections!N:S,6,FALSE)), ARRAYFORMULA(VLOOKUP(SPLIT(H1065, "", ""),Injections!T:Y,6,FALSE)) },3))))"),"")</f>
        <v/>
      </c>
      <c r="S1065" s="10"/>
      <c r="T1065" s="1"/>
      <c r="V1065" s="11"/>
      <c r="W1065" s="12"/>
      <c r="X1065" s="12"/>
      <c r="Y1065" s="11"/>
      <c r="Z1065" s="11"/>
      <c r="AA1065" s="11"/>
    </row>
    <row r="1066" spans="1:27" ht="13" x14ac:dyDescent="0.15">
      <c r="A1066" s="7"/>
      <c r="G1066" s="8"/>
      <c r="H1066" s="8"/>
      <c r="I1066" s="8"/>
      <c r="M1066" s="8"/>
      <c r="R1066" s="10" t="str">
        <f ca="1">IFERROR(__xludf.DUMMYFUNCTION("JOIN("","", SORT(UNIQUE(TOCOL({VLOOKUP(D1066,DM_fish!A:B,2,FALSE),VLOOKUP(C1066,DM_fish!A:B,2,FALSE), ARRAYFORMULA(VLOOKUP(SPLIT(E1066, "", ""),Injections!B:G,6,FALSE)), ARRAYFORMULA(VLOOKUP(SPLIT(F1066, "", ""),Injections!H:M,6,FALSE)), ARRAYFORMULA(VLOO"&amp;"KUP(SPLIT(G1066, "", ""),Injections!N:S,6,FALSE)), ARRAYFORMULA(VLOOKUP(SPLIT(H1066, "", ""),Injections!T:Y,6,FALSE)) },3))))"),"")</f>
        <v/>
      </c>
      <c r="S1066" s="10"/>
      <c r="T1066" s="1"/>
      <c r="V1066" s="11"/>
      <c r="W1066" s="12"/>
      <c r="X1066" s="12"/>
      <c r="Y1066" s="11"/>
      <c r="Z1066" s="11"/>
      <c r="AA1066" s="11"/>
    </row>
    <row r="1067" spans="1:27" ht="13" x14ac:dyDescent="0.15">
      <c r="A1067" s="7"/>
      <c r="G1067" s="8"/>
      <c r="H1067" s="8"/>
      <c r="I1067" s="8"/>
      <c r="M1067" s="8"/>
      <c r="R1067" s="10" t="str">
        <f ca="1">IFERROR(__xludf.DUMMYFUNCTION("JOIN("","", SORT(UNIQUE(TOCOL({VLOOKUP(D1067,DM_fish!A:B,2,FALSE),VLOOKUP(C1067,DM_fish!A:B,2,FALSE), ARRAYFORMULA(VLOOKUP(SPLIT(E1067, "", ""),Injections!B:G,6,FALSE)), ARRAYFORMULA(VLOOKUP(SPLIT(F1067, "", ""),Injections!H:M,6,FALSE)), ARRAYFORMULA(VLOO"&amp;"KUP(SPLIT(G1067, "", ""),Injections!N:S,6,FALSE)), ARRAYFORMULA(VLOOKUP(SPLIT(H1067, "", ""),Injections!T:Y,6,FALSE)) },3))))"),"")</f>
        <v/>
      </c>
      <c r="S1067" s="10"/>
      <c r="T1067" s="1"/>
      <c r="V1067" s="11"/>
      <c r="W1067" s="12"/>
      <c r="X1067" s="12"/>
      <c r="Y1067" s="11"/>
      <c r="Z1067" s="11"/>
      <c r="AA1067" s="11"/>
    </row>
    <row r="1068" spans="1:27" ht="13" x14ac:dyDescent="0.15">
      <c r="A1068" s="7"/>
      <c r="G1068" s="8"/>
      <c r="H1068" s="8"/>
      <c r="I1068" s="8"/>
      <c r="M1068" s="8"/>
      <c r="R1068" s="10" t="str">
        <f ca="1">IFERROR(__xludf.DUMMYFUNCTION("JOIN("","", SORT(UNIQUE(TOCOL({VLOOKUP(D1068,DM_fish!A:B,2,FALSE),VLOOKUP(C1068,DM_fish!A:B,2,FALSE), ARRAYFORMULA(VLOOKUP(SPLIT(E1068, "", ""),Injections!B:G,6,FALSE)), ARRAYFORMULA(VLOOKUP(SPLIT(F1068, "", ""),Injections!H:M,6,FALSE)), ARRAYFORMULA(VLOO"&amp;"KUP(SPLIT(G1068, "", ""),Injections!N:S,6,FALSE)), ARRAYFORMULA(VLOOKUP(SPLIT(H1068, "", ""),Injections!T:Y,6,FALSE)) },3))))"),"")</f>
        <v/>
      </c>
      <c r="S1068" s="10"/>
      <c r="T1068" s="1"/>
      <c r="V1068" s="11"/>
      <c r="W1068" s="12"/>
      <c r="X1068" s="12"/>
      <c r="Y1068" s="11"/>
      <c r="Z1068" s="11"/>
      <c r="AA1068" s="11"/>
    </row>
    <row r="1069" spans="1:27" ht="13" x14ac:dyDescent="0.15">
      <c r="A1069" s="7"/>
      <c r="G1069" s="8"/>
      <c r="H1069" s="8"/>
      <c r="I1069" s="8"/>
      <c r="M1069" s="8"/>
      <c r="R1069" s="10" t="str">
        <f ca="1">IFERROR(__xludf.DUMMYFUNCTION("JOIN("","", SORT(UNIQUE(TOCOL({VLOOKUP(D1069,DM_fish!A:B,2,FALSE),VLOOKUP(C1069,DM_fish!A:B,2,FALSE), ARRAYFORMULA(VLOOKUP(SPLIT(E1069, "", ""),Injections!B:G,6,FALSE)), ARRAYFORMULA(VLOOKUP(SPLIT(F1069, "", ""),Injections!H:M,6,FALSE)), ARRAYFORMULA(VLOO"&amp;"KUP(SPLIT(G1069, "", ""),Injections!N:S,6,FALSE)), ARRAYFORMULA(VLOOKUP(SPLIT(H1069, "", ""),Injections!T:Y,6,FALSE)) },3))))"),"")</f>
        <v/>
      </c>
      <c r="S1069" s="10"/>
      <c r="T1069" s="1"/>
      <c r="V1069" s="11"/>
      <c r="W1069" s="12"/>
      <c r="X1069" s="12"/>
      <c r="Y1069" s="11"/>
      <c r="Z1069" s="11"/>
      <c r="AA1069" s="11"/>
    </row>
    <row r="1070" spans="1:27" ht="13" x14ac:dyDescent="0.15">
      <c r="A1070" s="7"/>
      <c r="G1070" s="8"/>
      <c r="H1070" s="8"/>
      <c r="I1070" s="8"/>
      <c r="M1070" s="8"/>
      <c r="R1070" s="10" t="str">
        <f ca="1">IFERROR(__xludf.DUMMYFUNCTION("JOIN("","", SORT(UNIQUE(TOCOL({VLOOKUP(D1070,DM_fish!A:B,2,FALSE),VLOOKUP(C1070,DM_fish!A:B,2,FALSE), ARRAYFORMULA(VLOOKUP(SPLIT(E1070, "", ""),Injections!B:G,6,FALSE)), ARRAYFORMULA(VLOOKUP(SPLIT(F1070, "", ""),Injections!H:M,6,FALSE)), ARRAYFORMULA(VLOO"&amp;"KUP(SPLIT(G1070, "", ""),Injections!N:S,6,FALSE)), ARRAYFORMULA(VLOOKUP(SPLIT(H1070, "", ""),Injections!T:Y,6,FALSE)) },3))))"),"")</f>
        <v/>
      </c>
      <c r="S1070" s="10"/>
      <c r="T1070" s="1"/>
      <c r="V1070" s="11"/>
      <c r="W1070" s="12"/>
      <c r="X1070" s="12"/>
      <c r="Y1070" s="11"/>
      <c r="Z1070" s="11"/>
      <c r="AA1070" s="11"/>
    </row>
    <row r="1071" spans="1:27" ht="13" x14ac:dyDescent="0.15">
      <c r="A1071" s="7"/>
      <c r="G1071" s="8"/>
      <c r="H1071" s="8"/>
      <c r="I1071" s="8"/>
      <c r="M1071" s="8"/>
      <c r="R1071" s="10" t="str">
        <f ca="1">IFERROR(__xludf.DUMMYFUNCTION("JOIN("","", SORT(UNIQUE(TOCOL({VLOOKUP(D1071,DM_fish!A:B,2,FALSE),VLOOKUP(C1071,DM_fish!A:B,2,FALSE), ARRAYFORMULA(VLOOKUP(SPLIT(E1071, "", ""),Injections!B:G,6,FALSE)), ARRAYFORMULA(VLOOKUP(SPLIT(F1071, "", ""),Injections!H:M,6,FALSE)), ARRAYFORMULA(VLOO"&amp;"KUP(SPLIT(G1071, "", ""),Injections!N:S,6,FALSE)), ARRAYFORMULA(VLOOKUP(SPLIT(H1071, "", ""),Injections!T:Y,6,FALSE)) },3))))"),"")</f>
        <v/>
      </c>
      <c r="S1071" s="10"/>
      <c r="T1071" s="1"/>
      <c r="V1071" s="11"/>
      <c r="W1071" s="12"/>
      <c r="X1071" s="12"/>
      <c r="Y1071" s="11"/>
      <c r="Z1071" s="11"/>
      <c r="AA1071" s="11"/>
    </row>
    <row r="1072" spans="1:27" ht="13" x14ac:dyDescent="0.15">
      <c r="A1072" s="7"/>
      <c r="G1072" s="8"/>
      <c r="H1072" s="8"/>
      <c r="I1072" s="8"/>
      <c r="M1072" s="8"/>
      <c r="R1072" s="10" t="str">
        <f ca="1">IFERROR(__xludf.DUMMYFUNCTION("JOIN("","", SORT(UNIQUE(TOCOL({VLOOKUP(D1072,DM_fish!A:B,2,FALSE),VLOOKUP(C1072,DM_fish!A:B,2,FALSE), ARRAYFORMULA(VLOOKUP(SPLIT(E1072, "", ""),Injections!B:G,6,FALSE)), ARRAYFORMULA(VLOOKUP(SPLIT(F1072, "", ""),Injections!H:M,6,FALSE)), ARRAYFORMULA(VLOO"&amp;"KUP(SPLIT(G1072, "", ""),Injections!N:S,6,FALSE)), ARRAYFORMULA(VLOOKUP(SPLIT(H1072, "", ""),Injections!T:Y,6,FALSE)) },3))))"),"")</f>
        <v/>
      </c>
      <c r="S1072" s="10"/>
      <c r="T1072" s="1"/>
      <c r="V1072" s="11"/>
      <c r="W1072" s="12"/>
      <c r="X1072" s="12"/>
      <c r="Y1072" s="11"/>
      <c r="Z1072" s="11"/>
      <c r="AA1072" s="11"/>
    </row>
    <row r="1073" spans="1:27" ht="13" x14ac:dyDescent="0.15">
      <c r="A1073" s="7"/>
      <c r="G1073" s="8"/>
      <c r="H1073" s="8"/>
      <c r="I1073" s="8"/>
      <c r="M1073" s="8"/>
      <c r="R1073" s="10" t="str">
        <f ca="1">IFERROR(__xludf.DUMMYFUNCTION("JOIN("","", SORT(UNIQUE(TOCOL({VLOOKUP(D1073,DM_fish!A:B,2,FALSE),VLOOKUP(C1073,DM_fish!A:B,2,FALSE), ARRAYFORMULA(VLOOKUP(SPLIT(E1073, "", ""),Injections!B:G,6,FALSE)), ARRAYFORMULA(VLOOKUP(SPLIT(F1073, "", ""),Injections!H:M,6,FALSE)), ARRAYFORMULA(VLOO"&amp;"KUP(SPLIT(G1073, "", ""),Injections!N:S,6,FALSE)), ARRAYFORMULA(VLOOKUP(SPLIT(H1073, "", ""),Injections!T:Y,6,FALSE)) },3))))"),"")</f>
        <v/>
      </c>
      <c r="S1073" s="10"/>
      <c r="T1073" s="1"/>
      <c r="V1073" s="11"/>
      <c r="W1073" s="12"/>
      <c r="X1073" s="12"/>
      <c r="Y1073" s="11"/>
      <c r="Z1073" s="11"/>
      <c r="AA1073" s="11"/>
    </row>
    <row r="1074" spans="1:27" ht="13" x14ac:dyDescent="0.15">
      <c r="A1074" s="7"/>
      <c r="G1074" s="8"/>
      <c r="H1074" s="8"/>
      <c r="I1074" s="8"/>
      <c r="M1074" s="8"/>
      <c r="R1074" s="10" t="str">
        <f ca="1">IFERROR(__xludf.DUMMYFUNCTION("JOIN("","", SORT(UNIQUE(TOCOL({VLOOKUP(D1074,DM_fish!A:B,2,FALSE),VLOOKUP(C1074,DM_fish!A:B,2,FALSE), ARRAYFORMULA(VLOOKUP(SPLIT(E1074, "", ""),Injections!B:G,6,FALSE)), ARRAYFORMULA(VLOOKUP(SPLIT(F1074, "", ""),Injections!H:M,6,FALSE)), ARRAYFORMULA(VLOO"&amp;"KUP(SPLIT(G1074, "", ""),Injections!N:S,6,FALSE)), ARRAYFORMULA(VLOOKUP(SPLIT(H1074, "", ""),Injections!T:Y,6,FALSE)) },3))))"),"")</f>
        <v/>
      </c>
      <c r="S1074" s="10"/>
      <c r="T1074" s="1"/>
      <c r="V1074" s="11"/>
      <c r="W1074" s="12"/>
      <c r="X1074" s="12"/>
      <c r="Y1074" s="11"/>
      <c r="Z1074" s="11"/>
      <c r="AA1074" s="11"/>
    </row>
    <row r="1075" spans="1:27" ht="13" x14ac:dyDescent="0.15">
      <c r="A1075" s="7"/>
      <c r="G1075" s="8"/>
      <c r="H1075" s="8"/>
      <c r="I1075" s="8"/>
      <c r="M1075" s="8"/>
      <c r="R1075" s="10" t="str">
        <f ca="1">IFERROR(__xludf.DUMMYFUNCTION("JOIN("","", SORT(UNIQUE(TOCOL({VLOOKUP(D1075,DM_fish!A:B,2,FALSE),VLOOKUP(C1075,DM_fish!A:B,2,FALSE), ARRAYFORMULA(VLOOKUP(SPLIT(E1075, "", ""),Injections!B:G,6,FALSE)), ARRAYFORMULA(VLOOKUP(SPLIT(F1075, "", ""),Injections!H:M,6,FALSE)), ARRAYFORMULA(VLOO"&amp;"KUP(SPLIT(G1075, "", ""),Injections!N:S,6,FALSE)), ARRAYFORMULA(VLOOKUP(SPLIT(H1075, "", ""),Injections!T:Y,6,FALSE)) },3))))"),"")</f>
        <v/>
      </c>
      <c r="S1075" s="10"/>
      <c r="T1075" s="1"/>
      <c r="V1075" s="11"/>
      <c r="W1075" s="12"/>
      <c r="X1075" s="12"/>
      <c r="Y1075" s="11"/>
      <c r="Z1075" s="11"/>
      <c r="AA1075" s="11"/>
    </row>
    <row r="1076" spans="1:27" ht="13" x14ac:dyDescent="0.15">
      <c r="A1076" s="7"/>
      <c r="G1076" s="8"/>
      <c r="H1076" s="8"/>
      <c r="I1076" s="8"/>
      <c r="M1076" s="8"/>
      <c r="R1076" s="10" t="str">
        <f ca="1">IFERROR(__xludf.DUMMYFUNCTION("JOIN("","", SORT(UNIQUE(TOCOL({VLOOKUP(D1076,DM_fish!A:B,2,FALSE),VLOOKUP(C1076,DM_fish!A:B,2,FALSE), ARRAYFORMULA(VLOOKUP(SPLIT(E1076, "", ""),Injections!B:G,6,FALSE)), ARRAYFORMULA(VLOOKUP(SPLIT(F1076, "", ""),Injections!H:M,6,FALSE)), ARRAYFORMULA(VLOO"&amp;"KUP(SPLIT(G1076, "", ""),Injections!N:S,6,FALSE)), ARRAYFORMULA(VLOOKUP(SPLIT(H1076, "", ""),Injections!T:Y,6,FALSE)) },3))))"),"")</f>
        <v/>
      </c>
      <c r="S1076" s="10"/>
      <c r="T1076" s="1"/>
      <c r="V1076" s="11"/>
      <c r="W1076" s="12"/>
      <c r="X1076" s="12"/>
      <c r="Y1076" s="11"/>
      <c r="Z1076" s="11"/>
      <c r="AA1076" s="11"/>
    </row>
    <row r="1077" spans="1:27" ht="13" x14ac:dyDescent="0.15">
      <c r="A1077" s="7"/>
      <c r="G1077" s="8"/>
      <c r="H1077" s="8"/>
      <c r="I1077" s="8"/>
      <c r="M1077" s="8"/>
      <c r="R1077" s="10" t="str">
        <f ca="1">IFERROR(__xludf.DUMMYFUNCTION("JOIN("","", SORT(UNIQUE(TOCOL({VLOOKUP(D1077,DM_fish!A:B,2,FALSE),VLOOKUP(C1077,DM_fish!A:B,2,FALSE), ARRAYFORMULA(VLOOKUP(SPLIT(E1077, "", ""),Injections!B:G,6,FALSE)), ARRAYFORMULA(VLOOKUP(SPLIT(F1077, "", ""),Injections!H:M,6,FALSE)), ARRAYFORMULA(VLOO"&amp;"KUP(SPLIT(G1077, "", ""),Injections!N:S,6,FALSE)), ARRAYFORMULA(VLOOKUP(SPLIT(H1077, "", ""),Injections!T:Y,6,FALSE)) },3))))"),"")</f>
        <v/>
      </c>
      <c r="S1077" s="10"/>
      <c r="T1077" s="1"/>
      <c r="V1077" s="11"/>
      <c r="W1077" s="12"/>
      <c r="X1077" s="12"/>
      <c r="Y1077" s="11"/>
      <c r="Z1077" s="11"/>
      <c r="AA1077" s="11"/>
    </row>
    <row r="1078" spans="1:27" ht="13" x14ac:dyDescent="0.15">
      <c r="A1078" s="7"/>
      <c r="G1078" s="8"/>
      <c r="H1078" s="8"/>
      <c r="I1078" s="8"/>
      <c r="M1078" s="8"/>
      <c r="R1078" s="10" t="str">
        <f ca="1">IFERROR(__xludf.DUMMYFUNCTION("JOIN("","", SORT(UNIQUE(TOCOL({VLOOKUP(D1078,DM_fish!A:B,2,FALSE),VLOOKUP(C1078,DM_fish!A:B,2,FALSE), ARRAYFORMULA(VLOOKUP(SPLIT(E1078, "", ""),Injections!B:G,6,FALSE)), ARRAYFORMULA(VLOOKUP(SPLIT(F1078, "", ""),Injections!H:M,6,FALSE)), ARRAYFORMULA(VLOO"&amp;"KUP(SPLIT(G1078, "", ""),Injections!N:S,6,FALSE)), ARRAYFORMULA(VLOOKUP(SPLIT(H1078, "", ""),Injections!T:Y,6,FALSE)) },3))))"),"")</f>
        <v/>
      </c>
      <c r="S1078" s="10"/>
      <c r="T1078" s="1"/>
      <c r="V1078" s="11"/>
      <c r="W1078" s="12"/>
      <c r="X1078" s="12"/>
      <c r="Y1078" s="11"/>
      <c r="Z1078" s="11"/>
      <c r="AA1078" s="11"/>
    </row>
    <row r="1079" spans="1:27" ht="13" x14ac:dyDescent="0.15">
      <c r="A1079" s="7"/>
      <c r="G1079" s="8"/>
      <c r="H1079" s="8"/>
      <c r="I1079" s="8"/>
      <c r="M1079" s="8"/>
      <c r="R1079" s="10" t="str">
        <f ca="1">IFERROR(__xludf.DUMMYFUNCTION("JOIN("","", SORT(UNIQUE(TOCOL({VLOOKUP(D1079,DM_fish!A:B,2,FALSE),VLOOKUP(C1079,DM_fish!A:B,2,FALSE), ARRAYFORMULA(VLOOKUP(SPLIT(E1079, "", ""),Injections!B:G,6,FALSE)), ARRAYFORMULA(VLOOKUP(SPLIT(F1079, "", ""),Injections!H:M,6,FALSE)), ARRAYFORMULA(VLOO"&amp;"KUP(SPLIT(G1079, "", ""),Injections!N:S,6,FALSE)), ARRAYFORMULA(VLOOKUP(SPLIT(H1079, "", ""),Injections!T:Y,6,FALSE)) },3))))"),"")</f>
        <v/>
      </c>
      <c r="S1079" s="10"/>
      <c r="T1079" s="1"/>
      <c r="V1079" s="11"/>
      <c r="W1079" s="12"/>
      <c r="X1079" s="12"/>
      <c r="Y1079" s="11"/>
      <c r="Z1079" s="11"/>
      <c r="AA1079" s="11"/>
    </row>
    <row r="1080" spans="1:27" ht="13" x14ac:dyDescent="0.15">
      <c r="A1080" s="7"/>
      <c r="G1080" s="8"/>
      <c r="H1080" s="8"/>
      <c r="I1080" s="8"/>
      <c r="M1080" s="8"/>
      <c r="R1080" s="10" t="str">
        <f ca="1">IFERROR(__xludf.DUMMYFUNCTION("JOIN("","", SORT(UNIQUE(TOCOL({VLOOKUP(D1080,DM_fish!A:B,2,FALSE),VLOOKUP(C1080,DM_fish!A:B,2,FALSE), ARRAYFORMULA(VLOOKUP(SPLIT(E1080, "", ""),Injections!B:G,6,FALSE)), ARRAYFORMULA(VLOOKUP(SPLIT(F1080, "", ""),Injections!H:M,6,FALSE)), ARRAYFORMULA(VLOO"&amp;"KUP(SPLIT(G1080, "", ""),Injections!N:S,6,FALSE)), ARRAYFORMULA(VLOOKUP(SPLIT(H1080, "", ""),Injections!T:Y,6,FALSE)) },3))))"),"")</f>
        <v/>
      </c>
      <c r="S1080" s="10"/>
      <c r="T1080" s="1"/>
      <c r="V1080" s="11"/>
      <c r="W1080" s="12"/>
      <c r="X1080" s="12"/>
      <c r="Y1080" s="11"/>
      <c r="Z1080" s="11"/>
      <c r="AA1080" s="11"/>
    </row>
    <row r="1081" spans="1:27" ht="13" x14ac:dyDescent="0.15">
      <c r="A1081" s="7"/>
      <c r="G1081" s="8"/>
      <c r="H1081" s="8"/>
      <c r="I1081" s="8"/>
      <c r="M1081" s="8"/>
      <c r="R1081" s="10" t="str">
        <f ca="1">IFERROR(__xludf.DUMMYFUNCTION("JOIN("","", SORT(UNIQUE(TOCOL({VLOOKUP(D1081,DM_fish!A:B,2,FALSE),VLOOKUP(C1081,DM_fish!A:B,2,FALSE), ARRAYFORMULA(VLOOKUP(SPLIT(E1081, "", ""),Injections!B:G,6,FALSE)), ARRAYFORMULA(VLOOKUP(SPLIT(F1081, "", ""),Injections!H:M,6,FALSE)), ARRAYFORMULA(VLOO"&amp;"KUP(SPLIT(G1081, "", ""),Injections!N:S,6,FALSE)), ARRAYFORMULA(VLOOKUP(SPLIT(H1081, "", ""),Injections!T:Y,6,FALSE)) },3))))"),"")</f>
        <v/>
      </c>
      <c r="S1081" s="10"/>
      <c r="T1081" s="1"/>
      <c r="V1081" s="11"/>
      <c r="W1081" s="12"/>
      <c r="X1081" s="12"/>
      <c r="Y1081" s="11"/>
      <c r="Z1081" s="11"/>
      <c r="AA1081" s="11"/>
    </row>
    <row r="1082" spans="1:27" ht="13" x14ac:dyDescent="0.15">
      <c r="A1082" s="7"/>
      <c r="G1082" s="8"/>
      <c r="H1082" s="8"/>
      <c r="I1082" s="8"/>
      <c r="M1082" s="8"/>
      <c r="R1082" s="10" t="str">
        <f ca="1">IFERROR(__xludf.DUMMYFUNCTION("JOIN("","", SORT(UNIQUE(TOCOL({VLOOKUP(D1082,DM_fish!A:B,2,FALSE),VLOOKUP(C1082,DM_fish!A:B,2,FALSE), ARRAYFORMULA(VLOOKUP(SPLIT(E1082, "", ""),Injections!B:G,6,FALSE)), ARRAYFORMULA(VLOOKUP(SPLIT(F1082, "", ""),Injections!H:M,6,FALSE)), ARRAYFORMULA(VLOO"&amp;"KUP(SPLIT(G1082, "", ""),Injections!N:S,6,FALSE)), ARRAYFORMULA(VLOOKUP(SPLIT(H1082, "", ""),Injections!T:Y,6,FALSE)) },3))))"),"")</f>
        <v/>
      </c>
      <c r="S1082" s="10"/>
      <c r="T1082" s="1"/>
      <c r="V1082" s="11"/>
      <c r="W1082" s="12"/>
      <c r="X1082" s="12"/>
      <c r="Y1082" s="11"/>
      <c r="Z1082" s="11"/>
      <c r="AA1082" s="11"/>
    </row>
    <row r="1083" spans="1:27" ht="13" x14ac:dyDescent="0.15">
      <c r="A1083" s="7"/>
      <c r="G1083" s="8"/>
      <c r="H1083" s="8"/>
      <c r="I1083" s="8"/>
      <c r="M1083" s="8"/>
      <c r="R1083" s="10" t="str">
        <f ca="1">IFERROR(__xludf.DUMMYFUNCTION("JOIN("","", SORT(UNIQUE(TOCOL({VLOOKUP(D1083,DM_fish!A:B,2,FALSE),VLOOKUP(C1083,DM_fish!A:B,2,FALSE), ARRAYFORMULA(VLOOKUP(SPLIT(E1083, "", ""),Injections!B:G,6,FALSE)), ARRAYFORMULA(VLOOKUP(SPLIT(F1083, "", ""),Injections!H:M,6,FALSE)), ARRAYFORMULA(VLOO"&amp;"KUP(SPLIT(G1083, "", ""),Injections!N:S,6,FALSE)), ARRAYFORMULA(VLOOKUP(SPLIT(H1083, "", ""),Injections!T:Y,6,FALSE)) },3))))"),"")</f>
        <v/>
      </c>
      <c r="S1083" s="10"/>
      <c r="T1083" s="1"/>
      <c r="V1083" s="11"/>
      <c r="W1083" s="12"/>
      <c r="X1083" s="12"/>
      <c r="Y1083" s="11"/>
      <c r="Z1083" s="11"/>
      <c r="AA1083" s="11"/>
    </row>
    <row r="1084" spans="1:27" ht="13" x14ac:dyDescent="0.15">
      <c r="A1084" s="7"/>
      <c r="G1084" s="8"/>
      <c r="H1084" s="8"/>
      <c r="I1084" s="8"/>
      <c r="M1084" s="8"/>
      <c r="R1084" s="10" t="str">
        <f ca="1">IFERROR(__xludf.DUMMYFUNCTION("JOIN("","", SORT(UNIQUE(TOCOL({VLOOKUP(D1084,DM_fish!A:B,2,FALSE),VLOOKUP(C1084,DM_fish!A:B,2,FALSE), ARRAYFORMULA(VLOOKUP(SPLIT(E1084, "", ""),Injections!B:G,6,FALSE)), ARRAYFORMULA(VLOOKUP(SPLIT(F1084, "", ""),Injections!H:M,6,FALSE)), ARRAYFORMULA(VLOO"&amp;"KUP(SPLIT(G1084, "", ""),Injections!N:S,6,FALSE)), ARRAYFORMULA(VLOOKUP(SPLIT(H1084, "", ""),Injections!T:Y,6,FALSE)) },3))))"),"")</f>
        <v/>
      </c>
      <c r="S1084" s="10"/>
      <c r="T1084" s="1"/>
      <c r="V1084" s="11"/>
      <c r="W1084" s="12"/>
      <c r="X1084" s="12"/>
      <c r="Y1084" s="11"/>
      <c r="Z1084" s="11"/>
      <c r="AA1084" s="11"/>
    </row>
    <row r="1085" spans="1:27" ht="13" x14ac:dyDescent="0.15">
      <c r="A1085" s="7"/>
      <c r="G1085" s="8"/>
      <c r="H1085" s="8"/>
      <c r="I1085" s="8"/>
      <c r="M1085" s="8"/>
      <c r="R1085" s="10" t="str">
        <f ca="1">IFERROR(__xludf.DUMMYFUNCTION("JOIN("","", SORT(UNIQUE(TOCOL({VLOOKUP(D1085,DM_fish!A:B,2,FALSE),VLOOKUP(C1085,DM_fish!A:B,2,FALSE), ARRAYFORMULA(VLOOKUP(SPLIT(E1085, "", ""),Injections!B:G,6,FALSE)), ARRAYFORMULA(VLOOKUP(SPLIT(F1085, "", ""),Injections!H:M,6,FALSE)), ARRAYFORMULA(VLOO"&amp;"KUP(SPLIT(G1085, "", ""),Injections!N:S,6,FALSE)), ARRAYFORMULA(VLOOKUP(SPLIT(H1085, "", ""),Injections!T:Y,6,FALSE)) },3))))"),"")</f>
        <v/>
      </c>
      <c r="S1085" s="10"/>
      <c r="T1085" s="1"/>
      <c r="V1085" s="11"/>
      <c r="W1085" s="12"/>
      <c r="X1085" s="12"/>
      <c r="Y1085" s="11"/>
      <c r="Z1085" s="11"/>
      <c r="AA1085" s="11"/>
    </row>
    <row r="1086" spans="1:27" ht="13" x14ac:dyDescent="0.15">
      <c r="A1086" s="7"/>
      <c r="G1086" s="8"/>
      <c r="H1086" s="8"/>
      <c r="I1086" s="8"/>
      <c r="M1086" s="8"/>
      <c r="R1086" s="10" t="str">
        <f ca="1">IFERROR(__xludf.DUMMYFUNCTION("JOIN("","", SORT(UNIQUE(TOCOL({VLOOKUP(D1086,DM_fish!A:B,2,FALSE),VLOOKUP(C1086,DM_fish!A:B,2,FALSE), ARRAYFORMULA(VLOOKUP(SPLIT(E1086, "", ""),Injections!B:G,6,FALSE)), ARRAYFORMULA(VLOOKUP(SPLIT(F1086, "", ""),Injections!H:M,6,FALSE)), ARRAYFORMULA(VLOO"&amp;"KUP(SPLIT(G1086, "", ""),Injections!N:S,6,FALSE)), ARRAYFORMULA(VLOOKUP(SPLIT(H1086, "", ""),Injections!T:Y,6,FALSE)) },3))))"),"")</f>
        <v/>
      </c>
      <c r="S1086" s="10"/>
      <c r="T1086" s="1"/>
      <c r="V1086" s="11"/>
      <c r="W1086" s="12"/>
      <c r="X1086" s="12"/>
      <c r="Y1086" s="11"/>
      <c r="Z1086" s="11"/>
      <c r="AA1086" s="11"/>
    </row>
    <row r="1087" spans="1:27" ht="13" x14ac:dyDescent="0.15">
      <c r="A1087" s="7"/>
      <c r="G1087" s="8"/>
      <c r="H1087" s="8"/>
      <c r="I1087" s="8"/>
      <c r="M1087" s="8"/>
      <c r="R1087" s="10" t="str">
        <f ca="1">IFERROR(__xludf.DUMMYFUNCTION("JOIN("","", SORT(UNIQUE(TOCOL({VLOOKUP(D1087,DM_fish!A:B,2,FALSE),VLOOKUP(C1087,DM_fish!A:B,2,FALSE), ARRAYFORMULA(VLOOKUP(SPLIT(E1087, "", ""),Injections!B:G,6,FALSE)), ARRAYFORMULA(VLOOKUP(SPLIT(F1087, "", ""),Injections!H:M,6,FALSE)), ARRAYFORMULA(VLOO"&amp;"KUP(SPLIT(G1087, "", ""),Injections!N:S,6,FALSE)), ARRAYFORMULA(VLOOKUP(SPLIT(H1087, "", ""),Injections!T:Y,6,FALSE)) },3))))"),"")</f>
        <v/>
      </c>
      <c r="S1087" s="10"/>
      <c r="T1087" s="1"/>
      <c r="V1087" s="11"/>
      <c r="W1087" s="12"/>
      <c r="X1087" s="12"/>
      <c r="Y1087" s="11"/>
      <c r="Z1087" s="11"/>
      <c r="AA1087" s="11"/>
    </row>
    <row r="1088" spans="1:27" ht="13" x14ac:dyDescent="0.15">
      <c r="A1088" s="7"/>
      <c r="G1088" s="8"/>
      <c r="H1088" s="8"/>
      <c r="I1088" s="8"/>
      <c r="M1088" s="8"/>
      <c r="R1088" s="10" t="str">
        <f ca="1">IFERROR(__xludf.DUMMYFUNCTION("JOIN("","", SORT(UNIQUE(TOCOL({VLOOKUP(D1088,DM_fish!A:B,2,FALSE),VLOOKUP(C1088,DM_fish!A:B,2,FALSE), ARRAYFORMULA(VLOOKUP(SPLIT(E1088, "", ""),Injections!B:G,6,FALSE)), ARRAYFORMULA(VLOOKUP(SPLIT(F1088, "", ""),Injections!H:M,6,FALSE)), ARRAYFORMULA(VLOO"&amp;"KUP(SPLIT(G1088, "", ""),Injections!N:S,6,FALSE)), ARRAYFORMULA(VLOOKUP(SPLIT(H1088, "", ""),Injections!T:Y,6,FALSE)) },3))))"),"")</f>
        <v/>
      </c>
      <c r="S1088" s="10"/>
      <c r="T1088" s="1"/>
      <c r="V1088" s="11"/>
      <c r="W1088" s="12"/>
      <c r="X1088" s="12"/>
      <c r="Y1088" s="11"/>
      <c r="Z1088" s="11"/>
      <c r="AA1088" s="11"/>
    </row>
    <row r="1089" spans="1:27" ht="13" x14ac:dyDescent="0.15">
      <c r="A1089" s="7"/>
      <c r="G1089" s="8"/>
      <c r="H1089" s="8"/>
      <c r="I1089" s="8"/>
      <c r="M1089" s="8"/>
      <c r="R1089" s="10" t="str">
        <f ca="1">IFERROR(__xludf.DUMMYFUNCTION("JOIN("","", SORT(UNIQUE(TOCOL({VLOOKUP(D1089,DM_fish!A:B,2,FALSE),VLOOKUP(C1089,DM_fish!A:B,2,FALSE), ARRAYFORMULA(VLOOKUP(SPLIT(E1089, "", ""),Injections!B:G,6,FALSE)), ARRAYFORMULA(VLOOKUP(SPLIT(F1089, "", ""),Injections!H:M,6,FALSE)), ARRAYFORMULA(VLOO"&amp;"KUP(SPLIT(G1089, "", ""),Injections!N:S,6,FALSE)), ARRAYFORMULA(VLOOKUP(SPLIT(H1089, "", ""),Injections!T:Y,6,FALSE)) },3))))"),"")</f>
        <v/>
      </c>
      <c r="S1089" s="10"/>
      <c r="T1089" s="1"/>
      <c r="V1089" s="11"/>
      <c r="W1089" s="12"/>
      <c r="X1089" s="12"/>
      <c r="Y1089" s="11"/>
      <c r="Z1089" s="11"/>
      <c r="AA1089" s="11"/>
    </row>
    <row r="1090" spans="1:27" ht="13" x14ac:dyDescent="0.15">
      <c r="A1090" s="7"/>
      <c r="G1090" s="8"/>
      <c r="H1090" s="8"/>
      <c r="I1090" s="8"/>
      <c r="M1090" s="8"/>
      <c r="R1090" s="10" t="str">
        <f ca="1">IFERROR(__xludf.DUMMYFUNCTION("JOIN("","", SORT(UNIQUE(TOCOL({VLOOKUP(D1090,DM_fish!A:B,2,FALSE),VLOOKUP(C1090,DM_fish!A:B,2,FALSE), ARRAYFORMULA(VLOOKUP(SPLIT(E1090, "", ""),Injections!B:G,6,FALSE)), ARRAYFORMULA(VLOOKUP(SPLIT(F1090, "", ""),Injections!H:M,6,FALSE)), ARRAYFORMULA(VLOO"&amp;"KUP(SPLIT(G1090, "", ""),Injections!N:S,6,FALSE)), ARRAYFORMULA(VLOOKUP(SPLIT(H1090, "", ""),Injections!T:Y,6,FALSE)) },3))))"),"")</f>
        <v/>
      </c>
      <c r="S1090" s="10"/>
      <c r="T1090" s="1"/>
      <c r="V1090" s="11"/>
      <c r="W1090" s="12"/>
      <c r="X1090" s="12"/>
      <c r="Y1090" s="11"/>
      <c r="Z1090" s="11"/>
      <c r="AA1090" s="11"/>
    </row>
    <row r="1091" spans="1:27" ht="13" x14ac:dyDescent="0.15">
      <c r="A1091" s="7"/>
      <c r="G1091" s="8"/>
      <c r="H1091" s="8"/>
      <c r="I1091" s="8"/>
      <c r="M1091" s="8"/>
      <c r="R1091" s="10" t="str">
        <f ca="1">IFERROR(__xludf.DUMMYFUNCTION("JOIN("","", SORT(UNIQUE(TOCOL({VLOOKUP(D1091,DM_fish!A:B,2,FALSE),VLOOKUP(C1091,DM_fish!A:B,2,FALSE), ARRAYFORMULA(VLOOKUP(SPLIT(E1091, "", ""),Injections!B:G,6,FALSE)), ARRAYFORMULA(VLOOKUP(SPLIT(F1091, "", ""),Injections!H:M,6,FALSE)), ARRAYFORMULA(VLOO"&amp;"KUP(SPLIT(G1091, "", ""),Injections!N:S,6,FALSE)), ARRAYFORMULA(VLOOKUP(SPLIT(H1091, "", ""),Injections!T:Y,6,FALSE)) },3))))"),"")</f>
        <v/>
      </c>
      <c r="S1091" s="10"/>
      <c r="T1091" s="1"/>
      <c r="V1091" s="11"/>
      <c r="W1091" s="12"/>
      <c r="X1091" s="12"/>
      <c r="Y1091" s="11"/>
      <c r="Z1091" s="11"/>
      <c r="AA1091" s="11"/>
    </row>
    <row r="1092" spans="1:27" ht="13" x14ac:dyDescent="0.15">
      <c r="A1092" s="7"/>
      <c r="G1092" s="8"/>
      <c r="H1092" s="8"/>
      <c r="I1092" s="8"/>
      <c r="M1092" s="8"/>
      <c r="R1092" s="10" t="str">
        <f ca="1">IFERROR(__xludf.DUMMYFUNCTION("JOIN("","", SORT(UNIQUE(TOCOL({VLOOKUP(D1092,DM_fish!A:B,2,FALSE),VLOOKUP(C1092,DM_fish!A:B,2,FALSE), ARRAYFORMULA(VLOOKUP(SPLIT(E1092, "", ""),Injections!B:G,6,FALSE)), ARRAYFORMULA(VLOOKUP(SPLIT(F1092, "", ""),Injections!H:M,6,FALSE)), ARRAYFORMULA(VLOO"&amp;"KUP(SPLIT(G1092, "", ""),Injections!N:S,6,FALSE)), ARRAYFORMULA(VLOOKUP(SPLIT(H1092, "", ""),Injections!T:Y,6,FALSE)) },3))))"),"")</f>
        <v/>
      </c>
      <c r="S1092" s="10"/>
      <c r="T1092" s="1"/>
      <c r="V1092" s="11"/>
      <c r="W1092" s="12"/>
      <c r="X1092" s="12"/>
      <c r="Y1092" s="11"/>
      <c r="Z1092" s="11"/>
      <c r="AA1092" s="11"/>
    </row>
    <row r="1093" spans="1:27" ht="13" x14ac:dyDescent="0.15">
      <c r="A1093" s="7"/>
      <c r="G1093" s="8"/>
      <c r="H1093" s="8"/>
      <c r="I1093" s="8"/>
      <c r="M1093" s="8"/>
      <c r="R1093" s="10" t="str">
        <f ca="1">IFERROR(__xludf.DUMMYFUNCTION("JOIN("","", SORT(UNIQUE(TOCOL({VLOOKUP(D1093,DM_fish!A:B,2,FALSE),VLOOKUP(C1093,DM_fish!A:B,2,FALSE), ARRAYFORMULA(VLOOKUP(SPLIT(E1093, "", ""),Injections!B:G,6,FALSE)), ARRAYFORMULA(VLOOKUP(SPLIT(F1093, "", ""),Injections!H:M,6,FALSE)), ARRAYFORMULA(VLOO"&amp;"KUP(SPLIT(G1093, "", ""),Injections!N:S,6,FALSE)), ARRAYFORMULA(VLOOKUP(SPLIT(H1093, "", ""),Injections!T:Y,6,FALSE)) },3))))"),"")</f>
        <v/>
      </c>
      <c r="S1093" s="10"/>
      <c r="T1093" s="1"/>
      <c r="V1093" s="11"/>
      <c r="W1093" s="12"/>
      <c r="X1093" s="12"/>
      <c r="Y1093" s="11"/>
      <c r="Z1093" s="11"/>
      <c r="AA1093" s="11"/>
    </row>
    <row r="1094" spans="1:27" ht="13" x14ac:dyDescent="0.15">
      <c r="A1094" s="7"/>
      <c r="G1094" s="8"/>
      <c r="H1094" s="8"/>
      <c r="I1094" s="8"/>
      <c r="M1094" s="8"/>
      <c r="R1094" s="10" t="str">
        <f ca="1">IFERROR(__xludf.DUMMYFUNCTION("JOIN("","", SORT(UNIQUE(TOCOL({VLOOKUP(D1094,DM_fish!A:B,2,FALSE),VLOOKUP(C1094,DM_fish!A:B,2,FALSE), ARRAYFORMULA(VLOOKUP(SPLIT(E1094, "", ""),Injections!B:G,6,FALSE)), ARRAYFORMULA(VLOOKUP(SPLIT(F1094, "", ""),Injections!H:M,6,FALSE)), ARRAYFORMULA(VLOO"&amp;"KUP(SPLIT(G1094, "", ""),Injections!N:S,6,FALSE)), ARRAYFORMULA(VLOOKUP(SPLIT(H1094, "", ""),Injections!T:Y,6,FALSE)) },3))))"),"")</f>
        <v/>
      </c>
      <c r="S1094" s="10"/>
      <c r="T1094" s="1"/>
      <c r="V1094" s="11"/>
      <c r="W1094" s="12"/>
      <c r="X1094" s="12"/>
      <c r="Y1094" s="11"/>
      <c r="Z1094" s="11"/>
      <c r="AA1094" s="11"/>
    </row>
    <row r="1095" spans="1:27" ht="13" x14ac:dyDescent="0.15">
      <c r="A1095" s="7"/>
      <c r="G1095" s="8"/>
      <c r="H1095" s="8"/>
      <c r="I1095" s="8"/>
      <c r="M1095" s="8"/>
      <c r="R1095" s="10" t="str">
        <f ca="1">IFERROR(__xludf.DUMMYFUNCTION("JOIN("","", SORT(UNIQUE(TOCOL({VLOOKUP(D1095,DM_fish!A:B,2,FALSE),VLOOKUP(C1095,DM_fish!A:B,2,FALSE), ARRAYFORMULA(VLOOKUP(SPLIT(E1095, "", ""),Injections!B:G,6,FALSE)), ARRAYFORMULA(VLOOKUP(SPLIT(F1095, "", ""),Injections!H:M,6,FALSE)), ARRAYFORMULA(VLOO"&amp;"KUP(SPLIT(G1095, "", ""),Injections!N:S,6,FALSE)), ARRAYFORMULA(VLOOKUP(SPLIT(H1095, "", ""),Injections!T:Y,6,FALSE)) },3))))"),"")</f>
        <v/>
      </c>
      <c r="S1095" s="10"/>
      <c r="T1095" s="1"/>
      <c r="V1095" s="11"/>
      <c r="W1095" s="12"/>
      <c r="X1095" s="12"/>
      <c r="Y1095" s="11"/>
      <c r="Z1095" s="11"/>
      <c r="AA1095" s="11"/>
    </row>
    <row r="1096" spans="1:27" ht="13" x14ac:dyDescent="0.15">
      <c r="A1096" s="7"/>
      <c r="G1096" s="8"/>
      <c r="H1096" s="8"/>
      <c r="I1096" s="8"/>
      <c r="M1096" s="8"/>
      <c r="R1096" s="10" t="str">
        <f ca="1">IFERROR(__xludf.DUMMYFUNCTION("JOIN("","", SORT(UNIQUE(TOCOL({VLOOKUP(D1096,DM_fish!A:B,2,FALSE),VLOOKUP(C1096,DM_fish!A:B,2,FALSE), ARRAYFORMULA(VLOOKUP(SPLIT(E1096, "", ""),Injections!B:G,6,FALSE)), ARRAYFORMULA(VLOOKUP(SPLIT(F1096, "", ""),Injections!H:M,6,FALSE)), ARRAYFORMULA(VLOO"&amp;"KUP(SPLIT(G1096, "", ""),Injections!N:S,6,FALSE)), ARRAYFORMULA(VLOOKUP(SPLIT(H1096, "", ""),Injections!T:Y,6,FALSE)) },3))))"),"")</f>
        <v/>
      </c>
      <c r="S1096" s="10"/>
      <c r="T1096" s="1"/>
      <c r="V1096" s="11"/>
      <c r="W1096" s="12"/>
      <c r="X1096" s="12"/>
      <c r="Y1096" s="11"/>
      <c r="Z1096" s="11"/>
      <c r="AA1096" s="11"/>
    </row>
    <row r="1097" spans="1:27" ht="13" x14ac:dyDescent="0.15">
      <c r="A1097" s="7"/>
      <c r="G1097" s="8"/>
      <c r="H1097" s="8"/>
      <c r="I1097" s="8"/>
      <c r="M1097" s="8"/>
      <c r="R1097" s="10" t="str">
        <f ca="1">IFERROR(__xludf.DUMMYFUNCTION("JOIN("","", SORT(UNIQUE(TOCOL({VLOOKUP(D1097,DM_fish!A:B,2,FALSE),VLOOKUP(C1097,DM_fish!A:B,2,FALSE), ARRAYFORMULA(VLOOKUP(SPLIT(E1097, "", ""),Injections!B:G,6,FALSE)), ARRAYFORMULA(VLOOKUP(SPLIT(F1097, "", ""),Injections!H:M,6,FALSE)), ARRAYFORMULA(VLOO"&amp;"KUP(SPLIT(G1097, "", ""),Injections!N:S,6,FALSE)), ARRAYFORMULA(VLOOKUP(SPLIT(H1097, "", ""),Injections!T:Y,6,FALSE)) },3))))"),"")</f>
        <v/>
      </c>
      <c r="S1097" s="10"/>
      <c r="T1097" s="1"/>
      <c r="V1097" s="11"/>
      <c r="W1097" s="12"/>
      <c r="X1097" s="12"/>
      <c r="Y1097" s="11"/>
      <c r="Z1097" s="11"/>
      <c r="AA1097" s="11"/>
    </row>
    <row r="1098" spans="1:27" ht="13" x14ac:dyDescent="0.15">
      <c r="A1098" s="7"/>
      <c r="G1098" s="8"/>
      <c r="H1098" s="8"/>
      <c r="I1098" s="8"/>
      <c r="M1098" s="8"/>
      <c r="R1098" s="10" t="str">
        <f ca="1">IFERROR(__xludf.DUMMYFUNCTION("JOIN("","", SORT(UNIQUE(TOCOL({VLOOKUP(D1098,DM_fish!A:B,2,FALSE),VLOOKUP(C1098,DM_fish!A:B,2,FALSE), ARRAYFORMULA(VLOOKUP(SPLIT(E1098, "", ""),Injections!B:G,6,FALSE)), ARRAYFORMULA(VLOOKUP(SPLIT(F1098, "", ""),Injections!H:M,6,FALSE)), ARRAYFORMULA(VLOO"&amp;"KUP(SPLIT(G1098, "", ""),Injections!N:S,6,FALSE)), ARRAYFORMULA(VLOOKUP(SPLIT(H1098, "", ""),Injections!T:Y,6,FALSE)) },3))))"),"")</f>
        <v/>
      </c>
      <c r="S1098" s="10"/>
      <c r="T1098" s="1"/>
      <c r="V1098" s="11"/>
      <c r="W1098" s="12"/>
      <c r="X1098" s="12"/>
      <c r="Y1098" s="11"/>
      <c r="Z1098" s="11"/>
      <c r="AA1098" s="11"/>
    </row>
    <row r="1099" spans="1:27" ht="13" x14ac:dyDescent="0.15">
      <c r="A1099" s="7"/>
      <c r="G1099" s="8"/>
      <c r="H1099" s="8"/>
      <c r="I1099" s="8"/>
      <c r="M1099" s="8"/>
      <c r="R1099" s="10" t="str">
        <f ca="1">IFERROR(__xludf.DUMMYFUNCTION("JOIN("","", SORT(UNIQUE(TOCOL({VLOOKUP(D1099,DM_fish!A:B,2,FALSE),VLOOKUP(C1099,DM_fish!A:B,2,FALSE), ARRAYFORMULA(VLOOKUP(SPLIT(E1099, "", ""),Injections!B:G,6,FALSE)), ARRAYFORMULA(VLOOKUP(SPLIT(F1099, "", ""),Injections!H:M,6,FALSE)), ARRAYFORMULA(VLOO"&amp;"KUP(SPLIT(G1099, "", ""),Injections!N:S,6,FALSE)), ARRAYFORMULA(VLOOKUP(SPLIT(H1099, "", ""),Injections!T:Y,6,FALSE)) },3))))"),"")</f>
        <v/>
      </c>
      <c r="S1099" s="10"/>
      <c r="T1099" s="1"/>
      <c r="V1099" s="11"/>
      <c r="W1099" s="12"/>
      <c r="X1099" s="12"/>
      <c r="Y1099" s="11"/>
      <c r="Z1099" s="11"/>
      <c r="AA1099" s="11"/>
    </row>
    <row r="1100" spans="1:27" ht="13" x14ac:dyDescent="0.15">
      <c r="A1100" s="7"/>
      <c r="G1100" s="8"/>
      <c r="H1100" s="8"/>
      <c r="I1100" s="8"/>
      <c r="M1100" s="8"/>
      <c r="R1100" s="10" t="str">
        <f ca="1">IFERROR(__xludf.DUMMYFUNCTION("JOIN("","", SORT(UNIQUE(TOCOL({VLOOKUP(D1100,DM_fish!A:B,2,FALSE),VLOOKUP(C1100,DM_fish!A:B,2,FALSE), ARRAYFORMULA(VLOOKUP(SPLIT(E1100, "", ""),Injections!B:G,6,FALSE)), ARRAYFORMULA(VLOOKUP(SPLIT(F1100, "", ""),Injections!H:M,6,FALSE)), ARRAYFORMULA(VLOO"&amp;"KUP(SPLIT(G1100, "", ""),Injections!N:S,6,FALSE)), ARRAYFORMULA(VLOOKUP(SPLIT(H1100, "", ""),Injections!T:Y,6,FALSE)) },3))))"),"")</f>
        <v/>
      </c>
      <c r="S1100" s="10"/>
      <c r="T1100" s="1"/>
      <c r="V1100" s="11"/>
      <c r="W1100" s="12"/>
      <c r="X1100" s="12"/>
      <c r="Y1100" s="11"/>
      <c r="Z1100" s="11"/>
      <c r="AA1100" s="11"/>
    </row>
    <row r="1101" spans="1:27" ht="13" x14ac:dyDescent="0.15">
      <c r="A1101" s="7"/>
      <c r="G1101" s="8"/>
      <c r="H1101" s="8"/>
      <c r="I1101" s="8"/>
      <c r="M1101" s="8"/>
      <c r="R1101" s="10" t="str">
        <f ca="1">IFERROR(__xludf.DUMMYFUNCTION("JOIN("","", SORT(UNIQUE(TOCOL({VLOOKUP(D1101,DM_fish!A:B,2,FALSE),VLOOKUP(C1101,DM_fish!A:B,2,FALSE), ARRAYFORMULA(VLOOKUP(SPLIT(E1101, "", ""),Injections!B:G,6,FALSE)), ARRAYFORMULA(VLOOKUP(SPLIT(F1101, "", ""),Injections!H:M,6,FALSE)), ARRAYFORMULA(VLOO"&amp;"KUP(SPLIT(G1101, "", ""),Injections!N:S,6,FALSE)), ARRAYFORMULA(VLOOKUP(SPLIT(H1101, "", ""),Injections!T:Y,6,FALSE)) },3))))"),"")</f>
        <v/>
      </c>
      <c r="S1101" s="10"/>
      <c r="T1101" s="1"/>
      <c r="V1101" s="11"/>
      <c r="W1101" s="12"/>
      <c r="X1101" s="12"/>
      <c r="Y1101" s="11"/>
      <c r="Z1101" s="11"/>
      <c r="AA1101" s="11"/>
    </row>
    <row r="1102" spans="1:27" ht="13" x14ac:dyDescent="0.15">
      <c r="A1102" s="7"/>
      <c r="G1102" s="8"/>
      <c r="H1102" s="8"/>
      <c r="I1102" s="8"/>
      <c r="M1102" s="8"/>
      <c r="R1102" s="10" t="str">
        <f ca="1">IFERROR(__xludf.DUMMYFUNCTION("JOIN("","", SORT(UNIQUE(TOCOL({VLOOKUP(D1102,DM_fish!A:B,2,FALSE),VLOOKUP(C1102,DM_fish!A:B,2,FALSE), ARRAYFORMULA(VLOOKUP(SPLIT(E1102, "", ""),Injections!B:G,6,FALSE)), ARRAYFORMULA(VLOOKUP(SPLIT(F1102, "", ""),Injections!H:M,6,FALSE)), ARRAYFORMULA(VLOO"&amp;"KUP(SPLIT(G1102, "", ""),Injections!N:S,6,FALSE)), ARRAYFORMULA(VLOOKUP(SPLIT(H1102, "", ""),Injections!T:Y,6,FALSE)) },3))))"),"")</f>
        <v/>
      </c>
      <c r="S1102" s="10"/>
      <c r="T1102" s="1"/>
      <c r="V1102" s="11"/>
      <c r="W1102" s="12"/>
      <c r="X1102" s="12"/>
      <c r="Y1102" s="11"/>
      <c r="Z1102" s="11"/>
      <c r="AA1102" s="11"/>
    </row>
  </sheetData>
  <dataValidations count="4">
    <dataValidation type="list" allowBlank="1" showErrorMessage="1" sqref="B283:B285 D283:D285 B294:B303 D294:D303 B305 D305 B309:B310 D309:D310 B313:B320 D313:D320 C326:C327 C330:C335 C338 C340:C341 B351 D351" xr:uid="{00000000-0002-0000-0000-000003000000}">
      <formula1>#REF!</formula1>
    </dataValidation>
    <dataValidation type="custom" allowBlank="1" showDropDown="1" showInputMessage="1" prompt="Enter a value that satisfies the formula: =COUNTIF($S:$S,&quot;=&quot;&amp;S1)  &lt; 2" sqref="T1:T20 T22:T154 T156:T206 AB207 T208:T219 T221:T1102" xr:uid="{00000000-0002-0000-0000-000004000000}">
      <formula1>COUNTIF($T:$T,"="&amp;T1)  &lt; 2</formula1>
    </dataValidation>
    <dataValidation type="custom" allowBlank="1" showDropDown="1" showInputMessage="1" prompt="Enter a value that satisfies the formula: =COUNTIF($S:$S,&quot;=&quot;&amp;S1)  &lt; 2" sqref="T21" xr:uid="{00000000-0002-0000-0000-000007000000}">
      <formula1>COUNTIF($T:$T,"="&amp;#REF!)  &lt; 2</formula1>
    </dataValidation>
    <dataValidation type="custom" allowBlank="1" showDropDown="1" showInputMessage="1" prompt="Data location needs a unique value for each row" sqref="T220" xr:uid="{00000000-0002-0000-0000-000009000000}">
      <formula1>COUNTIF($T:$T,"="&amp;#REF!)  &lt; 2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prompt="Click and enter a value from range" xr:uid="{00000000-0002-0000-0000-000000000000}">
          <x14:formula1>
            <xm:f>Injections!$T$2:$T1102</xm:f>
          </x14:formula1>
          <xm:sqref>H235:H282</xm:sqref>
        </x14:dataValidation>
        <x14:dataValidation type="list" allowBlank="1" showErrorMessage="1" xr:uid="{00000000-0002-0000-0000-000001000000}">
          <x14:formula1>
            <xm:f>DM_fish!$A2:$A1102</xm:f>
          </x14:formula1>
          <xm:sqref>B281:D282</xm:sqref>
        </x14:dataValidation>
        <x14:dataValidation type="list" allowBlank="1" showErrorMessage="1" xr:uid="{00000000-0002-0000-0000-000002000000}">
          <x14:formula1>
            <xm:f>Image_Locations!$A:$A</xm:f>
          </x14:formula1>
          <xm:sqref>Q2:Q107 Q110 Q112:Q113 Q117:Q118 Q122 Q127 Q129 Q133 Q135 Q150:Q191 Q193:Q198 Q200:Q218 Q221:Q225 Q227:Q236 Q238:Q246 Q250:Q282</xm:sqref>
        </x14:dataValidation>
        <x14:dataValidation type="list" allowBlank="1" showErrorMessage="1" xr:uid="{00000000-0002-0000-0000-000005000000}">
          <x14:formula1>
            <xm:f>imaging_filters!$A$2:$A1102</xm:f>
          </x14:formula1>
          <xm:sqref>V116:V129 V132:V135 V150:V351</xm:sqref>
        </x14:dataValidation>
        <x14:dataValidation type="list" allowBlank="1" showErrorMessage="1" xr:uid="{00000000-0002-0000-0000-000006000000}">
          <x14:formula1>
            <xm:f>Injections!$N$2:$N1102</xm:f>
          </x14:formula1>
          <xm:sqref>G235:G282</xm:sqref>
        </x14:dataValidation>
        <x14:dataValidation type="list" allowBlank="1" showErrorMessage="1" xr:uid="{00000000-0002-0000-0000-000008000000}">
          <x14:formula1>
            <xm:f>Injections!$B:$B</xm:f>
          </x14:formula1>
          <xm:sqref>E2:E159 E165:F169 E171:E172 E178:E282</xm:sqref>
        </x14:dataValidation>
        <x14:dataValidation type="list" allowBlank="1" showErrorMessage="1" xr:uid="{00000000-0002-0000-0000-00000A000000}">
          <x14:formula1>
            <xm:f>DM_fish!$A8:$A1102</xm:f>
          </x14:formula1>
          <xm:sqref>B274:D275 B276 D276</xm:sqref>
        </x14:dataValidation>
        <x14:dataValidation type="list" allowBlank="1" showErrorMessage="1" xr:uid="{00000000-0002-0000-0000-00000B000000}">
          <x14:formula1>
            <xm:f>Orientations!$A:$A</xm:f>
          </x14:formula1>
          <xm:sqref>K2:K137 K150:K153 K155 K157:K158 K171:K172 K178:K282 K352:K362</xm:sqref>
        </x14:dataValidation>
        <x14:dataValidation type="list" allowBlank="1" showErrorMessage="1" xr:uid="{00000000-0002-0000-0000-00000C000000}">
          <x14:formula1>
            <xm:f>DM_fish!$A11:$A1102</xm:f>
          </x14:formula1>
          <xm:sqref>C273</xm:sqref>
        </x14:dataValidation>
        <x14:dataValidation type="list" allowBlank="1" showErrorMessage="1" xr:uid="{00000000-0002-0000-0000-00000D000000}">
          <x14:formula1>
            <xm:f>Injections!$H$2:$H1102</xm:f>
          </x14:formula1>
          <xm:sqref>F2:F154 F156:F164 F170:F282</xm:sqref>
        </x14:dataValidation>
        <x14:dataValidation type="list" allowBlank="1" showErrorMessage="1" xr:uid="{00000000-0002-0000-0000-00000E000000}">
          <x14:formula1>
            <xm:f>DM_fish!$A$2:$A1102</xm:f>
          </x14:formula1>
          <xm:sqref>C2:D137 B138:D138 C139:D139 B140:D272 B273 D273 C276 C283:C285 B286:D293 C294:C303 B304 D304 C305 B306:B308 D306:D308 C309:C310 C313:C320 B321:D325 B326:B327 D326:D327 B328:D329 B330:B335 D330:D335 B336:D337 B338 D338 B339:D339 B340:B341 D340:D341 B342:D348 C351</xm:sqref>
        </x14:dataValidation>
        <x14:dataValidation type="list" allowBlank="1" showErrorMessage="1" xr:uid="{00000000-0002-0000-0000-00000F000000}">
          <x14:formula1>
            <xm:f>DM_fish!$A4:$A1102</xm:f>
          </x14:formula1>
          <xm:sqref>B277:D280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76"/>
  <sheetViews>
    <sheetView workbookViewId="0"/>
  </sheetViews>
  <sheetFormatPr baseColWidth="10" defaultColWidth="12.6640625" defaultRowHeight="15.75" customHeight="1" x14ac:dyDescent="0.15"/>
  <cols>
    <col min="2" max="2" width="16.33203125" customWidth="1"/>
    <col min="3" max="3" width="78.83203125" customWidth="1"/>
  </cols>
  <sheetData>
    <row r="1" spans="1:4" ht="15.75" customHeight="1" x14ac:dyDescent="0.15">
      <c r="A1" s="2"/>
      <c r="B1" s="2" t="s">
        <v>671</v>
      </c>
      <c r="C1" s="2" t="s">
        <v>672</v>
      </c>
      <c r="D1" s="2" t="s">
        <v>673</v>
      </c>
    </row>
    <row r="2" spans="1:4" ht="15.75" customHeight="1" x14ac:dyDescent="0.15">
      <c r="A2" s="1" t="s">
        <v>674</v>
      </c>
      <c r="B2" s="1">
        <v>72</v>
      </c>
      <c r="C2" s="1" t="s">
        <v>675</v>
      </c>
      <c r="D2" s="1" t="s">
        <v>676</v>
      </c>
    </row>
    <row r="3" spans="1:4" ht="15.75" customHeight="1" x14ac:dyDescent="0.15">
      <c r="A3" s="1" t="s">
        <v>677</v>
      </c>
      <c r="B3" s="1">
        <v>24</v>
      </c>
      <c r="C3" s="1" t="s">
        <v>678</v>
      </c>
      <c r="D3" s="1" t="s">
        <v>679</v>
      </c>
    </row>
    <row r="4" spans="1:4" ht="15.75" customHeight="1" x14ac:dyDescent="0.15">
      <c r="A4" s="1" t="s">
        <v>680</v>
      </c>
      <c r="B4" s="1">
        <v>48</v>
      </c>
      <c r="C4" s="1" t="s">
        <v>678</v>
      </c>
    </row>
    <row r="5" spans="1:4" ht="15.75" customHeight="1" x14ac:dyDescent="0.15">
      <c r="A5" s="1" t="s">
        <v>681</v>
      </c>
      <c r="B5" s="1">
        <v>24</v>
      </c>
      <c r="C5" s="1" t="s">
        <v>682</v>
      </c>
    </row>
    <row r="6" spans="1:4" ht="15.75" customHeight="1" x14ac:dyDescent="0.15">
      <c r="A6" s="1" t="s">
        <v>683</v>
      </c>
      <c r="B6" s="1">
        <v>48</v>
      </c>
      <c r="C6" s="1" t="s">
        <v>682</v>
      </c>
    </row>
    <row r="8" spans="1:4" ht="15.75" customHeight="1" x14ac:dyDescent="0.15">
      <c r="A8" s="2" t="s">
        <v>684</v>
      </c>
    </row>
    <row r="9" spans="1:4" ht="15.75" customHeight="1" x14ac:dyDescent="0.15">
      <c r="A9" s="1" t="s">
        <v>674</v>
      </c>
      <c r="B9" s="1" t="s">
        <v>685</v>
      </c>
      <c r="C9" s="1" t="s">
        <v>686</v>
      </c>
      <c r="D9" s="1" t="s">
        <v>687</v>
      </c>
    </row>
    <row r="10" spans="1:4" ht="15.75" customHeight="1" x14ac:dyDescent="0.15">
      <c r="A10" s="1" t="s">
        <v>677</v>
      </c>
      <c r="B10" s="1" t="s">
        <v>688</v>
      </c>
      <c r="C10" s="1" t="s">
        <v>689</v>
      </c>
      <c r="D10" s="1" t="s">
        <v>690</v>
      </c>
    </row>
    <row r="11" spans="1:4" ht="15.75" customHeight="1" x14ac:dyDescent="0.15">
      <c r="A11" s="1" t="s">
        <v>680</v>
      </c>
      <c r="B11" s="1" t="s">
        <v>691</v>
      </c>
      <c r="C11" s="1" t="s">
        <v>692</v>
      </c>
      <c r="D11" s="1" t="s">
        <v>690</v>
      </c>
    </row>
    <row r="12" spans="1:4" ht="15.75" customHeight="1" x14ac:dyDescent="0.15">
      <c r="A12" s="1" t="s">
        <v>681</v>
      </c>
      <c r="B12" s="1" t="s">
        <v>693</v>
      </c>
      <c r="C12" s="1" t="s">
        <v>686</v>
      </c>
      <c r="D12" s="1" t="s">
        <v>690</v>
      </c>
    </row>
    <row r="13" spans="1:4" ht="15.75" customHeight="1" x14ac:dyDescent="0.15">
      <c r="A13" s="1" t="s">
        <v>683</v>
      </c>
      <c r="B13" s="1" t="s">
        <v>691</v>
      </c>
      <c r="C13" s="1" t="s">
        <v>686</v>
      </c>
    </row>
    <row r="15" spans="1:4" ht="15.75" customHeight="1" x14ac:dyDescent="0.15">
      <c r="A15" s="2" t="s">
        <v>694</v>
      </c>
    </row>
    <row r="17" spans="1:4" ht="15.75" customHeight="1" x14ac:dyDescent="0.15">
      <c r="A17" s="1" t="s">
        <v>677</v>
      </c>
      <c r="B17" s="1" t="s">
        <v>695</v>
      </c>
      <c r="C17" s="1" t="s">
        <v>696</v>
      </c>
      <c r="D17" s="1" t="s">
        <v>697</v>
      </c>
    </row>
    <row r="18" spans="1:4" ht="15.75" customHeight="1" x14ac:dyDescent="0.15">
      <c r="A18" s="1" t="s">
        <v>680</v>
      </c>
      <c r="B18" s="1" t="s">
        <v>691</v>
      </c>
      <c r="C18" s="1" t="s">
        <v>696</v>
      </c>
      <c r="D18" s="1" t="s">
        <v>697</v>
      </c>
    </row>
    <row r="19" spans="1:4" ht="15.75" customHeight="1" x14ac:dyDescent="0.15">
      <c r="A19" s="1" t="s">
        <v>681</v>
      </c>
      <c r="B19" s="1" t="s">
        <v>695</v>
      </c>
      <c r="C19" s="1" t="s">
        <v>698</v>
      </c>
      <c r="D19" s="1" t="s">
        <v>699</v>
      </c>
    </row>
    <row r="20" spans="1:4" ht="15.75" customHeight="1" x14ac:dyDescent="0.15">
      <c r="A20" s="1" t="s">
        <v>683</v>
      </c>
      <c r="B20" s="1" t="s">
        <v>700</v>
      </c>
      <c r="C20" s="1" t="s">
        <v>698</v>
      </c>
      <c r="D20" s="1" t="s">
        <v>699</v>
      </c>
    </row>
    <row r="22" spans="1:4" ht="15.75" customHeight="1" x14ac:dyDescent="0.15">
      <c r="A22" s="2" t="s">
        <v>701</v>
      </c>
    </row>
    <row r="24" spans="1:4" ht="15.75" customHeight="1" x14ac:dyDescent="0.15">
      <c r="A24" s="1" t="s">
        <v>677</v>
      </c>
      <c r="B24" s="1" t="s">
        <v>695</v>
      </c>
      <c r="C24" s="1" t="s">
        <v>686</v>
      </c>
      <c r="D24" s="1" t="s">
        <v>702</v>
      </c>
    </row>
    <row r="25" spans="1:4" ht="15.75" customHeight="1" x14ac:dyDescent="0.15">
      <c r="A25" s="1" t="s">
        <v>680</v>
      </c>
      <c r="B25" s="1" t="s">
        <v>700</v>
      </c>
      <c r="C25" s="1" t="s">
        <v>686</v>
      </c>
      <c r="D25" s="1" t="s">
        <v>702</v>
      </c>
    </row>
    <row r="26" spans="1:4" ht="15.75" customHeight="1" x14ac:dyDescent="0.15">
      <c r="A26" s="1" t="s">
        <v>681</v>
      </c>
      <c r="B26" s="1" t="s">
        <v>703</v>
      </c>
      <c r="C26" s="1" t="s">
        <v>686</v>
      </c>
      <c r="D26" s="1" t="s">
        <v>704</v>
      </c>
    </row>
    <row r="27" spans="1:4" ht="15.75" customHeight="1" x14ac:dyDescent="0.15">
      <c r="A27" s="1" t="s">
        <v>683</v>
      </c>
      <c r="B27" s="1" t="s">
        <v>700</v>
      </c>
      <c r="C27" s="1" t="s">
        <v>686</v>
      </c>
      <c r="D27" s="1" t="s">
        <v>705</v>
      </c>
    </row>
    <row r="29" spans="1:4" ht="15.75" customHeight="1" x14ac:dyDescent="0.15">
      <c r="A29" s="2" t="s">
        <v>706</v>
      </c>
    </row>
    <row r="30" spans="1:4" ht="15.75" customHeight="1" x14ac:dyDescent="0.15">
      <c r="A30" s="1" t="s">
        <v>674</v>
      </c>
      <c r="B30" s="1" t="s">
        <v>685</v>
      </c>
      <c r="C30" s="1" t="s">
        <v>686</v>
      </c>
      <c r="D30" s="1" t="s">
        <v>702</v>
      </c>
    </row>
    <row r="31" spans="1:4" ht="15.75" customHeight="1" x14ac:dyDescent="0.15">
      <c r="A31" s="1" t="s">
        <v>677</v>
      </c>
      <c r="B31" s="1" t="s">
        <v>695</v>
      </c>
      <c r="C31" s="1" t="s">
        <v>686</v>
      </c>
      <c r="D31" s="1" t="s">
        <v>707</v>
      </c>
    </row>
    <row r="32" spans="1:4" ht="15.75" customHeight="1" x14ac:dyDescent="0.15">
      <c r="A32" s="1" t="s">
        <v>680</v>
      </c>
      <c r="B32" s="1" t="s">
        <v>700</v>
      </c>
      <c r="C32" s="1" t="s">
        <v>686</v>
      </c>
      <c r="D32" s="1" t="s">
        <v>707</v>
      </c>
    </row>
    <row r="33" spans="1:4" ht="15.75" customHeight="1" x14ac:dyDescent="0.15">
      <c r="A33" s="1" t="s">
        <v>681</v>
      </c>
      <c r="B33" s="1" t="s">
        <v>708</v>
      </c>
      <c r="C33" s="1" t="s">
        <v>709</v>
      </c>
      <c r="D33" s="1" t="s">
        <v>710</v>
      </c>
    </row>
    <row r="34" spans="1:4" ht="15.75" customHeight="1" x14ac:dyDescent="0.15">
      <c r="A34" s="1" t="s">
        <v>683</v>
      </c>
      <c r="B34" s="1" t="s">
        <v>695</v>
      </c>
      <c r="C34" s="1" t="s">
        <v>711</v>
      </c>
      <c r="D34" s="1" t="s">
        <v>702</v>
      </c>
    </row>
    <row r="36" spans="1:4" ht="15.75" customHeight="1" x14ac:dyDescent="0.15">
      <c r="A36" s="2" t="s">
        <v>712</v>
      </c>
    </row>
    <row r="37" spans="1:4" ht="15.75" customHeight="1" x14ac:dyDescent="0.15">
      <c r="A37" s="1" t="s">
        <v>674</v>
      </c>
      <c r="B37" s="1" t="s">
        <v>713</v>
      </c>
      <c r="C37" s="1" t="s">
        <v>714</v>
      </c>
      <c r="D37" s="1" t="s">
        <v>707</v>
      </c>
    </row>
    <row r="38" spans="1:4" ht="15.75" customHeight="1" x14ac:dyDescent="0.15">
      <c r="A38" s="1" t="s">
        <v>677</v>
      </c>
      <c r="B38" s="1" t="s">
        <v>695</v>
      </c>
      <c r="C38" s="1" t="s">
        <v>715</v>
      </c>
      <c r="D38" s="1" t="s">
        <v>716</v>
      </c>
    </row>
    <row r="39" spans="1:4" ht="15.75" customHeight="1" x14ac:dyDescent="0.15">
      <c r="A39" s="1" t="s">
        <v>680</v>
      </c>
      <c r="B39" s="1" t="s">
        <v>700</v>
      </c>
      <c r="C39" s="1" t="s">
        <v>717</v>
      </c>
      <c r="D39" s="1" t="s">
        <v>707</v>
      </c>
    </row>
    <row r="40" spans="1:4" ht="15.75" customHeight="1" x14ac:dyDescent="0.15">
      <c r="A40" s="1" t="s">
        <v>681</v>
      </c>
      <c r="B40" s="1" t="s">
        <v>695</v>
      </c>
      <c r="C40" s="1" t="s">
        <v>718</v>
      </c>
      <c r="D40" s="1" t="s">
        <v>719</v>
      </c>
    </row>
    <row r="41" spans="1:4" ht="15.75" customHeight="1" x14ac:dyDescent="0.15">
      <c r="A41" s="1" t="s">
        <v>683</v>
      </c>
      <c r="B41" s="1" t="s">
        <v>695</v>
      </c>
      <c r="C41" s="1" t="s">
        <v>720</v>
      </c>
      <c r="D41" s="1" t="s">
        <v>705</v>
      </c>
    </row>
    <row r="43" spans="1:4" ht="15.75" customHeight="1" x14ac:dyDescent="0.15">
      <c r="A43" s="2" t="s">
        <v>721</v>
      </c>
    </row>
    <row r="44" spans="1:4" ht="15.75" customHeight="1" x14ac:dyDescent="0.15">
      <c r="A44" s="1" t="s">
        <v>674</v>
      </c>
      <c r="B44" s="1" t="s">
        <v>708</v>
      </c>
      <c r="C44" s="1" t="s">
        <v>717</v>
      </c>
      <c r="D44" s="1" t="s">
        <v>722</v>
      </c>
    </row>
    <row r="45" spans="1:4" ht="15.75" customHeight="1" x14ac:dyDescent="0.15">
      <c r="A45" s="1" t="s">
        <v>677</v>
      </c>
      <c r="B45" s="1" t="s">
        <v>695</v>
      </c>
      <c r="C45" s="1" t="s">
        <v>717</v>
      </c>
      <c r="D45" s="1" t="s">
        <v>723</v>
      </c>
    </row>
    <row r="46" spans="1:4" ht="15.75" customHeight="1" x14ac:dyDescent="0.15">
      <c r="A46" s="1" t="s">
        <v>680</v>
      </c>
      <c r="B46" s="1" t="s">
        <v>700</v>
      </c>
      <c r="C46" s="1" t="s">
        <v>717</v>
      </c>
      <c r="D46" s="1" t="s">
        <v>723</v>
      </c>
    </row>
    <row r="47" spans="1:4" ht="15.75" customHeight="1" x14ac:dyDescent="0.15">
      <c r="A47" s="1" t="s">
        <v>681</v>
      </c>
      <c r="B47" s="1" t="s">
        <v>708</v>
      </c>
      <c r="C47" s="1" t="s">
        <v>724</v>
      </c>
      <c r="D47" s="1" t="s">
        <v>725</v>
      </c>
    </row>
    <row r="48" spans="1:4" ht="15.75" customHeight="1" x14ac:dyDescent="0.15">
      <c r="A48" s="1" t="s">
        <v>683</v>
      </c>
      <c r="B48" s="1" t="s">
        <v>695</v>
      </c>
      <c r="C48" s="1" t="s">
        <v>726</v>
      </c>
    </row>
    <row r="50" spans="1:4" ht="15.75" customHeight="1" x14ac:dyDescent="0.15">
      <c r="A50" s="2" t="s">
        <v>727</v>
      </c>
    </row>
    <row r="51" spans="1:4" ht="15.75" customHeight="1" x14ac:dyDescent="0.15">
      <c r="A51" s="1" t="s">
        <v>674</v>
      </c>
      <c r="B51" s="1" t="s">
        <v>708</v>
      </c>
      <c r="C51" s="1" t="s">
        <v>717</v>
      </c>
      <c r="D51" s="1" t="s">
        <v>707</v>
      </c>
    </row>
    <row r="52" spans="1:4" ht="15.75" customHeight="1" x14ac:dyDescent="0.15">
      <c r="A52" s="1" t="s">
        <v>677</v>
      </c>
      <c r="B52" s="1" t="s">
        <v>695</v>
      </c>
      <c r="C52" s="1" t="s">
        <v>717</v>
      </c>
      <c r="D52" s="1" t="s">
        <v>707</v>
      </c>
    </row>
    <row r="53" spans="1:4" ht="15.75" customHeight="1" x14ac:dyDescent="0.15">
      <c r="A53" s="1" t="s">
        <v>680</v>
      </c>
      <c r="B53" s="1" t="s">
        <v>700</v>
      </c>
      <c r="C53" s="1" t="s">
        <v>717</v>
      </c>
      <c r="D53" s="1" t="s">
        <v>707</v>
      </c>
    </row>
    <row r="54" spans="1:4" ht="15.75" customHeight="1" x14ac:dyDescent="0.15">
      <c r="A54" s="1" t="s">
        <v>681</v>
      </c>
      <c r="B54" s="1" t="s">
        <v>708</v>
      </c>
      <c r="C54" s="1" t="s">
        <v>717</v>
      </c>
      <c r="D54" s="1" t="s">
        <v>707</v>
      </c>
    </row>
    <row r="55" spans="1:4" ht="15.75" customHeight="1" x14ac:dyDescent="0.15">
      <c r="A55" s="1" t="s">
        <v>683</v>
      </c>
      <c r="B55" s="1" t="s">
        <v>728</v>
      </c>
      <c r="C55" s="1" t="s">
        <v>729</v>
      </c>
      <c r="D55" s="1" t="s">
        <v>730</v>
      </c>
    </row>
    <row r="57" spans="1:4" ht="15.75" customHeight="1" x14ac:dyDescent="0.15">
      <c r="A57" s="2" t="s">
        <v>731</v>
      </c>
    </row>
    <row r="58" spans="1:4" ht="15.75" customHeight="1" x14ac:dyDescent="0.15">
      <c r="A58" s="1" t="s">
        <v>674</v>
      </c>
      <c r="B58" s="1" t="s">
        <v>708</v>
      </c>
      <c r="C58" s="1" t="s">
        <v>717</v>
      </c>
      <c r="D58" s="1" t="s">
        <v>732</v>
      </c>
    </row>
    <row r="59" spans="1:4" ht="15.75" customHeight="1" x14ac:dyDescent="0.15">
      <c r="A59" s="1" t="s">
        <v>677</v>
      </c>
      <c r="B59" s="1" t="s">
        <v>695</v>
      </c>
      <c r="C59" s="1" t="s">
        <v>717</v>
      </c>
      <c r="D59" s="1" t="s">
        <v>733</v>
      </c>
    </row>
    <row r="60" spans="1:4" ht="15.75" customHeight="1" x14ac:dyDescent="0.15">
      <c r="A60" s="1" t="s">
        <v>680</v>
      </c>
      <c r="B60" s="1" t="s">
        <v>700</v>
      </c>
      <c r="C60" s="1" t="s">
        <v>717</v>
      </c>
      <c r="D60" s="1" t="s">
        <v>733</v>
      </c>
    </row>
    <row r="61" spans="1:4" ht="15.75" customHeight="1" x14ac:dyDescent="0.15">
      <c r="A61" s="1" t="s">
        <v>681</v>
      </c>
      <c r="B61" s="1" t="s">
        <v>708</v>
      </c>
      <c r="C61" s="1" t="s">
        <v>717</v>
      </c>
      <c r="D61" s="1" t="s">
        <v>733</v>
      </c>
    </row>
    <row r="62" spans="1:4" ht="15.75" customHeight="1" x14ac:dyDescent="0.15">
      <c r="A62" s="1" t="s">
        <v>683</v>
      </c>
      <c r="B62" s="1" t="s">
        <v>695</v>
      </c>
      <c r="C62" s="1" t="s">
        <v>729</v>
      </c>
      <c r="D62" s="1" t="s">
        <v>730</v>
      </c>
    </row>
    <row r="64" spans="1:4" ht="15.75" customHeight="1" x14ac:dyDescent="0.15">
      <c r="A64" s="2" t="s">
        <v>734</v>
      </c>
    </row>
    <row r="65" spans="1:5" ht="15.75" customHeight="1" x14ac:dyDescent="0.15">
      <c r="A65" s="1" t="s">
        <v>674</v>
      </c>
      <c r="B65" s="1" t="s">
        <v>708</v>
      </c>
      <c r="C65" s="1" t="s">
        <v>717</v>
      </c>
    </row>
    <row r="66" spans="1:5" ht="15.75" customHeight="1" x14ac:dyDescent="0.15">
      <c r="A66" s="1" t="s">
        <v>677</v>
      </c>
      <c r="B66" s="1" t="s">
        <v>695</v>
      </c>
      <c r="C66" s="1" t="s">
        <v>735</v>
      </c>
      <c r="D66" s="1" t="s">
        <v>736</v>
      </c>
      <c r="E66" s="1" t="s">
        <v>737</v>
      </c>
    </row>
    <row r="67" spans="1:5" ht="15.75" customHeight="1" x14ac:dyDescent="0.15">
      <c r="A67" s="1" t="s">
        <v>680</v>
      </c>
      <c r="B67" s="1" t="s">
        <v>700</v>
      </c>
      <c r="C67" s="1" t="s">
        <v>735</v>
      </c>
      <c r="D67" s="1" t="s">
        <v>736</v>
      </c>
    </row>
    <row r="68" spans="1:5" ht="15.75" customHeight="1" x14ac:dyDescent="0.15">
      <c r="A68" s="1" t="s">
        <v>681</v>
      </c>
      <c r="B68" s="1" t="s">
        <v>695</v>
      </c>
      <c r="C68" s="1" t="s">
        <v>738</v>
      </c>
      <c r="D68" s="1" t="s">
        <v>736</v>
      </c>
    </row>
    <row r="69" spans="1:5" ht="15.75" customHeight="1" x14ac:dyDescent="0.15">
      <c r="A69" s="1" t="s">
        <v>683</v>
      </c>
      <c r="B69" s="1" t="s">
        <v>700</v>
      </c>
      <c r="C69" s="1" t="s">
        <v>738</v>
      </c>
    </row>
    <row r="71" spans="1:5" ht="15.75" customHeight="1" x14ac:dyDescent="0.15">
      <c r="A71" s="2" t="s">
        <v>739</v>
      </c>
    </row>
    <row r="72" spans="1:5" ht="15.75" customHeight="1" x14ac:dyDescent="0.15">
      <c r="A72" s="1" t="s">
        <v>674</v>
      </c>
      <c r="B72" s="1" t="s">
        <v>708</v>
      </c>
      <c r="C72" s="1" t="s">
        <v>717</v>
      </c>
      <c r="D72" s="1" t="s">
        <v>740</v>
      </c>
    </row>
    <row r="73" spans="1:5" ht="15.75" customHeight="1" x14ac:dyDescent="0.15">
      <c r="A73" s="1" t="s">
        <v>677</v>
      </c>
      <c r="B73" s="1" t="s">
        <v>695</v>
      </c>
      <c r="C73" s="1" t="s">
        <v>741</v>
      </c>
      <c r="D73" s="1" t="s">
        <v>740</v>
      </c>
    </row>
    <row r="74" spans="1:5" ht="15.75" customHeight="1" x14ac:dyDescent="0.15">
      <c r="A74" s="1" t="s">
        <v>742</v>
      </c>
      <c r="B74" s="1" t="s">
        <v>743</v>
      </c>
      <c r="C74" s="1" t="s">
        <v>744</v>
      </c>
      <c r="D74" s="1" t="s">
        <v>740</v>
      </c>
    </row>
    <row r="75" spans="1:5" ht="15.75" customHeight="1" x14ac:dyDescent="0.15">
      <c r="A75" s="1" t="s">
        <v>681</v>
      </c>
      <c r="B75" s="1" t="s">
        <v>691</v>
      </c>
      <c r="C75" s="1" t="s">
        <v>745</v>
      </c>
      <c r="D75" s="1" t="s">
        <v>740</v>
      </c>
    </row>
    <row r="76" spans="1:5" ht="15.75" customHeight="1" x14ac:dyDescent="0.15">
      <c r="A76" s="1" t="s">
        <v>683</v>
      </c>
      <c r="B76" s="1" t="s">
        <v>695</v>
      </c>
      <c r="C76" s="1" t="s">
        <v>746</v>
      </c>
      <c r="D76" s="1" t="s">
        <v>747</v>
      </c>
    </row>
    <row r="78" spans="1:5" ht="15.75" customHeight="1" x14ac:dyDescent="0.15">
      <c r="A78" s="2" t="s">
        <v>748</v>
      </c>
    </row>
    <row r="79" spans="1:5" ht="15.75" customHeight="1" x14ac:dyDescent="0.15">
      <c r="A79" s="1" t="s">
        <v>674</v>
      </c>
      <c r="B79" s="1" t="s">
        <v>685</v>
      </c>
      <c r="C79" s="1" t="s">
        <v>749</v>
      </c>
      <c r="D79" s="1" t="s">
        <v>750</v>
      </c>
    </row>
    <row r="80" spans="1:5" ht="15.75" customHeight="1" x14ac:dyDescent="0.15">
      <c r="A80" s="1" t="s">
        <v>677</v>
      </c>
      <c r="B80" s="1" t="s">
        <v>695</v>
      </c>
      <c r="C80" s="1" t="s">
        <v>751</v>
      </c>
      <c r="D80" s="1" t="s">
        <v>740</v>
      </c>
    </row>
    <row r="81" spans="1:4" ht="15.75" customHeight="1" x14ac:dyDescent="0.15">
      <c r="A81" s="1" t="s">
        <v>742</v>
      </c>
      <c r="B81" s="1" t="s">
        <v>752</v>
      </c>
      <c r="C81" s="1" t="s">
        <v>753</v>
      </c>
      <c r="D81" s="1" t="s">
        <v>754</v>
      </c>
    </row>
    <row r="82" spans="1:4" ht="15.75" customHeight="1" x14ac:dyDescent="0.15">
      <c r="A82" s="1" t="s">
        <v>681</v>
      </c>
      <c r="B82" s="1" t="s">
        <v>755</v>
      </c>
      <c r="C82" s="1" t="s">
        <v>753</v>
      </c>
      <c r="D82" s="1" t="s">
        <v>754</v>
      </c>
    </row>
    <row r="83" spans="1:4" ht="15.75" customHeight="1" x14ac:dyDescent="0.15">
      <c r="A83" s="1" t="s">
        <v>683</v>
      </c>
      <c r="B83" s="1" t="s">
        <v>695</v>
      </c>
      <c r="C83" s="1" t="s">
        <v>756</v>
      </c>
      <c r="D83" s="1" t="s">
        <v>740</v>
      </c>
    </row>
    <row r="85" spans="1:4" ht="15.75" customHeight="1" x14ac:dyDescent="0.15">
      <c r="A85" s="2" t="s">
        <v>757</v>
      </c>
      <c r="C85" s="2" t="s">
        <v>758</v>
      </c>
    </row>
    <row r="86" spans="1:4" ht="15.75" customHeight="1" x14ac:dyDescent="0.15">
      <c r="A86" s="1" t="s">
        <v>674</v>
      </c>
      <c r="B86" s="1" t="s">
        <v>695</v>
      </c>
      <c r="C86" s="1" t="s">
        <v>759</v>
      </c>
      <c r="D86" s="1" t="s">
        <v>760</v>
      </c>
    </row>
    <row r="87" spans="1:4" ht="15.75" customHeight="1" x14ac:dyDescent="0.15">
      <c r="A87" s="1" t="s">
        <v>677</v>
      </c>
      <c r="B87" s="1" t="s">
        <v>695</v>
      </c>
      <c r="C87" s="1" t="s">
        <v>761</v>
      </c>
      <c r="D87" s="1" t="s">
        <v>760</v>
      </c>
    </row>
    <row r="88" spans="1:4" ht="15.75" customHeight="1" x14ac:dyDescent="0.15">
      <c r="A88" s="1" t="s">
        <v>742</v>
      </c>
      <c r="B88" s="1" t="s">
        <v>695</v>
      </c>
      <c r="C88" s="1" t="s">
        <v>762</v>
      </c>
      <c r="D88" s="1" t="s">
        <v>740</v>
      </c>
    </row>
    <row r="89" spans="1:4" ht="15.75" customHeight="1" x14ac:dyDescent="0.15">
      <c r="A89" s="1" t="s">
        <v>681</v>
      </c>
      <c r="B89" s="1" t="s">
        <v>695</v>
      </c>
      <c r="C89" s="1" t="s">
        <v>763</v>
      </c>
      <c r="D89" s="1" t="s">
        <v>740</v>
      </c>
    </row>
    <row r="90" spans="1:4" ht="15.75" customHeight="1" x14ac:dyDescent="0.15">
      <c r="A90" s="1" t="s">
        <v>683</v>
      </c>
      <c r="B90" s="1" t="s">
        <v>695</v>
      </c>
      <c r="C90" s="1" t="s">
        <v>764</v>
      </c>
      <c r="D90" s="1" t="s">
        <v>740</v>
      </c>
    </row>
    <row r="92" spans="1:4" ht="15.75" customHeight="1" x14ac:dyDescent="0.15">
      <c r="A92" s="2" t="s">
        <v>765</v>
      </c>
      <c r="C92" s="2" t="s">
        <v>766</v>
      </c>
    </row>
    <row r="93" spans="1:4" ht="15.75" customHeight="1" x14ac:dyDescent="0.15">
      <c r="A93" s="1" t="s">
        <v>674</v>
      </c>
      <c r="B93" s="1" t="s">
        <v>695</v>
      </c>
      <c r="C93" s="1" t="s">
        <v>767</v>
      </c>
      <c r="D93" s="1" t="s">
        <v>768</v>
      </c>
    </row>
    <row r="94" spans="1:4" ht="15.75" customHeight="1" x14ac:dyDescent="0.15">
      <c r="A94" s="1" t="s">
        <v>677</v>
      </c>
      <c r="B94" s="1" t="s">
        <v>695</v>
      </c>
      <c r="C94" s="1" t="s">
        <v>767</v>
      </c>
      <c r="D94" s="1" t="s">
        <v>768</v>
      </c>
    </row>
    <row r="95" spans="1:4" ht="15.75" customHeight="1" x14ac:dyDescent="0.15">
      <c r="A95" s="1" t="s">
        <v>742</v>
      </c>
      <c r="B95" s="1" t="s">
        <v>695</v>
      </c>
      <c r="C95" s="1" t="s">
        <v>767</v>
      </c>
      <c r="D95" s="1" t="s">
        <v>768</v>
      </c>
    </row>
    <row r="96" spans="1:4" ht="15.75" customHeight="1" x14ac:dyDescent="0.15">
      <c r="A96" s="1" t="s">
        <v>681</v>
      </c>
      <c r="B96" s="1" t="s">
        <v>695</v>
      </c>
      <c r="C96" s="1" t="s">
        <v>767</v>
      </c>
      <c r="D96" s="1" t="s">
        <v>769</v>
      </c>
    </row>
    <row r="97" spans="1:4" ht="15.75" customHeight="1" x14ac:dyDescent="0.15">
      <c r="A97" s="1" t="s">
        <v>683</v>
      </c>
      <c r="B97" s="1" t="s">
        <v>695</v>
      </c>
    </row>
    <row r="99" spans="1:4" ht="15.75" customHeight="1" x14ac:dyDescent="0.15">
      <c r="A99" s="2" t="s">
        <v>770</v>
      </c>
    </row>
    <row r="100" spans="1:4" ht="15.75" customHeight="1" x14ac:dyDescent="0.15">
      <c r="A100" s="1" t="s">
        <v>677</v>
      </c>
      <c r="B100" s="1" t="s">
        <v>688</v>
      </c>
      <c r="C100" s="1" t="s">
        <v>771</v>
      </c>
      <c r="D100" s="1" t="s">
        <v>740</v>
      </c>
    </row>
    <row r="101" spans="1:4" ht="15.75" customHeight="1" x14ac:dyDescent="0.15">
      <c r="A101" s="1" t="s">
        <v>742</v>
      </c>
      <c r="B101" s="1" t="s">
        <v>772</v>
      </c>
      <c r="C101" s="1" t="s">
        <v>773</v>
      </c>
      <c r="D101" s="1" t="s">
        <v>774</v>
      </c>
    </row>
    <row r="102" spans="1:4" ht="15.75" customHeight="1" x14ac:dyDescent="0.15">
      <c r="A102" s="1" t="s">
        <v>681</v>
      </c>
      <c r="B102" s="1" t="s">
        <v>695</v>
      </c>
      <c r="C102" s="1" t="s">
        <v>775</v>
      </c>
      <c r="D102" s="1" t="s">
        <v>769</v>
      </c>
    </row>
    <row r="103" spans="1:4" ht="15.75" customHeight="1" x14ac:dyDescent="0.15">
      <c r="A103" s="1" t="s">
        <v>683</v>
      </c>
      <c r="B103" s="1" t="s">
        <v>695</v>
      </c>
    </row>
    <row r="105" spans="1:4" ht="15.75" customHeight="1" x14ac:dyDescent="0.15">
      <c r="A105" s="2" t="s">
        <v>776</v>
      </c>
    </row>
    <row r="107" spans="1:4" ht="15.75" customHeight="1" x14ac:dyDescent="0.15">
      <c r="A107" s="1" t="s">
        <v>742</v>
      </c>
      <c r="B107" s="1" t="s">
        <v>695</v>
      </c>
      <c r="C107" s="1" t="s">
        <v>777</v>
      </c>
      <c r="D107" s="1" t="s">
        <v>778</v>
      </c>
    </row>
    <row r="108" spans="1:4" ht="15.75" customHeight="1" x14ac:dyDescent="0.15">
      <c r="A108" s="1" t="s">
        <v>681</v>
      </c>
      <c r="B108" s="1" t="s">
        <v>695</v>
      </c>
      <c r="C108" s="1" t="s">
        <v>779</v>
      </c>
      <c r="D108" s="1" t="s">
        <v>780</v>
      </c>
    </row>
    <row r="109" spans="1:4" ht="15.75" customHeight="1" x14ac:dyDescent="0.15">
      <c r="A109" s="1" t="s">
        <v>683</v>
      </c>
      <c r="B109" s="1" t="s">
        <v>695</v>
      </c>
      <c r="C109" s="1" t="s">
        <v>781</v>
      </c>
      <c r="D109" s="1" t="s">
        <v>782</v>
      </c>
    </row>
    <row r="111" spans="1:4" ht="13" x14ac:dyDescent="0.15">
      <c r="A111" s="2" t="s">
        <v>783</v>
      </c>
    </row>
    <row r="112" spans="1:4" ht="13" x14ac:dyDescent="0.15">
      <c r="A112" s="1" t="s">
        <v>674</v>
      </c>
      <c r="B112" s="1" t="s">
        <v>708</v>
      </c>
      <c r="C112" s="1" t="s">
        <v>784</v>
      </c>
      <c r="D112" s="1" t="s">
        <v>785</v>
      </c>
    </row>
    <row r="113" spans="1:4" ht="13" x14ac:dyDescent="0.15">
      <c r="A113" s="1" t="s">
        <v>677</v>
      </c>
      <c r="B113" s="1" t="s">
        <v>695</v>
      </c>
      <c r="C113" s="1" t="s">
        <v>786</v>
      </c>
      <c r="D113" s="1" t="s">
        <v>787</v>
      </c>
    </row>
    <row r="114" spans="1:4" ht="13" x14ac:dyDescent="0.15">
      <c r="A114" s="1" t="s">
        <v>742</v>
      </c>
      <c r="B114" s="1" t="s">
        <v>695</v>
      </c>
      <c r="C114" s="1" t="s">
        <v>788</v>
      </c>
      <c r="D114" s="1" t="s">
        <v>789</v>
      </c>
    </row>
    <row r="115" spans="1:4" ht="13" x14ac:dyDescent="0.15">
      <c r="A115" s="1" t="s">
        <v>681</v>
      </c>
      <c r="B115" s="1" t="s">
        <v>695</v>
      </c>
      <c r="C115" s="1" t="s">
        <v>788</v>
      </c>
      <c r="D115" s="1" t="s">
        <v>790</v>
      </c>
    </row>
    <row r="116" spans="1:4" ht="13" x14ac:dyDescent="0.15">
      <c r="A116" s="1" t="s">
        <v>683</v>
      </c>
      <c r="B116" s="1" t="s">
        <v>695</v>
      </c>
      <c r="C116" s="1" t="s">
        <v>788</v>
      </c>
      <c r="D116" s="1" t="s">
        <v>791</v>
      </c>
    </row>
    <row r="118" spans="1:4" ht="13" x14ac:dyDescent="0.15">
      <c r="A118" s="2" t="s">
        <v>792</v>
      </c>
    </row>
    <row r="119" spans="1:4" ht="13" x14ac:dyDescent="0.15">
      <c r="A119" s="1" t="s">
        <v>674</v>
      </c>
      <c r="B119" s="1" t="s">
        <v>708</v>
      </c>
      <c r="C119" s="1" t="s">
        <v>793</v>
      </c>
    </row>
    <row r="120" spans="1:4" ht="13" x14ac:dyDescent="0.15">
      <c r="A120" s="1" t="s">
        <v>677</v>
      </c>
      <c r="B120" s="1" t="s">
        <v>688</v>
      </c>
      <c r="C120" s="1" t="s">
        <v>794</v>
      </c>
    </row>
    <row r="121" spans="1:4" ht="13" x14ac:dyDescent="0.15">
      <c r="A121" s="1" t="s">
        <v>742</v>
      </c>
      <c r="B121" s="1" t="s">
        <v>700</v>
      </c>
      <c r="C121" s="1" t="s">
        <v>793</v>
      </c>
    </row>
    <row r="122" spans="1:4" ht="13" x14ac:dyDescent="0.15">
      <c r="A122" s="1" t="s">
        <v>681</v>
      </c>
      <c r="B122" s="1" t="s">
        <v>695</v>
      </c>
      <c r="C122" s="1" t="s">
        <v>795</v>
      </c>
    </row>
    <row r="123" spans="1:4" ht="13" x14ac:dyDescent="0.15">
      <c r="A123" s="1" t="s">
        <v>683</v>
      </c>
      <c r="B123" s="1" t="s">
        <v>695</v>
      </c>
      <c r="C123" s="1" t="s">
        <v>796</v>
      </c>
    </row>
    <row r="125" spans="1:4" ht="13" x14ac:dyDescent="0.15">
      <c r="A125" s="2" t="s">
        <v>797</v>
      </c>
    </row>
    <row r="126" spans="1:4" ht="13" x14ac:dyDescent="0.15">
      <c r="A126" s="1" t="s">
        <v>677</v>
      </c>
      <c r="B126" s="1" t="s">
        <v>798</v>
      </c>
      <c r="C126" s="1" t="s">
        <v>799</v>
      </c>
    </row>
    <row r="127" spans="1:4" ht="13" x14ac:dyDescent="0.15">
      <c r="A127" s="1" t="s">
        <v>742</v>
      </c>
      <c r="B127" s="1" t="s">
        <v>695</v>
      </c>
      <c r="C127" s="1" t="s">
        <v>799</v>
      </c>
    </row>
    <row r="128" spans="1:4" ht="13" x14ac:dyDescent="0.15">
      <c r="A128" s="1" t="s">
        <v>681</v>
      </c>
      <c r="B128" s="1" t="s">
        <v>700</v>
      </c>
      <c r="C128" s="1" t="s">
        <v>799</v>
      </c>
    </row>
    <row r="129" spans="1:3" ht="13" x14ac:dyDescent="0.15">
      <c r="A129" s="1" t="s">
        <v>683</v>
      </c>
      <c r="B129" s="1" t="s">
        <v>691</v>
      </c>
      <c r="C129" s="1" t="s">
        <v>800</v>
      </c>
    </row>
    <row r="131" spans="1:3" ht="13" x14ac:dyDescent="0.15">
      <c r="A131" s="2" t="s">
        <v>801</v>
      </c>
    </row>
    <row r="132" spans="1:3" ht="13" x14ac:dyDescent="0.15">
      <c r="A132" s="1" t="s">
        <v>674</v>
      </c>
      <c r="B132" s="1" t="s">
        <v>685</v>
      </c>
      <c r="C132" s="1" t="s">
        <v>802</v>
      </c>
    </row>
    <row r="133" spans="1:3" ht="13" x14ac:dyDescent="0.15">
      <c r="A133" s="1" t="s">
        <v>677</v>
      </c>
      <c r="B133" s="1" t="s">
        <v>695</v>
      </c>
      <c r="C133" s="1" t="s">
        <v>803</v>
      </c>
    </row>
    <row r="134" spans="1:3" ht="13" x14ac:dyDescent="0.15">
      <c r="A134" s="1" t="s">
        <v>742</v>
      </c>
      <c r="B134" s="1" t="s">
        <v>700</v>
      </c>
    </row>
    <row r="135" spans="1:3" ht="13" x14ac:dyDescent="0.15">
      <c r="A135" s="1" t="s">
        <v>681</v>
      </c>
      <c r="B135" s="1" t="s">
        <v>695</v>
      </c>
    </row>
    <row r="136" spans="1:3" ht="13" x14ac:dyDescent="0.15">
      <c r="A136" s="1" t="s">
        <v>683</v>
      </c>
      <c r="B136" s="1" t="s">
        <v>700</v>
      </c>
    </row>
    <row r="138" spans="1:3" ht="13" x14ac:dyDescent="0.15">
      <c r="A138" s="2" t="s">
        <v>804</v>
      </c>
    </row>
    <row r="139" spans="1:3" ht="13" x14ac:dyDescent="0.15">
      <c r="A139" s="1" t="s">
        <v>674</v>
      </c>
      <c r="B139" s="1" t="s">
        <v>708</v>
      </c>
      <c r="C139" s="1" t="s">
        <v>805</v>
      </c>
    </row>
    <row r="140" spans="1:3" ht="13" x14ac:dyDescent="0.15">
      <c r="A140" s="1" t="s">
        <v>677</v>
      </c>
      <c r="B140" s="1" t="s">
        <v>695</v>
      </c>
      <c r="C140" s="1" t="s">
        <v>806</v>
      </c>
    </row>
    <row r="141" spans="1:3" ht="13" x14ac:dyDescent="0.15">
      <c r="A141" s="1" t="s">
        <v>742</v>
      </c>
      <c r="B141" s="1" t="s">
        <v>700</v>
      </c>
      <c r="C141" s="1" t="s">
        <v>807</v>
      </c>
    </row>
    <row r="142" spans="1:3" ht="13" x14ac:dyDescent="0.15">
      <c r="A142" s="1" t="s">
        <v>681</v>
      </c>
      <c r="B142" s="1" t="s">
        <v>808</v>
      </c>
      <c r="C142" s="1" t="s">
        <v>809</v>
      </c>
    </row>
    <row r="143" spans="1:3" ht="13" x14ac:dyDescent="0.15">
      <c r="A143" s="1" t="s">
        <v>683</v>
      </c>
      <c r="B143" s="1" t="s">
        <v>810</v>
      </c>
      <c r="C143" s="1" t="s">
        <v>809</v>
      </c>
    </row>
    <row r="145" spans="1:3" ht="13" x14ac:dyDescent="0.15">
      <c r="A145" s="2" t="s">
        <v>804</v>
      </c>
    </row>
    <row r="146" spans="1:3" ht="13" x14ac:dyDescent="0.15">
      <c r="A146" s="1" t="s">
        <v>674</v>
      </c>
      <c r="B146" s="1" t="s">
        <v>811</v>
      </c>
      <c r="C146" s="1" t="s">
        <v>812</v>
      </c>
    </row>
    <row r="147" spans="1:3" ht="13" x14ac:dyDescent="0.15">
      <c r="A147" s="1" t="s">
        <v>677</v>
      </c>
      <c r="B147" s="1" t="s">
        <v>695</v>
      </c>
      <c r="C147" s="1" t="s">
        <v>813</v>
      </c>
    </row>
    <row r="148" spans="1:3" ht="13" x14ac:dyDescent="0.15">
      <c r="A148" s="1" t="s">
        <v>742</v>
      </c>
      <c r="B148" s="1" t="s">
        <v>814</v>
      </c>
      <c r="C148" s="1" t="s">
        <v>815</v>
      </c>
    </row>
    <row r="149" spans="1:3" ht="13" x14ac:dyDescent="0.15">
      <c r="A149" s="1" t="s">
        <v>681</v>
      </c>
      <c r="B149" s="1" t="s">
        <v>816</v>
      </c>
      <c r="C149" s="1" t="s">
        <v>817</v>
      </c>
    </row>
    <row r="150" spans="1:3" ht="13" x14ac:dyDescent="0.15">
      <c r="A150" s="1" t="s">
        <v>683</v>
      </c>
      <c r="B150" s="1" t="s">
        <v>818</v>
      </c>
      <c r="C150" s="1" t="s">
        <v>819</v>
      </c>
    </row>
    <row r="152" spans="1:3" ht="13" x14ac:dyDescent="0.15">
      <c r="A152" s="2" t="s">
        <v>820</v>
      </c>
    </row>
    <row r="153" spans="1:3" ht="13" x14ac:dyDescent="0.15">
      <c r="A153" s="1" t="s">
        <v>674</v>
      </c>
      <c r="B153" s="1" t="s">
        <v>728</v>
      </c>
      <c r="C153" s="1" t="s">
        <v>821</v>
      </c>
    </row>
    <row r="154" spans="1:3" ht="13" x14ac:dyDescent="0.15">
      <c r="A154" s="1" t="s">
        <v>677</v>
      </c>
      <c r="B154" s="1" t="s">
        <v>695</v>
      </c>
      <c r="C154" s="1" t="s">
        <v>822</v>
      </c>
    </row>
    <row r="155" spans="1:3" ht="13" x14ac:dyDescent="0.15">
      <c r="A155" s="1" t="s">
        <v>742</v>
      </c>
      <c r="B155" s="1" t="s">
        <v>700</v>
      </c>
      <c r="C155" s="1" t="s">
        <v>823</v>
      </c>
    </row>
    <row r="156" spans="1:3" ht="13" x14ac:dyDescent="0.15">
      <c r="A156" s="1" t="s">
        <v>681</v>
      </c>
      <c r="B156" s="1" t="s">
        <v>824</v>
      </c>
      <c r="C156" s="1" t="s">
        <v>823</v>
      </c>
    </row>
    <row r="157" spans="1:3" ht="13" x14ac:dyDescent="0.15">
      <c r="A157" s="1" t="s">
        <v>683</v>
      </c>
      <c r="B157" s="1" t="s">
        <v>825</v>
      </c>
      <c r="C157" s="1" t="s">
        <v>826</v>
      </c>
    </row>
    <row r="159" spans="1:3" ht="13" x14ac:dyDescent="0.15">
      <c r="A159" s="2" t="s">
        <v>827</v>
      </c>
    </row>
    <row r="160" spans="1:3" ht="13" x14ac:dyDescent="0.15">
      <c r="A160" s="1" t="s">
        <v>674</v>
      </c>
      <c r="B160" s="1" t="s">
        <v>828</v>
      </c>
    </row>
    <row r="161" spans="1:3" ht="13" x14ac:dyDescent="0.15">
      <c r="A161" s="1" t="s">
        <v>677</v>
      </c>
      <c r="B161" s="1" t="s">
        <v>829</v>
      </c>
      <c r="C161" s="1" t="s">
        <v>830</v>
      </c>
    </row>
    <row r="162" spans="1:3" ht="13" x14ac:dyDescent="0.15">
      <c r="A162" s="1" t="s">
        <v>742</v>
      </c>
      <c r="B162" s="1" t="s">
        <v>695</v>
      </c>
      <c r="C162" s="1" t="s">
        <v>830</v>
      </c>
    </row>
    <row r="163" spans="1:3" ht="13" x14ac:dyDescent="0.15">
      <c r="A163" s="1" t="s">
        <v>681</v>
      </c>
      <c r="B163" s="1" t="s">
        <v>829</v>
      </c>
      <c r="C163" s="1" t="s">
        <v>831</v>
      </c>
    </row>
    <row r="164" spans="1:3" ht="13" x14ac:dyDescent="0.15">
      <c r="A164" s="1" t="s">
        <v>683</v>
      </c>
      <c r="B164" s="1" t="s">
        <v>708</v>
      </c>
      <c r="C164" s="1" t="s">
        <v>832</v>
      </c>
    </row>
    <row r="166" spans="1:3" ht="13" x14ac:dyDescent="0.15">
      <c r="A166" s="2" t="s">
        <v>833</v>
      </c>
    </row>
    <row r="167" spans="1:3" ht="13" x14ac:dyDescent="0.15">
      <c r="A167" s="1" t="s">
        <v>674</v>
      </c>
      <c r="B167" s="1" t="s">
        <v>708</v>
      </c>
      <c r="C167" s="1" t="s">
        <v>834</v>
      </c>
    </row>
    <row r="168" spans="1:3" ht="13" x14ac:dyDescent="0.15">
      <c r="A168" s="1" t="s">
        <v>677</v>
      </c>
      <c r="B168" s="1" t="s">
        <v>829</v>
      </c>
      <c r="C168" s="1" t="s">
        <v>835</v>
      </c>
    </row>
    <row r="169" spans="1:3" ht="13" x14ac:dyDescent="0.15">
      <c r="A169" s="1" t="s">
        <v>742</v>
      </c>
      <c r="B169" s="1" t="s">
        <v>695</v>
      </c>
      <c r="C169" s="1" t="s">
        <v>836</v>
      </c>
    </row>
    <row r="170" spans="1:3" ht="13" x14ac:dyDescent="0.15">
      <c r="A170" s="1" t="s">
        <v>681</v>
      </c>
      <c r="B170" s="1" t="s">
        <v>700</v>
      </c>
      <c r="C170" s="1" t="s">
        <v>836</v>
      </c>
    </row>
    <row r="171" spans="1:3" ht="13" x14ac:dyDescent="0.15">
      <c r="A171" s="1" t="s">
        <v>683</v>
      </c>
      <c r="B171" s="1" t="s">
        <v>708</v>
      </c>
      <c r="C171" s="1" t="s">
        <v>836</v>
      </c>
    </row>
    <row r="173" spans="1:3" ht="13" x14ac:dyDescent="0.15">
      <c r="A173" s="2" t="s">
        <v>837</v>
      </c>
    </row>
    <row r="174" spans="1:3" ht="13" x14ac:dyDescent="0.15">
      <c r="A174" s="1" t="s">
        <v>674</v>
      </c>
      <c r="B174" s="1" t="s">
        <v>708</v>
      </c>
      <c r="C174" s="1" t="s">
        <v>838</v>
      </c>
    </row>
    <row r="175" spans="1:3" ht="13" x14ac:dyDescent="0.15">
      <c r="A175" s="1" t="s">
        <v>677</v>
      </c>
      <c r="B175" s="1" t="s">
        <v>829</v>
      </c>
      <c r="C175" s="1" t="s">
        <v>839</v>
      </c>
    </row>
    <row r="176" spans="1:3" ht="13" x14ac:dyDescent="0.15">
      <c r="A176" s="1" t="s">
        <v>742</v>
      </c>
      <c r="B176" s="1" t="s">
        <v>700</v>
      </c>
      <c r="C176" s="1" t="s">
        <v>839</v>
      </c>
    </row>
    <row r="177" spans="1:3" ht="13" x14ac:dyDescent="0.15">
      <c r="A177" s="1" t="s">
        <v>681</v>
      </c>
      <c r="B177" s="1" t="s">
        <v>708</v>
      </c>
      <c r="C177" s="1" t="s">
        <v>839</v>
      </c>
    </row>
    <row r="178" spans="1:3" ht="13" x14ac:dyDescent="0.15">
      <c r="A178" s="1" t="s">
        <v>683</v>
      </c>
    </row>
    <row r="180" spans="1:3" ht="13" x14ac:dyDescent="0.15">
      <c r="A180" s="2" t="s">
        <v>840</v>
      </c>
    </row>
    <row r="181" spans="1:3" ht="13" x14ac:dyDescent="0.15">
      <c r="A181" s="1" t="s">
        <v>674</v>
      </c>
      <c r="B181" s="1" t="s">
        <v>841</v>
      </c>
      <c r="C181" s="1" t="s">
        <v>842</v>
      </c>
    </row>
    <row r="182" spans="1:3" ht="13" x14ac:dyDescent="0.15">
      <c r="A182" s="1" t="s">
        <v>677</v>
      </c>
      <c r="B182" s="1" t="s">
        <v>695</v>
      </c>
      <c r="C182" s="1" t="s">
        <v>839</v>
      </c>
    </row>
    <row r="183" spans="1:3" ht="13" x14ac:dyDescent="0.15">
      <c r="A183" s="1" t="s">
        <v>742</v>
      </c>
      <c r="B183" s="1" t="s">
        <v>700</v>
      </c>
      <c r="C183" s="1" t="s">
        <v>839</v>
      </c>
    </row>
    <row r="184" spans="1:3" ht="13" x14ac:dyDescent="0.15">
      <c r="A184" s="1" t="s">
        <v>681</v>
      </c>
      <c r="B184" s="1" t="s">
        <v>843</v>
      </c>
      <c r="C184" s="1" t="s">
        <v>839</v>
      </c>
    </row>
    <row r="185" spans="1:3" ht="13" x14ac:dyDescent="0.15">
      <c r="A185" s="1" t="s">
        <v>683</v>
      </c>
      <c r="B185" s="1" t="s">
        <v>700</v>
      </c>
      <c r="C185" s="1" t="s">
        <v>839</v>
      </c>
    </row>
    <row r="187" spans="1:3" ht="13" x14ac:dyDescent="0.15">
      <c r="A187" s="2" t="s">
        <v>844</v>
      </c>
    </row>
    <row r="188" spans="1:3" ht="13" x14ac:dyDescent="0.15">
      <c r="A188" s="1" t="s">
        <v>674</v>
      </c>
      <c r="B188" s="1" t="s">
        <v>841</v>
      </c>
      <c r="C188" s="1" t="s">
        <v>842</v>
      </c>
    </row>
    <row r="189" spans="1:3" ht="13" x14ac:dyDescent="0.15">
      <c r="A189" s="1" t="s">
        <v>677</v>
      </c>
    </row>
    <row r="190" spans="1:3" ht="13" x14ac:dyDescent="0.15">
      <c r="A190" s="1" t="s">
        <v>742</v>
      </c>
      <c r="B190" s="1" t="s">
        <v>829</v>
      </c>
      <c r="C190" s="1" t="s">
        <v>845</v>
      </c>
    </row>
    <row r="191" spans="1:3" ht="13" x14ac:dyDescent="0.15">
      <c r="A191" s="1" t="s">
        <v>681</v>
      </c>
      <c r="B191" s="1" t="s">
        <v>829</v>
      </c>
      <c r="C191" s="1" t="s">
        <v>839</v>
      </c>
    </row>
    <row r="192" spans="1:3" ht="13" x14ac:dyDescent="0.15">
      <c r="A192" s="1" t="s">
        <v>683</v>
      </c>
      <c r="B192" s="1" t="s">
        <v>700</v>
      </c>
      <c r="C192" s="1" t="s">
        <v>839</v>
      </c>
    </row>
    <row r="194" spans="1:3" ht="13" x14ac:dyDescent="0.15">
      <c r="A194" s="2" t="s">
        <v>846</v>
      </c>
    </row>
    <row r="195" spans="1:3" ht="13" x14ac:dyDescent="0.15">
      <c r="A195" s="1" t="s">
        <v>674</v>
      </c>
      <c r="B195" s="1" t="s">
        <v>829</v>
      </c>
      <c r="C195" s="1" t="s">
        <v>847</v>
      </c>
    </row>
    <row r="196" spans="1:3" ht="13" x14ac:dyDescent="0.15">
      <c r="A196" s="1" t="s">
        <v>677</v>
      </c>
      <c r="B196" s="1" t="s">
        <v>700</v>
      </c>
      <c r="C196" s="1" t="s">
        <v>847</v>
      </c>
    </row>
    <row r="197" spans="1:3" ht="13" x14ac:dyDescent="0.15">
      <c r="A197" s="1" t="s">
        <v>742</v>
      </c>
      <c r="B197" s="1" t="s">
        <v>695</v>
      </c>
      <c r="C197" s="1" t="s">
        <v>848</v>
      </c>
    </row>
    <row r="198" spans="1:3" ht="13" x14ac:dyDescent="0.15">
      <c r="A198" s="1" t="s">
        <v>681</v>
      </c>
      <c r="B198" s="1" t="s">
        <v>695</v>
      </c>
      <c r="C198" s="1" t="s">
        <v>849</v>
      </c>
    </row>
    <row r="199" spans="1:3" ht="13" x14ac:dyDescent="0.15">
      <c r="A199" s="1" t="s">
        <v>683</v>
      </c>
      <c r="B199" s="1" t="s">
        <v>829</v>
      </c>
      <c r="C199" s="1" t="s">
        <v>847</v>
      </c>
    </row>
    <row r="201" spans="1:3" ht="13" x14ac:dyDescent="0.15">
      <c r="A201" s="2" t="s">
        <v>850</v>
      </c>
    </row>
    <row r="202" spans="1:3" ht="13" x14ac:dyDescent="0.15">
      <c r="A202" s="1" t="s">
        <v>674</v>
      </c>
      <c r="B202" s="1" t="s">
        <v>798</v>
      </c>
      <c r="C202" s="1" t="s">
        <v>847</v>
      </c>
    </row>
    <row r="203" spans="1:3" ht="13" x14ac:dyDescent="0.15">
      <c r="A203" s="1" t="s">
        <v>677</v>
      </c>
      <c r="B203" s="1" t="s">
        <v>695</v>
      </c>
      <c r="C203" s="1" t="s">
        <v>851</v>
      </c>
    </row>
    <row r="204" spans="1:3" ht="13" x14ac:dyDescent="0.15">
      <c r="A204" s="1" t="s">
        <v>742</v>
      </c>
      <c r="B204" s="1" t="s">
        <v>700</v>
      </c>
      <c r="C204" s="1" t="s">
        <v>847</v>
      </c>
    </row>
    <row r="205" spans="1:3" ht="13" x14ac:dyDescent="0.15">
      <c r="A205" s="1" t="s">
        <v>681</v>
      </c>
      <c r="B205" s="1" t="s">
        <v>708</v>
      </c>
      <c r="C205" s="1" t="s">
        <v>851</v>
      </c>
    </row>
    <row r="206" spans="1:3" ht="13" x14ac:dyDescent="0.15">
      <c r="A206" s="1" t="s">
        <v>683</v>
      </c>
      <c r="B206" s="1" t="s">
        <v>852</v>
      </c>
      <c r="C206" s="1" t="s">
        <v>847</v>
      </c>
    </row>
    <row r="208" spans="1:3" ht="13" x14ac:dyDescent="0.15">
      <c r="A208" s="2" t="s">
        <v>853</v>
      </c>
    </row>
    <row r="209" spans="1:3" ht="13" x14ac:dyDescent="0.15">
      <c r="A209" s="1" t="s">
        <v>674</v>
      </c>
      <c r="B209" s="1" t="s">
        <v>798</v>
      </c>
      <c r="C209" s="1" t="s">
        <v>847</v>
      </c>
    </row>
    <row r="210" spans="1:3" ht="13" x14ac:dyDescent="0.15">
      <c r="A210" s="1" t="s">
        <v>677</v>
      </c>
      <c r="B210" s="1" t="s">
        <v>829</v>
      </c>
      <c r="C210" s="1" t="s">
        <v>854</v>
      </c>
    </row>
    <row r="211" spans="1:3" ht="13" x14ac:dyDescent="0.15">
      <c r="A211" s="1" t="s">
        <v>742</v>
      </c>
      <c r="B211" s="1" t="s">
        <v>728</v>
      </c>
      <c r="C211" s="1" t="s">
        <v>854</v>
      </c>
    </row>
    <row r="212" spans="1:3" ht="13" x14ac:dyDescent="0.15">
      <c r="A212" s="1" t="s">
        <v>681</v>
      </c>
      <c r="B212" s="1" t="s">
        <v>841</v>
      </c>
      <c r="C212" s="1" t="s">
        <v>854</v>
      </c>
    </row>
    <row r="213" spans="1:3" ht="13" x14ac:dyDescent="0.15">
      <c r="A213" s="1" t="s">
        <v>683</v>
      </c>
    </row>
    <row r="215" spans="1:3" ht="13" x14ac:dyDescent="0.15">
      <c r="A215" s="2" t="s">
        <v>855</v>
      </c>
    </row>
    <row r="216" spans="1:3" ht="13" x14ac:dyDescent="0.15">
      <c r="A216" s="1" t="s">
        <v>674</v>
      </c>
      <c r="B216" s="1" t="s">
        <v>798</v>
      </c>
      <c r="C216" s="1" t="s">
        <v>847</v>
      </c>
    </row>
    <row r="217" spans="1:3" ht="13" x14ac:dyDescent="0.15">
      <c r="A217" s="1" t="s">
        <v>677</v>
      </c>
      <c r="B217" s="1" t="s">
        <v>695</v>
      </c>
      <c r="C217" s="1" t="s">
        <v>856</v>
      </c>
    </row>
    <row r="218" spans="1:3" ht="13" x14ac:dyDescent="0.15">
      <c r="A218" s="1" t="s">
        <v>742</v>
      </c>
      <c r="B218" s="1" t="s">
        <v>700</v>
      </c>
      <c r="C218" s="1" t="s">
        <v>857</v>
      </c>
    </row>
    <row r="219" spans="1:3" ht="13" x14ac:dyDescent="0.15">
      <c r="A219" s="1" t="s">
        <v>681</v>
      </c>
      <c r="B219" s="1" t="s">
        <v>695</v>
      </c>
      <c r="C219" s="1" t="s">
        <v>858</v>
      </c>
    </row>
    <row r="220" spans="1:3" ht="13" x14ac:dyDescent="0.15">
      <c r="A220" s="1" t="s">
        <v>683</v>
      </c>
      <c r="C220" s="1" t="s">
        <v>859</v>
      </c>
    </row>
    <row r="222" spans="1:3" ht="13" x14ac:dyDescent="0.15">
      <c r="A222" s="2" t="s">
        <v>860</v>
      </c>
    </row>
    <row r="223" spans="1:3" ht="13" x14ac:dyDescent="0.15">
      <c r="A223" s="1" t="s">
        <v>674</v>
      </c>
      <c r="C223" s="1" t="s">
        <v>859</v>
      </c>
    </row>
    <row r="224" spans="1:3" ht="13" x14ac:dyDescent="0.15">
      <c r="A224" s="1" t="s">
        <v>677</v>
      </c>
      <c r="C224" s="1" t="s">
        <v>859</v>
      </c>
    </row>
    <row r="225" spans="1:3" ht="13" x14ac:dyDescent="0.15">
      <c r="A225" s="1" t="s">
        <v>742</v>
      </c>
      <c r="B225" s="1" t="s">
        <v>861</v>
      </c>
      <c r="C225" s="1" t="s">
        <v>862</v>
      </c>
    </row>
    <row r="226" spans="1:3" ht="13" x14ac:dyDescent="0.15">
      <c r="A226" s="1" t="s">
        <v>681</v>
      </c>
      <c r="B226" s="1" t="s">
        <v>700</v>
      </c>
      <c r="C226" s="1" t="s">
        <v>854</v>
      </c>
    </row>
    <row r="227" spans="1:3" ht="13" x14ac:dyDescent="0.15">
      <c r="A227" s="1" t="s">
        <v>683</v>
      </c>
      <c r="B227" s="1" t="s">
        <v>688</v>
      </c>
      <c r="C227" s="1" t="s">
        <v>863</v>
      </c>
    </row>
    <row r="229" spans="1:3" ht="13" x14ac:dyDescent="0.15">
      <c r="A229" s="2" t="s">
        <v>864</v>
      </c>
    </row>
    <row r="230" spans="1:3" ht="13" x14ac:dyDescent="0.15">
      <c r="A230" s="1" t="s">
        <v>674</v>
      </c>
      <c r="B230" s="1" t="s">
        <v>865</v>
      </c>
      <c r="C230" s="1" t="s">
        <v>866</v>
      </c>
    </row>
    <row r="231" spans="1:3" ht="13" x14ac:dyDescent="0.15">
      <c r="A231" s="1" t="s">
        <v>677</v>
      </c>
      <c r="B231" s="1" t="s">
        <v>829</v>
      </c>
      <c r="C231" s="1" t="s">
        <v>867</v>
      </c>
    </row>
    <row r="232" spans="1:3" ht="13" x14ac:dyDescent="0.15">
      <c r="A232" s="1" t="s">
        <v>742</v>
      </c>
      <c r="B232" s="1" t="s">
        <v>691</v>
      </c>
      <c r="C232" s="1" t="s">
        <v>868</v>
      </c>
    </row>
    <row r="233" spans="1:3" ht="13" x14ac:dyDescent="0.15">
      <c r="A233" s="1" t="s">
        <v>681</v>
      </c>
      <c r="B233" s="1" t="s">
        <v>869</v>
      </c>
      <c r="C233" s="1" t="s">
        <v>866</v>
      </c>
    </row>
    <row r="234" spans="1:3" ht="13" x14ac:dyDescent="0.15">
      <c r="A234" s="1" t="s">
        <v>683</v>
      </c>
      <c r="B234" s="1" t="s">
        <v>829</v>
      </c>
      <c r="C234" s="1" t="s">
        <v>870</v>
      </c>
    </row>
    <row r="236" spans="1:3" ht="13" x14ac:dyDescent="0.15">
      <c r="A236" s="2" t="s">
        <v>871</v>
      </c>
    </row>
    <row r="237" spans="1:3" ht="13" x14ac:dyDescent="0.15">
      <c r="A237" s="1" t="s">
        <v>674</v>
      </c>
      <c r="B237" s="1" t="s">
        <v>728</v>
      </c>
      <c r="C237" s="1" t="s">
        <v>872</v>
      </c>
    </row>
    <row r="238" spans="1:3" ht="13" x14ac:dyDescent="0.15">
      <c r="A238" s="1" t="s">
        <v>677</v>
      </c>
      <c r="C238" s="1" t="s">
        <v>873</v>
      </c>
    </row>
    <row r="239" spans="1:3" ht="13" x14ac:dyDescent="0.15">
      <c r="A239" s="1" t="s">
        <v>742</v>
      </c>
      <c r="C239" s="1" t="s">
        <v>873</v>
      </c>
    </row>
    <row r="240" spans="1:3" ht="13" x14ac:dyDescent="0.15">
      <c r="A240" s="1" t="s">
        <v>681</v>
      </c>
      <c r="C240" s="1" t="s">
        <v>873</v>
      </c>
    </row>
    <row r="241" spans="1:3" ht="13" x14ac:dyDescent="0.15">
      <c r="A241" s="1" t="s">
        <v>683</v>
      </c>
    </row>
    <row r="243" spans="1:3" ht="13" x14ac:dyDescent="0.15">
      <c r="A243" s="2" t="s">
        <v>874</v>
      </c>
    </row>
    <row r="244" spans="1:3" ht="13" x14ac:dyDescent="0.15">
      <c r="A244" s="1" t="s">
        <v>674</v>
      </c>
      <c r="B244" s="1" t="s">
        <v>875</v>
      </c>
      <c r="C244" s="1" t="s">
        <v>876</v>
      </c>
    </row>
    <row r="245" spans="1:3" ht="13" x14ac:dyDescent="0.15">
      <c r="A245" s="1" t="s">
        <v>677</v>
      </c>
      <c r="B245" s="1" t="s">
        <v>877</v>
      </c>
      <c r="C245" s="1" t="s">
        <v>876</v>
      </c>
    </row>
    <row r="246" spans="1:3" ht="13" x14ac:dyDescent="0.15">
      <c r="A246" s="1" t="s">
        <v>742</v>
      </c>
      <c r="B246" s="1" t="s">
        <v>878</v>
      </c>
      <c r="C246" s="1" t="s">
        <v>876</v>
      </c>
    </row>
    <row r="247" spans="1:3" ht="13" x14ac:dyDescent="0.15">
      <c r="A247" s="1" t="s">
        <v>681</v>
      </c>
      <c r="C247" s="1" t="s">
        <v>879</v>
      </c>
    </row>
    <row r="248" spans="1:3" ht="13" x14ac:dyDescent="0.15">
      <c r="A248" s="1" t="s">
        <v>683</v>
      </c>
      <c r="B248" s="1" t="s">
        <v>700</v>
      </c>
      <c r="C248" s="1" t="s">
        <v>876</v>
      </c>
    </row>
    <row r="250" spans="1:3" ht="13" x14ac:dyDescent="0.15">
      <c r="A250" s="2" t="s">
        <v>880</v>
      </c>
    </row>
    <row r="251" spans="1:3" ht="13" x14ac:dyDescent="0.15">
      <c r="A251" s="1" t="s">
        <v>674</v>
      </c>
      <c r="B251" s="1" t="s">
        <v>852</v>
      </c>
      <c r="C251" s="1" t="s">
        <v>881</v>
      </c>
    </row>
    <row r="252" spans="1:3" ht="13" x14ac:dyDescent="0.15">
      <c r="A252" s="1" t="s">
        <v>677</v>
      </c>
      <c r="B252" s="1" t="s">
        <v>829</v>
      </c>
      <c r="C252" s="1" t="s">
        <v>882</v>
      </c>
    </row>
    <row r="253" spans="1:3" ht="13" x14ac:dyDescent="0.15">
      <c r="A253" s="1" t="s">
        <v>742</v>
      </c>
      <c r="B253" s="1" t="s">
        <v>728</v>
      </c>
      <c r="C253" s="1" t="s">
        <v>882</v>
      </c>
    </row>
    <row r="254" spans="1:3" ht="13" x14ac:dyDescent="0.15">
      <c r="A254" s="1" t="s">
        <v>681</v>
      </c>
      <c r="B254" s="1" t="s">
        <v>841</v>
      </c>
      <c r="C254" s="1" t="s">
        <v>882</v>
      </c>
    </row>
    <row r="255" spans="1:3" ht="13" x14ac:dyDescent="0.15">
      <c r="A255" s="1" t="s">
        <v>683</v>
      </c>
    </row>
    <row r="257" spans="1:3" ht="13" x14ac:dyDescent="0.15">
      <c r="A257" s="2" t="s">
        <v>883</v>
      </c>
    </row>
    <row r="258" spans="1:3" ht="13" x14ac:dyDescent="0.15">
      <c r="A258" s="1" t="s">
        <v>674</v>
      </c>
      <c r="B258" s="1" t="s">
        <v>829</v>
      </c>
      <c r="C258" s="1" t="s">
        <v>847</v>
      </c>
    </row>
    <row r="259" spans="1:3" ht="13" x14ac:dyDescent="0.15">
      <c r="A259" s="1" t="s">
        <v>677</v>
      </c>
      <c r="B259" s="1" t="s">
        <v>829</v>
      </c>
      <c r="C259" s="1" t="s">
        <v>847</v>
      </c>
    </row>
    <row r="260" spans="1:3" ht="13" x14ac:dyDescent="0.15">
      <c r="A260" s="1" t="s">
        <v>742</v>
      </c>
      <c r="B260" s="1" t="s">
        <v>700</v>
      </c>
      <c r="C260" s="1" t="s">
        <v>847</v>
      </c>
    </row>
    <row r="261" spans="1:3" ht="13" x14ac:dyDescent="0.15">
      <c r="A261" s="1" t="s">
        <v>681</v>
      </c>
      <c r="B261" s="1" t="s">
        <v>884</v>
      </c>
      <c r="C261" s="1" t="s">
        <v>885</v>
      </c>
    </row>
    <row r="262" spans="1:3" ht="13" x14ac:dyDescent="0.15">
      <c r="A262" s="1" t="s">
        <v>683</v>
      </c>
      <c r="B262" s="1" t="s">
        <v>798</v>
      </c>
      <c r="C262" s="1" t="s">
        <v>847</v>
      </c>
    </row>
    <row r="264" spans="1:3" ht="13" x14ac:dyDescent="0.15">
      <c r="A264" s="2" t="s">
        <v>886</v>
      </c>
    </row>
    <row r="265" spans="1:3" ht="13" x14ac:dyDescent="0.15">
      <c r="A265" s="1" t="s">
        <v>674</v>
      </c>
    </row>
    <row r="266" spans="1:3" ht="13" x14ac:dyDescent="0.15">
      <c r="A266" s="1" t="s">
        <v>677</v>
      </c>
    </row>
    <row r="267" spans="1:3" ht="13" x14ac:dyDescent="0.15">
      <c r="A267" s="1" t="s">
        <v>742</v>
      </c>
    </row>
    <row r="268" spans="1:3" ht="13" x14ac:dyDescent="0.15">
      <c r="A268" s="1" t="s">
        <v>681</v>
      </c>
    </row>
    <row r="269" spans="1:3" ht="13" x14ac:dyDescent="0.15">
      <c r="A269" s="1" t="s">
        <v>683</v>
      </c>
    </row>
    <row r="271" spans="1:3" ht="13" x14ac:dyDescent="0.15">
      <c r="A271" s="2" t="s">
        <v>887</v>
      </c>
    </row>
    <row r="272" spans="1:3" ht="13" x14ac:dyDescent="0.15">
      <c r="A272" s="1" t="s">
        <v>674</v>
      </c>
    </row>
    <row r="273" spans="1:1" ht="13" x14ac:dyDescent="0.15">
      <c r="A273" s="1" t="s">
        <v>677</v>
      </c>
    </row>
    <row r="274" spans="1:1" ht="13" x14ac:dyDescent="0.15">
      <c r="A274" s="1" t="s">
        <v>742</v>
      </c>
    </row>
    <row r="275" spans="1:1" ht="13" x14ac:dyDescent="0.15">
      <c r="A275" s="1" t="s">
        <v>681</v>
      </c>
    </row>
    <row r="276" spans="1:1" ht="13" x14ac:dyDescent="0.15">
      <c r="A276" s="1" t="s">
        <v>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35"/>
  <sheetViews>
    <sheetView workbookViewId="0"/>
  </sheetViews>
  <sheetFormatPr baseColWidth="10" defaultColWidth="12.6640625" defaultRowHeight="15.75" customHeight="1" x14ac:dyDescent="0.15"/>
  <cols>
    <col min="1" max="1" width="26.33203125" customWidth="1"/>
    <col min="2" max="2" width="23.83203125" customWidth="1"/>
    <col min="3" max="3" width="46.5" customWidth="1"/>
    <col min="4" max="4" width="31" customWidth="1"/>
    <col min="5" max="5" width="26.6640625" customWidth="1"/>
    <col min="6" max="6" width="28.5" customWidth="1"/>
    <col min="7" max="7" width="31.5" customWidth="1"/>
  </cols>
  <sheetData>
    <row r="1" spans="1:10" ht="15.75" customHeight="1" x14ac:dyDescent="0.3">
      <c r="A1" s="23"/>
      <c r="B1" s="106" t="s">
        <v>888</v>
      </c>
      <c r="C1" s="107"/>
      <c r="D1" s="107"/>
      <c r="E1" s="24"/>
      <c r="F1" s="24"/>
      <c r="G1" s="24"/>
      <c r="H1" s="24"/>
      <c r="I1" s="24"/>
      <c r="J1" s="25"/>
    </row>
    <row r="2" spans="1:10" ht="15.75" customHeight="1" x14ac:dyDescent="0.15">
      <c r="A2" s="26"/>
      <c r="B2" s="27" t="s">
        <v>889</v>
      </c>
      <c r="C2" s="28">
        <v>45999</v>
      </c>
      <c r="D2" s="29"/>
      <c r="E2" s="108"/>
      <c r="F2" s="109"/>
      <c r="G2" s="109"/>
      <c r="H2" s="109"/>
      <c r="I2" s="109"/>
      <c r="J2" s="30"/>
    </row>
    <row r="3" spans="1:10" ht="15.75" customHeight="1" x14ac:dyDescent="0.15">
      <c r="A3" s="14" t="s">
        <v>890</v>
      </c>
      <c r="B3" s="31"/>
      <c r="C3" s="32">
        <v>45999</v>
      </c>
      <c r="D3" s="32">
        <f>C2+1</f>
        <v>46000</v>
      </c>
      <c r="E3" s="32">
        <f>C2+2</f>
        <v>46001</v>
      </c>
      <c r="F3" s="32">
        <f>C2+3</f>
        <v>46002</v>
      </c>
      <c r="G3" s="32">
        <f>C2+4</f>
        <v>46003</v>
      </c>
      <c r="H3" s="32">
        <f>C2+5</f>
        <v>46004</v>
      </c>
      <c r="I3" s="32">
        <f>C2+6</f>
        <v>46005</v>
      </c>
      <c r="J3" s="31"/>
    </row>
    <row r="4" spans="1:10" ht="15.75" customHeight="1" x14ac:dyDescent="0.15">
      <c r="A4" s="14"/>
      <c r="B4" s="33"/>
      <c r="C4" s="34" t="str">
        <f t="shared" ref="C4:I4" si="0">UPPER(TEXT(C3, "DDDD"))</f>
        <v>MONDAY</v>
      </c>
      <c r="D4" s="34" t="str">
        <f t="shared" si="0"/>
        <v>TUESDAY</v>
      </c>
      <c r="E4" s="34" t="str">
        <f t="shared" si="0"/>
        <v>WEDNESDAY</v>
      </c>
      <c r="F4" s="34" t="str">
        <f t="shared" si="0"/>
        <v>THURSDAY</v>
      </c>
      <c r="G4" s="34" t="str">
        <f t="shared" si="0"/>
        <v>FRIDAY</v>
      </c>
      <c r="H4" s="34" t="str">
        <f t="shared" si="0"/>
        <v>SATURDAY</v>
      </c>
      <c r="I4" s="34" t="str">
        <f t="shared" si="0"/>
        <v>SUNDAY</v>
      </c>
      <c r="J4" s="14"/>
    </row>
    <row r="5" spans="1:10" ht="15.75" customHeight="1" x14ac:dyDescent="0.15">
      <c r="A5" s="35"/>
      <c r="B5" s="36"/>
      <c r="C5" s="37"/>
      <c r="D5" s="37"/>
      <c r="E5" s="38"/>
      <c r="F5" s="37"/>
      <c r="G5" s="37"/>
      <c r="H5" s="37"/>
      <c r="I5" s="37"/>
      <c r="J5" s="14"/>
    </row>
    <row r="6" spans="1:10" ht="15.75" customHeight="1" x14ac:dyDescent="0.15">
      <c r="A6" s="39" t="s">
        <v>891</v>
      </c>
      <c r="B6" s="40" t="s">
        <v>695</v>
      </c>
      <c r="C6" s="41" t="s">
        <v>872</v>
      </c>
      <c r="D6" s="41" t="s">
        <v>872</v>
      </c>
      <c r="E6" s="42" t="s">
        <v>872</v>
      </c>
      <c r="F6" s="43" t="s">
        <v>872</v>
      </c>
      <c r="G6" s="44" t="s">
        <v>872</v>
      </c>
      <c r="H6" s="45"/>
      <c r="I6" s="45"/>
      <c r="J6" s="14"/>
    </row>
    <row r="7" spans="1:10" ht="15.75" customHeight="1" x14ac:dyDescent="0.15">
      <c r="A7" s="39" t="s">
        <v>892</v>
      </c>
      <c r="B7" s="46" t="s">
        <v>700</v>
      </c>
      <c r="C7" s="47"/>
      <c r="E7" s="48"/>
      <c r="F7" s="48"/>
      <c r="G7" s="48"/>
      <c r="H7" s="37"/>
      <c r="I7" s="37"/>
      <c r="J7" s="14"/>
    </row>
    <row r="8" spans="1:10" ht="15.75" customHeight="1" x14ac:dyDescent="0.15">
      <c r="A8" s="39" t="s">
        <v>893</v>
      </c>
      <c r="B8" s="49" t="s">
        <v>708</v>
      </c>
      <c r="C8" s="50"/>
      <c r="D8" s="47"/>
      <c r="E8" s="51"/>
      <c r="F8" s="52" t="s">
        <v>894</v>
      </c>
      <c r="G8" s="51"/>
      <c r="H8" s="45"/>
      <c r="I8" s="45"/>
      <c r="J8" s="14"/>
    </row>
    <row r="9" spans="1:10" ht="15.75" customHeight="1" x14ac:dyDescent="0.15">
      <c r="A9" s="39"/>
      <c r="B9" s="53" t="s">
        <v>852</v>
      </c>
      <c r="C9" s="47"/>
      <c r="D9" s="48"/>
      <c r="E9" s="54"/>
      <c r="F9" s="48"/>
      <c r="G9" s="48"/>
      <c r="H9" s="37"/>
      <c r="I9" s="37"/>
      <c r="J9" s="14"/>
    </row>
    <row r="10" spans="1:10" ht="15.75" customHeight="1" x14ac:dyDescent="0.15">
      <c r="A10" s="35"/>
      <c r="B10" s="55"/>
      <c r="C10" s="38"/>
      <c r="D10" s="56"/>
      <c r="E10" s="57"/>
      <c r="F10" s="57"/>
      <c r="G10" s="57"/>
      <c r="H10" s="45"/>
      <c r="I10" s="45"/>
      <c r="J10" s="14"/>
    </row>
    <row r="11" spans="1:10" ht="15.75" customHeight="1" x14ac:dyDescent="0.15">
      <c r="A11" s="35"/>
      <c r="B11" s="36"/>
      <c r="C11" s="37"/>
      <c r="D11" s="37"/>
      <c r="E11" s="37"/>
      <c r="F11" s="37"/>
      <c r="G11" s="37"/>
      <c r="H11" s="37"/>
      <c r="I11" s="37"/>
      <c r="J11" s="14"/>
    </row>
    <row r="12" spans="1:10" ht="15.75" customHeight="1" x14ac:dyDescent="0.15">
      <c r="A12" s="35"/>
      <c r="B12" s="55"/>
      <c r="C12" s="38"/>
      <c r="D12" s="56"/>
      <c r="E12" s="56"/>
      <c r="F12" s="45"/>
      <c r="G12" s="45"/>
      <c r="H12" s="45"/>
      <c r="I12" s="45"/>
      <c r="J12" s="14"/>
    </row>
    <row r="13" spans="1:10" ht="15.75" customHeight="1" x14ac:dyDescent="0.15">
      <c r="A13" s="35"/>
      <c r="B13" s="36"/>
      <c r="C13" s="37"/>
      <c r="D13" s="37"/>
      <c r="E13" s="37"/>
      <c r="F13" s="37"/>
      <c r="G13" s="37"/>
      <c r="H13" s="37"/>
      <c r="I13" s="37"/>
      <c r="J13" s="14"/>
    </row>
    <row r="14" spans="1:10" ht="15.75" customHeight="1" x14ac:dyDescent="0.15">
      <c r="A14" s="35"/>
      <c r="B14" s="55"/>
      <c r="C14" s="38"/>
      <c r="D14" s="56"/>
      <c r="E14" s="56"/>
      <c r="F14" s="45"/>
      <c r="G14" s="45"/>
      <c r="H14" s="45"/>
      <c r="I14" s="45"/>
      <c r="J14" s="14"/>
    </row>
    <row r="15" spans="1:10" ht="15.75" customHeight="1" x14ac:dyDescent="0.15">
      <c r="A15" s="35"/>
      <c r="B15" s="36"/>
      <c r="C15" s="37"/>
      <c r="D15" s="37"/>
      <c r="E15" s="37"/>
      <c r="F15" s="37"/>
      <c r="G15" s="37"/>
      <c r="H15" s="37"/>
      <c r="I15" s="37"/>
      <c r="J15" s="14"/>
    </row>
    <row r="16" spans="1:10" ht="15.75" customHeight="1" x14ac:dyDescent="0.15">
      <c r="A16" s="35"/>
      <c r="B16" s="55"/>
      <c r="C16" s="45"/>
      <c r="D16" s="45"/>
      <c r="E16" s="45"/>
      <c r="F16" s="45"/>
      <c r="G16" s="45"/>
      <c r="H16" s="45"/>
      <c r="I16" s="45"/>
      <c r="J16" s="14"/>
    </row>
    <row r="17" spans="1:10" ht="15.75" customHeight="1" x14ac:dyDescent="0.15">
      <c r="A17" s="35"/>
      <c r="B17" s="36"/>
      <c r="C17" s="37"/>
      <c r="D17" s="37"/>
      <c r="E17" s="37"/>
      <c r="F17" s="37"/>
      <c r="G17" s="37"/>
      <c r="H17" s="37"/>
      <c r="I17" s="37"/>
      <c r="J17" s="14"/>
    </row>
    <row r="18" spans="1:10" ht="15.75" customHeight="1" x14ac:dyDescent="0.15">
      <c r="A18" s="35"/>
      <c r="B18" s="55"/>
      <c r="C18" s="45"/>
      <c r="D18" s="45"/>
      <c r="E18" s="45"/>
      <c r="F18" s="45"/>
      <c r="G18" s="45"/>
      <c r="H18" s="45"/>
      <c r="I18" s="45"/>
      <c r="J18" s="14"/>
    </row>
    <row r="19" spans="1:10" ht="15.75" customHeight="1" x14ac:dyDescent="0.15">
      <c r="A19" s="35"/>
      <c r="B19" s="36"/>
      <c r="C19" s="37"/>
      <c r="D19" s="58"/>
      <c r="E19" s="58"/>
      <c r="F19" s="58"/>
      <c r="G19" s="37"/>
      <c r="H19" s="37"/>
      <c r="I19" s="37"/>
      <c r="J19" s="14"/>
    </row>
    <row r="20" spans="1:10" ht="15.75" customHeight="1" x14ac:dyDescent="0.15">
      <c r="A20" s="35"/>
      <c r="B20" s="55"/>
      <c r="C20" s="45"/>
      <c r="D20" s="45"/>
      <c r="E20" s="45"/>
      <c r="F20" s="45"/>
      <c r="G20" s="45"/>
      <c r="H20" s="45"/>
      <c r="I20" s="45"/>
      <c r="J20" s="59"/>
    </row>
    <row r="21" spans="1:10" ht="15.75" customHeight="1" x14ac:dyDescent="0.15">
      <c r="A21" s="35"/>
      <c r="B21" s="36"/>
      <c r="C21" s="37"/>
      <c r="D21" s="37"/>
      <c r="E21" s="37"/>
      <c r="F21" s="37"/>
      <c r="G21" s="37"/>
      <c r="H21" s="37"/>
      <c r="I21" s="37"/>
      <c r="J21" s="14"/>
    </row>
    <row r="22" spans="1:10" ht="15.75" customHeight="1" x14ac:dyDescent="0.15">
      <c r="A22" s="35"/>
      <c r="B22" s="55"/>
      <c r="C22" s="45"/>
      <c r="D22" s="45"/>
      <c r="E22" s="45"/>
      <c r="F22" s="45"/>
      <c r="G22" s="45"/>
      <c r="H22" s="45"/>
      <c r="I22" s="45"/>
      <c r="J22" s="14"/>
    </row>
    <row r="23" spans="1:10" ht="15.75" customHeight="1" x14ac:dyDescent="0.15">
      <c r="A23" s="35"/>
      <c r="B23" s="36"/>
      <c r="C23" s="37"/>
      <c r="D23" s="37"/>
      <c r="E23" s="37"/>
      <c r="F23" s="37"/>
      <c r="G23" s="37"/>
      <c r="H23" s="37"/>
      <c r="I23" s="37"/>
      <c r="J23" s="14"/>
    </row>
    <row r="24" spans="1:10" ht="15.75" customHeight="1" x14ac:dyDescent="0.15">
      <c r="A24" s="35"/>
      <c r="B24" s="55"/>
      <c r="C24" s="60"/>
      <c r="D24" s="60"/>
      <c r="E24" s="60"/>
      <c r="F24" s="60"/>
      <c r="G24" s="60"/>
      <c r="H24" s="60"/>
      <c r="I24" s="60"/>
      <c r="J24" s="14"/>
    </row>
    <row r="25" spans="1:10" ht="15.75" customHeight="1" x14ac:dyDescent="0.15">
      <c r="A25" s="35"/>
      <c r="B25" s="36"/>
      <c r="C25" s="37"/>
      <c r="D25" s="37"/>
      <c r="E25" s="37"/>
      <c r="F25" s="37"/>
      <c r="G25" s="37"/>
      <c r="H25" s="37"/>
      <c r="I25" s="37"/>
      <c r="J25" s="14"/>
    </row>
    <row r="26" spans="1:10" ht="15.75" customHeight="1" x14ac:dyDescent="0.15">
      <c r="A26" s="35"/>
      <c r="B26" s="55"/>
      <c r="C26" s="60"/>
      <c r="D26" s="60"/>
      <c r="E26" s="60"/>
      <c r="F26" s="60"/>
      <c r="G26" s="60"/>
      <c r="H26" s="60"/>
      <c r="I26" s="60"/>
      <c r="J26" s="14"/>
    </row>
    <row r="27" spans="1:10" ht="15.75" customHeight="1" x14ac:dyDescent="0.15">
      <c r="A27" s="14"/>
      <c r="B27" s="61"/>
      <c r="C27" s="62"/>
      <c r="D27" s="62"/>
      <c r="E27" s="62"/>
      <c r="F27" s="62"/>
      <c r="G27" s="62"/>
      <c r="H27" s="62"/>
      <c r="I27" s="62"/>
      <c r="J27" s="14"/>
    </row>
    <row r="28" spans="1:10" x14ac:dyDescent="0.2">
      <c r="A28" s="14"/>
      <c r="B28" s="63" t="s">
        <v>895</v>
      </c>
      <c r="C28" s="14"/>
      <c r="D28" s="14"/>
      <c r="E28" s="14"/>
      <c r="F28" s="14"/>
      <c r="G28" s="64" t="s">
        <v>896</v>
      </c>
      <c r="H28" s="14"/>
      <c r="I28" s="14"/>
      <c r="J28" s="14"/>
    </row>
    <row r="29" spans="1:10" ht="15.75" customHeight="1" x14ac:dyDescent="0.15">
      <c r="A29" s="14"/>
      <c r="B29" s="110"/>
      <c r="C29" s="111"/>
      <c r="D29" s="111"/>
      <c r="E29" s="111"/>
      <c r="F29" s="14"/>
      <c r="G29" s="110"/>
      <c r="H29" s="111"/>
      <c r="I29" s="111"/>
      <c r="J29" s="14"/>
    </row>
    <row r="30" spans="1:10" ht="15.75" customHeight="1" x14ac:dyDescent="0.15">
      <c r="A30" s="14"/>
      <c r="B30" s="104"/>
      <c r="C30" s="105"/>
      <c r="D30" s="105"/>
      <c r="E30" s="105"/>
      <c r="F30" s="14"/>
      <c r="G30" s="104"/>
      <c r="H30" s="105"/>
      <c r="I30" s="105"/>
      <c r="J30" s="14"/>
    </row>
    <row r="31" spans="1:10" ht="15.75" customHeight="1" x14ac:dyDescent="0.15">
      <c r="A31" s="14"/>
      <c r="B31" s="104"/>
      <c r="C31" s="105"/>
      <c r="D31" s="105"/>
      <c r="E31" s="105"/>
      <c r="F31" s="14"/>
      <c r="G31" s="104"/>
      <c r="H31" s="105"/>
      <c r="I31" s="105"/>
      <c r="J31" s="14"/>
    </row>
    <row r="32" spans="1:10" ht="15.75" customHeight="1" x14ac:dyDescent="0.15">
      <c r="A32" s="14"/>
      <c r="B32" s="104"/>
      <c r="C32" s="105"/>
      <c r="D32" s="105"/>
      <c r="E32" s="105"/>
      <c r="F32" s="14"/>
      <c r="G32" s="104"/>
      <c r="H32" s="105"/>
      <c r="I32" s="105"/>
      <c r="J32" s="14"/>
    </row>
    <row r="33" spans="1:10" ht="15.75" customHeight="1" x14ac:dyDescent="0.15">
      <c r="A33" s="14"/>
      <c r="B33" s="104"/>
      <c r="C33" s="105"/>
      <c r="D33" s="105"/>
      <c r="E33" s="105"/>
      <c r="F33" s="14"/>
      <c r="G33" s="104"/>
      <c r="H33" s="105"/>
      <c r="I33" s="105"/>
      <c r="J33" s="14"/>
    </row>
    <row r="34" spans="1:10" ht="15.75" customHeight="1" x14ac:dyDescent="0.15">
      <c r="A34" s="14"/>
      <c r="B34" s="65"/>
      <c r="C34" s="14"/>
      <c r="D34" s="14"/>
      <c r="E34" s="14"/>
      <c r="F34" s="14"/>
      <c r="G34" s="14"/>
      <c r="H34" s="14"/>
      <c r="I34" s="14"/>
      <c r="J34" s="14"/>
    </row>
    <row r="35" spans="1:10" ht="15.75" customHeight="1" x14ac:dyDescent="0.15">
      <c r="A35" s="66"/>
      <c r="B35" s="67"/>
      <c r="C35" s="66"/>
      <c r="D35" s="66"/>
      <c r="E35" s="66"/>
      <c r="F35" s="66"/>
      <c r="G35" s="66"/>
      <c r="H35" s="66"/>
      <c r="I35" s="66"/>
      <c r="J35" s="66"/>
    </row>
  </sheetData>
  <mergeCells count="12">
    <mergeCell ref="B1:D1"/>
    <mergeCell ref="E2:I2"/>
    <mergeCell ref="B29:E29"/>
    <mergeCell ref="G29:I29"/>
    <mergeCell ref="B30:E30"/>
    <mergeCell ref="G30:I30"/>
    <mergeCell ref="B31:E31"/>
    <mergeCell ref="B32:E32"/>
    <mergeCell ref="B33:E33"/>
    <mergeCell ref="G32:I32"/>
    <mergeCell ref="G33:I33"/>
    <mergeCell ref="G31:I3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8"/>
  <sheetViews>
    <sheetView workbookViewId="0"/>
  </sheetViews>
  <sheetFormatPr baseColWidth="10" defaultColWidth="12.6640625" defaultRowHeight="15.75" customHeight="1" x14ac:dyDescent="0.15"/>
  <cols>
    <col min="1" max="1" width="37.6640625" customWidth="1"/>
    <col min="2" max="2" width="43.33203125" customWidth="1"/>
    <col min="3" max="3" width="27.1640625" customWidth="1"/>
    <col min="4" max="4" width="31.6640625" customWidth="1"/>
    <col min="5" max="5" width="27.6640625" customWidth="1"/>
    <col min="6" max="7" width="28.6640625" customWidth="1"/>
    <col min="8" max="8" width="26.1640625" customWidth="1"/>
    <col min="9" max="10" width="27.6640625" customWidth="1"/>
    <col min="11" max="11" width="36.33203125" customWidth="1"/>
  </cols>
  <sheetData>
    <row r="1" spans="1:28" ht="14" x14ac:dyDescent="0.15">
      <c r="A1" s="3" t="s">
        <v>897</v>
      </c>
      <c r="B1" s="3" t="s">
        <v>898</v>
      </c>
      <c r="C1" s="3" t="s">
        <v>899</v>
      </c>
      <c r="D1" s="3" t="s">
        <v>900</v>
      </c>
      <c r="E1" s="3" t="s">
        <v>901</v>
      </c>
      <c r="F1" s="3" t="s">
        <v>902</v>
      </c>
      <c r="G1" s="3" t="s">
        <v>903</v>
      </c>
      <c r="H1" s="3" t="s">
        <v>904</v>
      </c>
      <c r="I1" s="3" t="s">
        <v>905</v>
      </c>
      <c r="J1" s="3" t="s">
        <v>906</v>
      </c>
      <c r="K1" s="3" t="s">
        <v>907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8" x14ac:dyDescent="0.15">
      <c r="A2" s="3" t="s">
        <v>908</v>
      </c>
      <c r="B2" s="11" t="s">
        <v>909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14" x14ac:dyDescent="0.15">
      <c r="A3" s="3" t="s">
        <v>910</v>
      </c>
      <c r="B3" s="11" t="s">
        <v>911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ht="28" x14ac:dyDescent="0.15">
      <c r="A4" s="3" t="s">
        <v>912</v>
      </c>
      <c r="B4" s="11" t="s">
        <v>913</v>
      </c>
      <c r="C4" s="11" t="s">
        <v>914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ht="14" x14ac:dyDescent="0.15">
      <c r="A5" s="3" t="s">
        <v>910</v>
      </c>
      <c r="B5" s="11" t="s">
        <v>915</v>
      </c>
      <c r="C5" s="11" t="s">
        <v>911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13" x14ac:dyDescent="0.15">
      <c r="A6" s="3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59.25" customHeight="1" x14ac:dyDescent="0.15">
      <c r="A7" s="3" t="s">
        <v>916</v>
      </c>
      <c r="B7" s="11" t="s">
        <v>917</v>
      </c>
      <c r="C7" s="11" t="s">
        <v>918</v>
      </c>
      <c r="D7" s="11"/>
      <c r="E7" s="11" t="s">
        <v>919</v>
      </c>
      <c r="F7" s="11"/>
      <c r="G7" s="11" t="s">
        <v>920</v>
      </c>
      <c r="H7" s="11"/>
      <c r="I7" s="11"/>
      <c r="J7" s="11" t="s">
        <v>921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4" x14ac:dyDescent="0.15">
      <c r="A8" s="3" t="s">
        <v>910</v>
      </c>
      <c r="B8" s="11" t="s">
        <v>915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87.75" customHeight="1" x14ac:dyDescent="0.15">
      <c r="A9" s="3" t="s">
        <v>922</v>
      </c>
      <c r="B9" s="11" t="s">
        <v>923</v>
      </c>
      <c r="C9" s="11" t="s">
        <v>924</v>
      </c>
      <c r="D9" s="11" t="s">
        <v>925</v>
      </c>
      <c r="E9" s="11" t="s">
        <v>926</v>
      </c>
      <c r="F9" s="11"/>
      <c r="G9" s="11" t="s">
        <v>927</v>
      </c>
      <c r="H9" s="11" t="s">
        <v>928</v>
      </c>
      <c r="I9" s="11"/>
      <c r="J9" s="11" t="s">
        <v>929</v>
      </c>
      <c r="K9" s="11" t="s">
        <v>930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4" x14ac:dyDescent="0.15">
      <c r="A10" s="3" t="s">
        <v>910</v>
      </c>
      <c r="B10" s="11"/>
      <c r="C10" s="11"/>
      <c r="D10" s="11"/>
      <c r="E10" s="11" t="s">
        <v>931</v>
      </c>
      <c r="F10" s="11"/>
      <c r="G10" s="11" t="s">
        <v>932</v>
      </c>
      <c r="H10" s="11" t="s">
        <v>932</v>
      </c>
      <c r="I10" s="11"/>
      <c r="J10" s="11"/>
      <c r="K10" s="11" t="s">
        <v>932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56" x14ac:dyDescent="0.15">
      <c r="A11" s="3" t="s">
        <v>933</v>
      </c>
      <c r="B11" s="11" t="s">
        <v>934</v>
      </c>
      <c r="C11" s="11" t="s">
        <v>935</v>
      </c>
      <c r="D11" s="11" t="s">
        <v>936</v>
      </c>
      <c r="E11" s="11" t="s">
        <v>937</v>
      </c>
      <c r="F11" s="11"/>
      <c r="G11" s="11" t="s">
        <v>938</v>
      </c>
      <c r="H11" s="11" t="s">
        <v>939</v>
      </c>
      <c r="I11" s="11"/>
      <c r="J11" s="11" t="s">
        <v>940</v>
      </c>
      <c r="K11" s="11" t="s">
        <v>941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4" x14ac:dyDescent="0.15">
      <c r="A12" s="3" t="s">
        <v>910</v>
      </c>
      <c r="B12" s="11"/>
      <c r="C12" s="11"/>
      <c r="D12" s="11"/>
      <c r="E12" s="11" t="s">
        <v>931</v>
      </c>
      <c r="F12" s="11"/>
      <c r="G12" s="11" t="s">
        <v>932</v>
      </c>
      <c r="H12" s="11" t="s">
        <v>932</v>
      </c>
      <c r="I12" s="11"/>
      <c r="J12" s="11"/>
      <c r="K12" s="11" t="s">
        <v>932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70" x14ac:dyDescent="0.15">
      <c r="A13" s="3" t="s">
        <v>942</v>
      </c>
      <c r="B13" s="11" t="s">
        <v>943</v>
      </c>
      <c r="C13" s="11" t="s">
        <v>944</v>
      </c>
      <c r="D13" s="11" t="s">
        <v>945</v>
      </c>
      <c r="E13" s="11" t="s">
        <v>946</v>
      </c>
      <c r="F13" s="11"/>
      <c r="G13" s="11" t="s">
        <v>947</v>
      </c>
      <c r="H13" s="11" t="s">
        <v>948</v>
      </c>
      <c r="I13" s="11"/>
      <c r="J13" s="11" t="s">
        <v>949</v>
      </c>
      <c r="K13" s="11" t="s">
        <v>950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14" x14ac:dyDescent="0.15">
      <c r="A14" s="3" t="s">
        <v>910</v>
      </c>
      <c r="B14" s="11"/>
      <c r="C14" s="11"/>
      <c r="D14" s="11"/>
      <c r="E14" s="11" t="s">
        <v>931</v>
      </c>
      <c r="F14" s="11"/>
      <c r="G14" s="11" t="s">
        <v>951</v>
      </c>
      <c r="H14" s="11" t="s">
        <v>951</v>
      </c>
      <c r="I14" s="11"/>
      <c r="J14" s="11"/>
      <c r="K14" s="11" t="s">
        <v>951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84" x14ac:dyDescent="0.15">
      <c r="A15" s="3" t="s">
        <v>952</v>
      </c>
      <c r="B15" s="11" t="s">
        <v>953</v>
      </c>
      <c r="C15" s="11" t="s">
        <v>954</v>
      </c>
      <c r="D15" s="11" t="s">
        <v>955</v>
      </c>
      <c r="E15" s="11" t="s">
        <v>956</v>
      </c>
      <c r="F15" s="11"/>
      <c r="G15" s="11" t="s">
        <v>957</v>
      </c>
      <c r="H15" s="11" t="s">
        <v>958</v>
      </c>
      <c r="I15" s="11"/>
      <c r="J15" s="11" t="s">
        <v>959</v>
      </c>
      <c r="K15" s="11" t="s">
        <v>960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14" x14ac:dyDescent="0.15">
      <c r="A16" s="3" t="s">
        <v>910</v>
      </c>
      <c r="B16" s="11"/>
      <c r="C16" s="11"/>
      <c r="D16" s="11"/>
      <c r="E16" s="11" t="s">
        <v>931</v>
      </c>
      <c r="F16" s="11"/>
      <c r="G16" s="11" t="s">
        <v>951</v>
      </c>
      <c r="H16" s="11" t="s">
        <v>951</v>
      </c>
      <c r="I16" s="11"/>
      <c r="J16" s="11"/>
      <c r="K16" s="11" t="s">
        <v>951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56" x14ac:dyDescent="0.15">
      <c r="A17" s="3" t="s">
        <v>961</v>
      </c>
      <c r="B17" s="11" t="s">
        <v>962</v>
      </c>
      <c r="C17" s="11" t="s">
        <v>963</v>
      </c>
      <c r="D17" s="11" t="s">
        <v>964</v>
      </c>
      <c r="E17" s="11" t="s">
        <v>965</v>
      </c>
      <c r="F17" s="11"/>
      <c r="G17" s="11" t="s">
        <v>966</v>
      </c>
      <c r="H17" s="11" t="s">
        <v>967</v>
      </c>
      <c r="I17" s="11"/>
      <c r="J17" s="11" t="s">
        <v>968</v>
      </c>
      <c r="K17" s="11" t="s">
        <v>969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14" x14ac:dyDescent="0.15">
      <c r="A18" s="3" t="s">
        <v>910</v>
      </c>
      <c r="B18" s="11"/>
      <c r="C18" s="11"/>
      <c r="D18" s="11"/>
      <c r="E18" s="11" t="s">
        <v>911</v>
      </c>
      <c r="F18" s="11"/>
      <c r="G18" s="11" t="s">
        <v>951</v>
      </c>
      <c r="H18" s="11" t="s">
        <v>951</v>
      </c>
      <c r="I18" s="11"/>
      <c r="J18" s="11"/>
      <c r="K18" s="11" t="s">
        <v>951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3" x14ac:dyDescent="0.15">
      <c r="A19" s="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3" x14ac:dyDescent="0.15">
      <c r="A20" s="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13" x14ac:dyDescent="0.15">
      <c r="A21" s="3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13" x14ac:dyDescent="0.15">
      <c r="A22" s="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13" x14ac:dyDescent="0.15">
      <c r="A23" s="3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13" x14ac:dyDescent="0.15">
      <c r="A24" s="3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3" x14ac:dyDescent="0.1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ht="13" x14ac:dyDescent="0.1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ht="13" x14ac:dyDescent="0.1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13" x14ac:dyDescent="0.1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13" x14ac:dyDescent="0.1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13" x14ac:dyDescent="0.1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13" x14ac:dyDescent="0.1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13" x14ac:dyDescent="0.1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ht="13" x14ac:dyDescent="0.1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ht="13" x14ac:dyDescent="0.1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ht="13" x14ac:dyDescent="0.1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13" x14ac:dyDescent="0.1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13" x14ac:dyDescent="0.1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ht="13" x14ac:dyDescent="0.1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ht="13" x14ac:dyDescent="0.1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ht="13" x14ac:dyDescent="0.1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ht="13" x14ac:dyDescent="0.1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13" x14ac:dyDescent="0.1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13" x14ac:dyDescent="0.1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ht="13" x14ac:dyDescent="0.1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ht="13" x14ac:dyDescent="0.1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ht="13" x14ac:dyDescent="0.1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ht="13" x14ac:dyDescent="0.1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13" x14ac:dyDescent="0.1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13" x14ac:dyDescent="0.15">
      <c r="A49" s="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ht="13" x14ac:dyDescent="0.15">
      <c r="A50" s="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ht="13" x14ac:dyDescent="0.15">
      <c r="A51" s="3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ht="13" x14ac:dyDescent="0.15">
      <c r="A52" s="3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ht="13" x14ac:dyDescent="0.15">
      <c r="A53" s="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ht="13" x14ac:dyDescent="0.15">
      <c r="A54" s="3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13" x14ac:dyDescent="0.15">
      <c r="A55" s="3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13" x14ac:dyDescent="0.15">
      <c r="A56" s="3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ht="13" x14ac:dyDescent="0.15">
      <c r="A57" s="3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ht="13" x14ac:dyDescent="0.15">
      <c r="A58" s="3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ht="13" x14ac:dyDescent="0.15">
      <c r="A59" s="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ht="13" x14ac:dyDescent="0.15">
      <c r="A60" s="3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ht="13" x14ac:dyDescent="0.15">
      <c r="A61" s="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ht="13" x14ac:dyDescent="0.15">
      <c r="A62" s="3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ht="13" x14ac:dyDescent="0.15">
      <c r="A63" s="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ht="13" x14ac:dyDescent="0.15">
      <c r="A64" s="3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ht="13" x14ac:dyDescent="0.15">
      <c r="A65" s="3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ht="13" x14ac:dyDescent="0.15">
      <c r="A66" s="3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ht="13" x14ac:dyDescent="0.15">
      <c r="A67" s="3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ht="13" x14ac:dyDescent="0.15">
      <c r="A68" s="3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ht="13" x14ac:dyDescent="0.15">
      <c r="A69" s="3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ht="13" x14ac:dyDescent="0.15">
      <c r="A70" s="3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ht="13" x14ac:dyDescent="0.15">
      <c r="A71" s="3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ht="13" x14ac:dyDescent="0.15">
      <c r="A72" s="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ht="13" x14ac:dyDescent="0.15">
      <c r="A73" s="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ht="13" x14ac:dyDescent="0.15">
      <c r="A74" s="3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ht="13" x14ac:dyDescent="0.15">
      <c r="A75" s="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ht="13" x14ac:dyDescent="0.15">
      <c r="A76" s="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ht="13" x14ac:dyDescent="0.15">
      <c r="A77" s="3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ht="13" x14ac:dyDescent="0.15">
      <c r="A78" s="3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ht="13" x14ac:dyDescent="0.15">
      <c r="A79" s="3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ht="13" x14ac:dyDescent="0.15">
      <c r="A80" s="3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ht="13" x14ac:dyDescent="0.15">
      <c r="A81" s="3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ht="13" x14ac:dyDescent="0.15">
      <c r="A82" s="3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ht="13" x14ac:dyDescent="0.15">
      <c r="A83" s="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ht="13" x14ac:dyDescent="0.15">
      <c r="A84" s="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ht="13" x14ac:dyDescent="0.15">
      <c r="A85" s="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ht="13" x14ac:dyDescent="0.15">
      <c r="A86" s="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ht="13" x14ac:dyDescent="0.15">
      <c r="A87" s="3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ht="13" x14ac:dyDescent="0.15">
      <c r="A88" s="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ht="13" x14ac:dyDescent="0.15">
      <c r="A89" s="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ht="13" x14ac:dyDescent="0.15">
      <c r="A90" s="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ht="13" x14ac:dyDescent="0.15">
      <c r="A91" s="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ht="13" x14ac:dyDescent="0.15">
      <c r="A92" s="3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ht="13" x14ac:dyDescent="0.15">
      <c r="A93" s="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ht="13" x14ac:dyDescent="0.15">
      <c r="A94" s="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ht="13" x14ac:dyDescent="0.15">
      <c r="A95" s="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ht="13" x14ac:dyDescent="0.15">
      <c r="A96" s="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ht="13" x14ac:dyDescent="0.15">
      <c r="A97" s="3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ht="13" x14ac:dyDescent="0.15">
      <c r="A98" s="3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ht="13" x14ac:dyDescent="0.15">
      <c r="A99" s="3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ht="13" x14ac:dyDescent="0.15">
      <c r="A100" s="3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ht="13" x14ac:dyDescent="0.15">
      <c r="A101" s="3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ht="13" x14ac:dyDescent="0.15">
      <c r="A102" s="3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ht="13" x14ac:dyDescent="0.15">
      <c r="A103" s="3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ht="13" x14ac:dyDescent="0.15">
      <c r="A104" s="3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ht="13" x14ac:dyDescent="0.15">
      <c r="A105" s="3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ht="13" x14ac:dyDescent="0.15">
      <c r="A106" s="3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ht="13" x14ac:dyDescent="0.15">
      <c r="A107" s="3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ht="13" x14ac:dyDescent="0.15">
      <c r="A108" s="3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ht="13" x14ac:dyDescent="0.15">
      <c r="A109" s="3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ht="13" x14ac:dyDescent="0.15">
      <c r="A110" s="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ht="13" x14ac:dyDescent="0.15">
      <c r="A111" s="3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ht="13" x14ac:dyDescent="0.15">
      <c r="A112" s="3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ht="13" x14ac:dyDescent="0.15">
      <c r="A113" s="3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ht="13" x14ac:dyDescent="0.15">
      <c r="A114" s="3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ht="13" x14ac:dyDescent="0.15">
      <c r="A115" s="3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ht="13" x14ac:dyDescent="0.15">
      <c r="A116" s="3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ht="13" x14ac:dyDescent="0.15">
      <c r="A117" s="3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ht="13" x14ac:dyDescent="0.15">
      <c r="A118" s="3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ht="13" x14ac:dyDescent="0.15">
      <c r="A119" s="3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ht="13" x14ac:dyDescent="0.15">
      <c r="A120" s="3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ht="13" x14ac:dyDescent="0.15">
      <c r="A121" s="3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ht="13" x14ac:dyDescent="0.15">
      <c r="A122" s="3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ht="13" x14ac:dyDescent="0.15">
      <c r="A123" s="3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ht="13" x14ac:dyDescent="0.15">
      <c r="A124" s="3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ht="13" x14ac:dyDescent="0.15">
      <c r="A125" s="3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ht="13" x14ac:dyDescent="0.15">
      <c r="A126" s="3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ht="13" x14ac:dyDescent="0.15">
      <c r="A127" s="3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ht="13" x14ac:dyDescent="0.15">
      <c r="A128" s="3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ht="13" x14ac:dyDescent="0.15">
      <c r="A129" s="3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ht="13" x14ac:dyDescent="0.15">
      <c r="A130" s="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ht="13" x14ac:dyDescent="0.15">
      <c r="A131" s="3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ht="13" x14ac:dyDescent="0.15">
      <c r="A132" s="3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ht="13" x14ac:dyDescent="0.15">
      <c r="A133" s="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ht="13" x14ac:dyDescent="0.15">
      <c r="A134" s="3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ht="13" x14ac:dyDescent="0.15">
      <c r="A135" s="3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ht="13" x14ac:dyDescent="0.15">
      <c r="A136" s="3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ht="13" x14ac:dyDescent="0.15">
      <c r="A137" s="3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ht="13" x14ac:dyDescent="0.15">
      <c r="A138" s="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ht="13" x14ac:dyDescent="0.15">
      <c r="A139" s="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ht="13" x14ac:dyDescent="0.15">
      <c r="A140" s="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ht="13" x14ac:dyDescent="0.15">
      <c r="A141" s="3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ht="13" x14ac:dyDescent="0.15">
      <c r="A142" s="3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ht="13" x14ac:dyDescent="0.15">
      <c r="A143" s="3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ht="13" x14ac:dyDescent="0.15">
      <c r="A144" s="3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ht="13" x14ac:dyDescent="0.15">
      <c r="A145" s="3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ht="13" x14ac:dyDescent="0.15">
      <c r="A146" s="3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ht="13" x14ac:dyDescent="0.15">
      <c r="A147" s="3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ht="13" x14ac:dyDescent="0.15">
      <c r="A148" s="3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ht="13" x14ac:dyDescent="0.15">
      <c r="A149" s="3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ht="13" x14ac:dyDescent="0.15">
      <c r="A150" s="3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ht="13" x14ac:dyDescent="0.15">
      <c r="A151" s="3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ht="13" x14ac:dyDescent="0.15">
      <c r="A152" s="3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ht="13" x14ac:dyDescent="0.15">
      <c r="A153" s="3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ht="13" x14ac:dyDescent="0.15">
      <c r="A154" s="3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ht="13" x14ac:dyDescent="0.15">
      <c r="A155" s="3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ht="13" x14ac:dyDescent="0.15">
      <c r="A156" s="3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ht="13" x14ac:dyDescent="0.15">
      <c r="A157" s="3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ht="13" x14ac:dyDescent="0.15">
      <c r="A158" s="3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ht="13" x14ac:dyDescent="0.15">
      <c r="A159" s="3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ht="13" x14ac:dyDescent="0.15">
      <c r="A160" s="3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ht="13" x14ac:dyDescent="0.15">
      <c r="A161" s="3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ht="13" x14ac:dyDescent="0.15">
      <c r="A162" s="3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ht="13" x14ac:dyDescent="0.15">
      <c r="A163" s="3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ht="13" x14ac:dyDescent="0.15">
      <c r="A164" s="3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ht="13" x14ac:dyDescent="0.15">
      <c r="A165" s="3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ht="13" x14ac:dyDescent="0.15">
      <c r="A166" s="3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ht="13" x14ac:dyDescent="0.15">
      <c r="A167" s="3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ht="13" x14ac:dyDescent="0.15">
      <c r="A168" s="3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ht="13" x14ac:dyDescent="0.15">
      <c r="A169" s="3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ht="13" x14ac:dyDescent="0.15">
      <c r="A170" s="3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ht="13" x14ac:dyDescent="0.15">
      <c r="A171" s="3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ht="13" x14ac:dyDescent="0.15">
      <c r="A172" s="3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ht="13" x14ac:dyDescent="0.15">
      <c r="A173" s="3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ht="13" x14ac:dyDescent="0.15">
      <c r="A174" s="3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ht="13" x14ac:dyDescent="0.15">
      <c r="A175" s="3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ht="13" x14ac:dyDescent="0.15">
      <c r="A176" s="3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ht="13" x14ac:dyDescent="0.15">
      <c r="A177" s="3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ht="13" x14ac:dyDescent="0.15">
      <c r="A178" s="3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ht="13" x14ac:dyDescent="0.15">
      <c r="A179" s="3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ht="13" x14ac:dyDescent="0.15">
      <c r="A180" s="3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ht="13" x14ac:dyDescent="0.15">
      <c r="A181" s="3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ht="13" x14ac:dyDescent="0.15">
      <c r="A182" s="3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ht="13" x14ac:dyDescent="0.15">
      <c r="A183" s="3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ht="13" x14ac:dyDescent="0.15">
      <c r="A184" s="3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ht="13" x14ac:dyDescent="0.15">
      <c r="A185" s="3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ht="13" x14ac:dyDescent="0.15">
      <c r="A186" s="3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ht="13" x14ac:dyDescent="0.15">
      <c r="A187" s="3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:28" ht="13" x14ac:dyDescent="0.15">
      <c r="A188" s="3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:28" ht="13" x14ac:dyDescent="0.15">
      <c r="A189" s="3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:28" ht="13" x14ac:dyDescent="0.15">
      <c r="A190" s="3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 ht="13" x14ac:dyDescent="0.15">
      <c r="A191" s="3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 ht="13" x14ac:dyDescent="0.15">
      <c r="A192" s="3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:28" ht="13" x14ac:dyDescent="0.15">
      <c r="A193" s="3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:28" ht="13" x14ac:dyDescent="0.15">
      <c r="A194" s="3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:28" ht="13" x14ac:dyDescent="0.15">
      <c r="A195" s="3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:28" ht="13" x14ac:dyDescent="0.15">
      <c r="A196" s="3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:28" ht="13" x14ac:dyDescent="0.15">
      <c r="A197" s="3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:28" ht="13" x14ac:dyDescent="0.15">
      <c r="A198" s="3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:28" ht="13" x14ac:dyDescent="0.15">
      <c r="A199" s="3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:28" ht="13" x14ac:dyDescent="0.15">
      <c r="A200" s="3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 ht="13" x14ac:dyDescent="0.15">
      <c r="A201" s="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:28" ht="13" x14ac:dyDescent="0.15">
      <c r="A202" s="3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:28" ht="13" x14ac:dyDescent="0.15">
      <c r="A203" s="3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:28" ht="13" x14ac:dyDescent="0.15">
      <c r="A204" s="3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:28" ht="13" x14ac:dyDescent="0.15">
      <c r="A205" s="3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:28" ht="13" x14ac:dyDescent="0.15">
      <c r="A206" s="3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ht="13" x14ac:dyDescent="0.15">
      <c r="A207" s="3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1:28" ht="13" x14ac:dyDescent="0.15">
      <c r="A208" s="3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:28" ht="13" x14ac:dyDescent="0.15">
      <c r="A209" s="3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1:28" ht="13" x14ac:dyDescent="0.15">
      <c r="A210" s="3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:28" ht="13" x14ac:dyDescent="0.15">
      <c r="A211" s="3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1:28" ht="13" x14ac:dyDescent="0.15">
      <c r="A212" s="3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:28" ht="13" x14ac:dyDescent="0.15">
      <c r="A213" s="3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1:28" ht="13" x14ac:dyDescent="0.15">
      <c r="A214" s="3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:28" ht="13" x14ac:dyDescent="0.15">
      <c r="A215" s="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1:28" ht="13" x14ac:dyDescent="0.15">
      <c r="A216" s="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 ht="13" x14ac:dyDescent="0.15">
      <c r="A217" s="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 ht="13" x14ac:dyDescent="0.15">
      <c r="A218" s="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 ht="13" x14ac:dyDescent="0.15">
      <c r="A219" s="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1:28" ht="13" x14ac:dyDescent="0.15">
      <c r="A220" s="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1:28" ht="13" x14ac:dyDescent="0.15">
      <c r="A221" s="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1:28" ht="13" x14ac:dyDescent="0.15">
      <c r="A222" s="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1:28" ht="13" x14ac:dyDescent="0.15">
      <c r="A223" s="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1:28" ht="13" x14ac:dyDescent="0.15">
      <c r="A224" s="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:28" ht="13" x14ac:dyDescent="0.15">
      <c r="A225" s="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1:28" ht="13" x14ac:dyDescent="0.15">
      <c r="A226" s="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:28" ht="13" x14ac:dyDescent="0.15">
      <c r="A227" s="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1:28" ht="13" x14ac:dyDescent="0.15">
      <c r="A228" s="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1:28" ht="13" x14ac:dyDescent="0.15">
      <c r="A229" s="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1:28" ht="13" x14ac:dyDescent="0.15">
      <c r="A230" s="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1:28" ht="13" x14ac:dyDescent="0.15">
      <c r="A231" s="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1:28" ht="13" x14ac:dyDescent="0.15">
      <c r="A232" s="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1:28" ht="13" x14ac:dyDescent="0.15">
      <c r="A233" s="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1:28" ht="13" x14ac:dyDescent="0.15">
      <c r="A234" s="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1:28" ht="13" x14ac:dyDescent="0.15">
      <c r="A235" s="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1:28" ht="13" x14ac:dyDescent="0.15">
      <c r="A236" s="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1:28" ht="13" x14ac:dyDescent="0.15">
      <c r="A237" s="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1:28" ht="13" x14ac:dyDescent="0.15">
      <c r="A238" s="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1:28" ht="13" x14ac:dyDescent="0.15">
      <c r="A239" s="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1:28" ht="13" x14ac:dyDescent="0.15">
      <c r="A240" s="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1:28" ht="13" x14ac:dyDescent="0.15">
      <c r="A241" s="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1:28" ht="13" x14ac:dyDescent="0.15">
      <c r="A242" s="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1:28" ht="13" x14ac:dyDescent="0.15">
      <c r="A243" s="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1:28" ht="13" x14ac:dyDescent="0.15">
      <c r="A244" s="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:28" ht="13" x14ac:dyDescent="0.15">
      <c r="A245" s="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1:28" ht="13" x14ac:dyDescent="0.15">
      <c r="A246" s="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:28" ht="13" x14ac:dyDescent="0.15">
      <c r="A247" s="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1:28" ht="13" x14ac:dyDescent="0.15">
      <c r="A248" s="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1:28" ht="13" x14ac:dyDescent="0.15">
      <c r="A249" s="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1:28" ht="13" x14ac:dyDescent="0.15">
      <c r="A250" s="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1:28" ht="13" x14ac:dyDescent="0.15">
      <c r="A251" s="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1:28" ht="13" x14ac:dyDescent="0.15">
      <c r="A252" s="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1:28" ht="13" x14ac:dyDescent="0.15">
      <c r="A253" s="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1:28" ht="13" x14ac:dyDescent="0.15">
      <c r="A254" s="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1:28" ht="13" x14ac:dyDescent="0.15">
      <c r="A255" s="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1:28" ht="13" x14ac:dyDescent="0.15">
      <c r="A256" s="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:28" ht="13" x14ac:dyDescent="0.15">
      <c r="A257" s="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1:28" ht="13" x14ac:dyDescent="0.15">
      <c r="A258" s="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:28" ht="13" x14ac:dyDescent="0.15">
      <c r="A259" s="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1:28" ht="13" x14ac:dyDescent="0.15">
      <c r="A260" s="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1:28" ht="13" x14ac:dyDescent="0.15">
      <c r="A261" s="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1:28" ht="13" x14ac:dyDescent="0.15">
      <c r="A262" s="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:28" ht="13" x14ac:dyDescent="0.15">
      <c r="A263" s="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1:28" ht="13" x14ac:dyDescent="0.15">
      <c r="A264" s="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1:28" ht="13" x14ac:dyDescent="0.15">
      <c r="A265" s="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1:28" ht="13" x14ac:dyDescent="0.15">
      <c r="A266" s="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1:28" ht="13" x14ac:dyDescent="0.15">
      <c r="A267" s="3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1:28" ht="13" x14ac:dyDescent="0.15">
      <c r="A268" s="3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1:28" ht="13" x14ac:dyDescent="0.15">
      <c r="A269" s="3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1:28" ht="13" x14ac:dyDescent="0.15">
      <c r="A270" s="3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1:28" ht="13" x14ac:dyDescent="0.15">
      <c r="A271" s="3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1:28" ht="13" x14ac:dyDescent="0.15">
      <c r="A272" s="3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pans="1:28" ht="13" x14ac:dyDescent="0.15">
      <c r="A273" s="3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spans="1:28" ht="13" x14ac:dyDescent="0.15">
      <c r="A274" s="3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1:28" ht="13" x14ac:dyDescent="0.15">
      <c r="A275" s="3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spans="1:28" ht="13" x14ac:dyDescent="0.15">
      <c r="A276" s="3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1:28" ht="13" x14ac:dyDescent="0.15">
      <c r="A277" s="3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1:28" ht="13" x14ac:dyDescent="0.15">
      <c r="A278" s="3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1:28" ht="13" x14ac:dyDescent="0.15">
      <c r="A279" s="3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spans="1:28" ht="13" x14ac:dyDescent="0.15">
      <c r="A280" s="3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1:28" ht="13" x14ac:dyDescent="0.15">
      <c r="A281" s="3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spans="1:28" ht="13" x14ac:dyDescent="0.15">
      <c r="A282" s="3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1:28" ht="13" x14ac:dyDescent="0.15">
      <c r="A283" s="3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spans="1:28" ht="13" x14ac:dyDescent="0.15">
      <c r="A284" s="3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1:28" ht="13" x14ac:dyDescent="0.15">
      <c r="A285" s="3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spans="1:28" ht="13" x14ac:dyDescent="0.15">
      <c r="A286" s="3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spans="1:28" ht="13" x14ac:dyDescent="0.15">
      <c r="A287" s="3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spans="1:28" ht="13" x14ac:dyDescent="0.15">
      <c r="A288" s="3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spans="1:28" ht="13" x14ac:dyDescent="0.15">
      <c r="A289" s="3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spans="1:28" ht="13" x14ac:dyDescent="0.15">
      <c r="A290" s="3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spans="1:28" ht="13" x14ac:dyDescent="0.15">
      <c r="A291" s="3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spans="1:28" ht="13" x14ac:dyDescent="0.15">
      <c r="A292" s="3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spans="1:28" ht="13" x14ac:dyDescent="0.15">
      <c r="A293" s="3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spans="1:28" ht="13" x14ac:dyDescent="0.15">
      <c r="A294" s="3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spans="1:28" ht="13" x14ac:dyDescent="0.15">
      <c r="A295" s="3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spans="1:28" ht="13" x14ac:dyDescent="0.15">
      <c r="A296" s="3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spans="1:28" ht="13" x14ac:dyDescent="0.15">
      <c r="A297" s="3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spans="1:28" ht="13" x14ac:dyDescent="0.15">
      <c r="A298" s="3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spans="1:28" ht="13" x14ac:dyDescent="0.15">
      <c r="A299" s="3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spans="1:28" ht="13" x14ac:dyDescent="0.15">
      <c r="A300" s="3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spans="1:28" ht="13" x14ac:dyDescent="0.15">
      <c r="A301" s="3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spans="1:28" ht="13" x14ac:dyDescent="0.15">
      <c r="A302" s="3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spans="1:28" ht="13" x14ac:dyDescent="0.15">
      <c r="A303" s="3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spans="1:28" ht="13" x14ac:dyDescent="0.15">
      <c r="A304" s="3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spans="1:28" ht="13" x14ac:dyDescent="0.15">
      <c r="A305" s="3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spans="1:28" ht="13" x14ac:dyDescent="0.15">
      <c r="A306" s="3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spans="1:28" ht="13" x14ac:dyDescent="0.15">
      <c r="A307" s="3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spans="1:28" ht="13" x14ac:dyDescent="0.15">
      <c r="A308" s="3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spans="1:28" ht="13" x14ac:dyDescent="0.15">
      <c r="A309" s="3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spans="1:28" ht="13" x14ac:dyDescent="0.15">
      <c r="A310" s="3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spans="1:28" ht="13" x14ac:dyDescent="0.15">
      <c r="A311" s="3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spans="1:28" ht="13" x14ac:dyDescent="0.15">
      <c r="A312" s="3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spans="1:28" ht="13" x14ac:dyDescent="0.15">
      <c r="A313" s="3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spans="1:28" ht="13" x14ac:dyDescent="0.15">
      <c r="A314" s="3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spans="1:28" ht="13" x14ac:dyDescent="0.15">
      <c r="A315" s="3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spans="1:28" ht="13" x14ac:dyDescent="0.15">
      <c r="A316" s="3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spans="1:28" ht="13" x14ac:dyDescent="0.15">
      <c r="A317" s="3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spans="1:28" ht="13" x14ac:dyDescent="0.15">
      <c r="A318" s="3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spans="1:28" ht="13" x14ac:dyDescent="0.15">
      <c r="A319" s="3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spans="1:28" ht="13" x14ac:dyDescent="0.15">
      <c r="A320" s="3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spans="1:28" ht="13" x14ac:dyDescent="0.15">
      <c r="A321" s="3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spans="1:28" ht="13" x14ac:dyDescent="0.15">
      <c r="A322" s="3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spans="1:28" ht="13" x14ac:dyDescent="0.15">
      <c r="A323" s="3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spans="1:28" ht="13" x14ac:dyDescent="0.15">
      <c r="A324" s="3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spans="1:28" ht="13" x14ac:dyDescent="0.15">
      <c r="A325" s="3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spans="1:28" ht="13" x14ac:dyDescent="0.15">
      <c r="A326" s="3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spans="1:28" ht="13" x14ac:dyDescent="0.15">
      <c r="A327" s="3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spans="1:28" ht="13" x14ac:dyDescent="0.15">
      <c r="A328" s="3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spans="1:28" ht="13" x14ac:dyDescent="0.15">
      <c r="A329" s="3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spans="1:28" ht="13" x14ac:dyDescent="0.15">
      <c r="A330" s="3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spans="1:28" ht="13" x14ac:dyDescent="0.15">
      <c r="A331" s="3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spans="1:28" ht="13" x14ac:dyDescent="0.15">
      <c r="A332" s="3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spans="1:28" ht="13" x14ac:dyDescent="0.15">
      <c r="A333" s="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spans="1:28" ht="13" x14ac:dyDescent="0.15">
      <c r="A334" s="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spans="1:28" ht="13" x14ac:dyDescent="0.15">
      <c r="A335" s="3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spans="1:28" ht="13" x14ac:dyDescent="0.15">
      <c r="A336" s="3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spans="1:28" ht="13" x14ac:dyDescent="0.15">
      <c r="A337" s="3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spans="1:28" ht="13" x14ac:dyDescent="0.15">
      <c r="A338" s="3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spans="1:28" ht="13" x14ac:dyDescent="0.15">
      <c r="A339" s="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spans="1:28" ht="13" x14ac:dyDescent="0.15">
      <c r="A340" s="3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spans="1:28" ht="13" x14ac:dyDescent="0.15">
      <c r="A341" s="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spans="1:28" ht="13" x14ac:dyDescent="0.15">
      <c r="A342" s="3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spans="1:28" ht="13" x14ac:dyDescent="0.15">
      <c r="A343" s="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spans="1:28" ht="13" x14ac:dyDescent="0.15">
      <c r="A344" s="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spans="1:28" ht="13" x14ac:dyDescent="0.15">
      <c r="A345" s="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spans="1:28" ht="13" x14ac:dyDescent="0.15">
      <c r="A346" s="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spans="1:28" ht="13" x14ac:dyDescent="0.15">
      <c r="A347" s="3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spans="1:28" ht="13" x14ac:dyDescent="0.15">
      <c r="A348" s="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spans="1:28" ht="13" x14ac:dyDescent="0.15">
      <c r="A349" s="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spans="1:28" ht="13" x14ac:dyDescent="0.15">
      <c r="A350" s="3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spans="1:28" ht="13" x14ac:dyDescent="0.15">
      <c r="A351" s="3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spans="1:28" ht="13" x14ac:dyDescent="0.15">
      <c r="A352" s="3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spans="1:28" ht="13" x14ac:dyDescent="0.15">
      <c r="A353" s="3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spans="1:28" ht="13" x14ac:dyDescent="0.15">
      <c r="A354" s="3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spans="1:28" ht="13" x14ac:dyDescent="0.15">
      <c r="A355" s="3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spans="1:28" ht="13" x14ac:dyDescent="0.15">
      <c r="A356" s="3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spans="1:28" ht="13" x14ac:dyDescent="0.15">
      <c r="A357" s="3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spans="1:28" ht="13" x14ac:dyDescent="0.15">
      <c r="A358" s="3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spans="1:28" ht="13" x14ac:dyDescent="0.15">
      <c r="A359" s="3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spans="1:28" ht="13" x14ac:dyDescent="0.15">
      <c r="A360" s="3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spans="1:28" ht="13" x14ac:dyDescent="0.15">
      <c r="A361" s="3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spans="1:28" ht="13" x14ac:dyDescent="0.15">
      <c r="A362" s="3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spans="1:28" ht="13" x14ac:dyDescent="0.15">
      <c r="A363" s="3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spans="1:28" ht="13" x14ac:dyDescent="0.15">
      <c r="A364" s="3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spans="1:28" ht="13" x14ac:dyDescent="0.15">
      <c r="A365" s="3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spans="1:28" ht="13" x14ac:dyDescent="0.15">
      <c r="A366" s="3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spans="1:28" ht="13" x14ac:dyDescent="0.15">
      <c r="A367" s="3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spans="1:28" ht="13" x14ac:dyDescent="0.15">
      <c r="A368" s="3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spans="1:28" ht="13" x14ac:dyDescent="0.15">
      <c r="A369" s="3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spans="1:28" ht="13" x14ac:dyDescent="0.15">
      <c r="A370" s="3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spans="1:28" ht="13" x14ac:dyDescent="0.15">
      <c r="A371" s="3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spans="1:28" ht="13" x14ac:dyDescent="0.15">
      <c r="A372" s="3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spans="1:28" ht="13" x14ac:dyDescent="0.15">
      <c r="A373" s="3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spans="1:28" ht="13" x14ac:dyDescent="0.15">
      <c r="A374" s="3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spans="1:28" ht="13" x14ac:dyDescent="0.15">
      <c r="A375" s="3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spans="1:28" ht="13" x14ac:dyDescent="0.15">
      <c r="A376" s="3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spans="1:28" ht="13" x14ac:dyDescent="0.15">
      <c r="A377" s="3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spans="1:28" ht="13" x14ac:dyDescent="0.15">
      <c r="A378" s="3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spans="1:28" ht="13" x14ac:dyDescent="0.15">
      <c r="A379" s="3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spans="1:28" ht="13" x14ac:dyDescent="0.15">
      <c r="A380" s="3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spans="1:28" ht="13" x14ac:dyDescent="0.15">
      <c r="A381" s="3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spans="1:28" ht="13" x14ac:dyDescent="0.15">
      <c r="A382" s="3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spans="1:28" ht="13" x14ac:dyDescent="0.15">
      <c r="A383" s="3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spans="1:28" ht="13" x14ac:dyDescent="0.15">
      <c r="A384" s="3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spans="1:28" ht="13" x14ac:dyDescent="0.15">
      <c r="A385" s="3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spans="1:28" ht="13" x14ac:dyDescent="0.15">
      <c r="A386" s="3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spans="1:28" ht="13" x14ac:dyDescent="0.15">
      <c r="A387" s="3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spans="1:28" ht="13" x14ac:dyDescent="0.15">
      <c r="A388" s="3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spans="1:28" ht="13" x14ac:dyDescent="0.15">
      <c r="A389" s="3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spans="1:28" ht="13" x14ac:dyDescent="0.15">
      <c r="A390" s="3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spans="1:28" ht="13" x14ac:dyDescent="0.15">
      <c r="A391" s="3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spans="1:28" ht="13" x14ac:dyDescent="0.15">
      <c r="A392" s="3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spans="1:28" ht="13" x14ac:dyDescent="0.15">
      <c r="A393" s="3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spans="1:28" ht="13" x14ac:dyDescent="0.15">
      <c r="A394" s="3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spans="1:28" ht="13" x14ac:dyDescent="0.15">
      <c r="A395" s="3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spans="1:28" ht="13" x14ac:dyDescent="0.15">
      <c r="A396" s="3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spans="1:28" ht="13" x14ac:dyDescent="0.15">
      <c r="A397" s="3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spans="1:28" ht="13" x14ac:dyDescent="0.15">
      <c r="A398" s="3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spans="1:28" ht="13" x14ac:dyDescent="0.15">
      <c r="A399" s="3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spans="1:28" ht="13" x14ac:dyDescent="0.15">
      <c r="A400" s="3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spans="1:28" ht="13" x14ac:dyDescent="0.15">
      <c r="A401" s="3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spans="1:28" ht="13" x14ac:dyDescent="0.15">
      <c r="A402" s="3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spans="1:28" ht="13" x14ac:dyDescent="0.15">
      <c r="A403" s="3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spans="1:28" ht="13" x14ac:dyDescent="0.15">
      <c r="A404" s="3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spans="1:28" ht="13" x14ac:dyDescent="0.15">
      <c r="A405" s="3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spans="1:28" ht="13" x14ac:dyDescent="0.15">
      <c r="A406" s="3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spans="1:28" ht="13" x14ac:dyDescent="0.15">
      <c r="A407" s="3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spans="1:28" ht="13" x14ac:dyDescent="0.15">
      <c r="A408" s="3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spans="1:28" ht="13" x14ac:dyDescent="0.15">
      <c r="A409" s="3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spans="1:28" ht="13" x14ac:dyDescent="0.15">
      <c r="A410" s="3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spans="1:28" ht="13" x14ac:dyDescent="0.15">
      <c r="A411" s="3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spans="1:28" ht="13" x14ac:dyDescent="0.15">
      <c r="A412" s="3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spans="1:28" ht="13" x14ac:dyDescent="0.15">
      <c r="A413" s="3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spans="1:28" ht="13" x14ac:dyDescent="0.15">
      <c r="A414" s="3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spans="1:28" ht="13" x14ac:dyDescent="0.15">
      <c r="A415" s="3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spans="1:28" ht="13" x14ac:dyDescent="0.15">
      <c r="A416" s="3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spans="1:28" ht="13" x14ac:dyDescent="0.15">
      <c r="A417" s="3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spans="1:28" ht="13" x14ac:dyDescent="0.15">
      <c r="A418" s="3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spans="1:28" ht="13" x14ac:dyDescent="0.15">
      <c r="A419" s="3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spans="1:28" ht="13" x14ac:dyDescent="0.15">
      <c r="A420" s="3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spans="1:28" ht="13" x14ac:dyDescent="0.15">
      <c r="A421" s="3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spans="1:28" ht="13" x14ac:dyDescent="0.15">
      <c r="A422" s="3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spans="1:28" ht="13" x14ac:dyDescent="0.15">
      <c r="A423" s="3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spans="1:28" ht="13" x14ac:dyDescent="0.15">
      <c r="A424" s="3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spans="1:28" ht="13" x14ac:dyDescent="0.15">
      <c r="A425" s="3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spans="1:28" ht="13" x14ac:dyDescent="0.15">
      <c r="A426" s="3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spans="1:28" ht="13" x14ac:dyDescent="0.15">
      <c r="A427" s="3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spans="1:28" ht="13" x14ac:dyDescent="0.15">
      <c r="A428" s="3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spans="1:28" ht="13" x14ac:dyDescent="0.15">
      <c r="A429" s="3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spans="1:28" ht="13" x14ac:dyDescent="0.15">
      <c r="A430" s="3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spans="1:28" ht="13" x14ac:dyDescent="0.15">
      <c r="A431" s="3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spans="1:28" ht="13" x14ac:dyDescent="0.15">
      <c r="A432" s="3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spans="1:28" ht="13" x14ac:dyDescent="0.15">
      <c r="A433" s="3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spans="1:28" ht="13" x14ac:dyDescent="0.15">
      <c r="A434" s="3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spans="1:28" ht="13" x14ac:dyDescent="0.15">
      <c r="A435" s="3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spans="1:28" ht="13" x14ac:dyDescent="0.15">
      <c r="A436" s="3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spans="1:28" ht="13" x14ac:dyDescent="0.15">
      <c r="A437" s="3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spans="1:28" ht="13" x14ac:dyDescent="0.15">
      <c r="A438" s="3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spans="1:28" ht="13" x14ac:dyDescent="0.15">
      <c r="A439" s="3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spans="1:28" ht="13" x14ac:dyDescent="0.15">
      <c r="A440" s="3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spans="1:28" ht="13" x14ac:dyDescent="0.15">
      <c r="A441" s="3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spans="1:28" ht="13" x14ac:dyDescent="0.15">
      <c r="A442" s="3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spans="1:28" ht="13" x14ac:dyDescent="0.15">
      <c r="A443" s="3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spans="1:28" ht="13" x14ac:dyDescent="0.15">
      <c r="A444" s="3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spans="1:28" ht="13" x14ac:dyDescent="0.15">
      <c r="A445" s="3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spans="1:28" ht="13" x14ac:dyDescent="0.15">
      <c r="A446" s="3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spans="1:28" ht="13" x14ac:dyDescent="0.15">
      <c r="A447" s="3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spans="1:28" ht="13" x14ac:dyDescent="0.15">
      <c r="A448" s="3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spans="1:28" ht="13" x14ac:dyDescent="0.15">
      <c r="A449" s="3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spans="1:28" ht="13" x14ac:dyDescent="0.15">
      <c r="A450" s="3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spans="1:28" ht="13" x14ac:dyDescent="0.15">
      <c r="A451" s="3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spans="1:28" ht="13" x14ac:dyDescent="0.15">
      <c r="A452" s="3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spans="1:28" ht="13" x14ac:dyDescent="0.15">
      <c r="A453" s="3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spans="1:28" ht="13" x14ac:dyDescent="0.15">
      <c r="A454" s="3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spans="1:28" ht="13" x14ac:dyDescent="0.15">
      <c r="A455" s="3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spans="1:28" ht="13" x14ac:dyDescent="0.15">
      <c r="A456" s="3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spans="1:28" ht="13" x14ac:dyDescent="0.15">
      <c r="A457" s="3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spans="1:28" ht="13" x14ac:dyDescent="0.15">
      <c r="A458" s="3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spans="1:28" ht="13" x14ac:dyDescent="0.15">
      <c r="A459" s="3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spans="1:28" ht="13" x14ac:dyDescent="0.15">
      <c r="A460" s="3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spans="1:28" ht="13" x14ac:dyDescent="0.15">
      <c r="A461" s="3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spans="1:28" ht="13" x14ac:dyDescent="0.15">
      <c r="A462" s="3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spans="1:28" ht="13" x14ac:dyDescent="0.15">
      <c r="A463" s="3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spans="1:28" ht="13" x14ac:dyDescent="0.15">
      <c r="A464" s="3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spans="1:28" ht="13" x14ac:dyDescent="0.15">
      <c r="A465" s="3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spans="1:28" ht="13" x14ac:dyDescent="0.15">
      <c r="A466" s="3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spans="1:28" ht="13" x14ac:dyDescent="0.15">
      <c r="A467" s="3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spans="1:28" ht="13" x14ac:dyDescent="0.15">
      <c r="A468" s="3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spans="1:28" ht="13" x14ac:dyDescent="0.15">
      <c r="A469" s="3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spans="1:28" ht="13" x14ac:dyDescent="0.15">
      <c r="A470" s="3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spans="1:28" ht="13" x14ac:dyDescent="0.15">
      <c r="A471" s="3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spans="1:28" ht="13" x14ac:dyDescent="0.15">
      <c r="A472" s="3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spans="1:28" ht="13" x14ac:dyDescent="0.15">
      <c r="A473" s="3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spans="1:28" ht="13" x14ac:dyDescent="0.15">
      <c r="A474" s="3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spans="1:28" ht="13" x14ac:dyDescent="0.15">
      <c r="A475" s="3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spans="1:28" ht="13" x14ac:dyDescent="0.15">
      <c r="A476" s="3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spans="1:28" ht="13" x14ac:dyDescent="0.15">
      <c r="A477" s="3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spans="1:28" ht="13" x14ac:dyDescent="0.15">
      <c r="A478" s="3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spans="1:28" ht="13" x14ac:dyDescent="0.15">
      <c r="A479" s="3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spans="1:28" ht="13" x14ac:dyDescent="0.15">
      <c r="A480" s="3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spans="1:28" ht="13" x14ac:dyDescent="0.15">
      <c r="A481" s="3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spans="1:28" ht="13" x14ac:dyDescent="0.15">
      <c r="A482" s="3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spans="1:28" ht="13" x14ac:dyDescent="0.15">
      <c r="A483" s="3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spans="1:28" ht="13" x14ac:dyDescent="0.15">
      <c r="A484" s="3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spans="1:28" ht="13" x14ac:dyDescent="0.15">
      <c r="A485" s="3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spans="1:28" ht="13" x14ac:dyDescent="0.15">
      <c r="A486" s="3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spans="1:28" ht="13" x14ac:dyDescent="0.15">
      <c r="A487" s="3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spans="1:28" ht="13" x14ac:dyDescent="0.15">
      <c r="A488" s="3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spans="1:28" ht="13" x14ac:dyDescent="0.15">
      <c r="A489" s="3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spans="1:28" ht="13" x14ac:dyDescent="0.15">
      <c r="A490" s="3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spans="1:28" ht="13" x14ac:dyDescent="0.15">
      <c r="A491" s="3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spans="1:28" ht="13" x14ac:dyDescent="0.15">
      <c r="A492" s="3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spans="1:28" ht="13" x14ac:dyDescent="0.15">
      <c r="A493" s="3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spans="1:28" ht="13" x14ac:dyDescent="0.15">
      <c r="A494" s="3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spans="1:28" ht="13" x14ac:dyDescent="0.15">
      <c r="A495" s="3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spans="1:28" ht="13" x14ac:dyDescent="0.15">
      <c r="A496" s="3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spans="1:28" ht="13" x14ac:dyDescent="0.15">
      <c r="A497" s="3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spans="1:28" ht="13" x14ac:dyDescent="0.15">
      <c r="A498" s="3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spans="1:28" ht="13" x14ac:dyDescent="0.15">
      <c r="A499" s="3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spans="1:28" ht="13" x14ac:dyDescent="0.15">
      <c r="A500" s="3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spans="1:28" ht="13" x14ac:dyDescent="0.15">
      <c r="A501" s="3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spans="1:28" ht="13" x14ac:dyDescent="0.15">
      <c r="A502" s="3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spans="1:28" ht="13" x14ac:dyDescent="0.15">
      <c r="A503" s="3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spans="1:28" ht="13" x14ac:dyDescent="0.15">
      <c r="A504" s="3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spans="1:28" ht="13" x14ac:dyDescent="0.15">
      <c r="A505" s="3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spans="1:28" ht="13" x14ac:dyDescent="0.15">
      <c r="A506" s="3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spans="1:28" ht="13" x14ac:dyDescent="0.15">
      <c r="A507" s="3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spans="1:28" ht="13" x14ac:dyDescent="0.15">
      <c r="A508" s="3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spans="1:28" ht="13" x14ac:dyDescent="0.15">
      <c r="A509" s="3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spans="1:28" ht="13" x14ac:dyDescent="0.15">
      <c r="A510" s="3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spans="1:28" ht="13" x14ac:dyDescent="0.15">
      <c r="A511" s="3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spans="1:28" ht="13" x14ac:dyDescent="0.15">
      <c r="A512" s="3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spans="1:28" ht="13" x14ac:dyDescent="0.15">
      <c r="A513" s="3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spans="1:28" ht="13" x14ac:dyDescent="0.15">
      <c r="A514" s="3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spans="1:28" ht="13" x14ac:dyDescent="0.15">
      <c r="A515" s="3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spans="1:28" ht="13" x14ac:dyDescent="0.15">
      <c r="A516" s="3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spans="1:28" ht="13" x14ac:dyDescent="0.15">
      <c r="A517" s="3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spans="1:28" ht="13" x14ac:dyDescent="0.15">
      <c r="A518" s="3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spans="1:28" ht="13" x14ac:dyDescent="0.15">
      <c r="A519" s="3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spans="1:28" ht="13" x14ac:dyDescent="0.15">
      <c r="A520" s="3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spans="1:28" ht="13" x14ac:dyDescent="0.15">
      <c r="A521" s="3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spans="1:28" ht="13" x14ac:dyDescent="0.15">
      <c r="A522" s="3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spans="1:28" ht="13" x14ac:dyDescent="0.15">
      <c r="A523" s="3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spans="1:28" ht="13" x14ac:dyDescent="0.15">
      <c r="A524" s="3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spans="1:28" ht="13" x14ac:dyDescent="0.15">
      <c r="A525" s="3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spans="1:28" ht="13" x14ac:dyDescent="0.15">
      <c r="A526" s="3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spans="1:28" ht="13" x14ac:dyDescent="0.15">
      <c r="A527" s="3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spans="1:28" ht="13" x14ac:dyDescent="0.15">
      <c r="A528" s="3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spans="1:28" ht="13" x14ac:dyDescent="0.15">
      <c r="A529" s="3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spans="1:28" ht="13" x14ac:dyDescent="0.15">
      <c r="A530" s="3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spans="1:28" ht="13" x14ac:dyDescent="0.15">
      <c r="A531" s="3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spans="1:28" ht="13" x14ac:dyDescent="0.15">
      <c r="A532" s="3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spans="1:28" ht="13" x14ac:dyDescent="0.15">
      <c r="A533" s="3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spans="1:28" ht="13" x14ac:dyDescent="0.15">
      <c r="A534" s="3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spans="1:28" ht="13" x14ac:dyDescent="0.15">
      <c r="A535" s="3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spans="1:28" ht="13" x14ac:dyDescent="0.15">
      <c r="A536" s="3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spans="1:28" ht="13" x14ac:dyDescent="0.15">
      <c r="A537" s="3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spans="1:28" ht="13" x14ac:dyDescent="0.15">
      <c r="A538" s="3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spans="1:28" ht="13" x14ac:dyDescent="0.15">
      <c r="A539" s="3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spans="1:28" ht="13" x14ac:dyDescent="0.15">
      <c r="A540" s="3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spans="1:28" ht="13" x14ac:dyDescent="0.15">
      <c r="A541" s="3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spans="1:28" ht="13" x14ac:dyDescent="0.15">
      <c r="A542" s="3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spans="1:28" ht="13" x14ac:dyDescent="0.15">
      <c r="A543" s="3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spans="1:28" ht="13" x14ac:dyDescent="0.15">
      <c r="A544" s="3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spans="1:28" ht="13" x14ac:dyDescent="0.15">
      <c r="A545" s="3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spans="1:28" ht="13" x14ac:dyDescent="0.15">
      <c r="A546" s="3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spans="1:28" ht="13" x14ac:dyDescent="0.15">
      <c r="A547" s="3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spans="1:28" ht="13" x14ac:dyDescent="0.15">
      <c r="A548" s="3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spans="1:28" ht="13" x14ac:dyDescent="0.15">
      <c r="A549" s="3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spans="1:28" ht="13" x14ac:dyDescent="0.15">
      <c r="A550" s="3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spans="1:28" ht="13" x14ac:dyDescent="0.15">
      <c r="A551" s="3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spans="1:28" ht="13" x14ac:dyDescent="0.15">
      <c r="A552" s="3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spans="1:28" ht="13" x14ac:dyDescent="0.15">
      <c r="A553" s="3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spans="1:28" ht="13" x14ac:dyDescent="0.15">
      <c r="A554" s="3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spans="1:28" ht="13" x14ac:dyDescent="0.15">
      <c r="A555" s="3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spans="1:28" ht="13" x14ac:dyDescent="0.15">
      <c r="A556" s="3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spans="1:28" ht="13" x14ac:dyDescent="0.15">
      <c r="A557" s="3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spans="1:28" ht="13" x14ac:dyDescent="0.15">
      <c r="A558" s="3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spans="1:28" ht="13" x14ac:dyDescent="0.15">
      <c r="A559" s="3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spans="1:28" ht="13" x14ac:dyDescent="0.15">
      <c r="A560" s="3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spans="1:28" ht="13" x14ac:dyDescent="0.15">
      <c r="A561" s="3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spans="1:28" ht="13" x14ac:dyDescent="0.15">
      <c r="A562" s="3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spans="1:28" ht="13" x14ac:dyDescent="0.15">
      <c r="A563" s="3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spans="1:28" ht="13" x14ac:dyDescent="0.15">
      <c r="A564" s="3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spans="1:28" ht="13" x14ac:dyDescent="0.15">
      <c r="A565" s="3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spans="1:28" ht="13" x14ac:dyDescent="0.15">
      <c r="A566" s="3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spans="1:28" ht="13" x14ac:dyDescent="0.15">
      <c r="A567" s="3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spans="1:28" ht="13" x14ac:dyDescent="0.15">
      <c r="A568" s="3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spans="1:28" ht="13" x14ac:dyDescent="0.15">
      <c r="A569" s="3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spans="1:28" ht="13" x14ac:dyDescent="0.15">
      <c r="A570" s="3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spans="1:28" ht="13" x14ac:dyDescent="0.15">
      <c r="A571" s="3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spans="1:28" ht="13" x14ac:dyDescent="0.15">
      <c r="A572" s="3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spans="1:28" ht="13" x14ac:dyDescent="0.15">
      <c r="A573" s="3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spans="1:28" ht="13" x14ac:dyDescent="0.15">
      <c r="A574" s="3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spans="1:28" ht="13" x14ac:dyDescent="0.15">
      <c r="A575" s="3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spans="1:28" ht="13" x14ac:dyDescent="0.15">
      <c r="A576" s="3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spans="1:28" ht="13" x14ac:dyDescent="0.15">
      <c r="A577" s="3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spans="1:28" ht="13" x14ac:dyDescent="0.15">
      <c r="A578" s="3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spans="1:28" ht="13" x14ac:dyDescent="0.15">
      <c r="A579" s="3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spans="1:28" ht="13" x14ac:dyDescent="0.15">
      <c r="A580" s="3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spans="1:28" ht="13" x14ac:dyDescent="0.15">
      <c r="A581" s="3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spans="1:28" ht="13" x14ac:dyDescent="0.15">
      <c r="A582" s="3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spans="1:28" ht="13" x14ac:dyDescent="0.15">
      <c r="A583" s="3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spans="1:28" ht="13" x14ac:dyDescent="0.15">
      <c r="A584" s="3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spans="1:28" ht="13" x14ac:dyDescent="0.15">
      <c r="A585" s="3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spans="1:28" ht="13" x14ac:dyDescent="0.15">
      <c r="A586" s="3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spans="1:28" ht="13" x14ac:dyDescent="0.15">
      <c r="A587" s="3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spans="1:28" ht="13" x14ac:dyDescent="0.15">
      <c r="A588" s="3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spans="1:28" ht="13" x14ac:dyDescent="0.15">
      <c r="A589" s="3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spans="1:28" ht="13" x14ac:dyDescent="0.15">
      <c r="A590" s="3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spans="1:28" ht="13" x14ac:dyDescent="0.15">
      <c r="A591" s="3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spans="1:28" ht="13" x14ac:dyDescent="0.15">
      <c r="A592" s="3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spans="1:28" ht="13" x14ac:dyDescent="0.15">
      <c r="A593" s="3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spans="1:28" ht="13" x14ac:dyDescent="0.15">
      <c r="A594" s="3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spans="1:28" ht="13" x14ac:dyDescent="0.15">
      <c r="A595" s="3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spans="1:28" ht="13" x14ac:dyDescent="0.15">
      <c r="A596" s="3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spans="1:28" ht="13" x14ac:dyDescent="0.15">
      <c r="A597" s="3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spans="1:28" ht="13" x14ac:dyDescent="0.15">
      <c r="A598" s="3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spans="1:28" ht="13" x14ac:dyDescent="0.15">
      <c r="A599" s="3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spans="1:28" ht="13" x14ac:dyDescent="0.15">
      <c r="A600" s="3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spans="1:28" ht="13" x14ac:dyDescent="0.15">
      <c r="A601" s="3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spans="1:28" ht="13" x14ac:dyDescent="0.15">
      <c r="A602" s="3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spans="1:28" ht="13" x14ac:dyDescent="0.15">
      <c r="A603" s="3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spans="1:28" ht="13" x14ac:dyDescent="0.15">
      <c r="A604" s="3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spans="1:28" ht="13" x14ac:dyDescent="0.15">
      <c r="A605" s="3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spans="1:28" ht="13" x14ac:dyDescent="0.15">
      <c r="A606" s="3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spans="1:28" ht="13" x14ac:dyDescent="0.15">
      <c r="A607" s="3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spans="1:28" ht="13" x14ac:dyDescent="0.15">
      <c r="A608" s="3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spans="1:28" ht="13" x14ac:dyDescent="0.15">
      <c r="A609" s="3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spans="1:28" ht="13" x14ac:dyDescent="0.15">
      <c r="A610" s="3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spans="1:28" ht="13" x14ac:dyDescent="0.15">
      <c r="A611" s="3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spans="1:28" ht="13" x14ac:dyDescent="0.15">
      <c r="A612" s="3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spans="1:28" ht="13" x14ac:dyDescent="0.15">
      <c r="A613" s="3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spans="1:28" ht="13" x14ac:dyDescent="0.15">
      <c r="A614" s="3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spans="1:28" ht="13" x14ac:dyDescent="0.15">
      <c r="A615" s="3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spans="1:28" ht="13" x14ac:dyDescent="0.15">
      <c r="A616" s="3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spans="1:28" ht="13" x14ac:dyDescent="0.15">
      <c r="A617" s="3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spans="1:28" ht="13" x14ac:dyDescent="0.15">
      <c r="A618" s="3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spans="1:28" ht="13" x14ac:dyDescent="0.15">
      <c r="A619" s="3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spans="1:28" ht="13" x14ac:dyDescent="0.15">
      <c r="A620" s="3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spans="1:28" ht="13" x14ac:dyDescent="0.15">
      <c r="A621" s="3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spans="1:28" ht="13" x14ac:dyDescent="0.15">
      <c r="A622" s="3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spans="1:28" ht="13" x14ac:dyDescent="0.15">
      <c r="A623" s="3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spans="1:28" ht="13" x14ac:dyDescent="0.15">
      <c r="A624" s="3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spans="1:28" ht="13" x14ac:dyDescent="0.15">
      <c r="A625" s="3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spans="1:28" ht="13" x14ac:dyDescent="0.15">
      <c r="A626" s="3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spans="1:28" ht="13" x14ac:dyDescent="0.15">
      <c r="A627" s="3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spans="1:28" ht="13" x14ac:dyDescent="0.15">
      <c r="A628" s="3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spans="1:28" ht="13" x14ac:dyDescent="0.15">
      <c r="A629" s="3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spans="1:28" ht="13" x14ac:dyDescent="0.15">
      <c r="A630" s="3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spans="1:28" ht="13" x14ac:dyDescent="0.15">
      <c r="A631" s="3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spans="1:28" ht="13" x14ac:dyDescent="0.15">
      <c r="A632" s="3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spans="1:28" ht="13" x14ac:dyDescent="0.15">
      <c r="A633" s="3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spans="1:28" ht="13" x14ac:dyDescent="0.15">
      <c r="A634" s="3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spans="1:28" ht="13" x14ac:dyDescent="0.15">
      <c r="A635" s="3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spans="1:28" ht="13" x14ac:dyDescent="0.15">
      <c r="A636" s="3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spans="1:28" ht="13" x14ac:dyDescent="0.15">
      <c r="A637" s="3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spans="1:28" ht="13" x14ac:dyDescent="0.15">
      <c r="A638" s="3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spans="1:28" ht="13" x14ac:dyDescent="0.15">
      <c r="A639" s="3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spans="1:28" ht="13" x14ac:dyDescent="0.15">
      <c r="A640" s="3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spans="1:28" ht="13" x14ac:dyDescent="0.15">
      <c r="A641" s="3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spans="1:28" ht="13" x14ac:dyDescent="0.15">
      <c r="A642" s="3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spans="1:28" ht="13" x14ac:dyDescent="0.15">
      <c r="A643" s="3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spans="1:28" ht="13" x14ac:dyDescent="0.15">
      <c r="A644" s="3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spans="1:28" ht="13" x14ac:dyDescent="0.15">
      <c r="A645" s="3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spans="1:28" ht="13" x14ac:dyDescent="0.15">
      <c r="A646" s="3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spans="1:28" ht="13" x14ac:dyDescent="0.15">
      <c r="A647" s="3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spans="1:28" ht="13" x14ac:dyDescent="0.15">
      <c r="A648" s="3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spans="1:28" ht="13" x14ac:dyDescent="0.15">
      <c r="A649" s="3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spans="1:28" ht="13" x14ac:dyDescent="0.15">
      <c r="A650" s="3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spans="1:28" ht="13" x14ac:dyDescent="0.15">
      <c r="A651" s="3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spans="1:28" ht="13" x14ac:dyDescent="0.15">
      <c r="A652" s="3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spans="1:28" ht="13" x14ac:dyDescent="0.15">
      <c r="A653" s="3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spans="1:28" ht="13" x14ac:dyDescent="0.15">
      <c r="A654" s="3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spans="1:28" ht="13" x14ac:dyDescent="0.15">
      <c r="A655" s="3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spans="1:28" ht="13" x14ac:dyDescent="0.15">
      <c r="A656" s="3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spans="1:28" ht="13" x14ac:dyDescent="0.15">
      <c r="A657" s="3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spans="1:28" ht="13" x14ac:dyDescent="0.15">
      <c r="A658" s="3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spans="1:28" ht="13" x14ac:dyDescent="0.15">
      <c r="A659" s="3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spans="1:28" ht="13" x14ac:dyDescent="0.15">
      <c r="A660" s="3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spans="1:28" ht="13" x14ac:dyDescent="0.15">
      <c r="A661" s="3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spans="1:28" ht="13" x14ac:dyDescent="0.15">
      <c r="A662" s="3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spans="1:28" ht="13" x14ac:dyDescent="0.15">
      <c r="A663" s="3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spans="1:28" ht="13" x14ac:dyDescent="0.15">
      <c r="A664" s="3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spans="1:28" ht="13" x14ac:dyDescent="0.15">
      <c r="A665" s="3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spans="1:28" ht="13" x14ac:dyDescent="0.15">
      <c r="A666" s="3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spans="1:28" ht="13" x14ac:dyDescent="0.15">
      <c r="A667" s="3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spans="1:28" ht="13" x14ac:dyDescent="0.15">
      <c r="A668" s="3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spans="1:28" ht="13" x14ac:dyDescent="0.15">
      <c r="A669" s="3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spans="1:28" ht="13" x14ac:dyDescent="0.15">
      <c r="A670" s="3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spans="1:28" ht="13" x14ac:dyDescent="0.15">
      <c r="A671" s="3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spans="1:28" ht="13" x14ac:dyDescent="0.15">
      <c r="A672" s="3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spans="1:28" ht="13" x14ac:dyDescent="0.15">
      <c r="A673" s="3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spans="1:28" ht="13" x14ac:dyDescent="0.15">
      <c r="A674" s="3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spans="1:28" ht="13" x14ac:dyDescent="0.15">
      <c r="A675" s="3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spans="1:28" ht="13" x14ac:dyDescent="0.15">
      <c r="A676" s="3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spans="1:28" ht="13" x14ac:dyDescent="0.15">
      <c r="A677" s="3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spans="1:28" ht="13" x14ac:dyDescent="0.15">
      <c r="A678" s="3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spans="1:28" ht="13" x14ac:dyDescent="0.15">
      <c r="A679" s="3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spans="1:28" ht="13" x14ac:dyDescent="0.15">
      <c r="A680" s="3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spans="1:28" ht="13" x14ac:dyDescent="0.15">
      <c r="A681" s="3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spans="1:28" ht="13" x14ac:dyDescent="0.15">
      <c r="A682" s="3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spans="1:28" ht="13" x14ac:dyDescent="0.15">
      <c r="A683" s="3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spans="1:28" ht="13" x14ac:dyDescent="0.15">
      <c r="A684" s="3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spans="1:28" ht="13" x14ac:dyDescent="0.15">
      <c r="A685" s="3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spans="1:28" ht="13" x14ac:dyDescent="0.15">
      <c r="A686" s="3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spans="1:28" ht="13" x14ac:dyDescent="0.15">
      <c r="A687" s="3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spans="1:28" ht="13" x14ac:dyDescent="0.15">
      <c r="A688" s="3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spans="1:28" ht="13" x14ac:dyDescent="0.15">
      <c r="A689" s="3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spans="1:28" ht="13" x14ac:dyDescent="0.15">
      <c r="A690" s="3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spans="1:28" ht="13" x14ac:dyDescent="0.15">
      <c r="A691" s="3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spans="1:28" ht="13" x14ac:dyDescent="0.15">
      <c r="A692" s="3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spans="1:28" ht="13" x14ac:dyDescent="0.15">
      <c r="A693" s="3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spans="1:28" ht="13" x14ac:dyDescent="0.15">
      <c r="A694" s="3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spans="1:28" ht="13" x14ac:dyDescent="0.15">
      <c r="A695" s="3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spans="1:28" ht="13" x14ac:dyDescent="0.15">
      <c r="A696" s="3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spans="1:28" ht="13" x14ac:dyDescent="0.15">
      <c r="A697" s="3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spans="1:28" ht="13" x14ac:dyDescent="0.15">
      <c r="A698" s="3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spans="1:28" ht="13" x14ac:dyDescent="0.15">
      <c r="A699" s="3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spans="1:28" ht="13" x14ac:dyDescent="0.15">
      <c r="A700" s="3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spans="1:28" ht="13" x14ac:dyDescent="0.15">
      <c r="A701" s="3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spans="1:28" ht="13" x14ac:dyDescent="0.15">
      <c r="A702" s="3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spans="1:28" ht="13" x14ac:dyDescent="0.15">
      <c r="A703" s="3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spans="1:28" ht="13" x14ac:dyDescent="0.15">
      <c r="A704" s="3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spans="1:28" ht="13" x14ac:dyDescent="0.15">
      <c r="A705" s="3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spans="1:28" ht="13" x14ac:dyDescent="0.15">
      <c r="A706" s="3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spans="1:28" ht="13" x14ac:dyDescent="0.15">
      <c r="A707" s="3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spans="1:28" ht="13" x14ac:dyDescent="0.15">
      <c r="A708" s="3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spans="1:28" ht="13" x14ac:dyDescent="0.15">
      <c r="A709" s="3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spans="1:28" ht="13" x14ac:dyDescent="0.15">
      <c r="A710" s="3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spans="1:28" ht="13" x14ac:dyDescent="0.15">
      <c r="A711" s="3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spans="1:28" ht="13" x14ac:dyDescent="0.15">
      <c r="A712" s="3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spans="1:28" ht="13" x14ac:dyDescent="0.15">
      <c r="A713" s="3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spans="1:28" ht="13" x14ac:dyDescent="0.15">
      <c r="A714" s="3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spans="1:28" ht="13" x14ac:dyDescent="0.15">
      <c r="A715" s="3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spans="1:28" ht="13" x14ac:dyDescent="0.15">
      <c r="A716" s="3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spans="1:28" ht="13" x14ac:dyDescent="0.15">
      <c r="A717" s="3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spans="1:28" ht="13" x14ac:dyDescent="0.15">
      <c r="A718" s="3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spans="1:28" ht="13" x14ac:dyDescent="0.15">
      <c r="A719" s="3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spans="1:28" ht="13" x14ac:dyDescent="0.15">
      <c r="A720" s="3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spans="1:28" ht="13" x14ac:dyDescent="0.15">
      <c r="A721" s="3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spans="1:28" ht="13" x14ac:dyDescent="0.15">
      <c r="A722" s="3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spans="1:28" ht="13" x14ac:dyDescent="0.15">
      <c r="A723" s="3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spans="1:28" ht="13" x14ac:dyDescent="0.15">
      <c r="A724" s="3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spans="1:28" ht="13" x14ac:dyDescent="0.15">
      <c r="A725" s="3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spans="1:28" ht="13" x14ac:dyDescent="0.15">
      <c r="A726" s="3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spans="1:28" ht="13" x14ac:dyDescent="0.15">
      <c r="A727" s="3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spans="1:28" ht="13" x14ac:dyDescent="0.15">
      <c r="A728" s="3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spans="1:28" ht="13" x14ac:dyDescent="0.15">
      <c r="A729" s="3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spans="1:28" ht="13" x14ac:dyDescent="0.15">
      <c r="A730" s="3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spans="1:28" ht="13" x14ac:dyDescent="0.15">
      <c r="A731" s="3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spans="1:28" ht="13" x14ac:dyDescent="0.15">
      <c r="A732" s="3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spans="1:28" ht="13" x14ac:dyDescent="0.15">
      <c r="A733" s="3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spans="1:28" ht="13" x14ac:dyDescent="0.15">
      <c r="A734" s="3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spans="1:28" ht="13" x14ac:dyDescent="0.15">
      <c r="A735" s="3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spans="1:28" ht="13" x14ac:dyDescent="0.15">
      <c r="A736" s="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spans="1:28" ht="13" x14ac:dyDescent="0.15">
      <c r="A737" s="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spans="1:28" ht="13" x14ac:dyDescent="0.15">
      <c r="A738" s="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spans="1:28" ht="13" x14ac:dyDescent="0.15">
      <c r="A739" s="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spans="1:28" ht="13" x14ac:dyDescent="0.15">
      <c r="A740" s="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spans="1:28" ht="13" x14ac:dyDescent="0.15">
      <c r="A741" s="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spans="1:28" ht="13" x14ac:dyDescent="0.15">
      <c r="A742" s="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spans="1:28" ht="13" x14ac:dyDescent="0.15">
      <c r="A743" s="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spans="1:28" ht="13" x14ac:dyDescent="0.15">
      <c r="A744" s="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spans="1:28" ht="13" x14ac:dyDescent="0.15">
      <c r="A745" s="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spans="1:28" ht="13" x14ac:dyDescent="0.15">
      <c r="A746" s="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spans="1:28" ht="13" x14ac:dyDescent="0.15">
      <c r="A747" s="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spans="1:28" ht="13" x14ac:dyDescent="0.15">
      <c r="A748" s="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spans="1:28" ht="13" x14ac:dyDescent="0.15">
      <c r="A749" s="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spans="1:28" ht="13" x14ac:dyDescent="0.15">
      <c r="A750" s="3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spans="1:28" ht="13" x14ac:dyDescent="0.15">
      <c r="A751" s="3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spans="1:28" ht="13" x14ac:dyDescent="0.15">
      <c r="A752" s="3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spans="1:28" ht="13" x14ac:dyDescent="0.15">
      <c r="A753" s="3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spans="1:28" ht="13" x14ac:dyDescent="0.15">
      <c r="A754" s="3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spans="1:28" ht="13" x14ac:dyDescent="0.15">
      <c r="A755" s="3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spans="1:28" ht="13" x14ac:dyDescent="0.15">
      <c r="A756" s="3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spans="1:28" ht="13" x14ac:dyDescent="0.15">
      <c r="A757" s="3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spans="1:28" ht="13" x14ac:dyDescent="0.15">
      <c r="A758" s="3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spans="1:28" ht="13" x14ac:dyDescent="0.15">
      <c r="A759" s="3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spans="1:28" ht="13" x14ac:dyDescent="0.15">
      <c r="A760" s="3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spans="1:28" ht="13" x14ac:dyDescent="0.15">
      <c r="A761" s="3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spans="1:28" ht="13" x14ac:dyDescent="0.15">
      <c r="A762" s="3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spans="1:28" ht="13" x14ac:dyDescent="0.15">
      <c r="A763" s="3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spans="1:28" ht="13" x14ac:dyDescent="0.15">
      <c r="A764" s="3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spans="1:28" ht="13" x14ac:dyDescent="0.15">
      <c r="A765" s="3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spans="1:28" ht="13" x14ac:dyDescent="0.15">
      <c r="A766" s="3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spans="1:28" ht="13" x14ac:dyDescent="0.15">
      <c r="A767" s="3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spans="1:28" ht="13" x14ac:dyDescent="0.15">
      <c r="A768" s="3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spans="1:28" ht="13" x14ac:dyDescent="0.15">
      <c r="A769" s="3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spans="1:28" ht="13" x14ac:dyDescent="0.15">
      <c r="A770" s="3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spans="1:28" ht="13" x14ac:dyDescent="0.15">
      <c r="A771" s="3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spans="1:28" ht="13" x14ac:dyDescent="0.15">
      <c r="A772" s="3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spans="1:28" ht="13" x14ac:dyDescent="0.15">
      <c r="A773" s="3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spans="1:28" ht="13" x14ac:dyDescent="0.15">
      <c r="A774" s="3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spans="1:28" ht="13" x14ac:dyDescent="0.15">
      <c r="A775" s="3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spans="1:28" ht="13" x14ac:dyDescent="0.15">
      <c r="A776" s="3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spans="1:28" ht="13" x14ac:dyDescent="0.15">
      <c r="A777" s="3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spans="1:28" ht="13" x14ac:dyDescent="0.15">
      <c r="A778" s="3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spans="1:28" ht="13" x14ac:dyDescent="0.15">
      <c r="A779" s="3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spans="1:28" ht="13" x14ac:dyDescent="0.15">
      <c r="A780" s="3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spans="1:28" ht="13" x14ac:dyDescent="0.15">
      <c r="A781" s="3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spans="1:28" ht="13" x14ac:dyDescent="0.15">
      <c r="A782" s="3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spans="1:28" ht="13" x14ac:dyDescent="0.15">
      <c r="A783" s="3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spans="1:28" ht="13" x14ac:dyDescent="0.15">
      <c r="A784" s="3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spans="1:28" ht="13" x14ac:dyDescent="0.15">
      <c r="A785" s="3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spans="1:28" ht="13" x14ac:dyDescent="0.15">
      <c r="A786" s="3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spans="1:28" ht="13" x14ac:dyDescent="0.15">
      <c r="A787" s="3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spans="1:28" ht="13" x14ac:dyDescent="0.15">
      <c r="A788" s="3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spans="1:28" ht="13" x14ac:dyDescent="0.15">
      <c r="A789" s="3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spans="1:28" ht="13" x14ac:dyDescent="0.15">
      <c r="A790" s="3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spans="1:28" ht="13" x14ac:dyDescent="0.15">
      <c r="A791" s="3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spans="1:28" ht="13" x14ac:dyDescent="0.15">
      <c r="A792" s="3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spans="1:28" ht="13" x14ac:dyDescent="0.15">
      <c r="A793" s="3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spans="1:28" ht="13" x14ac:dyDescent="0.15">
      <c r="A794" s="3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spans="1:28" ht="13" x14ac:dyDescent="0.15">
      <c r="A795" s="3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spans="1:28" ht="13" x14ac:dyDescent="0.15">
      <c r="A796" s="3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spans="1:28" ht="13" x14ac:dyDescent="0.15">
      <c r="A797" s="3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spans="1:28" ht="13" x14ac:dyDescent="0.15">
      <c r="A798" s="3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spans="1:28" ht="13" x14ac:dyDescent="0.15">
      <c r="A799" s="3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spans="1:28" ht="13" x14ac:dyDescent="0.15">
      <c r="A800" s="3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spans="1:28" ht="13" x14ac:dyDescent="0.15">
      <c r="A801" s="3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spans="1:28" ht="13" x14ac:dyDescent="0.15">
      <c r="A802" s="3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spans="1:28" ht="13" x14ac:dyDescent="0.15">
      <c r="A803" s="3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spans="1:28" ht="13" x14ac:dyDescent="0.15">
      <c r="A804" s="3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spans="1:28" ht="13" x14ac:dyDescent="0.15">
      <c r="A805" s="3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spans="1:28" ht="13" x14ac:dyDescent="0.15">
      <c r="A806" s="3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spans="1:28" ht="13" x14ac:dyDescent="0.15">
      <c r="A807" s="3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spans="1:28" ht="13" x14ac:dyDescent="0.15">
      <c r="A808" s="3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spans="1:28" ht="13" x14ac:dyDescent="0.15">
      <c r="A809" s="3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spans="1:28" ht="13" x14ac:dyDescent="0.15">
      <c r="A810" s="3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spans="1:28" ht="13" x14ac:dyDescent="0.15">
      <c r="A811" s="3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spans="1:28" ht="13" x14ac:dyDescent="0.15">
      <c r="A812" s="3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spans="1:28" ht="13" x14ac:dyDescent="0.15">
      <c r="A813" s="3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spans="1:28" ht="13" x14ac:dyDescent="0.15">
      <c r="A814" s="3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spans="1:28" ht="13" x14ac:dyDescent="0.15">
      <c r="A815" s="3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spans="1:28" ht="13" x14ac:dyDescent="0.15">
      <c r="A816" s="3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spans="1:28" ht="13" x14ac:dyDescent="0.15">
      <c r="A817" s="3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spans="1:28" ht="13" x14ac:dyDescent="0.15">
      <c r="A818" s="3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spans="1:28" ht="13" x14ac:dyDescent="0.15">
      <c r="A819" s="3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spans="1:28" ht="13" x14ac:dyDescent="0.15">
      <c r="A820" s="3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spans="1:28" ht="13" x14ac:dyDescent="0.15">
      <c r="A821" s="3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spans="1:28" ht="13" x14ac:dyDescent="0.15">
      <c r="A822" s="3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spans="1:28" ht="13" x14ac:dyDescent="0.15">
      <c r="A823" s="3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spans="1:28" ht="13" x14ac:dyDescent="0.15">
      <c r="A824" s="3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spans="1:28" ht="13" x14ac:dyDescent="0.15">
      <c r="A825" s="3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spans="1:28" ht="13" x14ac:dyDescent="0.15">
      <c r="A826" s="3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spans="1:28" ht="13" x14ac:dyDescent="0.15">
      <c r="A827" s="3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spans="1:28" ht="13" x14ac:dyDescent="0.15">
      <c r="A828" s="3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spans="1:28" ht="13" x14ac:dyDescent="0.15">
      <c r="A829" s="3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spans="1:28" ht="13" x14ac:dyDescent="0.15">
      <c r="A830" s="3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spans="1:28" ht="13" x14ac:dyDescent="0.15">
      <c r="A831" s="3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spans="1:28" ht="13" x14ac:dyDescent="0.15">
      <c r="A832" s="3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spans="1:28" ht="13" x14ac:dyDescent="0.15">
      <c r="A833" s="3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spans="1:28" ht="13" x14ac:dyDescent="0.15">
      <c r="A834" s="3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spans="1:28" ht="13" x14ac:dyDescent="0.15">
      <c r="A835" s="3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spans="1:28" ht="13" x14ac:dyDescent="0.15">
      <c r="A836" s="3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spans="1:28" ht="13" x14ac:dyDescent="0.15">
      <c r="A837" s="3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spans="1:28" ht="13" x14ac:dyDescent="0.15">
      <c r="A838" s="3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spans="1:28" ht="13" x14ac:dyDescent="0.15">
      <c r="A839" s="3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spans="1:28" ht="13" x14ac:dyDescent="0.15">
      <c r="A840" s="3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spans="1:28" ht="13" x14ac:dyDescent="0.15">
      <c r="A841" s="3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spans="1:28" ht="13" x14ac:dyDescent="0.15">
      <c r="A842" s="3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spans="1:28" ht="13" x14ac:dyDescent="0.15">
      <c r="A843" s="3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spans="1:28" ht="13" x14ac:dyDescent="0.15">
      <c r="A844" s="3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spans="1:28" ht="13" x14ac:dyDescent="0.15">
      <c r="A845" s="3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spans="1:28" ht="13" x14ac:dyDescent="0.15">
      <c r="A846" s="3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spans="1:28" ht="13" x14ac:dyDescent="0.15">
      <c r="A847" s="3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spans="1:28" ht="13" x14ac:dyDescent="0.15">
      <c r="A848" s="3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spans="1:28" ht="13" x14ac:dyDescent="0.15">
      <c r="A849" s="3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spans="1:28" ht="13" x14ac:dyDescent="0.15">
      <c r="A850" s="3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spans="1:28" ht="13" x14ac:dyDescent="0.15">
      <c r="A851" s="3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spans="1:28" ht="13" x14ac:dyDescent="0.15">
      <c r="A852" s="3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spans="1:28" ht="13" x14ac:dyDescent="0.15">
      <c r="A853" s="3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spans="1:28" ht="13" x14ac:dyDescent="0.15">
      <c r="A854" s="3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spans="1:28" ht="13" x14ac:dyDescent="0.15">
      <c r="A855" s="3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spans="1:28" ht="13" x14ac:dyDescent="0.15">
      <c r="A856" s="3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spans="1:28" ht="13" x14ac:dyDescent="0.15">
      <c r="A857" s="3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spans="1:28" ht="13" x14ac:dyDescent="0.15">
      <c r="A858" s="3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spans="1:28" ht="13" x14ac:dyDescent="0.15">
      <c r="A859" s="3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spans="1:28" ht="13" x14ac:dyDescent="0.15">
      <c r="A860" s="3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spans="1:28" ht="13" x14ac:dyDescent="0.15">
      <c r="A861" s="3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spans="1:28" ht="13" x14ac:dyDescent="0.15">
      <c r="A862" s="3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spans="1:28" ht="13" x14ac:dyDescent="0.15">
      <c r="A863" s="3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spans="1:28" ht="13" x14ac:dyDescent="0.15">
      <c r="A864" s="3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spans="1:28" ht="13" x14ac:dyDescent="0.15">
      <c r="A865" s="3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spans="1:28" ht="13" x14ac:dyDescent="0.15">
      <c r="A866" s="3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spans="1:28" ht="13" x14ac:dyDescent="0.15">
      <c r="A867" s="3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spans="1:28" ht="13" x14ac:dyDescent="0.15">
      <c r="A868" s="3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spans="1:28" ht="13" x14ac:dyDescent="0.15">
      <c r="A869" s="3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spans="1:28" ht="13" x14ac:dyDescent="0.15">
      <c r="A870" s="3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spans="1:28" ht="13" x14ac:dyDescent="0.15">
      <c r="A871" s="3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spans="1:28" ht="13" x14ac:dyDescent="0.15">
      <c r="A872" s="3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spans="1:28" ht="13" x14ac:dyDescent="0.15">
      <c r="A873" s="3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spans="1:28" ht="13" x14ac:dyDescent="0.15">
      <c r="A874" s="3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spans="1:28" ht="13" x14ac:dyDescent="0.15">
      <c r="A875" s="3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spans="1:28" ht="13" x14ac:dyDescent="0.15">
      <c r="A876" s="3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spans="1:28" ht="13" x14ac:dyDescent="0.15">
      <c r="A877" s="3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spans="1:28" ht="13" x14ac:dyDescent="0.15">
      <c r="A878" s="3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spans="1:28" ht="13" x14ac:dyDescent="0.15">
      <c r="A879" s="3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spans="1:28" ht="13" x14ac:dyDescent="0.15">
      <c r="A880" s="3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spans="1:28" ht="13" x14ac:dyDescent="0.15">
      <c r="A881" s="3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spans="1:28" ht="13" x14ac:dyDescent="0.15">
      <c r="A882" s="3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spans="1:28" ht="13" x14ac:dyDescent="0.15">
      <c r="A883" s="3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spans="1:28" ht="13" x14ac:dyDescent="0.15">
      <c r="A884" s="3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spans="1:28" ht="13" x14ac:dyDescent="0.15">
      <c r="A885" s="3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spans="1:28" ht="13" x14ac:dyDescent="0.15">
      <c r="A886" s="3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spans="1:28" ht="13" x14ac:dyDescent="0.15">
      <c r="A887" s="3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spans="1:28" ht="13" x14ac:dyDescent="0.15">
      <c r="A888" s="3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spans="1:28" ht="13" x14ac:dyDescent="0.15">
      <c r="A889" s="3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spans="1:28" ht="13" x14ac:dyDescent="0.15">
      <c r="A890" s="3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spans="1:28" ht="13" x14ac:dyDescent="0.15">
      <c r="A891" s="3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spans="1:28" ht="13" x14ac:dyDescent="0.15">
      <c r="A892" s="3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spans="1:28" ht="13" x14ac:dyDescent="0.15">
      <c r="A893" s="3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spans="1:28" ht="13" x14ac:dyDescent="0.15">
      <c r="A894" s="3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spans="1:28" ht="13" x14ac:dyDescent="0.15">
      <c r="A895" s="3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spans="1:28" ht="13" x14ac:dyDescent="0.15">
      <c r="A896" s="3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spans="1:28" ht="13" x14ac:dyDescent="0.15">
      <c r="A897" s="3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spans="1:28" ht="13" x14ac:dyDescent="0.15">
      <c r="A898" s="3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spans="1:28" ht="13" x14ac:dyDescent="0.15">
      <c r="A899" s="3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spans="1:28" ht="13" x14ac:dyDescent="0.15">
      <c r="A900" s="3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spans="1:28" ht="13" x14ac:dyDescent="0.15">
      <c r="A901" s="3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spans="1:28" ht="13" x14ac:dyDescent="0.15">
      <c r="A902" s="3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spans="1:28" ht="13" x14ac:dyDescent="0.15">
      <c r="A903" s="3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spans="1:28" ht="13" x14ac:dyDescent="0.15">
      <c r="A904" s="3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spans="1:28" ht="13" x14ac:dyDescent="0.15">
      <c r="A905" s="3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spans="1:28" ht="13" x14ac:dyDescent="0.15">
      <c r="A906" s="3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spans="1:28" ht="13" x14ac:dyDescent="0.15">
      <c r="A907" s="3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spans="1:28" ht="13" x14ac:dyDescent="0.15">
      <c r="A908" s="3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spans="1:28" ht="13" x14ac:dyDescent="0.15">
      <c r="A909" s="3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spans="1:28" ht="13" x14ac:dyDescent="0.15">
      <c r="A910" s="3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spans="1:28" ht="13" x14ac:dyDescent="0.15">
      <c r="A911" s="3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spans="1:28" ht="13" x14ac:dyDescent="0.15">
      <c r="A912" s="3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spans="1:28" ht="13" x14ac:dyDescent="0.15">
      <c r="A913" s="3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spans="1:28" ht="13" x14ac:dyDescent="0.15">
      <c r="A914" s="3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spans="1:28" ht="13" x14ac:dyDescent="0.15">
      <c r="A915" s="3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spans="1:28" ht="13" x14ac:dyDescent="0.15">
      <c r="A916" s="3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spans="1:28" ht="13" x14ac:dyDescent="0.15">
      <c r="A917" s="3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spans="1:28" ht="13" x14ac:dyDescent="0.15">
      <c r="A918" s="3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spans="1:28" ht="13" x14ac:dyDescent="0.15">
      <c r="A919" s="3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spans="1:28" ht="13" x14ac:dyDescent="0.15">
      <c r="A920" s="3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spans="1:28" ht="13" x14ac:dyDescent="0.15">
      <c r="A921" s="3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spans="1:28" ht="13" x14ac:dyDescent="0.15">
      <c r="A922" s="3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spans="1:28" ht="13" x14ac:dyDescent="0.15">
      <c r="A923" s="3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spans="1:28" ht="13" x14ac:dyDescent="0.15">
      <c r="A924" s="3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spans="1:28" ht="13" x14ac:dyDescent="0.15">
      <c r="A925" s="3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spans="1:28" ht="13" x14ac:dyDescent="0.15">
      <c r="A926" s="3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spans="1:28" ht="13" x14ac:dyDescent="0.15">
      <c r="A927" s="3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spans="1:28" ht="13" x14ac:dyDescent="0.15">
      <c r="A928" s="3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spans="1:28" ht="13" x14ac:dyDescent="0.15">
      <c r="A929" s="3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spans="1:28" ht="13" x14ac:dyDescent="0.15">
      <c r="A930" s="3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spans="1:28" ht="13" x14ac:dyDescent="0.15">
      <c r="A931" s="3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spans="1:28" ht="13" x14ac:dyDescent="0.15">
      <c r="A932" s="3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spans="1:28" ht="13" x14ac:dyDescent="0.15">
      <c r="A933" s="3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spans="1:28" ht="13" x14ac:dyDescent="0.15">
      <c r="A934" s="3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spans="1:28" ht="13" x14ac:dyDescent="0.15">
      <c r="A935" s="3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spans="1:28" ht="13" x14ac:dyDescent="0.15">
      <c r="A936" s="3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spans="1:28" ht="13" x14ac:dyDescent="0.15">
      <c r="A937" s="3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spans="1:28" ht="13" x14ac:dyDescent="0.15">
      <c r="A938" s="3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spans="1:28" ht="13" x14ac:dyDescent="0.15">
      <c r="A939" s="3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spans="1:28" ht="13" x14ac:dyDescent="0.15">
      <c r="A940" s="3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spans="1:28" ht="13" x14ac:dyDescent="0.15">
      <c r="A941" s="3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spans="1:28" ht="13" x14ac:dyDescent="0.15">
      <c r="A942" s="3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spans="1:28" ht="13" x14ac:dyDescent="0.15">
      <c r="A943" s="3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spans="1:28" ht="13" x14ac:dyDescent="0.15">
      <c r="A944" s="3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spans="1:28" ht="13" x14ac:dyDescent="0.15">
      <c r="A945" s="3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spans="1:28" ht="13" x14ac:dyDescent="0.15">
      <c r="A946" s="3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spans="1:28" ht="13" x14ac:dyDescent="0.15">
      <c r="A947" s="3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spans="1:28" ht="13" x14ac:dyDescent="0.15">
      <c r="A948" s="3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spans="1:28" ht="13" x14ac:dyDescent="0.15">
      <c r="A949" s="3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spans="1:28" ht="13" x14ac:dyDescent="0.15">
      <c r="A950" s="3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spans="1:28" ht="13" x14ac:dyDescent="0.15">
      <c r="A951" s="3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spans="1:28" ht="13" x14ac:dyDescent="0.15">
      <c r="A952" s="3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spans="1:28" ht="13" x14ac:dyDescent="0.15">
      <c r="A953" s="3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spans="1:28" ht="13" x14ac:dyDescent="0.15">
      <c r="A954" s="3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spans="1:28" ht="13" x14ac:dyDescent="0.15">
      <c r="A955" s="3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spans="1:28" ht="13" x14ac:dyDescent="0.15">
      <c r="A956" s="3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spans="1:28" ht="13" x14ac:dyDescent="0.15">
      <c r="A957" s="3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spans="1:28" ht="13" x14ac:dyDescent="0.15">
      <c r="A958" s="3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spans="1:28" ht="13" x14ac:dyDescent="0.15">
      <c r="A959" s="3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spans="1:28" ht="13" x14ac:dyDescent="0.15">
      <c r="A960" s="3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spans="1:28" ht="13" x14ac:dyDescent="0.15">
      <c r="A961" s="3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spans="1:28" ht="13" x14ac:dyDescent="0.15">
      <c r="A962" s="3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spans="1:28" ht="13" x14ac:dyDescent="0.15">
      <c r="A963" s="3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spans="1:28" ht="13" x14ac:dyDescent="0.15">
      <c r="A964" s="3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spans="1:28" ht="13" x14ac:dyDescent="0.15">
      <c r="A965" s="3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spans="1:28" ht="13" x14ac:dyDescent="0.15">
      <c r="A966" s="3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spans="1:28" ht="13" x14ac:dyDescent="0.15">
      <c r="A967" s="3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spans="1:28" ht="13" x14ac:dyDescent="0.15">
      <c r="A968" s="3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spans="1:28" ht="13" x14ac:dyDescent="0.15">
      <c r="A969" s="3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spans="1:28" ht="13" x14ac:dyDescent="0.15">
      <c r="A970" s="3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spans="1:28" ht="13" x14ac:dyDescent="0.15">
      <c r="A971" s="3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spans="1:28" ht="13" x14ac:dyDescent="0.15">
      <c r="A972" s="3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spans="1:28" ht="13" x14ac:dyDescent="0.15">
      <c r="A973" s="3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spans="1:28" ht="13" x14ac:dyDescent="0.15">
      <c r="A974" s="3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spans="1:28" ht="13" x14ac:dyDescent="0.15">
      <c r="A975" s="3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spans="1:28" ht="13" x14ac:dyDescent="0.15">
      <c r="A976" s="3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spans="1:28" ht="13" x14ac:dyDescent="0.15">
      <c r="A977" s="3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spans="1:28" ht="13" x14ac:dyDescent="0.15">
      <c r="A978" s="3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spans="1:28" ht="13" x14ac:dyDescent="0.15">
      <c r="A979" s="3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 spans="1:28" ht="13" x14ac:dyDescent="0.15">
      <c r="A980" s="3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 spans="1:28" ht="13" x14ac:dyDescent="0.15">
      <c r="A981" s="3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 spans="1:28" ht="13" x14ac:dyDescent="0.15">
      <c r="A982" s="3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 spans="1:28" ht="13" x14ac:dyDescent="0.15">
      <c r="A983" s="3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 spans="1:28" ht="13" x14ac:dyDescent="0.15">
      <c r="A984" s="3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 spans="1:28" ht="13" x14ac:dyDescent="0.15">
      <c r="A985" s="3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 spans="1:28" ht="13" x14ac:dyDescent="0.15">
      <c r="A986" s="3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 spans="1:28" ht="13" x14ac:dyDescent="0.15">
      <c r="A987" s="3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 spans="1:28" ht="13" x14ac:dyDescent="0.15">
      <c r="A988" s="3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 spans="1:28" ht="13" x14ac:dyDescent="0.15">
      <c r="A989" s="3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 spans="1:28" ht="13" x14ac:dyDescent="0.15">
      <c r="A990" s="3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 spans="1:28" ht="13" x14ac:dyDescent="0.15">
      <c r="A991" s="3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 spans="1:28" ht="13" x14ac:dyDescent="0.15">
      <c r="A992" s="3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 spans="1:28" ht="13" x14ac:dyDescent="0.15">
      <c r="A993" s="3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 spans="1:28" ht="13" x14ac:dyDescent="0.15">
      <c r="A994" s="3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 spans="1:28" ht="13" x14ac:dyDescent="0.15">
      <c r="A995" s="3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 spans="1:28" ht="13" x14ac:dyDescent="0.15">
      <c r="A996" s="3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 spans="1:28" ht="13" x14ac:dyDescent="0.15">
      <c r="A997" s="3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 spans="1:28" ht="13" x14ac:dyDescent="0.15">
      <c r="A998" s="3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 spans="1:28" ht="13" x14ac:dyDescent="0.15">
      <c r="A999" s="3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 spans="1:28" ht="13" x14ac:dyDescent="0.15">
      <c r="A1000" s="3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 spans="1:28" ht="13" x14ac:dyDescent="0.15">
      <c r="A1001" s="3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 spans="1:28" ht="13" x14ac:dyDescent="0.15">
      <c r="A1002" s="3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 spans="1:28" ht="13" x14ac:dyDescent="0.15">
      <c r="A1003" s="3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 spans="1:28" ht="13" x14ac:dyDescent="0.15">
      <c r="A1004" s="3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 spans="1:28" ht="13" x14ac:dyDescent="0.15">
      <c r="A1005" s="3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 spans="1:28" ht="13" x14ac:dyDescent="0.15">
      <c r="A1006" s="3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 spans="1:28" ht="13" x14ac:dyDescent="0.15">
      <c r="A1007" s="3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 spans="1:28" ht="13" x14ac:dyDescent="0.15">
      <c r="A1008" s="3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6D7A8"/>
    <outlinePr summaryBelow="0" summaryRight="0"/>
  </sheetPr>
  <dimension ref="A1:F1000"/>
  <sheetViews>
    <sheetView workbookViewId="0"/>
  </sheetViews>
  <sheetFormatPr baseColWidth="10" defaultColWidth="12.6640625" defaultRowHeight="15.75" customHeight="1" x14ac:dyDescent="0.15"/>
  <cols>
    <col min="1" max="1" width="6.83203125" customWidth="1"/>
    <col min="4" max="4" width="22.33203125" customWidth="1"/>
    <col min="5" max="5" width="32.1640625" customWidth="1"/>
    <col min="6" max="6" width="18.83203125" customWidth="1"/>
  </cols>
  <sheetData>
    <row r="1" spans="1:6" ht="63" customHeight="1" x14ac:dyDescent="0.15">
      <c r="A1" s="1" t="s">
        <v>31</v>
      </c>
      <c r="B1" s="1" t="s">
        <v>970</v>
      </c>
      <c r="D1" s="1"/>
      <c r="E1" s="1" t="s">
        <v>971</v>
      </c>
      <c r="F1" s="68" t="s">
        <v>972</v>
      </c>
    </row>
    <row r="2" spans="1:6" ht="63" customHeight="1" x14ac:dyDescent="0.15">
      <c r="A2" s="1" t="s">
        <v>77</v>
      </c>
      <c r="B2" s="1" t="s">
        <v>973</v>
      </c>
      <c r="D2" s="1"/>
    </row>
    <row r="3" spans="1:6" ht="63" customHeight="1" x14ac:dyDescent="0.15">
      <c r="A3" s="1" t="s">
        <v>357</v>
      </c>
      <c r="B3" s="1" t="s">
        <v>974</v>
      </c>
      <c r="D3" s="1"/>
    </row>
    <row r="4" spans="1:6" ht="63" customHeight="1" x14ac:dyDescent="0.15">
      <c r="A4" s="1" t="s">
        <v>257</v>
      </c>
      <c r="B4" s="1" t="s">
        <v>975</v>
      </c>
      <c r="D4" s="1"/>
    </row>
    <row r="5" spans="1:6" ht="111.75" customHeight="1" x14ac:dyDescent="0.15">
      <c r="A5" s="1" t="s">
        <v>56</v>
      </c>
      <c r="B5" s="1" t="s">
        <v>976</v>
      </c>
      <c r="D5" s="1"/>
    </row>
    <row r="6" spans="1:6" ht="114" customHeight="1" x14ac:dyDescent="0.15">
      <c r="A6" s="1" t="s">
        <v>504</v>
      </c>
      <c r="B6" s="1" t="s">
        <v>977</v>
      </c>
      <c r="D6" s="1"/>
    </row>
    <row r="7" spans="1:6" ht="114" customHeight="1" x14ac:dyDescent="0.15">
      <c r="A7" s="1" t="s">
        <v>393</v>
      </c>
      <c r="B7" s="1" t="s">
        <v>978</v>
      </c>
      <c r="D7" s="1"/>
    </row>
    <row r="8" spans="1:6" ht="114" customHeight="1" x14ac:dyDescent="0.15">
      <c r="A8" s="1" t="s">
        <v>281</v>
      </c>
      <c r="B8" s="1" t="s">
        <v>979</v>
      </c>
      <c r="D8" s="1"/>
    </row>
    <row r="9" spans="1:6" ht="63" customHeight="1" x14ac:dyDescent="0.15">
      <c r="A9" s="1" t="s">
        <v>34</v>
      </c>
      <c r="B9" s="1" t="s">
        <v>980</v>
      </c>
      <c r="D9" s="1"/>
    </row>
    <row r="10" spans="1:6" ht="63" customHeight="1" x14ac:dyDescent="0.15">
      <c r="A10" s="1" t="s">
        <v>246</v>
      </c>
      <c r="B10" s="1" t="s">
        <v>981</v>
      </c>
      <c r="D10" s="1"/>
    </row>
    <row r="11" spans="1:6" ht="63" customHeight="1" x14ac:dyDescent="0.15">
      <c r="A11" s="1" t="s">
        <v>313</v>
      </c>
      <c r="B11" s="1" t="s">
        <v>982</v>
      </c>
    </row>
    <row r="12" spans="1:6" ht="63" customHeight="1" x14ac:dyDescent="0.15">
      <c r="A12" s="1" t="s">
        <v>983</v>
      </c>
      <c r="B12" s="1" t="s">
        <v>984</v>
      </c>
    </row>
    <row r="13" spans="1:6" ht="63" customHeight="1" x14ac:dyDescent="0.15">
      <c r="A13" s="1" t="s">
        <v>110</v>
      </c>
      <c r="B13" s="1" t="s">
        <v>985</v>
      </c>
    </row>
    <row r="14" spans="1:6" ht="63" customHeight="1" x14ac:dyDescent="0.15"/>
    <row r="15" spans="1:6" ht="63" customHeight="1" x14ac:dyDescent="0.15"/>
    <row r="16" spans="1:6" ht="63" customHeight="1" x14ac:dyDescent="0.15"/>
    <row r="17" ht="63" customHeight="1" x14ac:dyDescent="0.15"/>
    <row r="18" ht="63" customHeight="1" x14ac:dyDescent="0.15"/>
    <row r="19" ht="63" customHeight="1" x14ac:dyDescent="0.15"/>
    <row r="20" ht="63" customHeight="1" x14ac:dyDescent="0.15"/>
    <row r="21" ht="63" customHeight="1" x14ac:dyDescent="0.15"/>
    <row r="22" ht="63" customHeight="1" x14ac:dyDescent="0.15"/>
    <row r="23" ht="63" customHeight="1" x14ac:dyDescent="0.15"/>
    <row r="24" ht="63" customHeight="1" x14ac:dyDescent="0.15"/>
    <row r="25" ht="63" customHeight="1" x14ac:dyDescent="0.15"/>
    <row r="26" ht="63" customHeight="1" x14ac:dyDescent="0.15"/>
    <row r="27" ht="63" customHeight="1" x14ac:dyDescent="0.15"/>
    <row r="28" ht="63" customHeight="1" x14ac:dyDescent="0.15"/>
    <row r="29" ht="63" customHeight="1" x14ac:dyDescent="0.15"/>
    <row r="30" ht="63" customHeight="1" x14ac:dyDescent="0.15"/>
    <row r="31" ht="63" customHeight="1" x14ac:dyDescent="0.15"/>
    <row r="32" ht="63" customHeight="1" x14ac:dyDescent="0.15"/>
    <row r="33" ht="63" customHeight="1" x14ac:dyDescent="0.15"/>
    <row r="34" ht="63" customHeight="1" x14ac:dyDescent="0.15"/>
    <row r="35" ht="63" customHeight="1" x14ac:dyDescent="0.15"/>
    <row r="36" ht="63" customHeight="1" x14ac:dyDescent="0.15"/>
    <row r="37" ht="63" customHeight="1" x14ac:dyDescent="0.15"/>
    <row r="38" ht="63" customHeight="1" x14ac:dyDescent="0.15"/>
    <row r="39" ht="63" customHeight="1" x14ac:dyDescent="0.15"/>
    <row r="40" ht="63" customHeight="1" x14ac:dyDescent="0.15"/>
    <row r="41" ht="63" customHeight="1" x14ac:dyDescent="0.15"/>
    <row r="42" ht="63" customHeight="1" x14ac:dyDescent="0.15"/>
    <row r="43" ht="63" customHeight="1" x14ac:dyDescent="0.15"/>
    <row r="44" ht="63" customHeight="1" x14ac:dyDescent="0.15"/>
    <row r="45" ht="63" customHeight="1" x14ac:dyDescent="0.15"/>
    <row r="46" ht="63" customHeight="1" x14ac:dyDescent="0.15"/>
    <row r="47" ht="63" customHeight="1" x14ac:dyDescent="0.15"/>
    <row r="48" ht="63" customHeight="1" x14ac:dyDescent="0.15"/>
    <row r="49" ht="63" customHeight="1" x14ac:dyDescent="0.15"/>
    <row r="50" ht="63" customHeight="1" x14ac:dyDescent="0.15"/>
    <row r="51" ht="63" customHeight="1" x14ac:dyDescent="0.15"/>
    <row r="52" ht="63" customHeight="1" x14ac:dyDescent="0.15"/>
    <row r="53" ht="63" customHeight="1" x14ac:dyDescent="0.15"/>
    <row r="54" ht="63" customHeight="1" x14ac:dyDescent="0.15"/>
    <row r="55" ht="63" customHeight="1" x14ac:dyDescent="0.15"/>
    <row r="56" ht="63" customHeight="1" x14ac:dyDescent="0.15"/>
    <row r="57" ht="63" customHeight="1" x14ac:dyDescent="0.15"/>
    <row r="58" ht="63" customHeight="1" x14ac:dyDescent="0.15"/>
    <row r="59" ht="63" customHeight="1" x14ac:dyDescent="0.15"/>
    <row r="60" ht="63" customHeight="1" x14ac:dyDescent="0.15"/>
    <row r="61" ht="63" customHeight="1" x14ac:dyDescent="0.15"/>
    <row r="62" ht="63" customHeight="1" x14ac:dyDescent="0.15"/>
    <row r="63" ht="63" customHeight="1" x14ac:dyDescent="0.15"/>
    <row r="64" ht="63" customHeight="1" x14ac:dyDescent="0.15"/>
    <row r="65" ht="63" customHeight="1" x14ac:dyDescent="0.15"/>
    <row r="66" ht="63" customHeight="1" x14ac:dyDescent="0.15"/>
    <row r="67" ht="63" customHeight="1" x14ac:dyDescent="0.15"/>
    <row r="68" ht="63" customHeight="1" x14ac:dyDescent="0.15"/>
    <row r="69" ht="63" customHeight="1" x14ac:dyDescent="0.15"/>
    <row r="70" ht="63" customHeight="1" x14ac:dyDescent="0.15"/>
    <row r="71" ht="63" customHeight="1" x14ac:dyDescent="0.15"/>
    <row r="72" ht="63" customHeight="1" x14ac:dyDescent="0.15"/>
    <row r="73" ht="63" customHeight="1" x14ac:dyDescent="0.15"/>
    <row r="74" ht="63" customHeight="1" x14ac:dyDescent="0.15"/>
    <row r="75" ht="63" customHeight="1" x14ac:dyDescent="0.15"/>
    <row r="76" ht="63" customHeight="1" x14ac:dyDescent="0.15"/>
    <row r="77" ht="63" customHeight="1" x14ac:dyDescent="0.15"/>
    <row r="78" ht="63" customHeight="1" x14ac:dyDescent="0.15"/>
    <row r="79" ht="63" customHeight="1" x14ac:dyDescent="0.15"/>
    <row r="80" ht="63" customHeight="1" x14ac:dyDescent="0.15"/>
    <row r="81" ht="63" customHeight="1" x14ac:dyDescent="0.15"/>
    <row r="82" ht="63" customHeight="1" x14ac:dyDescent="0.15"/>
    <row r="83" ht="63" customHeight="1" x14ac:dyDescent="0.15"/>
    <row r="84" ht="63" customHeight="1" x14ac:dyDescent="0.15"/>
    <row r="85" ht="63" customHeight="1" x14ac:dyDescent="0.15"/>
    <row r="86" ht="63" customHeight="1" x14ac:dyDescent="0.15"/>
    <row r="87" ht="63" customHeight="1" x14ac:dyDescent="0.15"/>
    <row r="88" ht="63" customHeight="1" x14ac:dyDescent="0.15"/>
    <row r="89" ht="63" customHeight="1" x14ac:dyDescent="0.15"/>
    <row r="90" ht="63" customHeight="1" x14ac:dyDescent="0.15"/>
    <row r="91" ht="63" customHeight="1" x14ac:dyDescent="0.15"/>
    <row r="92" ht="63" customHeight="1" x14ac:dyDescent="0.15"/>
    <row r="93" ht="63" customHeight="1" x14ac:dyDescent="0.15"/>
    <row r="94" ht="63" customHeight="1" x14ac:dyDescent="0.15"/>
    <row r="95" ht="63" customHeight="1" x14ac:dyDescent="0.15"/>
    <row r="96" ht="63" customHeight="1" x14ac:dyDescent="0.15"/>
    <row r="97" ht="63" customHeight="1" x14ac:dyDescent="0.15"/>
    <row r="98" ht="63" customHeight="1" x14ac:dyDescent="0.15"/>
    <row r="99" ht="63" customHeight="1" x14ac:dyDescent="0.15"/>
    <row r="100" ht="63" customHeight="1" x14ac:dyDescent="0.15"/>
    <row r="101" ht="63" customHeight="1" x14ac:dyDescent="0.15"/>
    <row r="102" ht="63" customHeight="1" x14ac:dyDescent="0.15"/>
    <row r="103" ht="63" customHeight="1" x14ac:dyDescent="0.15"/>
    <row r="104" ht="63" customHeight="1" x14ac:dyDescent="0.15"/>
    <row r="105" ht="63" customHeight="1" x14ac:dyDescent="0.15"/>
    <row r="106" ht="63" customHeight="1" x14ac:dyDescent="0.15"/>
    <row r="107" ht="63" customHeight="1" x14ac:dyDescent="0.15"/>
    <row r="108" ht="63" customHeight="1" x14ac:dyDescent="0.15"/>
    <row r="109" ht="63" customHeight="1" x14ac:dyDescent="0.15"/>
    <row r="110" ht="63" customHeight="1" x14ac:dyDescent="0.15"/>
    <row r="111" ht="63" customHeight="1" x14ac:dyDescent="0.15"/>
    <row r="112" ht="63" customHeight="1" x14ac:dyDescent="0.15"/>
    <row r="113" ht="63" customHeight="1" x14ac:dyDescent="0.15"/>
    <row r="114" ht="63" customHeight="1" x14ac:dyDescent="0.15"/>
    <row r="115" ht="63" customHeight="1" x14ac:dyDescent="0.15"/>
    <row r="116" ht="63" customHeight="1" x14ac:dyDescent="0.15"/>
    <row r="117" ht="63" customHeight="1" x14ac:dyDescent="0.15"/>
    <row r="118" ht="63" customHeight="1" x14ac:dyDescent="0.15"/>
    <row r="119" ht="63" customHeight="1" x14ac:dyDescent="0.15"/>
    <row r="120" ht="63" customHeight="1" x14ac:dyDescent="0.15"/>
    <row r="121" ht="63" customHeight="1" x14ac:dyDescent="0.15"/>
    <row r="122" ht="63" customHeight="1" x14ac:dyDescent="0.15"/>
    <row r="123" ht="63" customHeight="1" x14ac:dyDescent="0.15"/>
    <row r="124" ht="63" customHeight="1" x14ac:dyDescent="0.15"/>
    <row r="125" ht="63" customHeight="1" x14ac:dyDescent="0.15"/>
    <row r="126" ht="63" customHeight="1" x14ac:dyDescent="0.15"/>
    <row r="127" ht="63" customHeight="1" x14ac:dyDescent="0.15"/>
    <row r="128" ht="63" customHeight="1" x14ac:dyDescent="0.15"/>
    <row r="129" ht="63" customHeight="1" x14ac:dyDescent="0.15"/>
    <row r="130" ht="63" customHeight="1" x14ac:dyDescent="0.15"/>
    <row r="131" ht="63" customHeight="1" x14ac:dyDescent="0.15"/>
    <row r="132" ht="63" customHeight="1" x14ac:dyDescent="0.15"/>
    <row r="133" ht="63" customHeight="1" x14ac:dyDescent="0.15"/>
    <row r="134" ht="63" customHeight="1" x14ac:dyDescent="0.15"/>
    <row r="135" ht="63" customHeight="1" x14ac:dyDescent="0.15"/>
    <row r="136" ht="63" customHeight="1" x14ac:dyDescent="0.15"/>
    <row r="137" ht="63" customHeight="1" x14ac:dyDescent="0.15"/>
    <row r="138" ht="63" customHeight="1" x14ac:dyDescent="0.15"/>
    <row r="139" ht="63" customHeight="1" x14ac:dyDescent="0.15"/>
    <row r="140" ht="63" customHeight="1" x14ac:dyDescent="0.15"/>
    <row r="141" ht="63" customHeight="1" x14ac:dyDescent="0.15"/>
    <row r="142" ht="63" customHeight="1" x14ac:dyDescent="0.15"/>
    <row r="143" ht="63" customHeight="1" x14ac:dyDescent="0.15"/>
    <row r="144" ht="63" customHeight="1" x14ac:dyDescent="0.15"/>
    <row r="145" ht="63" customHeight="1" x14ac:dyDescent="0.15"/>
    <row r="146" ht="63" customHeight="1" x14ac:dyDescent="0.15"/>
    <row r="147" ht="63" customHeight="1" x14ac:dyDescent="0.15"/>
    <row r="148" ht="63" customHeight="1" x14ac:dyDescent="0.15"/>
    <row r="149" ht="63" customHeight="1" x14ac:dyDescent="0.15"/>
    <row r="150" ht="63" customHeight="1" x14ac:dyDescent="0.15"/>
    <row r="151" ht="63" customHeight="1" x14ac:dyDescent="0.15"/>
    <row r="152" ht="63" customHeight="1" x14ac:dyDescent="0.15"/>
    <row r="153" ht="63" customHeight="1" x14ac:dyDescent="0.15"/>
    <row r="154" ht="63" customHeight="1" x14ac:dyDescent="0.15"/>
    <row r="155" ht="63" customHeight="1" x14ac:dyDescent="0.15"/>
    <row r="156" ht="63" customHeight="1" x14ac:dyDescent="0.15"/>
    <row r="157" ht="63" customHeight="1" x14ac:dyDescent="0.15"/>
    <row r="158" ht="63" customHeight="1" x14ac:dyDescent="0.15"/>
    <row r="159" ht="63" customHeight="1" x14ac:dyDescent="0.15"/>
    <row r="160" ht="63" customHeight="1" x14ac:dyDescent="0.15"/>
    <row r="161" ht="63" customHeight="1" x14ac:dyDescent="0.15"/>
    <row r="162" ht="63" customHeight="1" x14ac:dyDescent="0.15"/>
    <row r="163" ht="63" customHeight="1" x14ac:dyDescent="0.15"/>
    <row r="164" ht="63" customHeight="1" x14ac:dyDescent="0.15"/>
    <row r="165" ht="63" customHeight="1" x14ac:dyDescent="0.15"/>
    <row r="166" ht="63" customHeight="1" x14ac:dyDescent="0.15"/>
    <row r="167" ht="63" customHeight="1" x14ac:dyDescent="0.15"/>
    <row r="168" ht="63" customHeight="1" x14ac:dyDescent="0.15"/>
    <row r="169" ht="63" customHeight="1" x14ac:dyDescent="0.15"/>
    <row r="170" ht="63" customHeight="1" x14ac:dyDescent="0.15"/>
    <row r="171" ht="63" customHeight="1" x14ac:dyDescent="0.15"/>
    <row r="172" ht="63" customHeight="1" x14ac:dyDescent="0.15"/>
    <row r="173" ht="63" customHeight="1" x14ac:dyDescent="0.15"/>
    <row r="174" ht="63" customHeight="1" x14ac:dyDescent="0.15"/>
    <row r="175" ht="63" customHeight="1" x14ac:dyDescent="0.15"/>
    <row r="176" ht="63" customHeight="1" x14ac:dyDescent="0.15"/>
    <row r="177" ht="63" customHeight="1" x14ac:dyDescent="0.15"/>
    <row r="178" ht="63" customHeight="1" x14ac:dyDescent="0.15"/>
    <row r="179" ht="63" customHeight="1" x14ac:dyDescent="0.15"/>
    <row r="180" ht="63" customHeight="1" x14ac:dyDescent="0.15"/>
    <row r="181" ht="63" customHeight="1" x14ac:dyDescent="0.15"/>
    <row r="182" ht="63" customHeight="1" x14ac:dyDescent="0.15"/>
    <row r="183" ht="63" customHeight="1" x14ac:dyDescent="0.15"/>
    <row r="184" ht="63" customHeight="1" x14ac:dyDescent="0.15"/>
    <row r="185" ht="63" customHeight="1" x14ac:dyDescent="0.15"/>
    <row r="186" ht="63" customHeight="1" x14ac:dyDescent="0.15"/>
    <row r="187" ht="63" customHeight="1" x14ac:dyDescent="0.15"/>
    <row r="188" ht="63" customHeight="1" x14ac:dyDescent="0.15"/>
    <row r="189" ht="63" customHeight="1" x14ac:dyDescent="0.15"/>
    <row r="190" ht="63" customHeight="1" x14ac:dyDescent="0.15"/>
    <row r="191" ht="63" customHeight="1" x14ac:dyDescent="0.15"/>
    <row r="192" ht="63" customHeight="1" x14ac:dyDescent="0.15"/>
    <row r="193" ht="63" customHeight="1" x14ac:dyDescent="0.15"/>
    <row r="194" ht="63" customHeight="1" x14ac:dyDescent="0.15"/>
    <row r="195" ht="63" customHeight="1" x14ac:dyDescent="0.15"/>
    <row r="196" ht="63" customHeight="1" x14ac:dyDescent="0.15"/>
    <row r="197" ht="63" customHeight="1" x14ac:dyDescent="0.15"/>
    <row r="198" ht="63" customHeight="1" x14ac:dyDescent="0.15"/>
    <row r="199" ht="63" customHeight="1" x14ac:dyDescent="0.15"/>
    <row r="200" ht="63" customHeight="1" x14ac:dyDescent="0.15"/>
    <row r="201" ht="63" customHeight="1" x14ac:dyDescent="0.15"/>
    <row r="202" ht="63" customHeight="1" x14ac:dyDescent="0.15"/>
    <row r="203" ht="63" customHeight="1" x14ac:dyDescent="0.15"/>
    <row r="204" ht="63" customHeight="1" x14ac:dyDescent="0.15"/>
    <row r="205" ht="63" customHeight="1" x14ac:dyDescent="0.15"/>
    <row r="206" ht="63" customHeight="1" x14ac:dyDescent="0.15"/>
    <row r="207" ht="63" customHeight="1" x14ac:dyDescent="0.15"/>
    <row r="208" ht="63" customHeight="1" x14ac:dyDescent="0.15"/>
    <row r="209" ht="63" customHeight="1" x14ac:dyDescent="0.15"/>
    <row r="210" ht="63" customHeight="1" x14ac:dyDescent="0.15"/>
    <row r="211" ht="63" customHeight="1" x14ac:dyDescent="0.15"/>
    <row r="212" ht="63" customHeight="1" x14ac:dyDescent="0.15"/>
    <row r="213" ht="63" customHeight="1" x14ac:dyDescent="0.15"/>
    <row r="214" ht="63" customHeight="1" x14ac:dyDescent="0.15"/>
    <row r="215" ht="63" customHeight="1" x14ac:dyDescent="0.15"/>
    <row r="216" ht="63" customHeight="1" x14ac:dyDescent="0.15"/>
    <row r="217" ht="63" customHeight="1" x14ac:dyDescent="0.15"/>
    <row r="218" ht="63" customHeight="1" x14ac:dyDescent="0.15"/>
    <row r="219" ht="63" customHeight="1" x14ac:dyDescent="0.15"/>
    <row r="220" ht="63" customHeight="1" x14ac:dyDescent="0.15"/>
    <row r="221" ht="63" customHeight="1" x14ac:dyDescent="0.15"/>
    <row r="222" ht="63" customHeight="1" x14ac:dyDescent="0.15"/>
    <row r="223" ht="63" customHeight="1" x14ac:dyDescent="0.15"/>
    <row r="224" ht="63" customHeight="1" x14ac:dyDescent="0.15"/>
    <row r="225" ht="63" customHeight="1" x14ac:dyDescent="0.15"/>
    <row r="226" ht="63" customHeight="1" x14ac:dyDescent="0.15"/>
    <row r="227" ht="63" customHeight="1" x14ac:dyDescent="0.15"/>
    <row r="228" ht="63" customHeight="1" x14ac:dyDescent="0.15"/>
    <row r="229" ht="63" customHeight="1" x14ac:dyDescent="0.15"/>
    <row r="230" ht="63" customHeight="1" x14ac:dyDescent="0.15"/>
    <row r="231" ht="63" customHeight="1" x14ac:dyDescent="0.15"/>
    <row r="232" ht="63" customHeight="1" x14ac:dyDescent="0.15"/>
    <row r="233" ht="63" customHeight="1" x14ac:dyDescent="0.15"/>
    <row r="234" ht="63" customHeight="1" x14ac:dyDescent="0.15"/>
    <row r="235" ht="63" customHeight="1" x14ac:dyDescent="0.15"/>
    <row r="236" ht="63" customHeight="1" x14ac:dyDescent="0.15"/>
    <row r="237" ht="63" customHeight="1" x14ac:dyDescent="0.15"/>
    <row r="238" ht="63" customHeight="1" x14ac:dyDescent="0.15"/>
    <row r="239" ht="63" customHeight="1" x14ac:dyDescent="0.15"/>
    <row r="240" ht="63" customHeight="1" x14ac:dyDescent="0.15"/>
    <row r="241" ht="63" customHeight="1" x14ac:dyDescent="0.15"/>
    <row r="242" ht="63" customHeight="1" x14ac:dyDescent="0.15"/>
    <row r="243" ht="63" customHeight="1" x14ac:dyDescent="0.15"/>
    <row r="244" ht="63" customHeight="1" x14ac:dyDescent="0.15"/>
    <row r="245" ht="63" customHeight="1" x14ac:dyDescent="0.15"/>
    <row r="246" ht="63" customHeight="1" x14ac:dyDescent="0.15"/>
    <row r="247" ht="63" customHeight="1" x14ac:dyDescent="0.15"/>
    <row r="248" ht="63" customHeight="1" x14ac:dyDescent="0.15"/>
    <row r="249" ht="63" customHeight="1" x14ac:dyDescent="0.15"/>
    <row r="250" ht="63" customHeight="1" x14ac:dyDescent="0.15"/>
    <row r="251" ht="63" customHeight="1" x14ac:dyDescent="0.15"/>
    <row r="252" ht="63" customHeight="1" x14ac:dyDescent="0.15"/>
    <row r="253" ht="63" customHeight="1" x14ac:dyDescent="0.15"/>
    <row r="254" ht="63" customHeight="1" x14ac:dyDescent="0.15"/>
    <row r="255" ht="63" customHeight="1" x14ac:dyDescent="0.15"/>
    <row r="256" ht="63" customHeight="1" x14ac:dyDescent="0.15"/>
    <row r="257" ht="63" customHeight="1" x14ac:dyDescent="0.15"/>
    <row r="258" ht="63" customHeight="1" x14ac:dyDescent="0.15"/>
    <row r="259" ht="63" customHeight="1" x14ac:dyDescent="0.15"/>
    <row r="260" ht="63" customHeight="1" x14ac:dyDescent="0.15"/>
    <row r="261" ht="63" customHeight="1" x14ac:dyDescent="0.15"/>
    <row r="262" ht="63" customHeight="1" x14ac:dyDescent="0.15"/>
    <row r="263" ht="63" customHeight="1" x14ac:dyDescent="0.15"/>
    <row r="264" ht="63" customHeight="1" x14ac:dyDescent="0.15"/>
    <row r="265" ht="63" customHeight="1" x14ac:dyDescent="0.15"/>
    <row r="266" ht="63" customHeight="1" x14ac:dyDescent="0.15"/>
    <row r="267" ht="63" customHeight="1" x14ac:dyDescent="0.15"/>
    <row r="268" ht="63" customHeight="1" x14ac:dyDescent="0.15"/>
    <row r="269" ht="63" customHeight="1" x14ac:dyDescent="0.15"/>
    <row r="270" ht="63" customHeight="1" x14ac:dyDescent="0.15"/>
    <row r="271" ht="63" customHeight="1" x14ac:dyDescent="0.15"/>
    <row r="272" ht="63" customHeight="1" x14ac:dyDescent="0.15"/>
    <row r="273" ht="63" customHeight="1" x14ac:dyDescent="0.15"/>
    <row r="274" ht="63" customHeight="1" x14ac:dyDescent="0.15"/>
    <row r="275" ht="63" customHeight="1" x14ac:dyDescent="0.15"/>
    <row r="276" ht="63" customHeight="1" x14ac:dyDescent="0.15"/>
    <row r="277" ht="63" customHeight="1" x14ac:dyDescent="0.15"/>
    <row r="278" ht="63" customHeight="1" x14ac:dyDescent="0.15"/>
    <row r="279" ht="63" customHeight="1" x14ac:dyDescent="0.15"/>
    <row r="280" ht="63" customHeight="1" x14ac:dyDescent="0.15"/>
    <row r="281" ht="63" customHeight="1" x14ac:dyDescent="0.15"/>
    <row r="282" ht="63" customHeight="1" x14ac:dyDescent="0.15"/>
    <row r="283" ht="63" customHeight="1" x14ac:dyDescent="0.15"/>
    <row r="284" ht="63" customHeight="1" x14ac:dyDescent="0.15"/>
    <row r="285" ht="63" customHeight="1" x14ac:dyDescent="0.15"/>
    <row r="286" ht="63" customHeight="1" x14ac:dyDescent="0.15"/>
    <row r="287" ht="63" customHeight="1" x14ac:dyDescent="0.15"/>
    <row r="288" ht="63" customHeight="1" x14ac:dyDescent="0.15"/>
    <row r="289" ht="63" customHeight="1" x14ac:dyDescent="0.15"/>
    <row r="290" ht="63" customHeight="1" x14ac:dyDescent="0.15"/>
    <row r="291" ht="63" customHeight="1" x14ac:dyDescent="0.15"/>
    <row r="292" ht="63" customHeight="1" x14ac:dyDescent="0.15"/>
    <row r="293" ht="63" customHeight="1" x14ac:dyDescent="0.15"/>
    <row r="294" ht="63" customHeight="1" x14ac:dyDescent="0.15"/>
    <row r="295" ht="63" customHeight="1" x14ac:dyDescent="0.15"/>
    <row r="296" ht="63" customHeight="1" x14ac:dyDescent="0.15"/>
    <row r="297" ht="63" customHeight="1" x14ac:dyDescent="0.15"/>
    <row r="298" ht="63" customHeight="1" x14ac:dyDescent="0.15"/>
    <row r="299" ht="63" customHeight="1" x14ac:dyDescent="0.15"/>
    <row r="300" ht="63" customHeight="1" x14ac:dyDescent="0.15"/>
    <row r="301" ht="63" customHeight="1" x14ac:dyDescent="0.15"/>
    <row r="302" ht="63" customHeight="1" x14ac:dyDescent="0.15"/>
    <row r="303" ht="63" customHeight="1" x14ac:dyDescent="0.15"/>
    <row r="304" ht="63" customHeight="1" x14ac:dyDescent="0.15"/>
    <row r="305" ht="63" customHeight="1" x14ac:dyDescent="0.15"/>
    <row r="306" ht="63" customHeight="1" x14ac:dyDescent="0.15"/>
    <row r="307" ht="63" customHeight="1" x14ac:dyDescent="0.15"/>
    <row r="308" ht="63" customHeight="1" x14ac:dyDescent="0.15"/>
    <row r="309" ht="63" customHeight="1" x14ac:dyDescent="0.15"/>
    <row r="310" ht="63" customHeight="1" x14ac:dyDescent="0.15"/>
    <row r="311" ht="63" customHeight="1" x14ac:dyDescent="0.15"/>
    <row r="312" ht="63" customHeight="1" x14ac:dyDescent="0.15"/>
    <row r="313" ht="63" customHeight="1" x14ac:dyDescent="0.15"/>
    <row r="314" ht="63" customHeight="1" x14ac:dyDescent="0.15"/>
    <row r="315" ht="63" customHeight="1" x14ac:dyDescent="0.15"/>
    <row r="316" ht="63" customHeight="1" x14ac:dyDescent="0.15"/>
    <row r="317" ht="63" customHeight="1" x14ac:dyDescent="0.15"/>
    <row r="318" ht="63" customHeight="1" x14ac:dyDescent="0.15"/>
    <row r="319" ht="63" customHeight="1" x14ac:dyDescent="0.15"/>
    <row r="320" ht="63" customHeight="1" x14ac:dyDescent="0.15"/>
    <row r="321" ht="63" customHeight="1" x14ac:dyDescent="0.15"/>
    <row r="322" ht="63" customHeight="1" x14ac:dyDescent="0.15"/>
    <row r="323" ht="63" customHeight="1" x14ac:dyDescent="0.15"/>
    <row r="324" ht="63" customHeight="1" x14ac:dyDescent="0.15"/>
    <row r="325" ht="63" customHeight="1" x14ac:dyDescent="0.15"/>
    <row r="326" ht="63" customHeight="1" x14ac:dyDescent="0.15"/>
    <row r="327" ht="63" customHeight="1" x14ac:dyDescent="0.15"/>
    <row r="328" ht="63" customHeight="1" x14ac:dyDescent="0.15"/>
    <row r="329" ht="63" customHeight="1" x14ac:dyDescent="0.15"/>
    <row r="330" ht="63" customHeight="1" x14ac:dyDescent="0.15"/>
    <row r="331" ht="63" customHeight="1" x14ac:dyDescent="0.15"/>
    <row r="332" ht="63" customHeight="1" x14ac:dyDescent="0.15"/>
    <row r="333" ht="63" customHeight="1" x14ac:dyDescent="0.15"/>
    <row r="334" ht="63" customHeight="1" x14ac:dyDescent="0.15"/>
    <row r="335" ht="63" customHeight="1" x14ac:dyDescent="0.15"/>
    <row r="336" ht="63" customHeight="1" x14ac:dyDescent="0.15"/>
    <row r="337" ht="63" customHeight="1" x14ac:dyDescent="0.15"/>
    <row r="338" ht="63" customHeight="1" x14ac:dyDescent="0.15"/>
    <row r="339" ht="63" customHeight="1" x14ac:dyDescent="0.15"/>
    <row r="340" ht="63" customHeight="1" x14ac:dyDescent="0.15"/>
    <row r="341" ht="63" customHeight="1" x14ac:dyDescent="0.15"/>
    <row r="342" ht="63" customHeight="1" x14ac:dyDescent="0.15"/>
    <row r="343" ht="63" customHeight="1" x14ac:dyDescent="0.15"/>
    <row r="344" ht="63" customHeight="1" x14ac:dyDescent="0.15"/>
    <row r="345" ht="63" customHeight="1" x14ac:dyDescent="0.15"/>
    <row r="346" ht="63" customHeight="1" x14ac:dyDescent="0.15"/>
    <row r="347" ht="63" customHeight="1" x14ac:dyDescent="0.15"/>
    <row r="348" ht="63" customHeight="1" x14ac:dyDescent="0.15"/>
    <row r="349" ht="63" customHeight="1" x14ac:dyDescent="0.15"/>
    <row r="350" ht="63" customHeight="1" x14ac:dyDescent="0.15"/>
    <row r="351" ht="63" customHeight="1" x14ac:dyDescent="0.15"/>
    <row r="352" ht="63" customHeight="1" x14ac:dyDescent="0.15"/>
    <row r="353" ht="63" customHeight="1" x14ac:dyDescent="0.15"/>
    <row r="354" ht="63" customHeight="1" x14ac:dyDescent="0.15"/>
    <row r="355" ht="63" customHeight="1" x14ac:dyDescent="0.15"/>
    <row r="356" ht="63" customHeight="1" x14ac:dyDescent="0.15"/>
    <row r="357" ht="63" customHeight="1" x14ac:dyDescent="0.15"/>
    <row r="358" ht="63" customHeight="1" x14ac:dyDescent="0.15"/>
    <row r="359" ht="63" customHeight="1" x14ac:dyDescent="0.15"/>
    <row r="360" ht="63" customHeight="1" x14ac:dyDescent="0.15"/>
    <row r="361" ht="63" customHeight="1" x14ac:dyDescent="0.15"/>
    <row r="362" ht="63" customHeight="1" x14ac:dyDescent="0.15"/>
    <row r="363" ht="63" customHeight="1" x14ac:dyDescent="0.15"/>
    <row r="364" ht="63" customHeight="1" x14ac:dyDescent="0.15"/>
    <row r="365" ht="63" customHeight="1" x14ac:dyDescent="0.15"/>
    <row r="366" ht="63" customHeight="1" x14ac:dyDescent="0.15"/>
    <row r="367" ht="63" customHeight="1" x14ac:dyDescent="0.15"/>
    <row r="368" ht="63" customHeight="1" x14ac:dyDescent="0.15"/>
    <row r="369" ht="63" customHeight="1" x14ac:dyDescent="0.15"/>
    <row r="370" ht="63" customHeight="1" x14ac:dyDescent="0.15"/>
    <row r="371" ht="63" customHeight="1" x14ac:dyDescent="0.15"/>
    <row r="372" ht="63" customHeight="1" x14ac:dyDescent="0.15"/>
    <row r="373" ht="63" customHeight="1" x14ac:dyDescent="0.15"/>
    <row r="374" ht="63" customHeight="1" x14ac:dyDescent="0.15"/>
    <row r="375" ht="63" customHeight="1" x14ac:dyDescent="0.15"/>
    <row r="376" ht="63" customHeight="1" x14ac:dyDescent="0.15"/>
    <row r="377" ht="63" customHeight="1" x14ac:dyDescent="0.15"/>
    <row r="378" ht="63" customHeight="1" x14ac:dyDescent="0.15"/>
    <row r="379" ht="63" customHeight="1" x14ac:dyDescent="0.15"/>
    <row r="380" ht="63" customHeight="1" x14ac:dyDescent="0.15"/>
    <row r="381" ht="63" customHeight="1" x14ac:dyDescent="0.15"/>
    <row r="382" ht="63" customHeight="1" x14ac:dyDescent="0.15"/>
    <row r="383" ht="63" customHeight="1" x14ac:dyDescent="0.15"/>
    <row r="384" ht="63" customHeight="1" x14ac:dyDescent="0.15"/>
    <row r="385" ht="63" customHeight="1" x14ac:dyDescent="0.15"/>
    <row r="386" ht="63" customHeight="1" x14ac:dyDescent="0.15"/>
    <row r="387" ht="63" customHeight="1" x14ac:dyDescent="0.15"/>
    <row r="388" ht="63" customHeight="1" x14ac:dyDescent="0.15"/>
    <row r="389" ht="63" customHeight="1" x14ac:dyDescent="0.15"/>
    <row r="390" ht="63" customHeight="1" x14ac:dyDescent="0.15"/>
    <row r="391" ht="63" customHeight="1" x14ac:dyDescent="0.15"/>
    <row r="392" ht="63" customHeight="1" x14ac:dyDescent="0.15"/>
    <row r="393" ht="63" customHeight="1" x14ac:dyDescent="0.15"/>
    <row r="394" ht="63" customHeight="1" x14ac:dyDescent="0.15"/>
    <row r="395" ht="63" customHeight="1" x14ac:dyDescent="0.15"/>
    <row r="396" ht="63" customHeight="1" x14ac:dyDescent="0.15"/>
    <row r="397" ht="63" customHeight="1" x14ac:dyDescent="0.15"/>
    <row r="398" ht="63" customHeight="1" x14ac:dyDescent="0.15"/>
    <row r="399" ht="63" customHeight="1" x14ac:dyDescent="0.15"/>
    <row r="400" ht="63" customHeight="1" x14ac:dyDescent="0.15"/>
    <row r="401" ht="63" customHeight="1" x14ac:dyDescent="0.15"/>
    <row r="402" ht="63" customHeight="1" x14ac:dyDescent="0.15"/>
    <row r="403" ht="63" customHeight="1" x14ac:dyDescent="0.15"/>
    <row r="404" ht="63" customHeight="1" x14ac:dyDescent="0.15"/>
    <row r="405" ht="63" customHeight="1" x14ac:dyDescent="0.15"/>
    <row r="406" ht="63" customHeight="1" x14ac:dyDescent="0.15"/>
    <row r="407" ht="63" customHeight="1" x14ac:dyDescent="0.15"/>
    <row r="408" ht="63" customHeight="1" x14ac:dyDescent="0.15"/>
    <row r="409" ht="63" customHeight="1" x14ac:dyDescent="0.15"/>
    <row r="410" ht="63" customHeight="1" x14ac:dyDescent="0.15"/>
    <row r="411" ht="63" customHeight="1" x14ac:dyDescent="0.15"/>
    <row r="412" ht="63" customHeight="1" x14ac:dyDescent="0.15"/>
    <row r="413" ht="63" customHeight="1" x14ac:dyDescent="0.15"/>
    <row r="414" ht="63" customHeight="1" x14ac:dyDescent="0.15"/>
    <row r="415" ht="63" customHeight="1" x14ac:dyDescent="0.15"/>
    <row r="416" ht="63" customHeight="1" x14ac:dyDescent="0.15"/>
    <row r="417" ht="63" customHeight="1" x14ac:dyDescent="0.15"/>
    <row r="418" ht="63" customHeight="1" x14ac:dyDescent="0.15"/>
    <row r="419" ht="63" customHeight="1" x14ac:dyDescent="0.15"/>
    <row r="420" ht="63" customHeight="1" x14ac:dyDescent="0.15"/>
    <row r="421" ht="63" customHeight="1" x14ac:dyDescent="0.15"/>
    <row r="422" ht="63" customHeight="1" x14ac:dyDescent="0.15"/>
    <row r="423" ht="63" customHeight="1" x14ac:dyDescent="0.15"/>
    <row r="424" ht="63" customHeight="1" x14ac:dyDescent="0.15"/>
    <row r="425" ht="63" customHeight="1" x14ac:dyDescent="0.15"/>
    <row r="426" ht="63" customHeight="1" x14ac:dyDescent="0.15"/>
    <row r="427" ht="63" customHeight="1" x14ac:dyDescent="0.15"/>
    <row r="428" ht="63" customHeight="1" x14ac:dyDescent="0.15"/>
    <row r="429" ht="63" customHeight="1" x14ac:dyDescent="0.15"/>
    <row r="430" ht="63" customHeight="1" x14ac:dyDescent="0.15"/>
    <row r="431" ht="63" customHeight="1" x14ac:dyDescent="0.15"/>
    <row r="432" ht="63" customHeight="1" x14ac:dyDescent="0.15"/>
    <row r="433" ht="63" customHeight="1" x14ac:dyDescent="0.15"/>
    <row r="434" ht="63" customHeight="1" x14ac:dyDescent="0.15"/>
    <row r="435" ht="63" customHeight="1" x14ac:dyDescent="0.15"/>
    <row r="436" ht="63" customHeight="1" x14ac:dyDescent="0.15"/>
    <row r="437" ht="63" customHeight="1" x14ac:dyDescent="0.15"/>
    <row r="438" ht="63" customHeight="1" x14ac:dyDescent="0.15"/>
    <row r="439" ht="63" customHeight="1" x14ac:dyDescent="0.15"/>
    <row r="440" ht="63" customHeight="1" x14ac:dyDescent="0.15"/>
    <row r="441" ht="63" customHeight="1" x14ac:dyDescent="0.15"/>
    <row r="442" ht="63" customHeight="1" x14ac:dyDescent="0.15"/>
    <row r="443" ht="63" customHeight="1" x14ac:dyDescent="0.15"/>
    <row r="444" ht="63" customHeight="1" x14ac:dyDescent="0.15"/>
    <row r="445" ht="63" customHeight="1" x14ac:dyDescent="0.15"/>
    <row r="446" ht="63" customHeight="1" x14ac:dyDescent="0.15"/>
    <row r="447" ht="63" customHeight="1" x14ac:dyDescent="0.15"/>
    <row r="448" ht="63" customHeight="1" x14ac:dyDescent="0.15"/>
    <row r="449" ht="63" customHeight="1" x14ac:dyDescent="0.15"/>
    <row r="450" ht="63" customHeight="1" x14ac:dyDescent="0.15"/>
    <row r="451" ht="63" customHeight="1" x14ac:dyDescent="0.15"/>
    <row r="452" ht="63" customHeight="1" x14ac:dyDescent="0.15"/>
    <row r="453" ht="63" customHeight="1" x14ac:dyDescent="0.15"/>
    <row r="454" ht="63" customHeight="1" x14ac:dyDescent="0.15"/>
    <row r="455" ht="63" customHeight="1" x14ac:dyDescent="0.15"/>
    <row r="456" ht="63" customHeight="1" x14ac:dyDescent="0.15"/>
    <row r="457" ht="63" customHeight="1" x14ac:dyDescent="0.15"/>
    <row r="458" ht="63" customHeight="1" x14ac:dyDescent="0.15"/>
    <row r="459" ht="63" customHeight="1" x14ac:dyDescent="0.15"/>
    <row r="460" ht="63" customHeight="1" x14ac:dyDescent="0.15"/>
    <row r="461" ht="63" customHeight="1" x14ac:dyDescent="0.15"/>
    <row r="462" ht="63" customHeight="1" x14ac:dyDescent="0.15"/>
    <row r="463" ht="63" customHeight="1" x14ac:dyDescent="0.15"/>
    <row r="464" ht="63" customHeight="1" x14ac:dyDescent="0.15"/>
    <row r="465" ht="63" customHeight="1" x14ac:dyDescent="0.15"/>
    <row r="466" ht="63" customHeight="1" x14ac:dyDescent="0.15"/>
    <row r="467" ht="63" customHeight="1" x14ac:dyDescent="0.15"/>
    <row r="468" ht="63" customHeight="1" x14ac:dyDescent="0.15"/>
    <row r="469" ht="63" customHeight="1" x14ac:dyDescent="0.15"/>
    <row r="470" ht="63" customHeight="1" x14ac:dyDescent="0.15"/>
    <row r="471" ht="63" customHeight="1" x14ac:dyDescent="0.15"/>
    <row r="472" ht="63" customHeight="1" x14ac:dyDescent="0.15"/>
    <row r="473" ht="63" customHeight="1" x14ac:dyDescent="0.15"/>
    <row r="474" ht="63" customHeight="1" x14ac:dyDescent="0.15"/>
    <row r="475" ht="63" customHeight="1" x14ac:dyDescent="0.15"/>
    <row r="476" ht="63" customHeight="1" x14ac:dyDescent="0.15"/>
    <row r="477" ht="63" customHeight="1" x14ac:dyDescent="0.15"/>
    <row r="478" ht="63" customHeight="1" x14ac:dyDescent="0.15"/>
    <row r="479" ht="63" customHeight="1" x14ac:dyDescent="0.15"/>
    <row r="480" ht="63" customHeight="1" x14ac:dyDescent="0.15"/>
    <row r="481" ht="63" customHeight="1" x14ac:dyDescent="0.15"/>
    <row r="482" ht="63" customHeight="1" x14ac:dyDescent="0.15"/>
    <row r="483" ht="63" customHeight="1" x14ac:dyDescent="0.15"/>
    <row r="484" ht="63" customHeight="1" x14ac:dyDescent="0.15"/>
    <row r="485" ht="63" customHeight="1" x14ac:dyDescent="0.15"/>
    <row r="486" ht="63" customHeight="1" x14ac:dyDescent="0.15"/>
    <row r="487" ht="63" customHeight="1" x14ac:dyDescent="0.15"/>
    <row r="488" ht="63" customHeight="1" x14ac:dyDescent="0.15"/>
    <row r="489" ht="63" customHeight="1" x14ac:dyDescent="0.15"/>
    <row r="490" ht="63" customHeight="1" x14ac:dyDescent="0.15"/>
    <row r="491" ht="63" customHeight="1" x14ac:dyDescent="0.15"/>
    <row r="492" ht="63" customHeight="1" x14ac:dyDescent="0.15"/>
    <row r="493" ht="63" customHeight="1" x14ac:dyDescent="0.15"/>
    <row r="494" ht="63" customHeight="1" x14ac:dyDescent="0.15"/>
    <row r="495" ht="63" customHeight="1" x14ac:dyDescent="0.15"/>
    <row r="496" ht="63" customHeight="1" x14ac:dyDescent="0.15"/>
    <row r="497" ht="63" customHeight="1" x14ac:dyDescent="0.15"/>
    <row r="498" ht="63" customHeight="1" x14ac:dyDescent="0.15"/>
    <row r="499" ht="63" customHeight="1" x14ac:dyDescent="0.15"/>
    <row r="500" ht="63" customHeight="1" x14ac:dyDescent="0.15"/>
    <row r="501" ht="63" customHeight="1" x14ac:dyDescent="0.15"/>
    <row r="502" ht="63" customHeight="1" x14ac:dyDescent="0.15"/>
    <row r="503" ht="63" customHeight="1" x14ac:dyDescent="0.15"/>
    <row r="504" ht="63" customHeight="1" x14ac:dyDescent="0.15"/>
    <row r="505" ht="63" customHeight="1" x14ac:dyDescent="0.15"/>
    <row r="506" ht="63" customHeight="1" x14ac:dyDescent="0.15"/>
    <row r="507" ht="63" customHeight="1" x14ac:dyDescent="0.15"/>
    <row r="508" ht="63" customHeight="1" x14ac:dyDescent="0.15"/>
    <row r="509" ht="63" customHeight="1" x14ac:dyDescent="0.15"/>
    <row r="510" ht="63" customHeight="1" x14ac:dyDescent="0.15"/>
    <row r="511" ht="63" customHeight="1" x14ac:dyDescent="0.15"/>
    <row r="512" ht="63" customHeight="1" x14ac:dyDescent="0.15"/>
    <row r="513" ht="63" customHeight="1" x14ac:dyDescent="0.15"/>
    <row r="514" ht="63" customHeight="1" x14ac:dyDescent="0.15"/>
    <row r="515" ht="63" customHeight="1" x14ac:dyDescent="0.15"/>
    <row r="516" ht="63" customHeight="1" x14ac:dyDescent="0.15"/>
    <row r="517" ht="63" customHeight="1" x14ac:dyDescent="0.15"/>
    <row r="518" ht="63" customHeight="1" x14ac:dyDescent="0.15"/>
    <row r="519" ht="63" customHeight="1" x14ac:dyDescent="0.15"/>
    <row r="520" ht="63" customHeight="1" x14ac:dyDescent="0.15"/>
    <row r="521" ht="63" customHeight="1" x14ac:dyDescent="0.15"/>
    <row r="522" ht="63" customHeight="1" x14ac:dyDescent="0.15"/>
    <row r="523" ht="63" customHeight="1" x14ac:dyDescent="0.15"/>
    <row r="524" ht="63" customHeight="1" x14ac:dyDescent="0.15"/>
    <row r="525" ht="63" customHeight="1" x14ac:dyDescent="0.15"/>
    <row r="526" ht="63" customHeight="1" x14ac:dyDescent="0.15"/>
    <row r="527" ht="63" customHeight="1" x14ac:dyDescent="0.15"/>
    <row r="528" ht="63" customHeight="1" x14ac:dyDescent="0.15"/>
    <row r="529" ht="63" customHeight="1" x14ac:dyDescent="0.15"/>
    <row r="530" ht="63" customHeight="1" x14ac:dyDescent="0.15"/>
    <row r="531" ht="63" customHeight="1" x14ac:dyDescent="0.15"/>
    <row r="532" ht="63" customHeight="1" x14ac:dyDescent="0.15"/>
    <row r="533" ht="63" customHeight="1" x14ac:dyDescent="0.15"/>
    <row r="534" ht="63" customHeight="1" x14ac:dyDescent="0.15"/>
    <row r="535" ht="63" customHeight="1" x14ac:dyDescent="0.15"/>
    <row r="536" ht="63" customHeight="1" x14ac:dyDescent="0.15"/>
    <row r="537" ht="63" customHeight="1" x14ac:dyDescent="0.15"/>
    <row r="538" ht="63" customHeight="1" x14ac:dyDescent="0.15"/>
    <row r="539" ht="63" customHeight="1" x14ac:dyDescent="0.15"/>
    <row r="540" ht="63" customHeight="1" x14ac:dyDescent="0.15"/>
    <row r="541" ht="63" customHeight="1" x14ac:dyDescent="0.15"/>
    <row r="542" ht="63" customHeight="1" x14ac:dyDescent="0.15"/>
    <row r="543" ht="63" customHeight="1" x14ac:dyDescent="0.15"/>
    <row r="544" ht="63" customHeight="1" x14ac:dyDescent="0.15"/>
    <row r="545" ht="63" customHeight="1" x14ac:dyDescent="0.15"/>
    <row r="546" ht="63" customHeight="1" x14ac:dyDescent="0.15"/>
    <row r="547" ht="63" customHeight="1" x14ac:dyDescent="0.15"/>
    <row r="548" ht="63" customHeight="1" x14ac:dyDescent="0.15"/>
    <row r="549" ht="63" customHeight="1" x14ac:dyDescent="0.15"/>
    <row r="550" ht="63" customHeight="1" x14ac:dyDescent="0.15"/>
    <row r="551" ht="63" customHeight="1" x14ac:dyDescent="0.15"/>
    <row r="552" ht="63" customHeight="1" x14ac:dyDescent="0.15"/>
    <row r="553" ht="63" customHeight="1" x14ac:dyDescent="0.15"/>
    <row r="554" ht="63" customHeight="1" x14ac:dyDescent="0.15"/>
    <row r="555" ht="63" customHeight="1" x14ac:dyDescent="0.15"/>
    <row r="556" ht="63" customHeight="1" x14ac:dyDescent="0.15"/>
    <row r="557" ht="63" customHeight="1" x14ac:dyDescent="0.15"/>
    <row r="558" ht="63" customHeight="1" x14ac:dyDescent="0.15"/>
    <row r="559" ht="63" customHeight="1" x14ac:dyDescent="0.15"/>
    <row r="560" ht="63" customHeight="1" x14ac:dyDescent="0.15"/>
    <row r="561" ht="63" customHeight="1" x14ac:dyDescent="0.15"/>
    <row r="562" ht="63" customHeight="1" x14ac:dyDescent="0.15"/>
    <row r="563" ht="63" customHeight="1" x14ac:dyDescent="0.15"/>
    <row r="564" ht="63" customHeight="1" x14ac:dyDescent="0.15"/>
    <row r="565" ht="63" customHeight="1" x14ac:dyDescent="0.15"/>
    <row r="566" ht="63" customHeight="1" x14ac:dyDescent="0.15"/>
    <row r="567" ht="63" customHeight="1" x14ac:dyDescent="0.15"/>
    <row r="568" ht="63" customHeight="1" x14ac:dyDescent="0.15"/>
    <row r="569" ht="63" customHeight="1" x14ac:dyDescent="0.15"/>
    <row r="570" ht="63" customHeight="1" x14ac:dyDescent="0.15"/>
    <row r="571" ht="63" customHeight="1" x14ac:dyDescent="0.15"/>
    <row r="572" ht="63" customHeight="1" x14ac:dyDescent="0.15"/>
    <row r="573" ht="63" customHeight="1" x14ac:dyDescent="0.15"/>
    <row r="574" ht="63" customHeight="1" x14ac:dyDescent="0.15"/>
    <row r="575" ht="63" customHeight="1" x14ac:dyDescent="0.15"/>
    <row r="576" ht="63" customHeight="1" x14ac:dyDescent="0.15"/>
    <row r="577" ht="63" customHeight="1" x14ac:dyDescent="0.15"/>
    <row r="578" ht="63" customHeight="1" x14ac:dyDescent="0.15"/>
    <row r="579" ht="63" customHeight="1" x14ac:dyDescent="0.15"/>
    <row r="580" ht="63" customHeight="1" x14ac:dyDescent="0.15"/>
    <row r="581" ht="63" customHeight="1" x14ac:dyDescent="0.15"/>
    <row r="582" ht="63" customHeight="1" x14ac:dyDescent="0.15"/>
    <row r="583" ht="63" customHeight="1" x14ac:dyDescent="0.15"/>
    <row r="584" ht="63" customHeight="1" x14ac:dyDescent="0.15"/>
    <row r="585" ht="63" customHeight="1" x14ac:dyDescent="0.15"/>
    <row r="586" ht="63" customHeight="1" x14ac:dyDescent="0.15"/>
    <row r="587" ht="63" customHeight="1" x14ac:dyDescent="0.15"/>
    <row r="588" ht="63" customHeight="1" x14ac:dyDescent="0.15"/>
    <row r="589" ht="63" customHeight="1" x14ac:dyDescent="0.15"/>
    <row r="590" ht="63" customHeight="1" x14ac:dyDescent="0.15"/>
    <row r="591" ht="63" customHeight="1" x14ac:dyDescent="0.15"/>
    <row r="592" ht="63" customHeight="1" x14ac:dyDescent="0.15"/>
    <row r="593" ht="63" customHeight="1" x14ac:dyDescent="0.15"/>
    <row r="594" ht="63" customHeight="1" x14ac:dyDescent="0.15"/>
    <row r="595" ht="63" customHeight="1" x14ac:dyDescent="0.15"/>
    <row r="596" ht="63" customHeight="1" x14ac:dyDescent="0.15"/>
    <row r="597" ht="63" customHeight="1" x14ac:dyDescent="0.15"/>
    <row r="598" ht="63" customHeight="1" x14ac:dyDescent="0.15"/>
    <row r="599" ht="63" customHeight="1" x14ac:dyDescent="0.15"/>
    <row r="600" ht="63" customHeight="1" x14ac:dyDescent="0.15"/>
    <row r="601" ht="63" customHeight="1" x14ac:dyDescent="0.15"/>
    <row r="602" ht="63" customHeight="1" x14ac:dyDescent="0.15"/>
    <row r="603" ht="63" customHeight="1" x14ac:dyDescent="0.15"/>
    <row r="604" ht="63" customHeight="1" x14ac:dyDescent="0.15"/>
    <row r="605" ht="63" customHeight="1" x14ac:dyDescent="0.15"/>
    <row r="606" ht="63" customHeight="1" x14ac:dyDescent="0.15"/>
    <row r="607" ht="63" customHeight="1" x14ac:dyDescent="0.15"/>
    <row r="608" ht="63" customHeight="1" x14ac:dyDescent="0.15"/>
    <row r="609" ht="63" customHeight="1" x14ac:dyDescent="0.15"/>
    <row r="610" ht="63" customHeight="1" x14ac:dyDescent="0.15"/>
    <row r="611" ht="63" customHeight="1" x14ac:dyDescent="0.15"/>
    <row r="612" ht="63" customHeight="1" x14ac:dyDescent="0.15"/>
    <row r="613" ht="63" customHeight="1" x14ac:dyDescent="0.15"/>
    <row r="614" ht="63" customHeight="1" x14ac:dyDescent="0.15"/>
    <row r="615" ht="63" customHeight="1" x14ac:dyDescent="0.15"/>
    <row r="616" ht="63" customHeight="1" x14ac:dyDescent="0.15"/>
    <row r="617" ht="63" customHeight="1" x14ac:dyDescent="0.15"/>
    <row r="618" ht="63" customHeight="1" x14ac:dyDescent="0.15"/>
    <row r="619" ht="63" customHeight="1" x14ac:dyDescent="0.15"/>
    <row r="620" ht="63" customHeight="1" x14ac:dyDescent="0.15"/>
    <row r="621" ht="63" customHeight="1" x14ac:dyDescent="0.15"/>
    <row r="622" ht="63" customHeight="1" x14ac:dyDescent="0.15"/>
    <row r="623" ht="63" customHeight="1" x14ac:dyDescent="0.15"/>
    <row r="624" ht="63" customHeight="1" x14ac:dyDescent="0.15"/>
    <row r="625" ht="63" customHeight="1" x14ac:dyDescent="0.15"/>
    <row r="626" ht="63" customHeight="1" x14ac:dyDescent="0.15"/>
    <row r="627" ht="63" customHeight="1" x14ac:dyDescent="0.15"/>
    <row r="628" ht="63" customHeight="1" x14ac:dyDescent="0.15"/>
    <row r="629" ht="63" customHeight="1" x14ac:dyDescent="0.15"/>
    <row r="630" ht="63" customHeight="1" x14ac:dyDescent="0.15"/>
    <row r="631" ht="63" customHeight="1" x14ac:dyDescent="0.15"/>
    <row r="632" ht="63" customHeight="1" x14ac:dyDescent="0.15"/>
    <row r="633" ht="63" customHeight="1" x14ac:dyDescent="0.15"/>
    <row r="634" ht="63" customHeight="1" x14ac:dyDescent="0.15"/>
    <row r="635" ht="63" customHeight="1" x14ac:dyDescent="0.15"/>
    <row r="636" ht="63" customHeight="1" x14ac:dyDescent="0.15"/>
    <row r="637" ht="63" customHeight="1" x14ac:dyDescent="0.15"/>
    <row r="638" ht="63" customHeight="1" x14ac:dyDescent="0.15"/>
    <row r="639" ht="63" customHeight="1" x14ac:dyDescent="0.15"/>
    <row r="640" ht="63" customHeight="1" x14ac:dyDescent="0.15"/>
    <row r="641" ht="63" customHeight="1" x14ac:dyDescent="0.15"/>
    <row r="642" ht="63" customHeight="1" x14ac:dyDescent="0.15"/>
    <row r="643" ht="63" customHeight="1" x14ac:dyDescent="0.15"/>
    <row r="644" ht="63" customHeight="1" x14ac:dyDescent="0.15"/>
    <row r="645" ht="63" customHeight="1" x14ac:dyDescent="0.15"/>
    <row r="646" ht="63" customHeight="1" x14ac:dyDescent="0.15"/>
    <row r="647" ht="63" customHeight="1" x14ac:dyDescent="0.15"/>
    <row r="648" ht="63" customHeight="1" x14ac:dyDescent="0.15"/>
    <row r="649" ht="63" customHeight="1" x14ac:dyDescent="0.15"/>
    <row r="650" ht="63" customHeight="1" x14ac:dyDescent="0.15"/>
    <row r="651" ht="63" customHeight="1" x14ac:dyDescent="0.15"/>
    <row r="652" ht="63" customHeight="1" x14ac:dyDescent="0.15"/>
    <row r="653" ht="63" customHeight="1" x14ac:dyDescent="0.15"/>
    <row r="654" ht="63" customHeight="1" x14ac:dyDescent="0.15"/>
    <row r="655" ht="63" customHeight="1" x14ac:dyDescent="0.15"/>
    <row r="656" ht="63" customHeight="1" x14ac:dyDescent="0.15"/>
    <row r="657" ht="63" customHeight="1" x14ac:dyDescent="0.15"/>
    <row r="658" ht="63" customHeight="1" x14ac:dyDescent="0.15"/>
    <row r="659" ht="63" customHeight="1" x14ac:dyDescent="0.15"/>
    <row r="660" ht="63" customHeight="1" x14ac:dyDescent="0.15"/>
    <row r="661" ht="63" customHeight="1" x14ac:dyDescent="0.15"/>
    <row r="662" ht="63" customHeight="1" x14ac:dyDescent="0.15"/>
    <row r="663" ht="63" customHeight="1" x14ac:dyDescent="0.15"/>
    <row r="664" ht="63" customHeight="1" x14ac:dyDescent="0.15"/>
    <row r="665" ht="63" customHeight="1" x14ac:dyDescent="0.15"/>
    <row r="666" ht="63" customHeight="1" x14ac:dyDescent="0.15"/>
    <row r="667" ht="63" customHeight="1" x14ac:dyDescent="0.15"/>
    <row r="668" ht="63" customHeight="1" x14ac:dyDescent="0.15"/>
    <row r="669" ht="63" customHeight="1" x14ac:dyDescent="0.15"/>
    <row r="670" ht="63" customHeight="1" x14ac:dyDescent="0.15"/>
    <row r="671" ht="63" customHeight="1" x14ac:dyDescent="0.15"/>
    <row r="672" ht="63" customHeight="1" x14ac:dyDescent="0.15"/>
    <row r="673" ht="63" customHeight="1" x14ac:dyDescent="0.15"/>
    <row r="674" ht="63" customHeight="1" x14ac:dyDescent="0.15"/>
    <row r="675" ht="63" customHeight="1" x14ac:dyDescent="0.15"/>
    <row r="676" ht="63" customHeight="1" x14ac:dyDescent="0.15"/>
    <row r="677" ht="63" customHeight="1" x14ac:dyDescent="0.15"/>
    <row r="678" ht="63" customHeight="1" x14ac:dyDescent="0.15"/>
    <row r="679" ht="63" customHeight="1" x14ac:dyDescent="0.15"/>
    <row r="680" ht="63" customHeight="1" x14ac:dyDescent="0.15"/>
    <row r="681" ht="63" customHeight="1" x14ac:dyDescent="0.15"/>
    <row r="682" ht="63" customHeight="1" x14ac:dyDescent="0.15"/>
    <row r="683" ht="63" customHeight="1" x14ac:dyDescent="0.15"/>
    <row r="684" ht="63" customHeight="1" x14ac:dyDescent="0.15"/>
    <row r="685" ht="63" customHeight="1" x14ac:dyDescent="0.15"/>
    <row r="686" ht="63" customHeight="1" x14ac:dyDescent="0.15"/>
    <row r="687" ht="63" customHeight="1" x14ac:dyDescent="0.15"/>
    <row r="688" ht="63" customHeight="1" x14ac:dyDescent="0.15"/>
    <row r="689" ht="63" customHeight="1" x14ac:dyDescent="0.15"/>
    <row r="690" ht="63" customHeight="1" x14ac:dyDescent="0.15"/>
    <row r="691" ht="63" customHeight="1" x14ac:dyDescent="0.15"/>
    <row r="692" ht="63" customHeight="1" x14ac:dyDescent="0.15"/>
    <row r="693" ht="63" customHeight="1" x14ac:dyDescent="0.15"/>
    <row r="694" ht="63" customHeight="1" x14ac:dyDescent="0.15"/>
    <row r="695" ht="63" customHeight="1" x14ac:dyDescent="0.15"/>
    <row r="696" ht="63" customHeight="1" x14ac:dyDescent="0.15"/>
    <row r="697" ht="63" customHeight="1" x14ac:dyDescent="0.15"/>
    <row r="698" ht="63" customHeight="1" x14ac:dyDescent="0.15"/>
    <row r="699" ht="63" customHeight="1" x14ac:dyDescent="0.15"/>
    <row r="700" ht="63" customHeight="1" x14ac:dyDescent="0.15"/>
    <row r="701" ht="63" customHeight="1" x14ac:dyDescent="0.15"/>
    <row r="702" ht="63" customHeight="1" x14ac:dyDescent="0.15"/>
    <row r="703" ht="63" customHeight="1" x14ac:dyDescent="0.15"/>
    <row r="704" ht="63" customHeight="1" x14ac:dyDescent="0.15"/>
    <row r="705" ht="63" customHeight="1" x14ac:dyDescent="0.15"/>
    <row r="706" ht="63" customHeight="1" x14ac:dyDescent="0.15"/>
    <row r="707" ht="63" customHeight="1" x14ac:dyDescent="0.15"/>
    <row r="708" ht="63" customHeight="1" x14ac:dyDescent="0.15"/>
    <row r="709" ht="63" customHeight="1" x14ac:dyDescent="0.15"/>
    <row r="710" ht="63" customHeight="1" x14ac:dyDescent="0.15"/>
    <row r="711" ht="63" customHeight="1" x14ac:dyDescent="0.15"/>
    <row r="712" ht="63" customHeight="1" x14ac:dyDescent="0.15"/>
    <row r="713" ht="63" customHeight="1" x14ac:dyDescent="0.15"/>
    <row r="714" ht="63" customHeight="1" x14ac:dyDescent="0.15"/>
    <row r="715" ht="63" customHeight="1" x14ac:dyDescent="0.15"/>
    <row r="716" ht="63" customHeight="1" x14ac:dyDescent="0.15"/>
    <row r="717" ht="63" customHeight="1" x14ac:dyDescent="0.15"/>
    <row r="718" ht="63" customHeight="1" x14ac:dyDescent="0.15"/>
    <row r="719" ht="63" customHeight="1" x14ac:dyDescent="0.15"/>
    <row r="720" ht="63" customHeight="1" x14ac:dyDescent="0.15"/>
    <row r="721" ht="63" customHeight="1" x14ac:dyDescent="0.15"/>
    <row r="722" ht="63" customHeight="1" x14ac:dyDescent="0.15"/>
    <row r="723" ht="63" customHeight="1" x14ac:dyDescent="0.15"/>
    <row r="724" ht="63" customHeight="1" x14ac:dyDescent="0.15"/>
    <row r="725" ht="63" customHeight="1" x14ac:dyDescent="0.15"/>
    <row r="726" ht="63" customHeight="1" x14ac:dyDescent="0.15"/>
    <row r="727" ht="63" customHeight="1" x14ac:dyDescent="0.15"/>
    <row r="728" ht="63" customHeight="1" x14ac:dyDescent="0.15"/>
    <row r="729" ht="63" customHeight="1" x14ac:dyDescent="0.15"/>
    <row r="730" ht="63" customHeight="1" x14ac:dyDescent="0.15"/>
    <row r="731" ht="63" customHeight="1" x14ac:dyDescent="0.15"/>
    <row r="732" ht="63" customHeight="1" x14ac:dyDescent="0.15"/>
    <row r="733" ht="63" customHeight="1" x14ac:dyDescent="0.15"/>
    <row r="734" ht="63" customHeight="1" x14ac:dyDescent="0.15"/>
    <row r="735" ht="63" customHeight="1" x14ac:dyDescent="0.15"/>
    <row r="736" ht="63" customHeight="1" x14ac:dyDescent="0.15"/>
    <row r="737" ht="63" customHeight="1" x14ac:dyDescent="0.15"/>
    <row r="738" ht="63" customHeight="1" x14ac:dyDescent="0.15"/>
    <row r="739" ht="63" customHeight="1" x14ac:dyDescent="0.15"/>
    <row r="740" ht="63" customHeight="1" x14ac:dyDescent="0.15"/>
    <row r="741" ht="63" customHeight="1" x14ac:dyDescent="0.15"/>
    <row r="742" ht="63" customHeight="1" x14ac:dyDescent="0.15"/>
    <row r="743" ht="63" customHeight="1" x14ac:dyDescent="0.15"/>
    <row r="744" ht="63" customHeight="1" x14ac:dyDescent="0.15"/>
    <row r="745" ht="63" customHeight="1" x14ac:dyDescent="0.15"/>
    <row r="746" ht="63" customHeight="1" x14ac:dyDescent="0.15"/>
    <row r="747" ht="63" customHeight="1" x14ac:dyDescent="0.15"/>
    <row r="748" ht="63" customHeight="1" x14ac:dyDescent="0.15"/>
    <row r="749" ht="63" customHeight="1" x14ac:dyDescent="0.15"/>
    <row r="750" ht="63" customHeight="1" x14ac:dyDescent="0.15"/>
    <row r="751" ht="63" customHeight="1" x14ac:dyDescent="0.15"/>
    <row r="752" ht="63" customHeight="1" x14ac:dyDescent="0.15"/>
    <row r="753" ht="63" customHeight="1" x14ac:dyDescent="0.15"/>
    <row r="754" ht="63" customHeight="1" x14ac:dyDescent="0.15"/>
    <row r="755" ht="63" customHeight="1" x14ac:dyDescent="0.15"/>
    <row r="756" ht="63" customHeight="1" x14ac:dyDescent="0.15"/>
    <row r="757" ht="63" customHeight="1" x14ac:dyDescent="0.15"/>
    <row r="758" ht="63" customHeight="1" x14ac:dyDescent="0.15"/>
    <row r="759" ht="63" customHeight="1" x14ac:dyDescent="0.15"/>
    <row r="760" ht="63" customHeight="1" x14ac:dyDescent="0.15"/>
    <row r="761" ht="63" customHeight="1" x14ac:dyDescent="0.15"/>
    <row r="762" ht="63" customHeight="1" x14ac:dyDescent="0.15"/>
    <row r="763" ht="63" customHeight="1" x14ac:dyDescent="0.15"/>
    <row r="764" ht="63" customHeight="1" x14ac:dyDescent="0.15"/>
    <row r="765" ht="63" customHeight="1" x14ac:dyDescent="0.15"/>
    <row r="766" ht="63" customHeight="1" x14ac:dyDescent="0.15"/>
    <row r="767" ht="63" customHeight="1" x14ac:dyDescent="0.15"/>
    <row r="768" ht="63" customHeight="1" x14ac:dyDescent="0.15"/>
    <row r="769" ht="63" customHeight="1" x14ac:dyDescent="0.15"/>
    <row r="770" ht="63" customHeight="1" x14ac:dyDescent="0.15"/>
    <row r="771" ht="63" customHeight="1" x14ac:dyDescent="0.15"/>
    <row r="772" ht="63" customHeight="1" x14ac:dyDescent="0.15"/>
    <row r="773" ht="63" customHeight="1" x14ac:dyDescent="0.15"/>
    <row r="774" ht="63" customHeight="1" x14ac:dyDescent="0.15"/>
    <row r="775" ht="63" customHeight="1" x14ac:dyDescent="0.15"/>
    <row r="776" ht="63" customHeight="1" x14ac:dyDescent="0.15"/>
    <row r="777" ht="63" customHeight="1" x14ac:dyDescent="0.15"/>
    <row r="778" ht="63" customHeight="1" x14ac:dyDescent="0.15"/>
    <row r="779" ht="63" customHeight="1" x14ac:dyDescent="0.15"/>
    <row r="780" ht="63" customHeight="1" x14ac:dyDescent="0.15"/>
    <row r="781" ht="63" customHeight="1" x14ac:dyDescent="0.15"/>
    <row r="782" ht="63" customHeight="1" x14ac:dyDescent="0.15"/>
    <row r="783" ht="63" customHeight="1" x14ac:dyDescent="0.15"/>
    <row r="784" ht="63" customHeight="1" x14ac:dyDescent="0.15"/>
    <row r="785" ht="63" customHeight="1" x14ac:dyDescent="0.15"/>
    <row r="786" ht="63" customHeight="1" x14ac:dyDescent="0.15"/>
    <row r="787" ht="63" customHeight="1" x14ac:dyDescent="0.15"/>
    <row r="788" ht="63" customHeight="1" x14ac:dyDescent="0.15"/>
    <row r="789" ht="63" customHeight="1" x14ac:dyDescent="0.15"/>
    <row r="790" ht="63" customHeight="1" x14ac:dyDescent="0.15"/>
    <row r="791" ht="63" customHeight="1" x14ac:dyDescent="0.15"/>
    <row r="792" ht="63" customHeight="1" x14ac:dyDescent="0.15"/>
    <row r="793" ht="63" customHeight="1" x14ac:dyDescent="0.15"/>
    <row r="794" ht="63" customHeight="1" x14ac:dyDescent="0.15"/>
    <row r="795" ht="63" customHeight="1" x14ac:dyDescent="0.15"/>
    <row r="796" ht="63" customHeight="1" x14ac:dyDescent="0.15"/>
    <row r="797" ht="63" customHeight="1" x14ac:dyDescent="0.15"/>
    <row r="798" ht="63" customHeight="1" x14ac:dyDescent="0.15"/>
    <row r="799" ht="63" customHeight="1" x14ac:dyDescent="0.15"/>
    <row r="800" ht="63" customHeight="1" x14ac:dyDescent="0.15"/>
    <row r="801" ht="63" customHeight="1" x14ac:dyDescent="0.15"/>
    <row r="802" ht="63" customHeight="1" x14ac:dyDescent="0.15"/>
    <row r="803" ht="63" customHeight="1" x14ac:dyDescent="0.15"/>
    <row r="804" ht="63" customHeight="1" x14ac:dyDescent="0.15"/>
    <row r="805" ht="63" customHeight="1" x14ac:dyDescent="0.15"/>
    <row r="806" ht="63" customHeight="1" x14ac:dyDescent="0.15"/>
    <row r="807" ht="63" customHeight="1" x14ac:dyDescent="0.15"/>
    <row r="808" ht="63" customHeight="1" x14ac:dyDescent="0.15"/>
    <row r="809" ht="63" customHeight="1" x14ac:dyDescent="0.15"/>
    <row r="810" ht="63" customHeight="1" x14ac:dyDescent="0.15"/>
    <row r="811" ht="63" customHeight="1" x14ac:dyDescent="0.15"/>
    <row r="812" ht="63" customHeight="1" x14ac:dyDescent="0.15"/>
    <row r="813" ht="63" customHeight="1" x14ac:dyDescent="0.15"/>
    <row r="814" ht="63" customHeight="1" x14ac:dyDescent="0.15"/>
    <row r="815" ht="63" customHeight="1" x14ac:dyDescent="0.15"/>
    <row r="816" ht="63" customHeight="1" x14ac:dyDescent="0.15"/>
    <row r="817" ht="63" customHeight="1" x14ac:dyDescent="0.15"/>
    <row r="818" ht="63" customHeight="1" x14ac:dyDescent="0.15"/>
    <row r="819" ht="63" customHeight="1" x14ac:dyDescent="0.15"/>
    <row r="820" ht="63" customHeight="1" x14ac:dyDescent="0.15"/>
    <row r="821" ht="63" customHeight="1" x14ac:dyDescent="0.15"/>
    <row r="822" ht="63" customHeight="1" x14ac:dyDescent="0.15"/>
    <row r="823" ht="63" customHeight="1" x14ac:dyDescent="0.15"/>
    <row r="824" ht="63" customHeight="1" x14ac:dyDescent="0.15"/>
    <row r="825" ht="63" customHeight="1" x14ac:dyDescent="0.15"/>
    <row r="826" ht="63" customHeight="1" x14ac:dyDescent="0.15"/>
    <row r="827" ht="63" customHeight="1" x14ac:dyDescent="0.15"/>
    <row r="828" ht="63" customHeight="1" x14ac:dyDescent="0.15"/>
    <row r="829" ht="63" customHeight="1" x14ac:dyDescent="0.15"/>
    <row r="830" ht="63" customHeight="1" x14ac:dyDescent="0.15"/>
    <row r="831" ht="63" customHeight="1" x14ac:dyDescent="0.15"/>
    <row r="832" ht="63" customHeight="1" x14ac:dyDescent="0.15"/>
    <row r="833" ht="63" customHeight="1" x14ac:dyDescent="0.15"/>
    <row r="834" ht="63" customHeight="1" x14ac:dyDescent="0.15"/>
    <row r="835" ht="63" customHeight="1" x14ac:dyDescent="0.15"/>
    <row r="836" ht="63" customHeight="1" x14ac:dyDescent="0.15"/>
    <row r="837" ht="63" customHeight="1" x14ac:dyDescent="0.15"/>
    <row r="838" ht="63" customHeight="1" x14ac:dyDescent="0.15"/>
    <row r="839" ht="63" customHeight="1" x14ac:dyDescent="0.15"/>
    <row r="840" ht="63" customHeight="1" x14ac:dyDescent="0.15"/>
    <row r="841" ht="63" customHeight="1" x14ac:dyDescent="0.15"/>
    <row r="842" ht="63" customHeight="1" x14ac:dyDescent="0.15"/>
    <row r="843" ht="63" customHeight="1" x14ac:dyDescent="0.15"/>
    <row r="844" ht="63" customHeight="1" x14ac:dyDescent="0.15"/>
    <row r="845" ht="63" customHeight="1" x14ac:dyDescent="0.15"/>
    <row r="846" ht="63" customHeight="1" x14ac:dyDescent="0.15"/>
    <row r="847" ht="63" customHeight="1" x14ac:dyDescent="0.15"/>
    <row r="848" ht="63" customHeight="1" x14ac:dyDescent="0.15"/>
    <row r="849" ht="63" customHeight="1" x14ac:dyDescent="0.15"/>
    <row r="850" ht="63" customHeight="1" x14ac:dyDescent="0.15"/>
    <row r="851" ht="63" customHeight="1" x14ac:dyDescent="0.15"/>
    <row r="852" ht="63" customHeight="1" x14ac:dyDescent="0.15"/>
    <row r="853" ht="63" customHeight="1" x14ac:dyDescent="0.15"/>
    <row r="854" ht="63" customHeight="1" x14ac:dyDescent="0.15"/>
    <row r="855" ht="63" customHeight="1" x14ac:dyDescent="0.15"/>
    <row r="856" ht="63" customHeight="1" x14ac:dyDescent="0.15"/>
    <row r="857" ht="63" customHeight="1" x14ac:dyDescent="0.15"/>
    <row r="858" ht="63" customHeight="1" x14ac:dyDescent="0.15"/>
    <row r="859" ht="63" customHeight="1" x14ac:dyDescent="0.15"/>
    <row r="860" ht="63" customHeight="1" x14ac:dyDescent="0.15"/>
    <row r="861" ht="63" customHeight="1" x14ac:dyDescent="0.15"/>
    <row r="862" ht="63" customHeight="1" x14ac:dyDescent="0.15"/>
    <row r="863" ht="63" customHeight="1" x14ac:dyDescent="0.15"/>
    <row r="864" ht="63" customHeight="1" x14ac:dyDescent="0.15"/>
    <row r="865" ht="63" customHeight="1" x14ac:dyDescent="0.15"/>
    <row r="866" ht="63" customHeight="1" x14ac:dyDescent="0.15"/>
    <row r="867" ht="63" customHeight="1" x14ac:dyDescent="0.15"/>
    <row r="868" ht="63" customHeight="1" x14ac:dyDescent="0.15"/>
    <row r="869" ht="63" customHeight="1" x14ac:dyDescent="0.15"/>
    <row r="870" ht="63" customHeight="1" x14ac:dyDescent="0.15"/>
    <row r="871" ht="63" customHeight="1" x14ac:dyDescent="0.15"/>
    <row r="872" ht="63" customHeight="1" x14ac:dyDescent="0.15"/>
    <row r="873" ht="63" customHeight="1" x14ac:dyDescent="0.15"/>
    <row r="874" ht="63" customHeight="1" x14ac:dyDescent="0.15"/>
    <row r="875" ht="63" customHeight="1" x14ac:dyDescent="0.15"/>
    <row r="876" ht="63" customHeight="1" x14ac:dyDescent="0.15"/>
    <row r="877" ht="63" customHeight="1" x14ac:dyDescent="0.15"/>
    <row r="878" ht="63" customHeight="1" x14ac:dyDescent="0.15"/>
    <row r="879" ht="63" customHeight="1" x14ac:dyDescent="0.15"/>
    <row r="880" ht="63" customHeight="1" x14ac:dyDescent="0.15"/>
    <row r="881" ht="63" customHeight="1" x14ac:dyDescent="0.15"/>
    <row r="882" ht="63" customHeight="1" x14ac:dyDescent="0.15"/>
    <row r="883" ht="63" customHeight="1" x14ac:dyDescent="0.15"/>
    <row r="884" ht="63" customHeight="1" x14ac:dyDescent="0.15"/>
    <row r="885" ht="63" customHeight="1" x14ac:dyDescent="0.15"/>
    <row r="886" ht="63" customHeight="1" x14ac:dyDescent="0.15"/>
    <row r="887" ht="63" customHeight="1" x14ac:dyDescent="0.15"/>
    <row r="888" ht="63" customHeight="1" x14ac:dyDescent="0.15"/>
    <row r="889" ht="63" customHeight="1" x14ac:dyDescent="0.15"/>
    <row r="890" ht="63" customHeight="1" x14ac:dyDescent="0.15"/>
    <row r="891" ht="63" customHeight="1" x14ac:dyDescent="0.15"/>
    <row r="892" ht="63" customHeight="1" x14ac:dyDescent="0.15"/>
    <row r="893" ht="63" customHeight="1" x14ac:dyDescent="0.15"/>
    <row r="894" ht="63" customHeight="1" x14ac:dyDescent="0.15"/>
    <row r="895" ht="63" customHeight="1" x14ac:dyDescent="0.15"/>
    <row r="896" ht="63" customHeight="1" x14ac:dyDescent="0.15"/>
    <row r="897" ht="63" customHeight="1" x14ac:dyDescent="0.15"/>
    <row r="898" ht="63" customHeight="1" x14ac:dyDescent="0.15"/>
    <row r="899" ht="63" customHeight="1" x14ac:dyDescent="0.15"/>
    <row r="900" ht="63" customHeight="1" x14ac:dyDescent="0.15"/>
    <row r="901" ht="63" customHeight="1" x14ac:dyDescent="0.15"/>
    <row r="902" ht="63" customHeight="1" x14ac:dyDescent="0.15"/>
    <row r="903" ht="63" customHeight="1" x14ac:dyDescent="0.15"/>
    <row r="904" ht="63" customHeight="1" x14ac:dyDescent="0.15"/>
    <row r="905" ht="63" customHeight="1" x14ac:dyDescent="0.15"/>
    <row r="906" ht="63" customHeight="1" x14ac:dyDescent="0.15"/>
    <row r="907" ht="63" customHeight="1" x14ac:dyDescent="0.15"/>
    <row r="908" ht="63" customHeight="1" x14ac:dyDescent="0.15"/>
    <row r="909" ht="63" customHeight="1" x14ac:dyDescent="0.15"/>
    <row r="910" ht="63" customHeight="1" x14ac:dyDescent="0.15"/>
    <row r="911" ht="63" customHeight="1" x14ac:dyDescent="0.15"/>
    <row r="912" ht="63" customHeight="1" x14ac:dyDescent="0.15"/>
    <row r="913" ht="63" customHeight="1" x14ac:dyDescent="0.15"/>
    <row r="914" ht="63" customHeight="1" x14ac:dyDescent="0.15"/>
    <row r="915" ht="63" customHeight="1" x14ac:dyDescent="0.15"/>
    <row r="916" ht="63" customHeight="1" x14ac:dyDescent="0.15"/>
    <row r="917" ht="63" customHeight="1" x14ac:dyDescent="0.15"/>
    <row r="918" ht="63" customHeight="1" x14ac:dyDescent="0.15"/>
    <row r="919" ht="63" customHeight="1" x14ac:dyDescent="0.15"/>
    <row r="920" ht="63" customHeight="1" x14ac:dyDescent="0.15"/>
    <row r="921" ht="63" customHeight="1" x14ac:dyDescent="0.15"/>
    <row r="922" ht="63" customHeight="1" x14ac:dyDescent="0.15"/>
    <row r="923" ht="63" customHeight="1" x14ac:dyDescent="0.15"/>
    <row r="924" ht="63" customHeight="1" x14ac:dyDescent="0.15"/>
    <row r="925" ht="63" customHeight="1" x14ac:dyDescent="0.15"/>
    <row r="926" ht="63" customHeight="1" x14ac:dyDescent="0.15"/>
    <row r="927" ht="63" customHeight="1" x14ac:dyDescent="0.15"/>
    <row r="928" ht="63" customHeight="1" x14ac:dyDescent="0.15"/>
    <row r="929" ht="63" customHeight="1" x14ac:dyDescent="0.15"/>
    <row r="930" ht="63" customHeight="1" x14ac:dyDescent="0.15"/>
    <row r="931" ht="63" customHeight="1" x14ac:dyDescent="0.15"/>
    <row r="932" ht="63" customHeight="1" x14ac:dyDescent="0.15"/>
    <row r="933" ht="63" customHeight="1" x14ac:dyDescent="0.15"/>
    <row r="934" ht="63" customHeight="1" x14ac:dyDescent="0.15"/>
    <row r="935" ht="63" customHeight="1" x14ac:dyDescent="0.15"/>
    <row r="936" ht="63" customHeight="1" x14ac:dyDescent="0.15"/>
    <row r="937" ht="63" customHeight="1" x14ac:dyDescent="0.15"/>
    <row r="938" ht="63" customHeight="1" x14ac:dyDescent="0.15"/>
    <row r="939" ht="63" customHeight="1" x14ac:dyDescent="0.15"/>
    <row r="940" ht="63" customHeight="1" x14ac:dyDescent="0.15"/>
    <row r="941" ht="63" customHeight="1" x14ac:dyDescent="0.15"/>
    <row r="942" ht="63" customHeight="1" x14ac:dyDescent="0.15"/>
    <row r="943" ht="63" customHeight="1" x14ac:dyDescent="0.15"/>
    <row r="944" ht="63" customHeight="1" x14ac:dyDescent="0.15"/>
    <row r="945" ht="63" customHeight="1" x14ac:dyDescent="0.15"/>
    <row r="946" ht="63" customHeight="1" x14ac:dyDescent="0.15"/>
    <row r="947" ht="63" customHeight="1" x14ac:dyDescent="0.15"/>
    <row r="948" ht="63" customHeight="1" x14ac:dyDescent="0.15"/>
    <row r="949" ht="63" customHeight="1" x14ac:dyDescent="0.15"/>
    <row r="950" ht="63" customHeight="1" x14ac:dyDescent="0.15"/>
    <row r="951" ht="63" customHeight="1" x14ac:dyDescent="0.15"/>
    <row r="952" ht="63" customHeight="1" x14ac:dyDescent="0.15"/>
    <row r="953" ht="63" customHeight="1" x14ac:dyDescent="0.15"/>
    <row r="954" ht="63" customHeight="1" x14ac:dyDescent="0.15"/>
    <row r="955" ht="63" customHeight="1" x14ac:dyDescent="0.15"/>
    <row r="956" ht="63" customHeight="1" x14ac:dyDescent="0.15"/>
    <row r="957" ht="63" customHeight="1" x14ac:dyDescent="0.15"/>
    <row r="958" ht="63" customHeight="1" x14ac:dyDescent="0.15"/>
    <row r="959" ht="63" customHeight="1" x14ac:dyDescent="0.15"/>
    <row r="960" ht="63" customHeight="1" x14ac:dyDescent="0.15"/>
    <row r="961" ht="63" customHeight="1" x14ac:dyDescent="0.15"/>
    <row r="962" ht="63" customHeight="1" x14ac:dyDescent="0.15"/>
    <row r="963" ht="63" customHeight="1" x14ac:dyDescent="0.15"/>
    <row r="964" ht="63" customHeight="1" x14ac:dyDescent="0.15"/>
    <row r="965" ht="63" customHeight="1" x14ac:dyDescent="0.15"/>
    <row r="966" ht="63" customHeight="1" x14ac:dyDescent="0.15"/>
    <row r="967" ht="63" customHeight="1" x14ac:dyDescent="0.15"/>
    <row r="968" ht="63" customHeight="1" x14ac:dyDescent="0.15"/>
    <row r="969" ht="63" customHeight="1" x14ac:dyDescent="0.15"/>
    <row r="970" ht="63" customHeight="1" x14ac:dyDescent="0.15"/>
    <row r="971" ht="63" customHeight="1" x14ac:dyDescent="0.15"/>
    <row r="972" ht="63" customHeight="1" x14ac:dyDescent="0.15"/>
    <row r="973" ht="63" customHeight="1" x14ac:dyDescent="0.15"/>
    <row r="974" ht="63" customHeight="1" x14ac:dyDescent="0.15"/>
    <row r="975" ht="63" customHeight="1" x14ac:dyDescent="0.15"/>
    <row r="976" ht="63" customHeight="1" x14ac:dyDescent="0.15"/>
    <row r="977" ht="63" customHeight="1" x14ac:dyDescent="0.15"/>
    <row r="978" ht="63" customHeight="1" x14ac:dyDescent="0.15"/>
    <row r="979" ht="63" customHeight="1" x14ac:dyDescent="0.15"/>
    <row r="980" ht="63" customHeight="1" x14ac:dyDescent="0.15"/>
    <row r="981" ht="63" customHeight="1" x14ac:dyDescent="0.15"/>
    <row r="982" ht="63" customHeight="1" x14ac:dyDescent="0.15"/>
    <row r="983" ht="63" customHeight="1" x14ac:dyDescent="0.15"/>
    <row r="984" ht="63" customHeight="1" x14ac:dyDescent="0.15"/>
    <row r="985" ht="63" customHeight="1" x14ac:dyDescent="0.15"/>
    <row r="986" ht="63" customHeight="1" x14ac:dyDescent="0.15"/>
    <row r="987" ht="63" customHeight="1" x14ac:dyDescent="0.15"/>
    <row r="988" ht="63" customHeight="1" x14ac:dyDescent="0.15"/>
    <row r="989" ht="63" customHeight="1" x14ac:dyDescent="0.15"/>
    <row r="990" ht="63" customHeight="1" x14ac:dyDescent="0.15"/>
    <row r="991" ht="63" customHeight="1" x14ac:dyDescent="0.15"/>
    <row r="992" ht="63" customHeight="1" x14ac:dyDescent="0.15"/>
    <row r="993" ht="63" customHeight="1" x14ac:dyDescent="0.15"/>
    <row r="994" ht="63" customHeight="1" x14ac:dyDescent="0.15"/>
    <row r="995" ht="63" customHeight="1" x14ac:dyDescent="0.15"/>
    <row r="996" ht="63" customHeight="1" x14ac:dyDescent="0.15"/>
    <row r="997" ht="63" customHeight="1" x14ac:dyDescent="0.15"/>
    <row r="998" ht="63" customHeight="1" x14ac:dyDescent="0.15"/>
    <row r="999" ht="63" customHeight="1" x14ac:dyDescent="0.15"/>
    <row r="1000" ht="63" customHeight="1" x14ac:dyDescent="0.15"/>
  </sheetData>
  <hyperlinks>
    <hyperlink ref="F1" r:id="rId1" location="slide=id.g339e9254052_0_8" xr:uid="{00000000-0004-0000-04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6D7A8"/>
    <outlinePr summaryBelow="0" summaryRight="0"/>
  </sheetPr>
  <dimension ref="A1:AF14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 x14ac:dyDescent="0.15"/>
  <cols>
    <col min="1" max="1" width="70.33203125" customWidth="1"/>
    <col min="2" max="2" width="20.1640625" customWidth="1"/>
    <col min="3" max="3" width="52.1640625" customWidth="1"/>
    <col min="4" max="4" width="15.1640625" customWidth="1"/>
    <col min="5" max="5" width="3" customWidth="1"/>
    <col min="6" max="6" width="25.6640625" customWidth="1"/>
    <col min="7" max="7" width="50.6640625" customWidth="1"/>
    <col min="8" max="8" width="11.1640625" customWidth="1"/>
    <col min="9" max="9" width="11.83203125" customWidth="1"/>
    <col min="10" max="10" width="6.6640625" customWidth="1"/>
    <col min="11" max="11" width="5.5" customWidth="1"/>
    <col min="12" max="12" width="20.5" hidden="1" customWidth="1"/>
    <col min="13" max="13" width="12.6640625" hidden="1"/>
    <col min="14" max="14" width="66.83203125" customWidth="1"/>
    <col min="15" max="15" width="9" customWidth="1"/>
    <col min="16" max="16" width="10.83203125" customWidth="1"/>
    <col min="17" max="17" width="7" customWidth="1"/>
    <col min="18" max="18" width="10.83203125" customWidth="1"/>
    <col min="19" max="19" width="7" customWidth="1"/>
    <col min="20" max="20" width="10.83203125" customWidth="1"/>
    <col min="21" max="21" width="7" customWidth="1"/>
    <col min="22" max="22" width="10.83203125" customWidth="1"/>
    <col min="23" max="23" width="7" customWidth="1"/>
    <col min="24" max="24" width="10.83203125" customWidth="1"/>
  </cols>
  <sheetData>
    <row r="1" spans="1:32" ht="15.75" customHeight="1" x14ac:dyDescent="0.15">
      <c r="A1" s="3" t="s">
        <v>986</v>
      </c>
      <c r="B1" s="3" t="s">
        <v>987</v>
      </c>
      <c r="C1" s="69" t="s">
        <v>988</v>
      </c>
      <c r="D1" s="70" t="s">
        <v>989</v>
      </c>
      <c r="E1" s="70" t="s">
        <v>990</v>
      </c>
      <c r="F1" s="71" t="str">
        <f ca="1">IFERROR(__xludf.DUMMYFUNCTION("IMPORTRANGE(""https://docs.google.com/spreadsheets/d/1458f4-GkyML2z-1bvHCzaFbD7yQ8l37XUJsO63XH9oo/edit"",""fish!A:S"")"),"p")</f>
        <v>p</v>
      </c>
      <c r="G1" s="72" t="str">
        <f ca="1">IFERROR(__xludf.DUMMYFUNCTION("""COMPUTED_VALUE"""),"Plasmid description")</f>
        <v>Plasmid description</v>
      </c>
      <c r="H1" s="73" t="str">
        <f ca="1">IFERROR(__xludf.DUMMYFUNCTION("""COMPUTED_VALUE"""),"DOB")</f>
        <v>DOB</v>
      </c>
      <c r="I1" s="72" t="str">
        <f ca="1">IFERROR(__xludf.DUMMYFUNCTION("""COMPUTED_VALUE"""),"Plasmid")</f>
        <v>Plasmid</v>
      </c>
      <c r="J1" s="72" t="str">
        <f ca="1">IFERROR(__xludf.DUMMYFUNCTION("""COMPUTED_VALUE"""),"Transgenesis")</f>
        <v>Transgenesis</v>
      </c>
      <c r="K1" s="72" t="str">
        <f ca="1">IFERROR(__xludf.DUMMYFUNCTION("""COMPUTED_VALUE"""),"Allele")</f>
        <v>Allele</v>
      </c>
      <c r="L1" s="72" t="str">
        <f ca="1">IFERROR(__xludf.DUMMYFUNCTION("""COMPUTED_VALUE"""),"genetic background")</f>
        <v>genetic background</v>
      </c>
      <c r="M1" s="72" t="str">
        <f ca="1">IFERROR(__xludf.DUMMYFUNCTION("""COMPUTED_VALUE"""),"Screening Date")</f>
        <v>Screening Date</v>
      </c>
      <c r="N1" s="72" t="str">
        <f ca="1">IFERROR(__xludf.DUMMYFUNCTION("""COMPUTED_VALUE"""),"mom")</f>
        <v>mom</v>
      </c>
      <c r="O1" s="72" t="str">
        <f ca="1">IFERROR(__xludf.DUMMYFUNCTION("""COMPUTED_VALUE"""),"dad")</f>
        <v>dad</v>
      </c>
      <c r="P1" s="74" t="str">
        <f ca="1">IFERROR(__xludf.DUMMYFUNCTION("""COMPUTED_VALUE"""),"line_building_stage")</f>
        <v>line_building_stage</v>
      </c>
      <c r="Q1" s="72" t="str">
        <f ca="1">IFERROR(__xludf.DUMMYFUNCTION("""COMPUTED_VALUE"""),"Notes")</f>
        <v>Notes</v>
      </c>
      <c r="R1" s="75" t="str">
        <f ca="1">IFERROR(__xludf.DUMMYFUNCTION("""COMPUTED_VALUE"""),"target 1")</f>
        <v>target 1</v>
      </c>
      <c r="S1" s="76" t="str">
        <f ca="1">IFERROR(__xludf.DUMMYFUNCTION("""COMPUTED_VALUE"""),"excitation wavelength 1")</f>
        <v>excitation wavelength 1</v>
      </c>
      <c r="T1" s="75" t="str">
        <f ca="1">IFERROR(__xludf.DUMMYFUNCTION("""COMPUTED_VALUE"""),"target 2")</f>
        <v>target 2</v>
      </c>
      <c r="U1" s="76" t="str">
        <f ca="1">IFERROR(__xludf.DUMMYFUNCTION("""COMPUTED_VALUE"""),"excitation wavelength 2")</f>
        <v>excitation wavelength 2</v>
      </c>
      <c r="V1" s="75" t="str">
        <f ca="1">IFERROR(__xludf.DUMMYFUNCTION("""COMPUTED_VALUE"""),"target 3")</f>
        <v>target 3</v>
      </c>
      <c r="W1" s="76" t="str">
        <f ca="1">IFERROR(__xludf.DUMMYFUNCTION("""COMPUTED_VALUE"""),"excitation wavelength 3")</f>
        <v>excitation wavelength 3</v>
      </c>
      <c r="X1" s="75" t="str">
        <f ca="1">IFERROR(__xludf.DUMMYFUNCTION("""COMPUTED_VALUE"""),"target 4")</f>
        <v>target 4</v>
      </c>
      <c r="Y1" s="11"/>
      <c r="Z1" s="11"/>
      <c r="AA1" s="11"/>
      <c r="AB1" s="11"/>
      <c r="AC1" s="11"/>
      <c r="AD1" s="11"/>
      <c r="AE1" s="11"/>
      <c r="AF1" s="11"/>
    </row>
    <row r="2" spans="1:32" ht="15.75" customHeight="1" x14ac:dyDescent="0.15">
      <c r="A2" s="1" t="s">
        <v>32</v>
      </c>
      <c r="B2" s="1" t="str">
        <f ca="1">IFERROR(__xludf.DUMMYFUNCTION("IFERROR(JOIN("","", UNIQUE(filter({VLOOKUP(A2,external_fish!C:X,13, FALSE); VLOOKUP(A2,external_fish!C:X,15, FALSE); VLOOKUP(A2,external_fish!C:X,17, FALSE); VLOOKUP(A2,external_fish!C:X,19, FALSE)}, {VLOOKUP(A2,external_fish!C:X,13, FALSE); VLOOKUP(A2,ex"&amp;"ternal_fish!C:X,15, FALSE); VLOOKUP(A2,external_fish!C:X,17, FALSE); VLOOKUP(A2,external_fish!C:X,19, FALSE)}&lt;&gt;""""))), """")"),"")</f>
        <v/>
      </c>
      <c r="C2" s="77" t="str">
        <f t="shared" ref="C2:C61" ca="1" si="0">IF(ISBLANK(D2), F2, CONCATENATE(G2, " (", E2, " of allele ", K2, ")" ))</f>
        <v>ef1a:2xLynk:tdmSG(J) (F1 of allele 301)</v>
      </c>
      <c r="D2" s="78" t="str">
        <f t="shared" ref="D2:D141" ca="1" si="1">IF(ISBLANK(K2), , CONCATENATE("(", E2, " of allele ", K2, ")"))</f>
        <v>(F1 of allele 301)</v>
      </c>
      <c r="E2" s="78" t="str">
        <f ca="1">IFERROR(__xludf.DUMMYFUNCTION("IFERROR(REGEXEXTRACT(N2, ""F\d+""), ""F1"")"),"F1")</f>
        <v>F1</v>
      </c>
      <c r="F2" s="79" t="str">
        <f ca="1">IFERROR(__xludf.DUMMYFUNCTION("""COMPUTED_VALUE"""),"tandem mem:mStayGold")</f>
        <v>tandem mem:mStayGold</v>
      </c>
      <c r="G2" s="10" t="str">
        <f ca="1">IFERROR(__xludf.DUMMYFUNCTION("""COMPUTED_VALUE"""),"ef1a:2xLynk:tdmSG(J)")</f>
        <v>ef1a:2xLynk:tdmSG(J)</v>
      </c>
      <c r="H2" s="80">
        <f ca="1">IFERROR(__xludf.DUMMYFUNCTION("""COMPUTED_VALUE"""),45520)</f>
        <v>45520</v>
      </c>
      <c r="I2" s="10" t="str">
        <f ca="1">IFERROR(__xludf.DUMMYFUNCTION("""COMPUTED_VALUE"""),"pDQM005")</f>
        <v>pDQM005</v>
      </c>
      <c r="J2" s="10" t="str">
        <f ca="1">IFERROR(__xludf.DUMMYFUNCTION("""COMPUTED_VALUE"""),"tol2")</f>
        <v>tol2</v>
      </c>
      <c r="K2" s="10">
        <f ca="1">IFERROR(__xludf.DUMMYFUNCTION("""COMPUTED_VALUE"""),301)</f>
        <v>301</v>
      </c>
      <c r="L2" s="10" t="str">
        <f ca="1">IFERROR(__xludf.DUMMYFUNCTION("""COMPUTED_VALUE"""),"casper")</f>
        <v>casper</v>
      </c>
      <c r="M2" s="80">
        <f ca="1">IFERROR(__xludf.DUMMYFUNCTION("""COMPUTED_VALUE"""),45610)</f>
        <v>45610</v>
      </c>
      <c r="N2" s="10" t="str">
        <f ca="1">IFERROR(__xludf.DUMMYFUNCTION("""COMPUTED_VALUE"""),"csp")</f>
        <v>csp</v>
      </c>
      <c r="O2" s="10" t="str">
        <f ca="1">IFERROR(__xludf.DUMMYFUNCTION("""COMPUTED_VALUE"""),"csp")</f>
        <v>csp</v>
      </c>
      <c r="P2" s="81" t="str">
        <f ca="1">IFERROR(__xludf.DUMMYFUNCTION("""COMPUTED_VALUE"""),"P0_founder")</f>
        <v>P0_founder</v>
      </c>
      <c r="Q2" s="10" t="str">
        <f ca="1">IFERROR(__xludf.DUMMYFUNCTION("""COMPUTED_VALUE"""),"male #8 - best founder (40-50% transmission, multiple alleles, bright!!!)")</f>
        <v>male #8 - best founder (40-50% transmission, multiple alleles, bright!!!)</v>
      </c>
      <c r="R2" s="80" t="str">
        <f ca="1">IFERROR(__xludf.DUMMYFUNCTION("""COMPUTED_VALUE"""),"membrane")</f>
        <v>membrane</v>
      </c>
      <c r="S2" s="82">
        <f ca="1">IFERROR(__xludf.DUMMYFUNCTION("""COMPUTED_VALUE"""),488)</f>
        <v>488</v>
      </c>
      <c r="T2" s="10"/>
      <c r="U2" s="10"/>
      <c r="V2" s="10"/>
      <c r="W2" s="10"/>
      <c r="X2" s="10"/>
    </row>
    <row r="3" spans="1:32" ht="15.75" customHeight="1" x14ac:dyDescent="0.15">
      <c r="A3" s="1" t="s">
        <v>180</v>
      </c>
      <c r="B3" s="1" t="str">
        <f ca="1">IFERROR(__xludf.DUMMYFUNCTION("IFERROR(JOIN("","", UNIQUE(filter({VLOOKUP(A3,external_fish!C:X,13, FALSE); VLOOKUP(A3,external_fish!C:X,15, FALSE); VLOOKUP(A3,external_fish!C:X,17, FALSE); VLOOKUP(A3,external_fish!C:X,19, FALSE)}, {VLOOKUP(A3,external_fish!C:X,13, FALSE); VLOOKUP(A3,ex"&amp;"ternal_fish!C:X,15, FALSE); VLOOKUP(A3,external_fish!C:X,17, FALSE); VLOOKUP(A3,external_fish!C:X,19, FALSE)}&lt;&gt;""""))), """")"),"membrane")</f>
        <v>membrane</v>
      </c>
      <c r="C3" s="77" t="str">
        <f t="shared" ca="1" si="0"/>
        <v>ef1a:2xLynk:tdmSG(J) (F1 of allele 301)</v>
      </c>
      <c r="D3" s="78" t="str">
        <f t="shared" ca="1" si="1"/>
        <v>(F1 of allele 301)</v>
      </c>
      <c r="E3" s="78" t="str">
        <f ca="1">IFERROR(__xludf.DUMMYFUNCTION("IFERROR(REGEXEXTRACT(N3, ""F\d+""), ""F1"")"),"F1")</f>
        <v>F1</v>
      </c>
      <c r="F3" s="79" t="str">
        <f ca="1">IFERROR(__xludf.DUMMYFUNCTION("""COMPUTED_VALUE"""),"tandem mem:mStayGold")</f>
        <v>tandem mem:mStayGold</v>
      </c>
      <c r="G3" s="10" t="str">
        <f ca="1">IFERROR(__xludf.DUMMYFUNCTION("""COMPUTED_VALUE"""),"ef1a:2xLynk:tdmSG(J)")</f>
        <v>ef1a:2xLynk:tdmSG(J)</v>
      </c>
      <c r="H3" s="80">
        <f ca="1">IFERROR(__xludf.DUMMYFUNCTION("""COMPUTED_VALUE"""),45608)</f>
        <v>45608</v>
      </c>
      <c r="I3" s="10" t="str">
        <f ca="1">IFERROR(__xludf.DUMMYFUNCTION("""COMPUTED_VALUE"""),"pDQM005")</f>
        <v>pDQM005</v>
      </c>
      <c r="J3" s="10" t="str">
        <f ca="1">IFERROR(__xludf.DUMMYFUNCTION("""COMPUTED_VALUE"""),"tol2")</f>
        <v>tol2</v>
      </c>
      <c r="K3" s="10">
        <f ca="1">IFERROR(__xludf.DUMMYFUNCTION("""COMPUTED_VALUE"""),301)</f>
        <v>301</v>
      </c>
      <c r="L3" s="10" t="str">
        <f ca="1">IFERROR(__xludf.DUMMYFUNCTION("""COMPUTED_VALUE"""),"casper")</f>
        <v>casper</v>
      </c>
      <c r="M3" s="80">
        <f ca="1">IFERROR(__xludf.DUMMYFUNCTION("""COMPUTED_VALUE"""),45698)</f>
        <v>45698</v>
      </c>
      <c r="N3" s="10" t="str">
        <f ca="1">IFERROR(__xludf.DUMMYFUNCTION("""COMPUTED_VALUE"""),"csp")</f>
        <v>csp</v>
      </c>
      <c r="O3" s="10">
        <f ca="1">IFERROR(__xludf.DUMMYFUNCTION("""COMPUTED_VALUE"""),301)</f>
        <v>301</v>
      </c>
      <c r="P3" s="81" t="str">
        <f ca="1">IFERROR(__xludf.DUMMYFUNCTION("""COMPUTED_VALUE"""),"F1_ox")</f>
        <v>F1_ox</v>
      </c>
      <c r="Q3" s="10" t="str">
        <f ca="1">IFERROR(__xludf.DUMMYFUNCTION("""COMPUTED_VALUE"""),"F1s of male #8 - 3 tanks started with 1 tank = ++ 2 tanks = +++")</f>
        <v>F1s of male #8 - 3 tanks started with 1 tank = ++ 2 tanks = +++</v>
      </c>
      <c r="R3" s="80" t="str">
        <f ca="1">IFERROR(__xludf.DUMMYFUNCTION("""COMPUTED_VALUE"""),"membrane")</f>
        <v>membrane</v>
      </c>
      <c r="S3" s="82">
        <f ca="1">IFERROR(__xludf.DUMMYFUNCTION("""COMPUTED_VALUE"""),488)</f>
        <v>488</v>
      </c>
      <c r="T3" s="10"/>
      <c r="U3" s="10"/>
      <c r="V3" s="10"/>
      <c r="W3" s="10"/>
      <c r="X3" s="10"/>
    </row>
    <row r="4" spans="1:32" ht="15.75" customHeight="1" x14ac:dyDescent="0.15">
      <c r="A4" s="1" t="s">
        <v>170</v>
      </c>
      <c r="B4" s="1" t="str">
        <f ca="1">IFERROR(__xludf.DUMMYFUNCTION("IFERROR(JOIN("","", UNIQUE(filter({VLOOKUP(A4,external_fish!C:X,13, FALSE); VLOOKUP(A4,external_fish!C:X,15, FALSE); VLOOKUP(A4,external_fish!C:X,17, FALSE); VLOOKUP(A4,external_fish!C:X,19, FALSE)}, {VLOOKUP(A4,external_fish!C:X,13, FALSE); VLOOKUP(A4,ex"&amp;"ternal_fish!C:X,15, FALSE); VLOOKUP(A4,external_fish!C:X,17, FALSE); VLOOKUP(A4,external_fish!C:X,19, FALSE)}&lt;&gt;""""))), """")"),"membrane")</f>
        <v>membrane</v>
      </c>
      <c r="C4" s="77" t="str">
        <f t="shared" ca="1" si="0"/>
        <v>ef1a:2xLynk:tdmSG(J) (F1 of allele 301)</v>
      </c>
      <c r="D4" s="78" t="str">
        <f t="shared" ca="1" si="1"/>
        <v>(F1 of allele 301)</v>
      </c>
      <c r="E4" s="78" t="str">
        <f ca="1">IFERROR(__xludf.DUMMYFUNCTION("IFERROR(REGEXEXTRACT(N4, ""F\d+""), ""F1"")"),"F1")</f>
        <v>F1</v>
      </c>
      <c r="F4" s="79" t="str">
        <f ca="1">IFERROR(__xludf.DUMMYFUNCTION("""COMPUTED_VALUE"""),"tandem mem:mStayGold")</f>
        <v>tandem mem:mStayGold</v>
      </c>
      <c r="G4" s="10" t="str">
        <f ca="1">IFERROR(__xludf.DUMMYFUNCTION("""COMPUTED_VALUE"""),"ef1a:2xLynk:tdmSG(J)")</f>
        <v>ef1a:2xLynk:tdmSG(J)</v>
      </c>
      <c r="H4" s="80">
        <f ca="1">IFERROR(__xludf.DUMMYFUNCTION("""COMPUTED_VALUE"""),45608)</f>
        <v>45608</v>
      </c>
      <c r="I4" s="10" t="str">
        <f ca="1">IFERROR(__xludf.DUMMYFUNCTION("""COMPUTED_VALUE"""),"pDQM005")</f>
        <v>pDQM005</v>
      </c>
      <c r="J4" s="10" t="str">
        <f ca="1">IFERROR(__xludf.DUMMYFUNCTION("""COMPUTED_VALUE"""),"tol2")</f>
        <v>tol2</v>
      </c>
      <c r="K4" s="10">
        <f ca="1">IFERROR(__xludf.DUMMYFUNCTION("""COMPUTED_VALUE"""),301)</f>
        <v>301</v>
      </c>
      <c r="L4" s="10" t="str">
        <f ca="1">IFERROR(__xludf.DUMMYFUNCTION("""COMPUTED_VALUE"""),"casper")</f>
        <v>casper</v>
      </c>
      <c r="M4" s="10"/>
      <c r="N4" s="10">
        <f ca="1">IFERROR(__xludf.DUMMYFUNCTION("""COMPUTED_VALUE"""),301)</f>
        <v>301</v>
      </c>
      <c r="O4" s="10">
        <f ca="1">IFERROR(__xludf.DUMMYFUNCTION("""COMPUTED_VALUE"""),301)</f>
        <v>301</v>
      </c>
      <c r="P4" s="81" t="str">
        <f ca="1">IFERROR(__xludf.DUMMYFUNCTION("""COMPUTED_VALUE"""),"F2_ix")</f>
        <v>F2_ix</v>
      </c>
      <c r="Q4" s="10" t="str">
        <f ca="1">IFERROR(__xludf.DUMMYFUNCTION("""COMPUTED_VALUE"""),"F2s of allele 301 incross")</f>
        <v>F2s of allele 301 incross</v>
      </c>
      <c r="R4" s="80" t="str">
        <f ca="1">IFERROR(__xludf.DUMMYFUNCTION("""COMPUTED_VALUE"""),"membrane")</f>
        <v>membrane</v>
      </c>
      <c r="S4" s="82">
        <f ca="1">IFERROR(__xludf.DUMMYFUNCTION("""COMPUTED_VALUE"""),488)</f>
        <v>488</v>
      </c>
      <c r="T4" s="10"/>
      <c r="U4" s="10"/>
      <c r="V4" s="10"/>
      <c r="W4" s="10"/>
      <c r="X4" s="10"/>
    </row>
    <row r="5" spans="1:32" ht="15.75" customHeight="1" x14ac:dyDescent="0.15">
      <c r="A5" s="1"/>
      <c r="B5" s="1" t="str">
        <f ca="1">IFERROR(__xludf.DUMMYFUNCTION("IFERROR(JOIN("","", UNIQUE(filter({VLOOKUP(A5,C:X,13, FALSE); VLOOKUP(A5,C:X,15, FALSE); VLOOKUP(A5,C:X,17, FALSE); VLOOKUP(A5,C:X,19, FALSE)}, {VLOOKUP(A5,C:X,13, FALSE); VLOOKUP(A5,C:X,15, FALSE); VLOOKUP(A5,C:X,17, FALSE); VLOOKUP(A5,C:X,19, FALSE)}&lt;&gt;"&amp;"""""))), """")"),"")</f>
        <v/>
      </c>
      <c r="C5" s="77" t="str">
        <f t="shared" ca="1" si="0"/>
        <v>ef1a:2xLynk:tdmSG(J) (F1 of allele 302)</v>
      </c>
      <c r="D5" s="78" t="str">
        <f t="shared" ca="1" si="1"/>
        <v>(F1 of allele 302)</v>
      </c>
      <c r="E5" s="78" t="str">
        <f ca="1">IFERROR(__xludf.DUMMYFUNCTION("IFERROR(REGEXEXTRACT(N5, ""F\d+""), ""F1"")"),"F1")</f>
        <v>F1</v>
      </c>
      <c r="F5" s="79" t="str">
        <f ca="1">IFERROR(__xludf.DUMMYFUNCTION("""COMPUTED_VALUE"""),"tandem mem:mStayGold")</f>
        <v>tandem mem:mStayGold</v>
      </c>
      <c r="G5" s="10" t="str">
        <f ca="1">IFERROR(__xludf.DUMMYFUNCTION("""COMPUTED_VALUE"""),"ef1a:2xLynk:tdmSG(J)")</f>
        <v>ef1a:2xLynk:tdmSG(J)</v>
      </c>
      <c r="H5" s="80">
        <f ca="1">IFERROR(__xludf.DUMMYFUNCTION("""COMPUTED_VALUE"""),45520)</f>
        <v>45520</v>
      </c>
      <c r="I5" s="10" t="str">
        <f ca="1">IFERROR(__xludf.DUMMYFUNCTION("""COMPUTED_VALUE"""),"pDQM005")</f>
        <v>pDQM005</v>
      </c>
      <c r="J5" s="10" t="str">
        <f ca="1">IFERROR(__xludf.DUMMYFUNCTION("""COMPUTED_VALUE"""),"tol2")</f>
        <v>tol2</v>
      </c>
      <c r="K5" s="10">
        <f ca="1">IFERROR(__xludf.DUMMYFUNCTION("""COMPUTED_VALUE"""),302)</f>
        <v>302</v>
      </c>
      <c r="L5" s="10" t="str">
        <f ca="1">IFERROR(__xludf.DUMMYFUNCTION("""COMPUTED_VALUE"""),"casper")</f>
        <v>casper</v>
      </c>
      <c r="M5" s="80">
        <f ca="1">IFERROR(__xludf.DUMMYFUNCTION("""COMPUTED_VALUE"""),45610)</f>
        <v>45610</v>
      </c>
      <c r="N5" s="10" t="str">
        <f ca="1">IFERROR(__xludf.DUMMYFUNCTION("""COMPUTED_VALUE"""),"csp")</f>
        <v>csp</v>
      </c>
      <c r="O5" s="10" t="str">
        <f ca="1">IFERROR(__xludf.DUMMYFUNCTION("""COMPUTED_VALUE"""),"csp")</f>
        <v>csp</v>
      </c>
      <c r="P5" s="81" t="str">
        <f ca="1">IFERROR(__xludf.DUMMYFUNCTION("""COMPUTED_VALUE"""),"P0_founder")</f>
        <v>P0_founder</v>
      </c>
      <c r="Q5" s="10" t="str">
        <f ca="1">IFERROR(__xludf.DUMMYFUNCTION("""COMPUTED_VALUE"""),"male #11 - bright, low frequency transmission (&lt;10%)")</f>
        <v>male #11 - bright, low frequency transmission (&lt;10%)</v>
      </c>
      <c r="R5" s="80" t="str">
        <f ca="1">IFERROR(__xludf.DUMMYFUNCTION("""COMPUTED_VALUE"""),"membrane")</f>
        <v>membrane</v>
      </c>
      <c r="S5" s="82">
        <f ca="1">IFERROR(__xludf.DUMMYFUNCTION("""COMPUTED_VALUE"""),488)</f>
        <v>488</v>
      </c>
      <c r="T5" s="10"/>
      <c r="U5" s="10"/>
      <c r="V5" s="10"/>
      <c r="W5" s="10"/>
      <c r="X5" s="10"/>
    </row>
    <row r="6" spans="1:32" ht="15.75" customHeight="1" x14ac:dyDescent="0.15">
      <c r="A6" s="1" t="s">
        <v>39</v>
      </c>
      <c r="B6" s="1" t="str">
        <f ca="1">IFERROR(__xludf.DUMMYFUNCTION("IFERROR(JOIN("","", UNIQUE(filter({VLOOKUP(A6,C:X,13, FALSE); VLOOKUP(A6,C:X,15, FALSE); VLOOKUP(A6,C:X,17, FALSE); VLOOKUP(A6,C:X,19, FALSE)}, {VLOOKUP(A6,C:X,13, FALSE); VLOOKUP(A6,C:X,15, FALSE); VLOOKUP(A6,C:X,17, FALSE); VLOOKUP(A6,C:X,19, FALSE)}&lt;&gt;"&amp;"""""))), """")"),"csp,male #8 - best founder (40-50% transmission, multiple alleles, bright!!!),488")</f>
        <v>csp,male #8 - best founder (40-50% transmission, multiple alleles, bright!!!),488</v>
      </c>
      <c r="C6" s="77" t="str">
        <f t="shared" ca="1" si="0"/>
        <v>ef1a:2xLynk:tdmSG(J) (F1 of allele 302)</v>
      </c>
      <c r="D6" s="78" t="str">
        <f t="shared" ca="1" si="1"/>
        <v>(F1 of allele 302)</v>
      </c>
      <c r="E6" s="78" t="str">
        <f ca="1">IFERROR(__xludf.DUMMYFUNCTION("IFERROR(REGEXEXTRACT(N6, ""F\d+""), ""F1"")"),"F1")</f>
        <v>F1</v>
      </c>
      <c r="F6" s="79" t="str">
        <f ca="1">IFERROR(__xludf.DUMMYFUNCTION("""COMPUTED_VALUE"""),"tandem mem:mStayGold")</f>
        <v>tandem mem:mStayGold</v>
      </c>
      <c r="G6" s="10" t="str">
        <f ca="1">IFERROR(__xludf.DUMMYFUNCTION("""COMPUTED_VALUE"""),"ef1a:2xLynk:tdmSG(J)")</f>
        <v>ef1a:2xLynk:tdmSG(J)</v>
      </c>
      <c r="H6" s="80">
        <f ca="1">IFERROR(__xludf.DUMMYFUNCTION("""COMPUTED_VALUE"""),45621)</f>
        <v>45621</v>
      </c>
      <c r="I6" s="10" t="str">
        <f ca="1">IFERROR(__xludf.DUMMYFUNCTION("""COMPUTED_VALUE"""),"pDQM005")</f>
        <v>pDQM005</v>
      </c>
      <c r="J6" s="10" t="str">
        <f ca="1">IFERROR(__xludf.DUMMYFUNCTION("""COMPUTED_VALUE"""),"tol2")</f>
        <v>tol2</v>
      </c>
      <c r="K6" s="10">
        <f ca="1">IFERROR(__xludf.DUMMYFUNCTION("""COMPUTED_VALUE"""),302)</f>
        <v>302</v>
      </c>
      <c r="L6" s="10" t="str">
        <f ca="1">IFERROR(__xludf.DUMMYFUNCTION("""COMPUTED_VALUE"""),"casper")</f>
        <v>casper</v>
      </c>
      <c r="M6" s="80">
        <f ca="1">IFERROR(__xludf.DUMMYFUNCTION("""COMPUTED_VALUE"""),45711)</f>
        <v>45711</v>
      </c>
      <c r="N6" s="10" t="str">
        <f ca="1">IFERROR(__xludf.DUMMYFUNCTION("""COMPUTED_VALUE"""),"csp")</f>
        <v>csp</v>
      </c>
      <c r="O6" s="10">
        <f ca="1">IFERROR(__xludf.DUMMYFUNCTION("""COMPUTED_VALUE"""),302)</f>
        <v>302</v>
      </c>
      <c r="P6" s="81" t="str">
        <f ca="1">IFERROR(__xludf.DUMMYFUNCTION("""COMPUTED_VALUE"""),"F1_ox")</f>
        <v>F1_ox</v>
      </c>
      <c r="Q6" s="10" t="str">
        <f ca="1">IFERROR(__xludf.DUMMYFUNCTION("""COMPUTED_VALUE"""),"F1s of male #11 (1 tank few fish surviving)")</f>
        <v>F1s of male #11 (1 tank few fish surviving)</v>
      </c>
      <c r="R6" s="80" t="str">
        <f ca="1">IFERROR(__xludf.DUMMYFUNCTION("""COMPUTED_VALUE"""),"membrane")</f>
        <v>membrane</v>
      </c>
      <c r="S6" s="82">
        <f ca="1">IFERROR(__xludf.DUMMYFUNCTION("""COMPUTED_VALUE"""),488)</f>
        <v>488</v>
      </c>
      <c r="T6" s="10"/>
      <c r="U6" s="10"/>
      <c r="V6" s="10"/>
      <c r="W6" s="10"/>
      <c r="X6" s="10"/>
    </row>
    <row r="7" spans="1:32" ht="15.75" customHeight="1" x14ac:dyDescent="0.15">
      <c r="A7" s="1" t="s">
        <v>28</v>
      </c>
      <c r="B7" s="1" t="str">
        <f ca="1">IFERROR(__xludf.DUMMYFUNCTION("IFERROR(JOIN("","", UNIQUE(filter({VLOOKUP(A7,C:X,13, FALSE); VLOOKUP(A7,C:X,15, FALSE); VLOOKUP(A7,C:X,17, FALSE); VLOOKUP(A7,C:X,19, FALSE)}, {VLOOKUP(A7,C:X,13, FALSE); VLOOKUP(A7,C:X,15, FALSE); VLOOKUP(A7,C:X,17, FALSE); VLOOKUP(A7,C:X,19, FALSE)}&lt;&gt;"&amp;"""""))), """")"),"csp,male #11 - bright, low frequency transmission (&lt;10%),488")</f>
        <v>csp,male #11 - bright, low frequency transmission (&lt;10%),488</v>
      </c>
      <c r="C7" s="77" t="str">
        <f t="shared" ca="1" si="0"/>
        <v>ef1a:2xLynk:tdmSG(J) (F1 of allele 302)</v>
      </c>
      <c r="D7" s="78" t="str">
        <f t="shared" ca="1" si="1"/>
        <v>(F1 of allele 302)</v>
      </c>
      <c r="E7" s="78" t="str">
        <f ca="1">IFERROR(__xludf.DUMMYFUNCTION("IFERROR(REGEXEXTRACT(N7, ""F\d+""), ""F1"")"),"F1")</f>
        <v>F1</v>
      </c>
      <c r="F7" s="79" t="str">
        <f ca="1">IFERROR(__xludf.DUMMYFUNCTION("""COMPUTED_VALUE"""),"tandem mem:mStayGold")</f>
        <v>tandem mem:mStayGold</v>
      </c>
      <c r="G7" s="10" t="str">
        <f ca="1">IFERROR(__xludf.DUMMYFUNCTION("""COMPUTED_VALUE"""),"ef1a:2xLynk:tdmSG(J)")</f>
        <v>ef1a:2xLynk:tdmSG(J)</v>
      </c>
      <c r="H7" s="80">
        <f ca="1">IFERROR(__xludf.DUMMYFUNCTION("""COMPUTED_VALUE"""),45621)</f>
        <v>45621</v>
      </c>
      <c r="I7" s="10" t="str">
        <f ca="1">IFERROR(__xludf.DUMMYFUNCTION("""COMPUTED_VALUE"""),"pDQM005")</f>
        <v>pDQM005</v>
      </c>
      <c r="J7" s="10" t="str">
        <f ca="1">IFERROR(__xludf.DUMMYFUNCTION("""COMPUTED_VALUE"""),"tol2")</f>
        <v>tol2</v>
      </c>
      <c r="K7" s="10">
        <f ca="1">IFERROR(__xludf.DUMMYFUNCTION("""COMPUTED_VALUE"""),302)</f>
        <v>302</v>
      </c>
      <c r="L7" s="10" t="str">
        <f ca="1">IFERROR(__xludf.DUMMYFUNCTION("""COMPUTED_VALUE"""),"casper")</f>
        <v>casper</v>
      </c>
      <c r="M7" s="10"/>
      <c r="N7" s="10">
        <f ca="1">IFERROR(__xludf.DUMMYFUNCTION("""COMPUTED_VALUE"""),302)</f>
        <v>302</v>
      </c>
      <c r="O7" s="10">
        <f ca="1">IFERROR(__xludf.DUMMYFUNCTION("""COMPUTED_VALUE"""),302)</f>
        <v>302</v>
      </c>
      <c r="P7" s="81" t="str">
        <f ca="1">IFERROR(__xludf.DUMMYFUNCTION("""COMPUTED_VALUE"""),"F2_ix")</f>
        <v>F2_ix</v>
      </c>
      <c r="Q7" s="10" t="str">
        <f ca="1">IFERROR(__xludf.DUMMYFUNCTION("""COMPUTED_VALUE"""),"F2s of allele 302 incross")</f>
        <v>F2s of allele 302 incross</v>
      </c>
      <c r="R7" s="80" t="str">
        <f ca="1">IFERROR(__xludf.DUMMYFUNCTION("""COMPUTED_VALUE"""),"membrane")</f>
        <v>membrane</v>
      </c>
      <c r="S7" s="82">
        <f ca="1">IFERROR(__xludf.DUMMYFUNCTION("""COMPUTED_VALUE"""),488)</f>
        <v>488</v>
      </c>
      <c r="T7" s="10"/>
      <c r="U7" s="10"/>
      <c r="V7" s="10"/>
      <c r="W7" s="10"/>
      <c r="X7" s="10"/>
    </row>
    <row r="8" spans="1:32" ht="15.75" customHeight="1" x14ac:dyDescent="0.15">
      <c r="A8" s="1" t="s">
        <v>991</v>
      </c>
      <c r="B8" s="1" t="str">
        <f ca="1">IFERROR(__xludf.DUMMYFUNCTION("IFERROR(JOIN("","", UNIQUE(filter({VLOOKUP(A8,C:X,13, FALSE); VLOOKUP(A8,C:X,15, FALSE); VLOOKUP(A8,C:X,17, FALSE); VLOOKUP(A8,C:X,19, FALSE)}, {VLOOKUP(A8,C:X,13, FALSE); VLOOKUP(A8,C:X,15, FALSE); VLOOKUP(A8,C:X,17, FALSE); VLOOKUP(A8,C:X,19, FALSE)}&lt;&gt;"&amp;"""""))), """")"),"csp,male #17 - bright, low frequency transmission (&lt;10%),488")</f>
        <v>csp,male #17 - bright, low frequency transmission (&lt;10%),488</v>
      </c>
      <c r="C8" s="77" t="str">
        <f t="shared" ca="1" si="0"/>
        <v>ef1a:2xLynk:tdmSG(J) (F1 of allele 303)</v>
      </c>
      <c r="D8" s="78" t="str">
        <f t="shared" ca="1" si="1"/>
        <v>(F1 of allele 303)</v>
      </c>
      <c r="E8" s="78" t="str">
        <f ca="1">IFERROR(__xludf.DUMMYFUNCTION("IFERROR(REGEXEXTRACT(N8, ""F\d+""), ""F1"")"),"F1")</f>
        <v>F1</v>
      </c>
      <c r="F8" s="79" t="str">
        <f ca="1">IFERROR(__xludf.DUMMYFUNCTION("""COMPUTED_VALUE"""),"tandem mem:mStayGold")</f>
        <v>tandem mem:mStayGold</v>
      </c>
      <c r="G8" s="10" t="str">
        <f ca="1">IFERROR(__xludf.DUMMYFUNCTION("""COMPUTED_VALUE"""),"ef1a:2xLynk:tdmSG(J)")</f>
        <v>ef1a:2xLynk:tdmSG(J)</v>
      </c>
      <c r="H8" s="80">
        <f ca="1">IFERROR(__xludf.DUMMYFUNCTION("""COMPUTED_VALUE"""),45520)</f>
        <v>45520</v>
      </c>
      <c r="I8" s="10" t="str">
        <f ca="1">IFERROR(__xludf.DUMMYFUNCTION("""COMPUTED_VALUE"""),"pDQM005")</f>
        <v>pDQM005</v>
      </c>
      <c r="J8" s="10" t="str">
        <f ca="1">IFERROR(__xludf.DUMMYFUNCTION("""COMPUTED_VALUE"""),"tol2")</f>
        <v>tol2</v>
      </c>
      <c r="K8" s="10">
        <f ca="1">IFERROR(__xludf.DUMMYFUNCTION("""COMPUTED_VALUE"""),303)</f>
        <v>303</v>
      </c>
      <c r="L8" s="10" t="str">
        <f ca="1">IFERROR(__xludf.DUMMYFUNCTION("""COMPUTED_VALUE"""),"casper")</f>
        <v>casper</v>
      </c>
      <c r="M8" s="80">
        <f ca="1">IFERROR(__xludf.DUMMYFUNCTION("""COMPUTED_VALUE"""),45610)</f>
        <v>45610</v>
      </c>
      <c r="N8" s="10" t="str">
        <f ca="1">IFERROR(__xludf.DUMMYFUNCTION("""COMPUTED_VALUE"""),"csp")</f>
        <v>csp</v>
      </c>
      <c r="O8" s="10" t="str">
        <f ca="1">IFERROR(__xludf.DUMMYFUNCTION("""COMPUTED_VALUE"""),"csp")</f>
        <v>csp</v>
      </c>
      <c r="P8" s="81" t="str">
        <f ca="1">IFERROR(__xludf.DUMMYFUNCTION("""COMPUTED_VALUE"""),"P0_founder")</f>
        <v>P0_founder</v>
      </c>
      <c r="Q8" s="10" t="str">
        <f ca="1">IFERROR(__xludf.DUMMYFUNCTION("""COMPUTED_VALUE"""),"male #17 - bright, low frequency transmission (&lt;10%)")</f>
        <v>male #17 - bright, low frequency transmission (&lt;10%)</v>
      </c>
      <c r="R8" s="80" t="str">
        <f ca="1">IFERROR(__xludf.DUMMYFUNCTION("""COMPUTED_VALUE"""),"membrane")</f>
        <v>membrane</v>
      </c>
      <c r="S8" s="82">
        <f ca="1">IFERROR(__xludf.DUMMYFUNCTION("""COMPUTED_VALUE"""),488)</f>
        <v>488</v>
      </c>
      <c r="T8" s="10"/>
      <c r="U8" s="10"/>
      <c r="V8" s="10"/>
      <c r="W8" s="10"/>
      <c r="X8" s="10"/>
    </row>
    <row r="9" spans="1:32" ht="15.75" customHeight="1" x14ac:dyDescent="0.15">
      <c r="A9" s="1" t="s">
        <v>665</v>
      </c>
      <c r="B9" s="1" t="str">
        <f ca="1">IFERROR(__xludf.DUMMYFUNCTION("IFERROR(JOIN("","", UNIQUE(filter({VLOOKUP(A9,C:X,13, FALSE); VLOOKUP(A9,C:X,15, FALSE); VLOOKUP(A9,C:X,17, FALSE); VLOOKUP(A9,C:X,19, FALSE)}, {VLOOKUP(A9,C:X,13, FALSE); VLOOKUP(A9,C:X,15, FALSE); VLOOKUP(A9,C:X,17, FALSE); VLOOKUP(A9,C:X,19, FALSE)}&lt;&gt;"&amp;"""""))), """")"),"csp,male #23 - bright, low frequency transmission (&lt;10%),488")</f>
        <v>csp,male #23 - bright, low frequency transmission (&lt;10%),488</v>
      </c>
      <c r="C9" s="77" t="str">
        <f t="shared" ca="1" si="0"/>
        <v>ef1a:2xLynk:tdmSG(J) (F1 of allele 303)</v>
      </c>
      <c r="D9" s="78" t="str">
        <f t="shared" ca="1" si="1"/>
        <v>(F1 of allele 303)</v>
      </c>
      <c r="E9" s="78" t="str">
        <f ca="1">IFERROR(__xludf.DUMMYFUNCTION("IFERROR(REGEXEXTRACT(N9, ""F\d+""), ""F1"")"),"F1")</f>
        <v>F1</v>
      </c>
      <c r="F9" s="79" t="str">
        <f ca="1">IFERROR(__xludf.DUMMYFUNCTION("""COMPUTED_VALUE"""),"tandem mem:mStayGold")</f>
        <v>tandem mem:mStayGold</v>
      </c>
      <c r="G9" s="10" t="str">
        <f ca="1">IFERROR(__xludf.DUMMYFUNCTION("""COMPUTED_VALUE"""),"ef1a:2xLynk:tdmSG(J)")</f>
        <v>ef1a:2xLynk:tdmSG(J)</v>
      </c>
      <c r="H9" s="80">
        <f ca="1">IFERROR(__xludf.DUMMYFUNCTION("""COMPUTED_VALUE"""),45637)</f>
        <v>45637</v>
      </c>
      <c r="I9" s="10" t="str">
        <f ca="1">IFERROR(__xludf.DUMMYFUNCTION("""COMPUTED_VALUE"""),"pDQM005")</f>
        <v>pDQM005</v>
      </c>
      <c r="J9" s="10" t="str">
        <f ca="1">IFERROR(__xludf.DUMMYFUNCTION("""COMPUTED_VALUE"""),"tol2")</f>
        <v>tol2</v>
      </c>
      <c r="K9" s="10">
        <f ca="1">IFERROR(__xludf.DUMMYFUNCTION("""COMPUTED_VALUE"""),303)</f>
        <v>303</v>
      </c>
      <c r="L9" s="10" t="str">
        <f ca="1">IFERROR(__xludf.DUMMYFUNCTION("""COMPUTED_VALUE"""),"casper")</f>
        <v>casper</v>
      </c>
      <c r="M9" s="80">
        <f ca="1">IFERROR(__xludf.DUMMYFUNCTION("""COMPUTED_VALUE"""),45727)</f>
        <v>45727</v>
      </c>
      <c r="N9" s="10" t="str">
        <f ca="1">IFERROR(__xludf.DUMMYFUNCTION("""COMPUTED_VALUE"""),"csp")</f>
        <v>csp</v>
      </c>
      <c r="O9" s="10">
        <f ca="1">IFERROR(__xludf.DUMMYFUNCTION("""COMPUTED_VALUE"""),303)</f>
        <v>303</v>
      </c>
      <c r="P9" s="81" t="str">
        <f ca="1">IFERROR(__xludf.DUMMYFUNCTION("""COMPUTED_VALUE"""),"F1_ox")</f>
        <v>F1_ox</v>
      </c>
      <c r="Q9" s="10" t="str">
        <f ca="1">IFERROR(__xludf.DUMMYFUNCTION("""COMPUTED_VALUE"""),"F1s of male #17 1 tank started")</f>
        <v>F1s of male #17 1 tank started</v>
      </c>
      <c r="R9" s="80" t="str">
        <f ca="1">IFERROR(__xludf.DUMMYFUNCTION("""COMPUTED_VALUE"""),"membrane")</f>
        <v>membrane</v>
      </c>
      <c r="S9" s="82">
        <f ca="1">IFERROR(__xludf.DUMMYFUNCTION("""COMPUTED_VALUE"""),488)</f>
        <v>488</v>
      </c>
      <c r="T9" s="10"/>
      <c r="U9" s="10"/>
      <c r="V9" s="10"/>
      <c r="W9" s="10"/>
      <c r="X9" s="10"/>
    </row>
    <row r="10" spans="1:32" ht="15.75" customHeight="1" x14ac:dyDescent="0.15">
      <c r="A10" s="1" t="s">
        <v>668</v>
      </c>
      <c r="B10" s="1" t="str">
        <f ca="1">IFERROR(__xludf.DUMMYFUNCTION("IFERROR(JOIN("","", UNIQUE(filter({VLOOKUP(A10,C:X,13, FALSE); VLOOKUP(A10,C:X,15, FALSE); VLOOKUP(A10,C:X,17, FALSE); VLOOKUP(A10,C:X,19, FALSE)}, {VLOOKUP(A10,C:X,13, FALSE); VLOOKUP(A10,C:X,15, FALSE); VLOOKUP(A10,C:X,17, FALSE); VLOOKUP(A10,C:X,19, FA"&amp;"LSE)}&lt;&gt;""""))), """")"),"csp,male #26 - bright, low frequency transmission (&lt;10%),488")</f>
        <v>csp,male #26 - bright, low frequency transmission (&lt;10%),488</v>
      </c>
      <c r="C10" s="77" t="str">
        <f t="shared" ca="1" si="0"/>
        <v>ef1a:2xLynk:tdmSG(J) (F1 of allele 304)</v>
      </c>
      <c r="D10" s="78" t="str">
        <f t="shared" ca="1" si="1"/>
        <v>(F1 of allele 304)</v>
      </c>
      <c r="E10" s="78" t="str">
        <f ca="1">IFERROR(__xludf.DUMMYFUNCTION("IFERROR(REGEXEXTRACT(N10, ""F\d+""), ""F1"")"),"F1")</f>
        <v>F1</v>
      </c>
      <c r="F10" s="79" t="str">
        <f ca="1">IFERROR(__xludf.DUMMYFUNCTION("""COMPUTED_VALUE"""),"tandem mem:mStayGold")</f>
        <v>tandem mem:mStayGold</v>
      </c>
      <c r="G10" s="10" t="str">
        <f ca="1">IFERROR(__xludf.DUMMYFUNCTION("""COMPUTED_VALUE"""),"ef1a:2xLynk:tdmSG(J)")</f>
        <v>ef1a:2xLynk:tdmSG(J)</v>
      </c>
      <c r="H10" s="80">
        <f ca="1">IFERROR(__xludf.DUMMYFUNCTION("""COMPUTED_VALUE"""),45520)</f>
        <v>45520</v>
      </c>
      <c r="I10" s="10" t="str">
        <f ca="1">IFERROR(__xludf.DUMMYFUNCTION("""COMPUTED_VALUE"""),"pDQM005")</f>
        <v>pDQM005</v>
      </c>
      <c r="J10" s="10" t="str">
        <f ca="1">IFERROR(__xludf.DUMMYFUNCTION("""COMPUTED_VALUE"""),"tol2")</f>
        <v>tol2</v>
      </c>
      <c r="K10" s="10">
        <f ca="1">IFERROR(__xludf.DUMMYFUNCTION("""COMPUTED_VALUE"""),304)</f>
        <v>304</v>
      </c>
      <c r="L10" s="10" t="str">
        <f ca="1">IFERROR(__xludf.DUMMYFUNCTION("""COMPUTED_VALUE"""),"casper")</f>
        <v>casper</v>
      </c>
      <c r="M10" s="80">
        <f ca="1">IFERROR(__xludf.DUMMYFUNCTION("""COMPUTED_VALUE"""),45610)</f>
        <v>45610</v>
      </c>
      <c r="N10" s="10" t="str">
        <f ca="1">IFERROR(__xludf.DUMMYFUNCTION("""COMPUTED_VALUE"""),"csp")</f>
        <v>csp</v>
      </c>
      <c r="O10" s="10" t="str">
        <f ca="1">IFERROR(__xludf.DUMMYFUNCTION("""COMPUTED_VALUE"""),"csp")</f>
        <v>csp</v>
      </c>
      <c r="P10" s="81" t="str">
        <f ca="1">IFERROR(__xludf.DUMMYFUNCTION("""COMPUTED_VALUE"""),"P0_founder")</f>
        <v>P0_founder</v>
      </c>
      <c r="Q10" s="10" t="str">
        <f ca="1">IFERROR(__xludf.DUMMYFUNCTION("""COMPUTED_VALUE"""),"male #23 - bright, low frequency transmission (&lt;10%)")</f>
        <v>male #23 - bright, low frequency transmission (&lt;10%)</v>
      </c>
      <c r="R10" s="80" t="str">
        <f ca="1">IFERROR(__xludf.DUMMYFUNCTION("""COMPUTED_VALUE"""),"membrane")</f>
        <v>membrane</v>
      </c>
      <c r="S10" s="82">
        <f ca="1">IFERROR(__xludf.DUMMYFUNCTION("""COMPUTED_VALUE"""),488)</f>
        <v>488</v>
      </c>
      <c r="T10" s="10"/>
      <c r="U10" s="10"/>
      <c r="V10" s="10"/>
      <c r="W10" s="10"/>
      <c r="X10" s="10"/>
    </row>
    <row r="11" spans="1:32" ht="15.75" customHeight="1" x14ac:dyDescent="0.15">
      <c r="A11" s="1" t="s">
        <v>992</v>
      </c>
      <c r="B11" s="1" t="str">
        <f ca="1">IFERROR(__xludf.DUMMYFUNCTION("IFERROR(JOIN("","", UNIQUE(filter({VLOOKUP(A11,C:X,13, FALSE); VLOOKUP(A11,C:X,15, FALSE); VLOOKUP(A11,C:X,17, FALSE); VLOOKUP(A11,C:X,19, FALSE)}, {VLOOKUP(A11,C:X,13, FALSE); VLOOKUP(A11,C:X,15, FALSE); VLOOKUP(A11,C:X,17, FALSE); VLOOKUP(A11,C:X,19, FA"&amp;"LSE)}&lt;&gt;""""))), """")"),"csp,male #14 - need to recross?,488")</f>
        <v>csp,male #14 - need to recross?,488</v>
      </c>
      <c r="C11" s="77" t="str">
        <f t="shared" ca="1" si="0"/>
        <v>ef1a:2xLynk:tdmSG(J) (F1 of allele 305)</v>
      </c>
      <c r="D11" s="78" t="str">
        <f t="shared" ca="1" si="1"/>
        <v>(F1 of allele 305)</v>
      </c>
      <c r="E11" s="78" t="str">
        <f ca="1">IFERROR(__xludf.DUMMYFUNCTION("IFERROR(REGEXEXTRACT(N11, ""F\d+""), ""F1"")"),"F1")</f>
        <v>F1</v>
      </c>
      <c r="F11" s="79" t="str">
        <f ca="1">IFERROR(__xludf.DUMMYFUNCTION("""COMPUTED_VALUE"""),"tandem mem:mStayGold")</f>
        <v>tandem mem:mStayGold</v>
      </c>
      <c r="G11" s="10" t="str">
        <f ca="1">IFERROR(__xludf.DUMMYFUNCTION("""COMPUTED_VALUE"""),"ef1a:2xLynk:tdmSG(J)")</f>
        <v>ef1a:2xLynk:tdmSG(J)</v>
      </c>
      <c r="H11" s="80">
        <f ca="1">IFERROR(__xludf.DUMMYFUNCTION("""COMPUTED_VALUE"""),45520)</f>
        <v>45520</v>
      </c>
      <c r="I11" s="10" t="str">
        <f ca="1">IFERROR(__xludf.DUMMYFUNCTION("""COMPUTED_VALUE"""),"pDQM005")</f>
        <v>pDQM005</v>
      </c>
      <c r="J11" s="10" t="str">
        <f ca="1">IFERROR(__xludf.DUMMYFUNCTION("""COMPUTED_VALUE"""),"tol2")</f>
        <v>tol2</v>
      </c>
      <c r="K11" s="10">
        <f ca="1">IFERROR(__xludf.DUMMYFUNCTION("""COMPUTED_VALUE"""),305)</f>
        <v>305</v>
      </c>
      <c r="L11" s="10" t="str">
        <f ca="1">IFERROR(__xludf.DUMMYFUNCTION("""COMPUTED_VALUE"""),"casper")</f>
        <v>casper</v>
      </c>
      <c r="M11" s="80">
        <f ca="1">IFERROR(__xludf.DUMMYFUNCTION("""COMPUTED_VALUE"""),45610)</f>
        <v>45610</v>
      </c>
      <c r="N11" s="10" t="str">
        <f ca="1">IFERROR(__xludf.DUMMYFUNCTION("""COMPUTED_VALUE"""),"csp")</f>
        <v>csp</v>
      </c>
      <c r="O11" s="10" t="str">
        <f ca="1">IFERROR(__xludf.DUMMYFUNCTION("""COMPUTED_VALUE"""),"csp")</f>
        <v>csp</v>
      </c>
      <c r="P11" s="81" t="str">
        <f ca="1">IFERROR(__xludf.DUMMYFUNCTION("""COMPUTED_VALUE"""),"P0_founder")</f>
        <v>P0_founder</v>
      </c>
      <c r="Q11" s="10" t="str">
        <f ca="1">IFERROR(__xludf.DUMMYFUNCTION("""COMPUTED_VALUE"""),"male #26 - bright, low frequency transmission (&lt;10%)")</f>
        <v>male #26 - bright, low frequency transmission (&lt;10%)</v>
      </c>
      <c r="R11" s="80" t="str">
        <f ca="1">IFERROR(__xludf.DUMMYFUNCTION("""COMPUTED_VALUE"""),"membrane")</f>
        <v>membrane</v>
      </c>
      <c r="S11" s="82">
        <f ca="1">IFERROR(__xludf.DUMMYFUNCTION("""COMPUTED_VALUE"""),488)</f>
        <v>488</v>
      </c>
      <c r="T11" s="10"/>
      <c r="U11" s="10"/>
      <c r="V11" s="10"/>
      <c r="W11" s="10"/>
      <c r="X11" s="10"/>
    </row>
    <row r="12" spans="1:32" ht="15.75" customHeight="1" x14ac:dyDescent="0.15">
      <c r="A12" s="1" t="s">
        <v>993</v>
      </c>
      <c r="B12" s="1" t="str">
        <f ca="1">IFERROR(__xludf.DUMMYFUNCTION("IFERROR(JOIN("","", UNIQUE(filter({VLOOKUP(A12,C:X,13, FALSE); VLOOKUP(A12,C:X,15, FALSE); VLOOKUP(A12,C:X,17, FALSE); VLOOKUP(A12,C:X,19, FALSE)}, {VLOOKUP(A12,C:X,13, FALSE); VLOOKUP(A12,C:X,15, FALSE); VLOOKUP(A12,C:X,17, FALSE); VLOOKUP(A12,C:X,19, FA"&amp;"LSE)}&lt;&gt;""""))), """")"),"csp,female B - maternal +, but low frequency transmission - zygotic allele not super bright?,488")</f>
        <v>csp,female B - maternal +, but low frequency transmission - zygotic allele not super bright?,488</v>
      </c>
      <c r="C12" s="77" t="str">
        <f t="shared" ca="1" si="0"/>
        <v>ef1a:2xLynk:tdmSG(J) (F1 of allele 306)</v>
      </c>
      <c r="D12" s="78" t="str">
        <f t="shared" ca="1" si="1"/>
        <v>(F1 of allele 306)</v>
      </c>
      <c r="E12" s="78" t="str">
        <f ca="1">IFERROR(__xludf.DUMMYFUNCTION("IFERROR(REGEXEXTRACT(N12, ""F\d+""), ""F1"")"),"F1")</f>
        <v>F1</v>
      </c>
      <c r="F12" s="79" t="str">
        <f ca="1">IFERROR(__xludf.DUMMYFUNCTION("""COMPUTED_VALUE"""),"tandem mem:mStayGold")</f>
        <v>tandem mem:mStayGold</v>
      </c>
      <c r="G12" s="10" t="str">
        <f ca="1">IFERROR(__xludf.DUMMYFUNCTION("""COMPUTED_VALUE"""),"ef1a:2xLynk:tdmSG(J)")</f>
        <v>ef1a:2xLynk:tdmSG(J)</v>
      </c>
      <c r="H12" s="80">
        <f ca="1">IFERROR(__xludf.DUMMYFUNCTION("""COMPUTED_VALUE"""),45520)</f>
        <v>45520</v>
      </c>
      <c r="I12" s="10" t="str">
        <f ca="1">IFERROR(__xludf.DUMMYFUNCTION("""COMPUTED_VALUE"""),"pDQM005")</f>
        <v>pDQM005</v>
      </c>
      <c r="J12" s="10" t="str">
        <f ca="1">IFERROR(__xludf.DUMMYFUNCTION("""COMPUTED_VALUE"""),"tol2")</f>
        <v>tol2</v>
      </c>
      <c r="K12" s="10">
        <f ca="1">IFERROR(__xludf.DUMMYFUNCTION("""COMPUTED_VALUE"""),306)</f>
        <v>306</v>
      </c>
      <c r="L12" s="10" t="str">
        <f ca="1">IFERROR(__xludf.DUMMYFUNCTION("""COMPUTED_VALUE"""),"casper")</f>
        <v>casper</v>
      </c>
      <c r="M12" s="80">
        <f ca="1">IFERROR(__xludf.DUMMYFUNCTION("""COMPUTED_VALUE"""),45610)</f>
        <v>45610</v>
      </c>
      <c r="N12" s="10" t="str">
        <f ca="1">IFERROR(__xludf.DUMMYFUNCTION("""COMPUTED_VALUE"""),"csp")</f>
        <v>csp</v>
      </c>
      <c r="O12" s="10" t="str">
        <f ca="1">IFERROR(__xludf.DUMMYFUNCTION("""COMPUTED_VALUE"""),"csp")</f>
        <v>csp</v>
      </c>
      <c r="P12" s="81" t="str">
        <f ca="1">IFERROR(__xludf.DUMMYFUNCTION("""COMPUTED_VALUE"""),"P0_founder")</f>
        <v>P0_founder</v>
      </c>
      <c r="Q12" s="10" t="str">
        <f ca="1">IFERROR(__xludf.DUMMYFUNCTION("""COMPUTED_VALUE"""),"male #14 - need to recross?")</f>
        <v>male #14 - need to recross?</v>
      </c>
      <c r="R12" s="80" t="str">
        <f ca="1">IFERROR(__xludf.DUMMYFUNCTION("""COMPUTED_VALUE"""),"membrane")</f>
        <v>membrane</v>
      </c>
      <c r="S12" s="82">
        <f ca="1">IFERROR(__xludf.DUMMYFUNCTION("""COMPUTED_VALUE"""),488)</f>
        <v>488</v>
      </c>
      <c r="T12" s="10"/>
      <c r="U12" s="10"/>
      <c r="V12" s="10"/>
      <c r="W12" s="10"/>
      <c r="X12" s="10"/>
    </row>
    <row r="13" spans="1:32" ht="15.75" customHeight="1" x14ac:dyDescent="0.15">
      <c r="A13" s="1" t="s">
        <v>446</v>
      </c>
      <c r="B13" s="1" t="str">
        <f ca="1">IFERROR(__xludf.DUMMYFUNCTION("IFERROR(JOIN("","", UNIQUE(filter({VLOOKUP(A13,C:X,13, FALSE); VLOOKUP(A13,C:X,15, FALSE); VLOOKUP(A13,C:X,17, FALSE); VLOOKUP(A13,C:X,19, FALSE)}, {VLOOKUP(A13,C:X,13, FALSE); VLOOKUP(A13,C:X,15, FALSE); VLOOKUP(A13,C:X,17, FALSE); VLOOKUP(A13,C:X,19, FA"&amp;"LSE)}&lt;&gt;""""))), """")"),"csp,male #19 - bright, low frequency transmission (&lt;10%),488")</f>
        <v>csp,male #19 - bright, low frequency transmission (&lt;10%),488</v>
      </c>
      <c r="C13" s="77" t="str">
        <f t="shared" ca="1" si="0"/>
        <v>ef1a:2xLynk:tdmSG(J) (F1 of allele 307)</v>
      </c>
      <c r="D13" s="78" t="str">
        <f t="shared" ca="1" si="1"/>
        <v>(F1 of allele 307)</v>
      </c>
      <c r="E13" s="78" t="str">
        <f ca="1">IFERROR(__xludf.DUMMYFUNCTION("IFERROR(REGEXEXTRACT(N13, ""F\d+""), ""F1"")"),"F1")</f>
        <v>F1</v>
      </c>
      <c r="F13" s="79" t="str">
        <f ca="1">IFERROR(__xludf.DUMMYFUNCTION("""COMPUTED_VALUE"""),"tandem mem:mStayGold")</f>
        <v>tandem mem:mStayGold</v>
      </c>
      <c r="G13" s="10" t="str">
        <f ca="1">IFERROR(__xludf.DUMMYFUNCTION("""COMPUTED_VALUE"""),"ef1a:2xLynk:tdmSG(J)")</f>
        <v>ef1a:2xLynk:tdmSG(J)</v>
      </c>
      <c r="H13" s="80">
        <f ca="1">IFERROR(__xludf.DUMMYFUNCTION("""COMPUTED_VALUE"""),45520)</f>
        <v>45520</v>
      </c>
      <c r="I13" s="10" t="str">
        <f ca="1">IFERROR(__xludf.DUMMYFUNCTION("""COMPUTED_VALUE"""),"pDQM005")</f>
        <v>pDQM005</v>
      </c>
      <c r="J13" s="10" t="str">
        <f ca="1">IFERROR(__xludf.DUMMYFUNCTION("""COMPUTED_VALUE"""),"tol2")</f>
        <v>tol2</v>
      </c>
      <c r="K13" s="10">
        <f ca="1">IFERROR(__xludf.DUMMYFUNCTION("""COMPUTED_VALUE"""),307)</f>
        <v>307</v>
      </c>
      <c r="L13" s="10" t="str">
        <f ca="1">IFERROR(__xludf.DUMMYFUNCTION("""COMPUTED_VALUE"""),"casper")</f>
        <v>casper</v>
      </c>
      <c r="M13" s="80">
        <f ca="1">IFERROR(__xludf.DUMMYFUNCTION("""COMPUTED_VALUE"""),45610)</f>
        <v>45610</v>
      </c>
      <c r="N13" s="10" t="str">
        <f ca="1">IFERROR(__xludf.DUMMYFUNCTION("""COMPUTED_VALUE"""),"csp")</f>
        <v>csp</v>
      </c>
      <c r="O13" s="10" t="str">
        <f ca="1">IFERROR(__xludf.DUMMYFUNCTION("""COMPUTED_VALUE"""),"csp")</f>
        <v>csp</v>
      </c>
      <c r="P13" s="81" t="str">
        <f ca="1">IFERROR(__xludf.DUMMYFUNCTION("""COMPUTED_VALUE"""),"P0_founder")</f>
        <v>P0_founder</v>
      </c>
      <c r="Q13" s="10" t="str">
        <f ca="1">IFERROR(__xludf.DUMMYFUNCTION("""COMPUTED_VALUE"""),"female B - maternal +, but low frequency transmission - zygotic allele not super bright?")</f>
        <v>female B - maternal +, but low frequency transmission - zygotic allele not super bright?</v>
      </c>
      <c r="R13" s="80" t="str">
        <f ca="1">IFERROR(__xludf.DUMMYFUNCTION("""COMPUTED_VALUE"""),"membrane")</f>
        <v>membrane</v>
      </c>
      <c r="S13" s="82">
        <f ca="1">IFERROR(__xludf.DUMMYFUNCTION("""COMPUTED_VALUE"""),488)</f>
        <v>488</v>
      </c>
      <c r="T13" s="10"/>
      <c r="U13" s="10"/>
      <c r="V13" s="10"/>
      <c r="W13" s="10"/>
      <c r="X13" s="10"/>
    </row>
    <row r="14" spans="1:32" ht="15.75" customHeight="1" x14ac:dyDescent="0.15">
      <c r="A14" s="1" t="s">
        <v>164</v>
      </c>
      <c r="B14" s="1" t="str">
        <f ca="1">IFERROR(__xludf.DUMMYFUNCTION("IFERROR(JOIN("","", UNIQUE(filter({VLOOKUP(A14,C:X,13, FALSE); VLOOKUP(A14,C:X,15, FALSE); VLOOKUP(A14,C:X,17, FALSE); VLOOKUP(A14,C:X,19, FALSE)}, {VLOOKUP(A14,C:X,13, FALSE); VLOOKUP(A14,C:X,15, FALSE); VLOOKUP(A14,C:X,17, FALSE); VLOOKUP(A14,C:X,19, FA"&amp;"LSE)}&lt;&gt;""""))), """")"),"csp,male #5 25%+ positive rate - currently best founder (but 2 alleles, one dim one bright(er)?,405,445")</f>
        <v>csp,male #5 25%+ positive rate - currently best founder (but 2 alleles, one dim one bright(er)?,405,445</v>
      </c>
      <c r="C14" s="77" t="str">
        <f t="shared" ca="1" si="0"/>
        <v>ef1a:2xLynk:tdmSG(J) (F1 of allele 308)</v>
      </c>
      <c r="D14" s="78" t="str">
        <f t="shared" ca="1" si="1"/>
        <v>(F1 of allele 308)</v>
      </c>
      <c r="E14" s="78" t="str">
        <f ca="1">IFERROR(__xludf.DUMMYFUNCTION("IFERROR(REGEXEXTRACT(N14, ""F\d+""), ""F1"")"),"F1")</f>
        <v>F1</v>
      </c>
      <c r="F14" s="79" t="str">
        <f ca="1">IFERROR(__xludf.DUMMYFUNCTION("""COMPUTED_VALUE"""),"tandem mem:mStayGold")</f>
        <v>tandem mem:mStayGold</v>
      </c>
      <c r="G14" s="10" t="str">
        <f ca="1">IFERROR(__xludf.DUMMYFUNCTION("""COMPUTED_VALUE"""),"ef1a:2xLynk:tdmSG(J)")</f>
        <v>ef1a:2xLynk:tdmSG(J)</v>
      </c>
      <c r="H14" s="80">
        <f ca="1">IFERROR(__xludf.DUMMYFUNCTION("""COMPUTED_VALUE"""),45520)</f>
        <v>45520</v>
      </c>
      <c r="I14" s="10" t="str">
        <f ca="1">IFERROR(__xludf.DUMMYFUNCTION("""COMPUTED_VALUE"""),"pDQM005")</f>
        <v>pDQM005</v>
      </c>
      <c r="J14" s="10" t="str">
        <f ca="1">IFERROR(__xludf.DUMMYFUNCTION("""COMPUTED_VALUE"""),"tol2")</f>
        <v>tol2</v>
      </c>
      <c r="K14" s="10">
        <f ca="1">IFERROR(__xludf.DUMMYFUNCTION("""COMPUTED_VALUE"""),308)</f>
        <v>308</v>
      </c>
      <c r="L14" s="10" t="str">
        <f ca="1">IFERROR(__xludf.DUMMYFUNCTION("""COMPUTED_VALUE"""),"casper")</f>
        <v>casper</v>
      </c>
      <c r="M14" s="80">
        <f ca="1">IFERROR(__xludf.DUMMYFUNCTION("""COMPUTED_VALUE"""),45610)</f>
        <v>45610</v>
      </c>
      <c r="N14" s="10" t="str">
        <f ca="1">IFERROR(__xludf.DUMMYFUNCTION("""COMPUTED_VALUE"""),"csp")</f>
        <v>csp</v>
      </c>
      <c r="O14" s="10" t="str">
        <f ca="1">IFERROR(__xludf.DUMMYFUNCTION("""COMPUTED_VALUE"""),"csp")</f>
        <v>csp</v>
      </c>
      <c r="P14" s="81" t="str">
        <f ca="1">IFERROR(__xludf.DUMMYFUNCTION("""COMPUTED_VALUE"""),"P0_founder")</f>
        <v>P0_founder</v>
      </c>
      <c r="Q14" s="10" t="str">
        <f ca="1">IFERROR(__xludf.DUMMYFUNCTION("""COMPUTED_VALUE"""),"male #19 - bright, low frequency transmission (&lt;10%)")</f>
        <v>male #19 - bright, low frequency transmission (&lt;10%)</v>
      </c>
      <c r="R14" s="80" t="str">
        <f ca="1">IFERROR(__xludf.DUMMYFUNCTION("""COMPUTED_VALUE"""),"membrane")</f>
        <v>membrane</v>
      </c>
      <c r="S14" s="82">
        <f ca="1">IFERROR(__xludf.DUMMYFUNCTION("""COMPUTED_VALUE"""),488)</f>
        <v>488</v>
      </c>
      <c r="T14" s="10"/>
      <c r="U14" s="10"/>
      <c r="V14" s="10"/>
      <c r="W14" s="10"/>
      <c r="X14" s="10"/>
    </row>
    <row r="15" spans="1:32" ht="15.75" customHeight="1" x14ac:dyDescent="0.15">
      <c r="A15" s="1" t="s">
        <v>162</v>
      </c>
      <c r="B15" s="1" t="str">
        <f ca="1">IFERROR(__xludf.DUMMYFUNCTION("IFERROR(JOIN("","", UNIQUE(filter({VLOOKUP(A15,C:X,13, FALSE); VLOOKUP(A15,C:X,15, FALSE); VLOOKUP(A15,C:X,17, FALSE); VLOOKUP(A15,C:X,19, FALSE)}, {VLOOKUP(A15,C:X,13, FALSE); VLOOKUP(A15,C:X,15, FALSE); VLOOKUP(A15,C:X,17, FALSE); VLOOKUP(A15,C:X,19, FA"&amp;"LSE)}&lt;&gt;""""))), """")"),"310,male #11  ~20% positive rate,405,445")</f>
        <v>310,male #11  ~20% positive rate,405,445</v>
      </c>
      <c r="C15" s="77" t="str">
        <f t="shared" ca="1" si="0"/>
        <v>ef1a:&lt;cryaa:mSc&gt;mKate2/mCitrine/Electra2/mKOK/mTFP1 (F1 of allele 309)</v>
      </c>
      <c r="D15" s="78" t="str">
        <f t="shared" ca="1" si="1"/>
        <v>(F1 of allele 309)</v>
      </c>
      <c r="E15" s="78" t="str">
        <f ca="1">IFERROR(__xludf.DUMMYFUNCTION("IFERROR(REGEXEXTRACT(N15, ""F\d+""), ""F1"")"),"F1")</f>
        <v>F1</v>
      </c>
      <c r="F15" s="79" t="str">
        <f ca="1">IFERROR(__xludf.DUMMYFUNCTION("""COMPUTED_VALUE"""),"Skittles 5 FP cryaa:mScarlet")</f>
        <v>Skittles 5 FP cryaa:mScarlet</v>
      </c>
      <c r="G15" s="10" t="str">
        <f ca="1">IFERROR(__xludf.DUMMYFUNCTION("""COMPUTED_VALUE"""),"ef1a:&lt;cryaa:mSc&gt;mKate2/mCitrine/Electra2/mKOK/mTFP1")</f>
        <v>ef1a:&lt;cryaa:mSc&gt;mKate2/mCitrine/Electra2/mKOK/mTFP1</v>
      </c>
      <c r="H15" s="80">
        <f ca="1">IFERROR(__xludf.DUMMYFUNCTION("""COMPUTED_VALUE"""),45566)</f>
        <v>45566</v>
      </c>
      <c r="I15" s="10" t="str">
        <f ca="1">IFERROR(__xludf.DUMMYFUNCTION("""COMPUTED_VALUE"""),"pDQM034/035")</f>
        <v>pDQM034/035</v>
      </c>
      <c r="J15" s="10" t="str">
        <f ca="1">IFERROR(__xludf.DUMMYFUNCTION("""COMPUTED_VALUE"""),"tol2")</f>
        <v>tol2</v>
      </c>
      <c r="K15" s="10">
        <f ca="1">IFERROR(__xludf.DUMMYFUNCTION("""COMPUTED_VALUE"""),309)</f>
        <v>309</v>
      </c>
      <c r="L15" s="10" t="str">
        <f ca="1">IFERROR(__xludf.DUMMYFUNCTION("""COMPUTED_VALUE"""),"casper")</f>
        <v>casper</v>
      </c>
      <c r="M15" s="10"/>
      <c r="N15" s="10" t="str">
        <f ca="1">IFERROR(__xludf.DUMMYFUNCTION("""COMPUTED_VALUE"""),"csp")</f>
        <v>csp</v>
      </c>
      <c r="O15" s="10" t="str">
        <f ca="1">IFERROR(__xludf.DUMMYFUNCTION("""COMPUTED_VALUE"""),"csp")</f>
        <v>csp</v>
      </c>
      <c r="P15" s="81" t="str">
        <f ca="1">IFERROR(__xludf.DUMMYFUNCTION("""COMPUTED_VALUE"""),"P0_founder")</f>
        <v>P0_founder</v>
      </c>
      <c r="Q15" s="10" t="str">
        <f ca="1">IFERROR(__xludf.DUMMYFUNCTION("""COMPUTED_VALUE"""),"male #5 25%+ positive rate - currently best founder (but 2 alleles, one dim one bright(er)?")</f>
        <v>male #5 25%+ positive rate - currently best founder (but 2 alleles, one dim one bright(er)?</v>
      </c>
      <c r="R15" s="80" t="str">
        <f ca="1">IFERROR(__xludf.DUMMYFUNCTION("""COMPUTED_VALUE"""),"cytosol")</f>
        <v>cytosol</v>
      </c>
      <c r="S15" s="82">
        <f ca="1">IFERROR(__xludf.DUMMYFUNCTION("""COMPUTED_VALUE"""),405)</f>
        <v>405</v>
      </c>
      <c r="T15" s="80" t="str">
        <f ca="1">IFERROR(__xludf.DUMMYFUNCTION("""COMPUTED_VALUE"""),"cytosol")</f>
        <v>cytosol</v>
      </c>
      <c r="U15" s="82">
        <f ca="1">IFERROR(__xludf.DUMMYFUNCTION("""COMPUTED_VALUE"""),445)</f>
        <v>445</v>
      </c>
      <c r="V15" s="80" t="str">
        <f ca="1">IFERROR(__xludf.DUMMYFUNCTION("""COMPUTED_VALUE"""),"cytosol")</f>
        <v>cytosol</v>
      </c>
      <c r="W15" s="82">
        <f ca="1">IFERROR(__xludf.DUMMYFUNCTION("""COMPUTED_VALUE"""),514)</f>
        <v>514</v>
      </c>
      <c r="X15" s="80" t="str">
        <f ca="1">IFERROR(__xludf.DUMMYFUNCTION("""COMPUTED_VALUE"""),"cytosol")</f>
        <v>cytosol</v>
      </c>
    </row>
    <row r="16" spans="1:32" ht="15.75" customHeight="1" x14ac:dyDescent="0.15">
      <c r="A16" s="1" t="s">
        <v>994</v>
      </c>
      <c r="B16" s="1" t="str">
        <f ca="1">IFERROR(__xludf.DUMMYFUNCTION("IFERROR(JOIN("","", UNIQUE(filter({VLOOKUP(A16,C:X,13, FALSE); VLOOKUP(A16,C:X,15, FALSE); VLOOKUP(A16,C:X,17, FALSE); VLOOKUP(A16,C:X,19, FALSE)}, {VLOOKUP(A16,C:X,13, FALSE); VLOOKUP(A16,C:X,15, FALSE); VLOOKUP(A16,C:X,17, FALSE); VLOOKUP(A16,C:X,19, FA"&amp;"LSE)}&lt;&gt;""""))), """")"),"csp,female  - low frequency (1-2%) exorH:GFP (+) embryos - will start tank 311,405,445")</f>
        <v>csp,female  - low frequency (1-2%) exorH:GFP (+) embryos - will start tank 311,405,445</v>
      </c>
      <c r="C16" s="77" t="str">
        <f t="shared" ca="1" si="0"/>
        <v>ef1a:&lt;cryaa:mSc&gt;mKate2/mCitrine/Electra2/mKOK/mTFP1 (F1 of allele 309)</v>
      </c>
      <c r="D16" s="78" t="str">
        <f t="shared" ca="1" si="1"/>
        <v>(F1 of allele 309)</v>
      </c>
      <c r="E16" s="78" t="str">
        <f ca="1">IFERROR(__xludf.DUMMYFUNCTION("IFERROR(REGEXEXTRACT(N16, ""F\d+""), ""F1"")"),"F1")</f>
        <v>F1</v>
      </c>
      <c r="F16" s="79" t="str">
        <f ca="1">IFERROR(__xludf.DUMMYFUNCTION("""COMPUTED_VALUE"""),"Abe")</f>
        <v>Abe</v>
      </c>
      <c r="G16" s="10" t="str">
        <f ca="1">IFERROR(__xludf.DUMMYFUNCTION("""COMPUTED_VALUE"""),"ef1a:&lt;cryaa:mSc&gt;mKate2/mCitrine/Electra2/mKOK/mTFP1")</f>
        <v>ef1a:&lt;cryaa:mSc&gt;mKate2/mCitrine/Electra2/mKOK/mTFP1</v>
      </c>
      <c r="H16" s="80">
        <f ca="1">IFERROR(__xludf.DUMMYFUNCTION("""COMPUTED_VALUE"""),45566)</f>
        <v>45566</v>
      </c>
      <c r="I16" s="10" t="str">
        <f ca="1">IFERROR(__xludf.DUMMYFUNCTION("""COMPUTED_VALUE"""),"pDQM034/035")</f>
        <v>pDQM034/035</v>
      </c>
      <c r="J16" s="10" t="str">
        <f ca="1">IFERROR(__xludf.DUMMYFUNCTION("""COMPUTED_VALUE"""),"tol2")</f>
        <v>tol2</v>
      </c>
      <c r="K16" s="10">
        <f ca="1">IFERROR(__xludf.DUMMYFUNCTION("""COMPUTED_VALUE"""),309)</f>
        <v>309</v>
      </c>
      <c r="L16" s="10" t="str">
        <f ca="1">IFERROR(__xludf.DUMMYFUNCTION("""COMPUTED_VALUE"""),"casper")</f>
        <v>casper</v>
      </c>
      <c r="M16" s="10"/>
      <c r="N16" s="10" t="str">
        <f ca="1">IFERROR(__xludf.DUMMYFUNCTION("""COMPUTED_VALUE"""),"csp")</f>
        <v>csp</v>
      </c>
      <c r="O16" s="10" t="str">
        <f ca="1">IFERROR(__xludf.DUMMYFUNCTION("""COMPUTED_VALUE"""),"csp")</f>
        <v>csp</v>
      </c>
      <c r="P16" s="81" t="str">
        <f ca="1">IFERROR(__xludf.DUMMYFUNCTION("""COMPUTED_VALUE"""),"P0_founder")</f>
        <v>P0_founder</v>
      </c>
      <c r="Q16" s="10" t="str">
        <f ca="1">IFERROR(__xludf.DUMMYFUNCTION("""COMPUTED_VALUE"""),"male #5 25%+ positive rate - currently best founder (but 2 alleles, one dim one bright(er)?")</f>
        <v>male #5 25%+ positive rate - currently best founder (but 2 alleles, one dim one bright(er)?</v>
      </c>
      <c r="R16" s="80" t="str">
        <f ca="1">IFERROR(__xludf.DUMMYFUNCTION("""COMPUTED_VALUE"""),"cytosol")</f>
        <v>cytosol</v>
      </c>
      <c r="S16" s="82">
        <f ca="1">IFERROR(__xludf.DUMMYFUNCTION("""COMPUTED_VALUE"""),405)</f>
        <v>405</v>
      </c>
      <c r="T16" s="80" t="str">
        <f ca="1">IFERROR(__xludf.DUMMYFUNCTION("""COMPUTED_VALUE"""),"cytosol")</f>
        <v>cytosol</v>
      </c>
      <c r="U16" s="82">
        <f ca="1">IFERROR(__xludf.DUMMYFUNCTION("""COMPUTED_VALUE"""),445)</f>
        <v>445</v>
      </c>
      <c r="V16" s="80" t="str">
        <f ca="1">IFERROR(__xludf.DUMMYFUNCTION("""COMPUTED_VALUE"""),"cytosol")</f>
        <v>cytosol</v>
      </c>
      <c r="W16" s="82">
        <f ca="1">IFERROR(__xludf.DUMMYFUNCTION("""COMPUTED_VALUE"""),514)</f>
        <v>514</v>
      </c>
      <c r="X16" s="80" t="str">
        <f ca="1">IFERROR(__xludf.DUMMYFUNCTION("""COMPUTED_VALUE"""),"cytosol")</f>
        <v>cytosol</v>
      </c>
    </row>
    <row r="17" spans="1:24" ht="15.75" customHeight="1" x14ac:dyDescent="0.15">
      <c r="A17" s="1" t="s">
        <v>995</v>
      </c>
      <c r="B17" s="1" t="str">
        <f ca="1">IFERROR(__xludf.DUMMYFUNCTION("IFERROR(JOIN("","", UNIQUE(filter({VLOOKUP(A17,C:X,13, FALSE); VLOOKUP(A17,C:X,15, FALSE); VLOOKUP(A17,C:X,17, FALSE); VLOOKUP(A17,C:X,19, FALSE)}, {VLOOKUP(A17,C:X,13, FALSE); VLOOKUP(A17,C:X,15, FALSE); VLOOKUP(A17,C:X,17, FALSE); VLOOKUP(A17,C:X,19, FA"&amp;"LSE)}&lt;&gt;""""))), """")"),"csp,female  - low frequency (1-2%) exorH:GFP (+) embryos - will start tank 311,405,445")</f>
        <v>csp,female  - low frequency (1-2%) exorH:GFP (+) embryos - will start tank 311,405,445</v>
      </c>
      <c r="C17" s="77" t="str">
        <f t="shared" ca="1" si="0"/>
        <v>ef1a:&lt;cryaa:mSc&gt;mKate2/mCitrine/Electra2/mKOK/mTFP1 (F1 of allele 309)</v>
      </c>
      <c r="D17" s="78" t="str">
        <f t="shared" ca="1" si="1"/>
        <v>(F1 of allele 309)</v>
      </c>
      <c r="E17" s="78" t="str">
        <f ca="1">IFERROR(__xludf.DUMMYFUNCTION("IFERROR(REGEXEXTRACT(N17, ""F\d+""), ""F1"")"),"F1")</f>
        <v>F1</v>
      </c>
      <c r="F17" s="79" t="str">
        <f ca="1">IFERROR(__xludf.DUMMYFUNCTION("""COMPUTED_VALUE"""),"Skittles 5 FP cryaa:mScarlet")</f>
        <v>Skittles 5 FP cryaa:mScarlet</v>
      </c>
      <c r="G17" s="10" t="str">
        <f ca="1">IFERROR(__xludf.DUMMYFUNCTION("""COMPUTED_VALUE"""),"ef1a:&lt;cryaa:mSc&gt;mKate2/mCitrine/Electra2/mKOK/mTFP1")</f>
        <v>ef1a:&lt;cryaa:mSc&gt;mKate2/mCitrine/Electra2/mKOK/mTFP1</v>
      </c>
      <c r="H17" s="80">
        <f ca="1">IFERROR(__xludf.DUMMYFUNCTION("""COMPUTED_VALUE"""),45566)</f>
        <v>45566</v>
      </c>
      <c r="I17" s="10" t="str">
        <f ca="1">IFERROR(__xludf.DUMMYFUNCTION("""COMPUTED_VALUE"""),"pDQM034/035")</f>
        <v>pDQM034/035</v>
      </c>
      <c r="J17" s="10" t="str">
        <f ca="1">IFERROR(__xludf.DUMMYFUNCTION("""COMPUTED_VALUE"""),"tol2")</f>
        <v>tol2</v>
      </c>
      <c r="K17" s="10">
        <f ca="1">IFERROR(__xludf.DUMMYFUNCTION("""COMPUTED_VALUE"""),309)</f>
        <v>309</v>
      </c>
      <c r="L17" s="10" t="str">
        <f ca="1">IFERROR(__xludf.DUMMYFUNCTION("""COMPUTED_VALUE"""),"casper")</f>
        <v>casper</v>
      </c>
      <c r="M17" s="10"/>
      <c r="N17" s="10" t="str">
        <f ca="1">IFERROR(__xludf.DUMMYFUNCTION("""COMPUTED_VALUE"""),"csp")</f>
        <v>csp</v>
      </c>
      <c r="O17" s="10">
        <f ca="1">IFERROR(__xludf.DUMMYFUNCTION("""COMPUTED_VALUE"""),309)</f>
        <v>309</v>
      </c>
      <c r="P17" s="81" t="str">
        <f ca="1">IFERROR(__xludf.DUMMYFUNCTION("""COMPUTED_VALUE"""),"F1_ox")</f>
        <v>F1_ox</v>
      </c>
      <c r="Q17" s="10" t="str">
        <f ca="1">IFERROR(__xludf.DUMMYFUNCTION("""COMPUTED_VALUE"""),"F1s of male #5 (~6 fish, multiple alleles, need to determine which ones are carrying the better allele)")</f>
        <v>F1s of male #5 (~6 fish, multiple alleles, need to determine which ones are carrying the better allele)</v>
      </c>
      <c r="R17" s="80" t="str">
        <f ca="1">IFERROR(__xludf.DUMMYFUNCTION("""COMPUTED_VALUE"""),"cytosol")</f>
        <v>cytosol</v>
      </c>
      <c r="S17" s="82">
        <f ca="1">IFERROR(__xludf.DUMMYFUNCTION("""COMPUTED_VALUE"""),405)</f>
        <v>405</v>
      </c>
      <c r="T17" s="80" t="str">
        <f ca="1">IFERROR(__xludf.DUMMYFUNCTION("""COMPUTED_VALUE"""),"cytosol")</f>
        <v>cytosol</v>
      </c>
      <c r="U17" s="82">
        <f ca="1">IFERROR(__xludf.DUMMYFUNCTION("""COMPUTED_VALUE"""),445)</f>
        <v>445</v>
      </c>
      <c r="V17" s="80" t="str">
        <f ca="1">IFERROR(__xludf.DUMMYFUNCTION("""COMPUTED_VALUE"""),"cytosol")</f>
        <v>cytosol</v>
      </c>
      <c r="W17" s="82">
        <f ca="1">IFERROR(__xludf.DUMMYFUNCTION("""COMPUTED_VALUE"""),514)</f>
        <v>514</v>
      </c>
      <c r="X17" s="80" t="str">
        <f ca="1">IFERROR(__xludf.DUMMYFUNCTION("""COMPUTED_VALUE"""),"cytosol")</f>
        <v>cytosol</v>
      </c>
    </row>
    <row r="18" spans="1:24" ht="15.75" customHeight="1" x14ac:dyDescent="0.15">
      <c r="A18" s="1" t="s">
        <v>996</v>
      </c>
      <c r="B18" s="1" t="str">
        <f ca="1">IFERROR(__xludf.DUMMYFUNCTION("IFERROR(JOIN("","", UNIQUE(filter({VLOOKUP(A18,C:X,13, FALSE); VLOOKUP(A18,C:X,15, FALSE); VLOOKUP(A18,C:X,17, FALSE); VLOOKUP(A18,C:X,19, FALSE)}, {VLOOKUP(A18,C:X,13, FALSE); VLOOKUP(A18,C:X,15, FALSE); VLOOKUP(A18,C:X,17, FALSE); VLOOKUP(A18,C:X,19, FA"&amp;"LSE)}&lt;&gt;""""))), """")"),"csp,female #1  - low frequency (1-2%) exorH:GFP (+) embryos - will start tank,405,445")</f>
        <v>csp,female #1  - low frequency (1-2%) exorH:GFP (+) embryos - will start tank,405,445</v>
      </c>
      <c r="C18" s="77" t="str">
        <f t="shared" ca="1" si="0"/>
        <v>ef1a:&lt;cryaa:mSc&gt;mKate2/mCitrine/Electra2/mKOK/mTFP1 (F1 of allele 309)</v>
      </c>
      <c r="D18" s="78" t="str">
        <f t="shared" ca="1" si="1"/>
        <v>(F1 of allele 309)</v>
      </c>
      <c r="E18" s="78" t="str">
        <f ca="1">IFERROR(__xludf.DUMMYFUNCTION("IFERROR(REGEXEXTRACT(N18, ""F\d+""), ""F1"")"),"F1")</f>
        <v>F1</v>
      </c>
      <c r="F18" s="79" t="str">
        <f ca="1">IFERROR(__xludf.DUMMYFUNCTION("""COMPUTED_VALUE"""),"Abe")</f>
        <v>Abe</v>
      </c>
      <c r="G18" s="10" t="str">
        <f ca="1">IFERROR(__xludf.DUMMYFUNCTION("""COMPUTED_VALUE"""),"ef1a:&lt;cryaa:mSc&gt;mKate2/mCitrine/Electra2/mKOK/mTFP1")</f>
        <v>ef1a:&lt;cryaa:mSc&gt;mKate2/mCitrine/Electra2/mKOK/mTFP1</v>
      </c>
      <c r="H18" s="80">
        <f ca="1">IFERROR(__xludf.DUMMYFUNCTION("""COMPUTED_VALUE"""),45566)</f>
        <v>45566</v>
      </c>
      <c r="I18" s="10" t="str">
        <f ca="1">IFERROR(__xludf.DUMMYFUNCTION("""COMPUTED_VALUE"""),"pDQM034/035")</f>
        <v>pDQM034/035</v>
      </c>
      <c r="J18" s="10" t="str">
        <f ca="1">IFERROR(__xludf.DUMMYFUNCTION("""COMPUTED_VALUE"""),"tol2")</f>
        <v>tol2</v>
      </c>
      <c r="K18" s="10">
        <f ca="1">IFERROR(__xludf.DUMMYFUNCTION("""COMPUTED_VALUE"""),309)</f>
        <v>309</v>
      </c>
      <c r="L18" s="10" t="str">
        <f ca="1">IFERROR(__xludf.DUMMYFUNCTION("""COMPUTED_VALUE"""),"casper")</f>
        <v>casper</v>
      </c>
      <c r="M18" s="10"/>
      <c r="N18" s="10" t="str">
        <f ca="1">IFERROR(__xludf.DUMMYFUNCTION("""COMPUTED_VALUE"""),"csp")</f>
        <v>csp</v>
      </c>
      <c r="O18" s="10">
        <f ca="1">IFERROR(__xludf.DUMMYFUNCTION("""COMPUTED_VALUE"""),309)</f>
        <v>309</v>
      </c>
      <c r="P18" s="81" t="str">
        <f ca="1">IFERROR(__xludf.DUMMYFUNCTION("""COMPUTED_VALUE"""),"F1_ox")</f>
        <v>F1_ox</v>
      </c>
      <c r="Q18" s="10" t="str">
        <f ca="1">IFERROR(__xludf.DUMMYFUNCTION("""COMPUTED_VALUE"""),"F1s of male #5 (~6 fish, multiple alleles, need to determine which ones are carrying the better allele)")</f>
        <v>F1s of male #5 (~6 fish, multiple alleles, need to determine which ones are carrying the better allele)</v>
      </c>
      <c r="R18" s="80" t="str">
        <f ca="1">IFERROR(__xludf.DUMMYFUNCTION("""COMPUTED_VALUE"""),"cytosol")</f>
        <v>cytosol</v>
      </c>
      <c r="S18" s="82">
        <f ca="1">IFERROR(__xludf.DUMMYFUNCTION("""COMPUTED_VALUE"""),405)</f>
        <v>405</v>
      </c>
      <c r="T18" s="80" t="str">
        <f ca="1">IFERROR(__xludf.DUMMYFUNCTION("""COMPUTED_VALUE"""),"cytosol")</f>
        <v>cytosol</v>
      </c>
      <c r="U18" s="82">
        <f ca="1">IFERROR(__xludf.DUMMYFUNCTION("""COMPUTED_VALUE"""),445)</f>
        <v>445</v>
      </c>
      <c r="V18" s="80" t="str">
        <f ca="1">IFERROR(__xludf.DUMMYFUNCTION("""COMPUTED_VALUE"""),"cytosol")</f>
        <v>cytosol</v>
      </c>
      <c r="W18" s="82">
        <f ca="1">IFERROR(__xludf.DUMMYFUNCTION("""COMPUTED_VALUE"""),514)</f>
        <v>514</v>
      </c>
      <c r="X18" s="80" t="str">
        <f ca="1">IFERROR(__xludf.DUMMYFUNCTION("""COMPUTED_VALUE"""),"cytosol")</f>
        <v>cytosol</v>
      </c>
    </row>
    <row r="19" spans="1:24" ht="15.75" customHeight="1" x14ac:dyDescent="0.15">
      <c r="A19" s="1" t="s">
        <v>430</v>
      </c>
      <c r="B19" s="1" t="str">
        <f ca="1">IFERROR(__xludf.DUMMYFUNCTION("IFERROR(JOIN("","", UNIQUE(filter({VLOOKUP(A19,C:X,13, FALSE); VLOOKUP(A19,C:X,15, FALSE); VLOOKUP(A19,C:X,17, FALSE); VLOOKUP(A19,C:X,19, FALSE)}, {VLOOKUP(A19,C:X,13, FALSE); VLOOKUP(A19,C:X,15, FALSE); VLOOKUP(A19,C:X,17, FALSE); VLOOKUP(A19,C:X,19, FA"&amp;"LSE)}&lt;&gt;""""))), """")"),"csp,male C - ~10% frequency exorH:GFP (+) embryos,405,445")</f>
        <v>csp,male C - ~10% frequency exorH:GFP (+) embryos,405,445</v>
      </c>
      <c r="C19" s="77" t="str">
        <f t="shared" ca="1" si="0"/>
        <v>ef1a:&lt;cryaa:mSc&gt;mKate2/mCitrine/Electra2/mKOK/mTFP1 (F1 of allele 310)</v>
      </c>
      <c r="D19" s="78" t="str">
        <f t="shared" ca="1" si="1"/>
        <v>(F1 of allele 310)</v>
      </c>
      <c r="E19" s="78" t="str">
        <f ca="1">IFERROR(__xludf.DUMMYFUNCTION("IFERROR(REGEXEXTRACT(N19, ""F\d+""), ""F1"")"),"F1")</f>
        <v>F1</v>
      </c>
      <c r="F19" s="79" t="str">
        <f ca="1">IFERROR(__xludf.DUMMYFUNCTION("""COMPUTED_VALUE"""),"Skittles 5 FP cryaa:mScarlet")</f>
        <v>Skittles 5 FP cryaa:mScarlet</v>
      </c>
      <c r="G19" s="10" t="str">
        <f ca="1">IFERROR(__xludf.DUMMYFUNCTION("""COMPUTED_VALUE"""),"ef1a:&lt;cryaa:mSc&gt;mKate2/mCitrine/Electra2/mKOK/mTFP1")</f>
        <v>ef1a:&lt;cryaa:mSc&gt;mKate2/mCitrine/Electra2/mKOK/mTFP1</v>
      </c>
      <c r="H19" s="80">
        <f ca="1">IFERROR(__xludf.DUMMYFUNCTION("""COMPUTED_VALUE"""),45566)</f>
        <v>45566</v>
      </c>
      <c r="I19" s="10" t="str">
        <f ca="1">IFERROR(__xludf.DUMMYFUNCTION("""COMPUTED_VALUE"""),"pDQM034/035")</f>
        <v>pDQM034/035</v>
      </c>
      <c r="J19" s="10" t="str">
        <f ca="1">IFERROR(__xludf.DUMMYFUNCTION("""COMPUTED_VALUE"""),"tol2")</f>
        <v>tol2</v>
      </c>
      <c r="K19" s="10">
        <f ca="1">IFERROR(__xludf.DUMMYFUNCTION("""COMPUTED_VALUE"""),310)</f>
        <v>310</v>
      </c>
      <c r="L19" s="10" t="str">
        <f ca="1">IFERROR(__xludf.DUMMYFUNCTION("""COMPUTED_VALUE"""),"casper")</f>
        <v>casper</v>
      </c>
      <c r="M19" s="10"/>
      <c r="N19" s="10" t="str">
        <f ca="1">IFERROR(__xludf.DUMMYFUNCTION("""COMPUTED_VALUE"""),"csp")</f>
        <v>csp</v>
      </c>
      <c r="O19" s="10">
        <f ca="1">IFERROR(__xludf.DUMMYFUNCTION("""COMPUTED_VALUE"""),310)</f>
        <v>310</v>
      </c>
      <c r="P19" s="81" t="str">
        <f ca="1">IFERROR(__xludf.DUMMYFUNCTION("""COMPUTED_VALUE"""),"P0_founder")</f>
        <v>P0_founder</v>
      </c>
      <c r="Q19" s="10" t="str">
        <f ca="1">IFERROR(__xludf.DUMMYFUNCTION("""COMPUTED_VALUE"""),"male #11  ~20% positive rate")</f>
        <v>male #11  ~20% positive rate</v>
      </c>
      <c r="R19" s="80" t="str">
        <f ca="1">IFERROR(__xludf.DUMMYFUNCTION("""COMPUTED_VALUE"""),"cytosol")</f>
        <v>cytosol</v>
      </c>
      <c r="S19" s="82">
        <f ca="1">IFERROR(__xludf.DUMMYFUNCTION("""COMPUTED_VALUE"""),405)</f>
        <v>405</v>
      </c>
      <c r="T19" s="80" t="str">
        <f ca="1">IFERROR(__xludf.DUMMYFUNCTION("""COMPUTED_VALUE"""),"cytosol")</f>
        <v>cytosol</v>
      </c>
      <c r="U19" s="82">
        <f ca="1">IFERROR(__xludf.DUMMYFUNCTION("""COMPUTED_VALUE"""),445)</f>
        <v>445</v>
      </c>
      <c r="V19" s="80" t="str">
        <f ca="1">IFERROR(__xludf.DUMMYFUNCTION("""COMPUTED_VALUE"""),"cytosol")</f>
        <v>cytosol</v>
      </c>
      <c r="W19" s="82">
        <f ca="1">IFERROR(__xludf.DUMMYFUNCTION("""COMPUTED_VALUE"""),514)</f>
        <v>514</v>
      </c>
      <c r="X19" s="80" t="str">
        <f ca="1">IFERROR(__xludf.DUMMYFUNCTION("""COMPUTED_VALUE"""),"cytosol")</f>
        <v>cytosol</v>
      </c>
    </row>
    <row r="20" spans="1:24" ht="15.75" customHeight="1" x14ac:dyDescent="0.15">
      <c r="A20" s="1" t="s">
        <v>997</v>
      </c>
      <c r="B20" s="1" t="str">
        <f ca="1">IFERROR(__xludf.DUMMYFUNCTION("IFERROR(JOIN("","", UNIQUE(filter({VLOOKUP(A20,C:X,13, FALSE); VLOOKUP(A20,C:X,15, FALSE); VLOOKUP(A20,C:X,17, FALSE); VLOOKUP(A20,C:X,19, FALSE)}, {VLOOKUP(A20,C:X,13, FALSE); VLOOKUP(A20,C:X,15, FALSE); VLOOKUP(A20,C:X,17, FALSE); VLOOKUP(A20,C:X,19, FA"&amp;"LSE)}&lt;&gt;""""))), """")"),"csp,male K ~20%+ frequency exorH:GFP (+) embryos,405,445")</f>
        <v>csp,male K ~20%+ frequency exorH:GFP (+) embryos,405,445</v>
      </c>
      <c r="C20" s="77" t="str">
        <f t="shared" ca="1" si="0"/>
        <v>ef1a:&lt;cryaa:mSc&gt;mKate2/mCitrine/Electra2/mKOK/mTFP1 (F1 of allele 310)</v>
      </c>
      <c r="D20" s="78" t="str">
        <f t="shared" ca="1" si="1"/>
        <v>(F1 of allele 310)</v>
      </c>
      <c r="E20" s="78" t="str">
        <f ca="1">IFERROR(__xludf.DUMMYFUNCTION("IFERROR(REGEXEXTRACT(N20, ""F\d+""), ""F1"")"),"F1")</f>
        <v>F1</v>
      </c>
      <c r="F20" s="79" t="str">
        <f ca="1">IFERROR(__xludf.DUMMYFUNCTION("""COMPUTED_VALUE"""),"Ben")</f>
        <v>Ben</v>
      </c>
      <c r="G20" s="10" t="str">
        <f ca="1">IFERROR(__xludf.DUMMYFUNCTION("""COMPUTED_VALUE"""),"ef1a:&lt;cryaa:mSc&gt;mKate2/mCitrine/Electra2/mKOK/mTFP1")</f>
        <v>ef1a:&lt;cryaa:mSc&gt;mKate2/mCitrine/Electra2/mKOK/mTFP1</v>
      </c>
      <c r="H20" s="80">
        <f ca="1">IFERROR(__xludf.DUMMYFUNCTION("""COMPUTED_VALUE"""),45566)</f>
        <v>45566</v>
      </c>
      <c r="I20" s="10" t="str">
        <f ca="1">IFERROR(__xludf.DUMMYFUNCTION("""COMPUTED_VALUE"""),"pDQM034/035")</f>
        <v>pDQM034/035</v>
      </c>
      <c r="J20" s="10" t="str">
        <f ca="1">IFERROR(__xludf.DUMMYFUNCTION("""COMPUTED_VALUE"""),"tol2")</f>
        <v>tol2</v>
      </c>
      <c r="K20" s="10">
        <f ca="1">IFERROR(__xludf.DUMMYFUNCTION("""COMPUTED_VALUE"""),310)</f>
        <v>310</v>
      </c>
      <c r="L20" s="10" t="str">
        <f ca="1">IFERROR(__xludf.DUMMYFUNCTION("""COMPUTED_VALUE"""),"casper")</f>
        <v>casper</v>
      </c>
      <c r="M20" s="10"/>
      <c r="N20" s="10" t="str">
        <f ca="1">IFERROR(__xludf.DUMMYFUNCTION("""COMPUTED_VALUE"""),"csp")</f>
        <v>csp</v>
      </c>
      <c r="O20" s="10">
        <f ca="1">IFERROR(__xludf.DUMMYFUNCTION("""COMPUTED_VALUE"""),310)</f>
        <v>310</v>
      </c>
      <c r="P20" s="81" t="str">
        <f ca="1">IFERROR(__xludf.DUMMYFUNCTION("""COMPUTED_VALUE"""),"P0_founder")</f>
        <v>P0_founder</v>
      </c>
      <c r="Q20" s="10" t="str">
        <f ca="1">IFERROR(__xludf.DUMMYFUNCTION("""COMPUTED_VALUE"""),"male #11  ~20% positive rate")</f>
        <v>male #11  ~20% positive rate</v>
      </c>
      <c r="R20" s="80" t="str">
        <f ca="1">IFERROR(__xludf.DUMMYFUNCTION("""COMPUTED_VALUE"""),"cytosol")</f>
        <v>cytosol</v>
      </c>
      <c r="S20" s="82">
        <f ca="1">IFERROR(__xludf.DUMMYFUNCTION("""COMPUTED_VALUE"""),405)</f>
        <v>405</v>
      </c>
      <c r="T20" s="80" t="str">
        <f ca="1">IFERROR(__xludf.DUMMYFUNCTION("""COMPUTED_VALUE"""),"cytosol")</f>
        <v>cytosol</v>
      </c>
      <c r="U20" s="82">
        <f ca="1">IFERROR(__xludf.DUMMYFUNCTION("""COMPUTED_VALUE"""),445)</f>
        <v>445</v>
      </c>
      <c r="V20" s="80" t="str">
        <f ca="1">IFERROR(__xludf.DUMMYFUNCTION("""COMPUTED_VALUE"""),"cytosol")</f>
        <v>cytosol</v>
      </c>
      <c r="W20" s="82">
        <f ca="1">IFERROR(__xludf.DUMMYFUNCTION("""COMPUTED_VALUE"""),514)</f>
        <v>514</v>
      </c>
      <c r="X20" s="80" t="str">
        <f ca="1">IFERROR(__xludf.DUMMYFUNCTION("""COMPUTED_VALUE"""),"cytosol")</f>
        <v>cytosol</v>
      </c>
    </row>
    <row r="21" spans="1:24" ht="15.75" customHeight="1" x14ac:dyDescent="0.15">
      <c r="A21" s="1" t="s">
        <v>89</v>
      </c>
      <c r="B21" s="1" t="str">
        <f ca="1">IFERROR(__xludf.DUMMYFUNCTION("IFERROR(JOIN("","", UNIQUE(filter({VLOOKUP(A21,C:X,13, FALSE); VLOOKUP(A21,C:X,15, FALSE); VLOOKUP(A21,C:X,17, FALSE); VLOOKUP(A21,C:X,19, FALSE)}, {VLOOKUP(A21,C:X,13, FALSE); VLOOKUP(A21,C:X,15, FALSE); VLOOKUP(A21,C:X,17, FALSE); VLOOKUP(A21,C:X,19, FA"&amp;"LSE)}&lt;&gt;""""))), """")"),"csp,male #1 founder (good percentage ++, multiple alleles),560")</f>
        <v>csp,male #1 founder (good percentage ++, multiple alleles),560</v>
      </c>
      <c r="C21" s="77" t="str">
        <f t="shared" ca="1" si="0"/>
        <v>ef1a:&lt;cryaa:mSc&gt;mKate2/mCitrine/Electra2/mKOK/mTFP1 (F1 of allele 310)</v>
      </c>
      <c r="D21" s="78" t="str">
        <f t="shared" ca="1" si="1"/>
        <v>(F1 of allele 310)</v>
      </c>
      <c r="E21" s="78" t="str">
        <f ca="1">IFERROR(__xludf.DUMMYFUNCTION("IFERROR(REGEXEXTRACT(N21, ""F\d+""), ""F1"")"),"F1")</f>
        <v>F1</v>
      </c>
      <c r="F21" s="79" t="str">
        <f ca="1">IFERROR(__xludf.DUMMYFUNCTION("""COMPUTED_VALUE"""),"Skittles 5 FP cryaa:mScarlet")</f>
        <v>Skittles 5 FP cryaa:mScarlet</v>
      </c>
      <c r="G21" s="10" t="str">
        <f ca="1">IFERROR(__xludf.DUMMYFUNCTION("""COMPUTED_VALUE"""),"ef1a:&lt;cryaa:mSc&gt;mKate2/mCitrine/Electra2/mKOK/mTFP1")</f>
        <v>ef1a:&lt;cryaa:mSc&gt;mKate2/mCitrine/Electra2/mKOK/mTFP1</v>
      </c>
      <c r="H21" s="80">
        <f ca="1">IFERROR(__xludf.DUMMYFUNCTION("""COMPUTED_VALUE"""),45714)</f>
        <v>45714</v>
      </c>
      <c r="I21" s="10" t="str">
        <f ca="1">IFERROR(__xludf.DUMMYFUNCTION("""COMPUTED_VALUE"""),"pDQM034/035")</f>
        <v>pDQM034/035</v>
      </c>
      <c r="J21" s="10" t="str">
        <f ca="1">IFERROR(__xludf.DUMMYFUNCTION("""COMPUTED_VALUE"""),"tol2")</f>
        <v>tol2</v>
      </c>
      <c r="K21" s="10">
        <f ca="1">IFERROR(__xludf.DUMMYFUNCTION("""COMPUTED_VALUE"""),310)</f>
        <v>310</v>
      </c>
      <c r="L21" s="10" t="str">
        <f ca="1">IFERROR(__xludf.DUMMYFUNCTION("""COMPUTED_VALUE"""),"casper")</f>
        <v>casper</v>
      </c>
      <c r="M21" s="80">
        <f ca="1">IFERROR(__xludf.DUMMYFUNCTION("""COMPUTED_VALUE"""),45804)</f>
        <v>45804</v>
      </c>
      <c r="N21" s="10" t="str">
        <f ca="1">IFERROR(__xludf.DUMMYFUNCTION("""COMPUTED_VALUE"""),"csp")</f>
        <v>csp</v>
      </c>
      <c r="O21" s="10">
        <f ca="1">IFERROR(__xludf.DUMMYFUNCTION("""COMPUTED_VALUE"""),310)</f>
        <v>310</v>
      </c>
      <c r="P21" s="81" t="str">
        <f ca="1">IFERROR(__xludf.DUMMYFUNCTION("""COMPUTED_VALUE"""),"F1_ox")</f>
        <v>F1_ox</v>
      </c>
      <c r="Q21" s="10" t="str">
        <f ca="1">IFERROR(__xludf.DUMMYFUNCTION("""COMPUTED_VALUE"""),"F1s of male #11  ~20% positive rate (~5 fish survived to adulthood)")</f>
        <v>F1s of male #11  ~20% positive rate (~5 fish survived to adulthood)</v>
      </c>
      <c r="R21" s="80" t="str">
        <f ca="1">IFERROR(__xludf.DUMMYFUNCTION("""COMPUTED_VALUE"""),"cytosol")</f>
        <v>cytosol</v>
      </c>
      <c r="S21" s="82">
        <f ca="1">IFERROR(__xludf.DUMMYFUNCTION("""COMPUTED_VALUE"""),405)</f>
        <v>405</v>
      </c>
      <c r="T21" s="80" t="str">
        <f ca="1">IFERROR(__xludf.DUMMYFUNCTION("""COMPUTED_VALUE"""),"cytosol")</f>
        <v>cytosol</v>
      </c>
      <c r="U21" s="82">
        <f ca="1">IFERROR(__xludf.DUMMYFUNCTION("""COMPUTED_VALUE"""),445)</f>
        <v>445</v>
      </c>
      <c r="V21" s="80" t="str">
        <f ca="1">IFERROR(__xludf.DUMMYFUNCTION("""COMPUTED_VALUE"""),"cytosol")</f>
        <v>cytosol</v>
      </c>
      <c r="W21" s="82">
        <f ca="1">IFERROR(__xludf.DUMMYFUNCTION("""COMPUTED_VALUE"""),514)</f>
        <v>514</v>
      </c>
      <c r="X21" s="80" t="str">
        <f ca="1">IFERROR(__xludf.DUMMYFUNCTION("""COMPUTED_VALUE"""),"cytosol")</f>
        <v>cytosol</v>
      </c>
    </row>
    <row r="22" spans="1:24" ht="15.75" customHeight="1" x14ac:dyDescent="0.15">
      <c r="A22" s="1" t="s">
        <v>998</v>
      </c>
      <c r="B22" s="1" t="str">
        <f ca="1">IFERROR(__xludf.DUMMYFUNCTION("IFERROR(JOIN("","", UNIQUE(filter({VLOOKUP(A22,C:X,13, FALSE); VLOOKUP(A22,C:X,15, FALSE); VLOOKUP(A22,C:X,17, FALSE); VLOOKUP(A22,C:X,19, FALSE)}, {VLOOKUP(A22,C:X,13, FALSE); VLOOKUP(A22,C:X,15, FALSE); VLOOKUP(A22,C:X,17, FALSE); VLOOKUP(A22,C:X,19, FA"&amp;"LSE)}&lt;&gt;""""))), """")"),"csp,female #4 founder (low percentage, bright),560")</f>
        <v>csp,female #4 founder (low percentage, bright),560</v>
      </c>
      <c r="C22" s="77" t="str">
        <f t="shared" ca="1" si="0"/>
        <v>ef1a:&lt;cryaa:mSc&gt;mKate2/mCitrine/Electra2/mKOK/mTFP1 (F1 of allele 310)</v>
      </c>
      <c r="D22" s="78" t="str">
        <f t="shared" ca="1" si="1"/>
        <v>(F1 of allele 310)</v>
      </c>
      <c r="E22" s="78" t="str">
        <f ca="1">IFERROR(__xludf.DUMMYFUNCTION("IFERROR(REGEXEXTRACT(N22, ""F\d+""), ""F1"")"),"F1")</f>
        <v>F1</v>
      </c>
      <c r="F22" s="79" t="str">
        <f ca="1">IFERROR(__xludf.DUMMYFUNCTION("""COMPUTED_VALUE"""),"Ben")</f>
        <v>Ben</v>
      </c>
      <c r="G22" s="10" t="str">
        <f ca="1">IFERROR(__xludf.DUMMYFUNCTION("""COMPUTED_VALUE"""),"ef1a:&lt;cryaa:mSc&gt;mKate2/mCitrine/Electra2/mKOK/mTFP1")</f>
        <v>ef1a:&lt;cryaa:mSc&gt;mKate2/mCitrine/Electra2/mKOK/mTFP1</v>
      </c>
      <c r="H22" s="80">
        <f ca="1">IFERROR(__xludf.DUMMYFUNCTION("""COMPUTED_VALUE"""),45714)</f>
        <v>45714</v>
      </c>
      <c r="I22" s="10" t="str">
        <f ca="1">IFERROR(__xludf.DUMMYFUNCTION("""COMPUTED_VALUE"""),"pDQM034/035")</f>
        <v>pDQM034/035</v>
      </c>
      <c r="J22" s="10" t="str">
        <f ca="1">IFERROR(__xludf.DUMMYFUNCTION("""COMPUTED_VALUE"""),"tol2")</f>
        <v>tol2</v>
      </c>
      <c r="K22" s="10">
        <f ca="1">IFERROR(__xludf.DUMMYFUNCTION("""COMPUTED_VALUE"""),310)</f>
        <v>310</v>
      </c>
      <c r="L22" s="10" t="str">
        <f ca="1">IFERROR(__xludf.DUMMYFUNCTION("""COMPUTED_VALUE"""),"casper")</f>
        <v>casper</v>
      </c>
      <c r="M22" s="80">
        <f ca="1">IFERROR(__xludf.DUMMYFUNCTION("""COMPUTED_VALUE"""),45804)</f>
        <v>45804</v>
      </c>
      <c r="N22" s="10" t="str">
        <f ca="1">IFERROR(__xludf.DUMMYFUNCTION("""COMPUTED_VALUE"""),"csp")</f>
        <v>csp</v>
      </c>
      <c r="O22" s="10">
        <f ca="1">IFERROR(__xludf.DUMMYFUNCTION("""COMPUTED_VALUE"""),310)</f>
        <v>310</v>
      </c>
      <c r="P22" s="81" t="str">
        <f ca="1">IFERROR(__xludf.DUMMYFUNCTION("""COMPUTED_VALUE"""),"F1_ox")</f>
        <v>F1_ox</v>
      </c>
      <c r="Q22" s="10" t="str">
        <f ca="1">IFERROR(__xludf.DUMMYFUNCTION("""COMPUTED_VALUE"""),"F1s of male #11  ~20% positive rate (~5 fish survived to adulthood)")</f>
        <v>F1s of male #11  ~20% positive rate (~5 fish survived to adulthood)</v>
      </c>
      <c r="R22" s="80" t="str">
        <f ca="1">IFERROR(__xludf.DUMMYFUNCTION("""COMPUTED_VALUE"""),"cytosol")</f>
        <v>cytosol</v>
      </c>
      <c r="S22" s="82">
        <f ca="1">IFERROR(__xludf.DUMMYFUNCTION("""COMPUTED_VALUE"""),405)</f>
        <v>405</v>
      </c>
      <c r="T22" s="80" t="str">
        <f ca="1">IFERROR(__xludf.DUMMYFUNCTION("""COMPUTED_VALUE"""),"cytosol")</f>
        <v>cytosol</v>
      </c>
      <c r="U22" s="82">
        <f ca="1">IFERROR(__xludf.DUMMYFUNCTION("""COMPUTED_VALUE"""),445)</f>
        <v>445</v>
      </c>
      <c r="V22" s="80" t="str">
        <f ca="1">IFERROR(__xludf.DUMMYFUNCTION("""COMPUTED_VALUE"""),"cytosol")</f>
        <v>cytosol</v>
      </c>
      <c r="W22" s="82">
        <f ca="1">IFERROR(__xludf.DUMMYFUNCTION("""COMPUTED_VALUE"""),514)</f>
        <v>514</v>
      </c>
      <c r="X22" s="80" t="str">
        <f ca="1">IFERROR(__xludf.DUMMYFUNCTION("""COMPUTED_VALUE"""),"cytosol")</f>
        <v>cytosol</v>
      </c>
    </row>
    <row r="23" spans="1:24" ht="15.75" customHeight="1" x14ac:dyDescent="0.15">
      <c r="A23" s="1" t="s">
        <v>999</v>
      </c>
      <c r="B23" s="1" t="str">
        <f ca="1">IFERROR(__xludf.DUMMYFUNCTION("IFERROR(JOIN("","", UNIQUE(filter({VLOOKUP(A23,C:X,13, FALSE); VLOOKUP(A23,C:X,15, FALSE); VLOOKUP(A23,C:X,17, FALSE); VLOOKUP(A23,C:X,19, FALSE)}, {VLOOKUP(A23,C:X,13, FALSE); VLOOKUP(A23,C:X,15, FALSE); VLOOKUP(A23,C:X,17, FALSE); VLOOKUP(A23,C:X,19, FA"&amp;"LSE)}&lt;&gt;""""))), """")"),"csp,male #7, 4 fish survived to adulthood,405,445")</f>
        <v>csp,male #7, 4 fish survived to adulthood,405,445</v>
      </c>
      <c r="C23" s="77" t="str">
        <f t="shared" ca="1" si="0"/>
        <v>ef1a:&lt;exorh:GFP&gt;mKate2/mCitrine/Electra2/mKOK/mTFP1 (F1 of allele 311)</v>
      </c>
      <c r="D23" s="78" t="str">
        <f t="shared" ca="1" si="1"/>
        <v>(F1 of allele 311)</v>
      </c>
      <c r="E23" s="78" t="str">
        <f ca="1">IFERROR(__xludf.DUMMYFUNCTION("IFERROR(REGEXEXTRACT(N23, ""F\d+""), ""F1"")"),"F1")</f>
        <v>F1</v>
      </c>
      <c r="F23" s="79" t="str">
        <f ca="1">IFERROR(__xludf.DUMMYFUNCTION("""COMPUTED_VALUE"""),"Skittles 5 FP exorh:GFP")</f>
        <v>Skittles 5 FP exorh:GFP</v>
      </c>
      <c r="G23" s="10" t="str">
        <f ca="1">IFERROR(__xludf.DUMMYFUNCTION("""COMPUTED_VALUE"""),"ef1a:&lt;exorh:GFP&gt;mKate2/mCitrine/Electra2/mKOK/mTFP1")</f>
        <v>ef1a:&lt;exorh:GFP&gt;mKate2/mCitrine/Electra2/mKOK/mTFP1</v>
      </c>
      <c r="H23" s="80">
        <f ca="1">IFERROR(__xludf.DUMMYFUNCTION("""COMPUTED_VALUE"""),45616)</f>
        <v>45616</v>
      </c>
      <c r="I23" s="10" t="str">
        <f ca="1">IFERROR(__xludf.DUMMYFUNCTION("""COMPUTED_VALUE"""),"pDQM063/064")</f>
        <v>pDQM063/064</v>
      </c>
      <c r="J23" s="10" t="str">
        <f ca="1">IFERROR(__xludf.DUMMYFUNCTION("""COMPUTED_VALUE"""),"tol2")</f>
        <v>tol2</v>
      </c>
      <c r="K23" s="10">
        <f ca="1">IFERROR(__xludf.DUMMYFUNCTION("""COMPUTED_VALUE"""),311)</f>
        <v>311</v>
      </c>
      <c r="L23" s="10" t="str">
        <f ca="1">IFERROR(__xludf.DUMMYFUNCTION("""COMPUTED_VALUE"""),"casper")</f>
        <v>casper</v>
      </c>
      <c r="M23" s="80">
        <f ca="1">IFERROR(__xludf.DUMMYFUNCTION("""COMPUTED_VALUE"""),45706)</f>
        <v>45706</v>
      </c>
      <c r="N23" s="10" t="str">
        <f ca="1">IFERROR(__xludf.DUMMYFUNCTION("""COMPUTED_VALUE"""),"csp")</f>
        <v>csp</v>
      </c>
      <c r="O23" s="10" t="str">
        <f ca="1">IFERROR(__xludf.DUMMYFUNCTION("""COMPUTED_VALUE"""),"csp")</f>
        <v>csp</v>
      </c>
      <c r="P23" s="81" t="str">
        <f ca="1">IFERROR(__xludf.DUMMYFUNCTION("""COMPUTED_VALUE"""),"P0_founder")</f>
        <v>P0_founder</v>
      </c>
      <c r="Q23" s="10" t="str">
        <f ca="1">IFERROR(__xludf.DUMMYFUNCTION("""COMPUTED_VALUE"""),"female  - low frequency (1-2%) exorH:GFP (+) embryos - will start tank 311")</f>
        <v>female  - low frequency (1-2%) exorH:GFP (+) embryos - will start tank 311</v>
      </c>
      <c r="R23" s="80" t="str">
        <f ca="1">IFERROR(__xludf.DUMMYFUNCTION("""COMPUTED_VALUE"""),"cytosol")</f>
        <v>cytosol</v>
      </c>
      <c r="S23" s="82">
        <f ca="1">IFERROR(__xludf.DUMMYFUNCTION("""COMPUTED_VALUE"""),405)</f>
        <v>405</v>
      </c>
      <c r="T23" s="80" t="str">
        <f ca="1">IFERROR(__xludf.DUMMYFUNCTION("""COMPUTED_VALUE"""),"cytosol")</f>
        <v>cytosol</v>
      </c>
      <c r="U23" s="82">
        <f ca="1">IFERROR(__xludf.DUMMYFUNCTION("""COMPUTED_VALUE"""),445)</f>
        <v>445</v>
      </c>
      <c r="V23" s="80" t="str">
        <f ca="1">IFERROR(__xludf.DUMMYFUNCTION("""COMPUTED_VALUE"""),"cytosol")</f>
        <v>cytosol</v>
      </c>
      <c r="W23" s="82">
        <f ca="1">IFERROR(__xludf.DUMMYFUNCTION("""COMPUTED_VALUE"""),514)</f>
        <v>514</v>
      </c>
      <c r="X23" s="80" t="str">
        <f ca="1">IFERROR(__xludf.DUMMYFUNCTION("""COMPUTED_VALUE"""),"cytosol")</f>
        <v>cytosol</v>
      </c>
    </row>
    <row r="24" spans="1:24" ht="15.75" customHeight="1" x14ac:dyDescent="0.15">
      <c r="A24" s="1" t="s">
        <v>163</v>
      </c>
      <c r="B24" s="1" t="str">
        <f ca="1">IFERROR(__xludf.DUMMYFUNCTION("IFERROR(JOIN("","", UNIQUE(filter({VLOOKUP(A24,C:X,13, FALSE); VLOOKUP(A24,C:X,15, FALSE); VLOOKUP(A24,C:X,17, FALSE); VLOOKUP(A24,C:X,19, FALSE)}, {VLOOKUP(A24,C:X,13, FALSE); VLOOKUP(A24,C:X,15, FALSE); VLOOKUP(A24,C:X,17, FALSE); VLOOKUP(A24,C:X,19, FA"&amp;"LSE)}&lt;&gt;""""))), """")"),"csp,male #2 good founder,405,445")</f>
        <v>csp,male #2 good founder,405,445</v>
      </c>
      <c r="C24" s="77" t="str">
        <f t="shared" ca="1" si="0"/>
        <v>ef1a:&lt;exorh:GFP&gt;mKate2/mCitrine/Electra2/mKOK/mTFP1 (F1 of allele 312)</v>
      </c>
      <c r="D24" s="78" t="str">
        <f t="shared" ca="1" si="1"/>
        <v>(F1 of allele 312)</v>
      </c>
      <c r="E24" s="78" t="str">
        <f ca="1">IFERROR(__xludf.DUMMYFUNCTION("IFERROR(REGEXEXTRACT(N24, ""F\d+""), ""F1"")"),"F1")</f>
        <v>F1</v>
      </c>
      <c r="F24" s="79" t="str">
        <f ca="1">IFERROR(__xludf.DUMMYFUNCTION("""COMPUTED_VALUE"""),"Skittles 5 FP exorh:GFP")</f>
        <v>Skittles 5 FP exorh:GFP</v>
      </c>
      <c r="G24" s="10" t="str">
        <f ca="1">IFERROR(__xludf.DUMMYFUNCTION("""COMPUTED_VALUE"""),"ef1a:&lt;exorh:GFP&gt;mKate2/mCitrine/Electra2/mKOK/mTFP1")</f>
        <v>ef1a:&lt;exorh:GFP&gt;mKate2/mCitrine/Electra2/mKOK/mTFP1</v>
      </c>
      <c r="H24" s="80">
        <f ca="1">IFERROR(__xludf.DUMMYFUNCTION("""COMPUTED_VALUE"""),45616)</f>
        <v>45616</v>
      </c>
      <c r="I24" s="10" t="str">
        <f ca="1">IFERROR(__xludf.DUMMYFUNCTION("""COMPUTED_VALUE"""),"pDQM063/064")</f>
        <v>pDQM063/064</v>
      </c>
      <c r="J24" s="10" t="str">
        <f ca="1">IFERROR(__xludf.DUMMYFUNCTION("""COMPUTED_VALUE"""),"tol2")</f>
        <v>tol2</v>
      </c>
      <c r="K24" s="10">
        <f ca="1">IFERROR(__xludf.DUMMYFUNCTION("""COMPUTED_VALUE"""),312)</f>
        <v>312</v>
      </c>
      <c r="L24" s="10" t="str">
        <f ca="1">IFERROR(__xludf.DUMMYFUNCTION("""COMPUTED_VALUE"""),"casper")</f>
        <v>casper</v>
      </c>
      <c r="M24" s="80">
        <f ca="1">IFERROR(__xludf.DUMMYFUNCTION("""COMPUTED_VALUE"""),45706)</f>
        <v>45706</v>
      </c>
      <c r="N24" s="10" t="str">
        <f ca="1">IFERROR(__xludf.DUMMYFUNCTION("""COMPUTED_VALUE"""),"csp")</f>
        <v>csp</v>
      </c>
      <c r="O24" s="10" t="str">
        <f ca="1">IFERROR(__xludf.DUMMYFUNCTION("""COMPUTED_VALUE"""),"csp")</f>
        <v>csp</v>
      </c>
      <c r="P24" s="81" t="str">
        <f ca="1">IFERROR(__xludf.DUMMYFUNCTION("""COMPUTED_VALUE"""),"P0_founder")</f>
        <v>P0_founder</v>
      </c>
      <c r="Q24" s="10" t="str">
        <f ca="1">IFERROR(__xludf.DUMMYFUNCTION("""COMPUTED_VALUE"""),"female  - low frequency (1-2%) exorH:GFP (+) embryos - will start tank 311")</f>
        <v>female  - low frequency (1-2%) exorH:GFP (+) embryos - will start tank 311</v>
      </c>
      <c r="R24" s="80" t="str">
        <f ca="1">IFERROR(__xludf.DUMMYFUNCTION("""COMPUTED_VALUE"""),"cytosol")</f>
        <v>cytosol</v>
      </c>
      <c r="S24" s="82">
        <f ca="1">IFERROR(__xludf.DUMMYFUNCTION("""COMPUTED_VALUE"""),405)</f>
        <v>405</v>
      </c>
      <c r="T24" s="80" t="str">
        <f ca="1">IFERROR(__xludf.DUMMYFUNCTION("""COMPUTED_VALUE"""),"cytosol")</f>
        <v>cytosol</v>
      </c>
      <c r="U24" s="82">
        <f ca="1">IFERROR(__xludf.DUMMYFUNCTION("""COMPUTED_VALUE"""),445)</f>
        <v>445</v>
      </c>
      <c r="V24" s="80" t="str">
        <f ca="1">IFERROR(__xludf.DUMMYFUNCTION("""COMPUTED_VALUE"""),"cytosol")</f>
        <v>cytosol</v>
      </c>
      <c r="W24" s="82">
        <f ca="1">IFERROR(__xludf.DUMMYFUNCTION("""COMPUTED_VALUE"""),514)</f>
        <v>514</v>
      </c>
      <c r="X24" s="80" t="str">
        <f ca="1">IFERROR(__xludf.DUMMYFUNCTION("""COMPUTED_VALUE"""),"cytosol")</f>
        <v>cytosol</v>
      </c>
    </row>
    <row r="25" spans="1:24" ht="15.75" customHeight="1" x14ac:dyDescent="0.15">
      <c r="A25" s="1" t="s">
        <v>1000</v>
      </c>
      <c r="B25" s="1" t="str">
        <f ca="1">IFERROR(__xludf.DUMMYFUNCTION("IFERROR(JOIN("","", UNIQUE(filter({VLOOKUP(A25,C:X,13, FALSE); VLOOKUP(A25,C:X,15, FALSE); VLOOKUP(A25,C:X,17, FALSE); VLOOKUP(A25,C:X,19, FALSE)}, {VLOOKUP(A25,C:X,13, FALSE); VLOOKUP(A25,C:X,15, FALSE); VLOOKUP(A25,C:X,17, FALSE); VLOOKUP(A25,C:X,19, FA"&amp;"LSE)}&lt;&gt;""""))), """")"),"csp,male #14 raised up,405,445")</f>
        <v>csp,male #14 raised up,405,445</v>
      </c>
      <c r="C25" s="77" t="str">
        <f t="shared" ca="1" si="0"/>
        <v>ef1a:&lt;exorh:GFP&gt;mKate2/mCitrine/Electra2/mKOK/mTFP1 (F1 of allele 358)</v>
      </c>
      <c r="D25" s="78" t="str">
        <f t="shared" ca="1" si="1"/>
        <v>(F1 of allele 358)</v>
      </c>
      <c r="E25" s="78" t="str">
        <f ca="1">IFERROR(__xludf.DUMMYFUNCTION("IFERROR(REGEXEXTRACT(N25, ""F\d+""), ""F1"")"),"F1")</f>
        <v>F1</v>
      </c>
      <c r="F25" s="79" t="str">
        <f ca="1">IFERROR(__xludf.DUMMYFUNCTION("""COMPUTED_VALUE"""),"Gemma")</f>
        <v>Gemma</v>
      </c>
      <c r="G25" s="10" t="str">
        <f ca="1">IFERROR(__xludf.DUMMYFUNCTION("""COMPUTED_VALUE"""),"ef1a:&lt;exorh:GFP&gt;mKate2/mCitrine/Electra2/mKOK/mTFP1")</f>
        <v>ef1a:&lt;exorh:GFP&gt;mKate2/mCitrine/Electra2/mKOK/mTFP1</v>
      </c>
      <c r="H25" s="80">
        <f ca="1">IFERROR(__xludf.DUMMYFUNCTION("""COMPUTED_VALUE"""),45616)</f>
        <v>45616</v>
      </c>
      <c r="I25" s="10" t="str">
        <f ca="1">IFERROR(__xludf.DUMMYFUNCTION("""COMPUTED_VALUE"""),"pDQM063/064")</f>
        <v>pDQM063/064</v>
      </c>
      <c r="J25" s="10" t="str">
        <f ca="1">IFERROR(__xludf.DUMMYFUNCTION("""COMPUTED_VALUE"""),"tol2")</f>
        <v>tol2</v>
      </c>
      <c r="K25" s="10">
        <f ca="1">IFERROR(__xludf.DUMMYFUNCTION("""COMPUTED_VALUE"""),358)</f>
        <v>358</v>
      </c>
      <c r="L25" s="10" t="str">
        <f ca="1">IFERROR(__xludf.DUMMYFUNCTION("""COMPUTED_VALUE"""),"casper")</f>
        <v>casper</v>
      </c>
      <c r="M25" s="80">
        <f ca="1">IFERROR(__xludf.DUMMYFUNCTION("""COMPUTED_VALUE"""),45706)</f>
        <v>45706</v>
      </c>
      <c r="N25" s="10" t="str">
        <f ca="1">IFERROR(__xludf.DUMMYFUNCTION("""COMPUTED_VALUE"""),"csp")</f>
        <v>csp</v>
      </c>
      <c r="O25" s="10" t="str">
        <f ca="1">IFERROR(__xludf.DUMMYFUNCTION("""COMPUTED_VALUE"""),"csp")</f>
        <v>csp</v>
      </c>
      <c r="P25" s="81" t="str">
        <f ca="1">IFERROR(__xludf.DUMMYFUNCTION("""COMPUTED_VALUE"""),"P0_founder")</f>
        <v>P0_founder</v>
      </c>
      <c r="Q25" s="10" t="str">
        <f ca="1">IFERROR(__xludf.DUMMYFUNCTION("""COMPUTED_VALUE"""),"female #1  - low frequency (1-2%) exorH:GFP (+) embryos - will start tank")</f>
        <v>female #1  - low frequency (1-2%) exorH:GFP (+) embryos - will start tank</v>
      </c>
      <c r="R25" s="80" t="str">
        <f ca="1">IFERROR(__xludf.DUMMYFUNCTION("""COMPUTED_VALUE"""),"cytosol")</f>
        <v>cytosol</v>
      </c>
      <c r="S25" s="82">
        <f ca="1">IFERROR(__xludf.DUMMYFUNCTION("""COMPUTED_VALUE"""),405)</f>
        <v>405</v>
      </c>
      <c r="T25" s="80" t="str">
        <f ca="1">IFERROR(__xludf.DUMMYFUNCTION("""COMPUTED_VALUE"""),"cytosol")</f>
        <v>cytosol</v>
      </c>
      <c r="U25" s="82">
        <f ca="1">IFERROR(__xludf.DUMMYFUNCTION("""COMPUTED_VALUE"""),445)</f>
        <v>445</v>
      </c>
      <c r="V25" s="80" t="str">
        <f ca="1">IFERROR(__xludf.DUMMYFUNCTION("""COMPUTED_VALUE"""),"cytosol")</f>
        <v>cytosol</v>
      </c>
      <c r="W25" s="82">
        <f ca="1">IFERROR(__xludf.DUMMYFUNCTION("""COMPUTED_VALUE"""),514)</f>
        <v>514</v>
      </c>
      <c r="X25" s="80" t="str">
        <f ca="1">IFERROR(__xludf.DUMMYFUNCTION("""COMPUTED_VALUE"""),"cytosol")</f>
        <v>cytosol</v>
      </c>
    </row>
    <row r="26" spans="1:24" ht="15.75" customHeight="1" x14ac:dyDescent="0.15">
      <c r="A26" s="1" t="s">
        <v>1001</v>
      </c>
      <c r="B26" s="1" t="str">
        <f ca="1">IFERROR(__xludf.DUMMYFUNCTION("IFERROR(JOIN("","", UNIQUE(filter({VLOOKUP(A26,C:X,13, FALSE); VLOOKUP(A26,C:X,15, FALSE); VLOOKUP(A26,C:X,17, FALSE); VLOOKUP(A26,C:X,19, FALSE)}, {VLOOKUP(A26,C:X,13, FALSE); VLOOKUP(A26,C:X,15, FALSE); VLOOKUP(A26,C:X,17, FALSE); VLOOKUP(A26,C:X,19, FA"&amp;"LSE)}&lt;&gt;""""))), """")"),"csp,male #1 - 10+ fish survived,405,445")</f>
        <v>csp,male #1 - 10+ fish survived,405,445</v>
      </c>
      <c r="C26" s="77" t="str">
        <f t="shared" ca="1" si="0"/>
        <v>ef1a:&lt;exorh:GFP&gt;mKate2/mCitrine/Electra2/mKOK/mTFP1 (F1 of allele 311)</v>
      </c>
      <c r="D26" s="78" t="str">
        <f t="shared" ca="1" si="1"/>
        <v>(F1 of allele 311)</v>
      </c>
      <c r="E26" s="78" t="str">
        <f ca="1">IFERROR(__xludf.DUMMYFUNCTION("IFERROR(REGEXEXTRACT(N26, ""F\d+""), ""F1"")"),"F1")</f>
        <v>F1</v>
      </c>
      <c r="F26" s="79" t="str">
        <f ca="1">IFERROR(__xludf.DUMMYFUNCTION("""COMPUTED_VALUE"""),"Gemma")</f>
        <v>Gemma</v>
      </c>
      <c r="G26" s="10" t="str">
        <f ca="1">IFERROR(__xludf.DUMMYFUNCTION("""COMPUTED_VALUE"""),"ef1a:&lt;exorh:GFP&gt;mKate2/mCitrine/Electra2/mKOK/mTFP1")</f>
        <v>ef1a:&lt;exorh:GFP&gt;mKate2/mCitrine/Electra2/mKOK/mTFP1</v>
      </c>
      <c r="H26" s="80">
        <f ca="1">IFERROR(__xludf.DUMMYFUNCTION("""COMPUTED_VALUE"""),45735)</f>
        <v>45735</v>
      </c>
      <c r="I26" s="10" t="str">
        <f ca="1">IFERROR(__xludf.DUMMYFUNCTION("""COMPUTED_VALUE"""),"pDQM063/064")</f>
        <v>pDQM063/064</v>
      </c>
      <c r="J26" s="10" t="str">
        <f ca="1">IFERROR(__xludf.DUMMYFUNCTION("""COMPUTED_VALUE"""),"tol2")</f>
        <v>tol2</v>
      </c>
      <c r="K26" s="10">
        <f ca="1">IFERROR(__xludf.DUMMYFUNCTION("""COMPUTED_VALUE"""),311)</f>
        <v>311</v>
      </c>
      <c r="L26" s="10" t="str">
        <f ca="1">IFERROR(__xludf.DUMMYFUNCTION("""COMPUTED_VALUE"""),"casper")</f>
        <v>casper</v>
      </c>
      <c r="M26" s="80">
        <f ca="1">IFERROR(__xludf.DUMMYFUNCTION("""COMPUTED_VALUE"""),45825)</f>
        <v>45825</v>
      </c>
      <c r="N26" s="10">
        <f ca="1">IFERROR(__xludf.DUMMYFUNCTION("""COMPUTED_VALUE"""),311)</f>
        <v>311</v>
      </c>
      <c r="O26" s="10" t="str">
        <f ca="1">IFERROR(__xludf.DUMMYFUNCTION("""COMPUTED_VALUE"""),"csp")</f>
        <v>csp</v>
      </c>
      <c r="P26" s="81" t="str">
        <f ca="1">IFERROR(__xludf.DUMMYFUNCTION("""COMPUTED_VALUE"""),"F1_ox")</f>
        <v>F1_ox</v>
      </c>
      <c r="Q26" s="10" t="str">
        <f ca="1">IFERROR(__xludf.DUMMYFUNCTION("""COMPUTED_VALUE"""),"F1s of female #1")</f>
        <v>F1s of female #1</v>
      </c>
      <c r="R26" s="80" t="str">
        <f ca="1">IFERROR(__xludf.DUMMYFUNCTION("""COMPUTED_VALUE"""),"cytosol")</f>
        <v>cytosol</v>
      </c>
      <c r="S26" s="82">
        <f ca="1">IFERROR(__xludf.DUMMYFUNCTION("""COMPUTED_VALUE"""),405)</f>
        <v>405</v>
      </c>
      <c r="T26" s="80" t="str">
        <f ca="1">IFERROR(__xludf.DUMMYFUNCTION("""COMPUTED_VALUE"""),"cytosol")</f>
        <v>cytosol</v>
      </c>
      <c r="U26" s="82">
        <f ca="1">IFERROR(__xludf.DUMMYFUNCTION("""COMPUTED_VALUE"""),445)</f>
        <v>445</v>
      </c>
      <c r="V26" s="80" t="str">
        <f ca="1">IFERROR(__xludf.DUMMYFUNCTION("""COMPUTED_VALUE"""),"cytosol")</f>
        <v>cytosol</v>
      </c>
      <c r="W26" s="82">
        <f ca="1">IFERROR(__xludf.DUMMYFUNCTION("""COMPUTED_VALUE"""),514)</f>
        <v>514</v>
      </c>
      <c r="X26" s="80" t="str">
        <f ca="1">IFERROR(__xludf.DUMMYFUNCTION("""COMPUTED_VALUE"""),"cytosol")</f>
        <v>cytosol</v>
      </c>
    </row>
    <row r="27" spans="1:24" ht="15.75" customHeight="1" x14ac:dyDescent="0.15">
      <c r="A27" s="1" t="s">
        <v>1002</v>
      </c>
      <c r="B27" s="1" t="str">
        <f ca="1">IFERROR(__xludf.DUMMYFUNCTION("IFERROR(JOIN("","", UNIQUE(filter({VLOOKUP(A27,C:X,13, FALSE); VLOOKUP(A27,C:X,15, FALSE); VLOOKUP(A27,C:X,17, FALSE); VLOOKUP(A27,C:X,19, FALSE)}, {VLOOKUP(A27,C:X,13, FALSE); VLOOKUP(A27,C:X,15, FALSE); VLOOKUP(A27,C:X,17, FALSE); VLOOKUP(A27,C:X,19, FA"&amp;"LSE)}&lt;&gt;""""))), """")"),"csp,male #6,405,445")</f>
        <v>csp,male #6,405,445</v>
      </c>
      <c r="C27" s="77" t="str">
        <f t="shared" ca="1" si="0"/>
        <v>ef1a:&lt;exorh:GFP&gt;mKate2/mCitrine/Electra2/mKOK/mTFP1 (F1 of allele 313)</v>
      </c>
      <c r="D27" s="78" t="str">
        <f t="shared" ca="1" si="1"/>
        <v>(F1 of allele 313)</v>
      </c>
      <c r="E27" s="78" t="str">
        <f ca="1">IFERROR(__xludf.DUMMYFUNCTION("IFERROR(REGEXEXTRACT(N27, ""F\d+""), ""F1"")"),"F1")</f>
        <v>F1</v>
      </c>
      <c r="F27" s="79" t="str">
        <f ca="1">IFERROR(__xludf.DUMMYFUNCTION("""COMPUTED_VALUE"""),"Skittles 5 FP exorh:GFP")</f>
        <v>Skittles 5 FP exorh:GFP</v>
      </c>
      <c r="G27" s="10" t="str">
        <f ca="1">IFERROR(__xludf.DUMMYFUNCTION("""COMPUTED_VALUE"""),"ef1a:&lt;exorh:GFP&gt;mKate2/mCitrine/Electra2/mKOK/mTFP1")</f>
        <v>ef1a:&lt;exorh:GFP&gt;mKate2/mCitrine/Electra2/mKOK/mTFP1</v>
      </c>
      <c r="H27" s="80">
        <f ca="1">IFERROR(__xludf.DUMMYFUNCTION("""COMPUTED_VALUE"""),45616)</f>
        <v>45616</v>
      </c>
      <c r="I27" s="10" t="str">
        <f ca="1">IFERROR(__xludf.DUMMYFUNCTION("""COMPUTED_VALUE"""),"pDQM063/064")</f>
        <v>pDQM063/064</v>
      </c>
      <c r="J27" s="10" t="str">
        <f ca="1">IFERROR(__xludf.DUMMYFUNCTION("""COMPUTED_VALUE"""),"tol2")</f>
        <v>tol2</v>
      </c>
      <c r="K27" s="10">
        <f ca="1">IFERROR(__xludf.DUMMYFUNCTION("""COMPUTED_VALUE"""),313)</f>
        <v>313</v>
      </c>
      <c r="L27" s="10" t="str">
        <f ca="1">IFERROR(__xludf.DUMMYFUNCTION("""COMPUTED_VALUE"""),"casper")</f>
        <v>casper</v>
      </c>
      <c r="M27" s="80">
        <f ca="1">IFERROR(__xludf.DUMMYFUNCTION("""COMPUTED_VALUE"""),45706)</f>
        <v>45706</v>
      </c>
      <c r="N27" s="10" t="str">
        <f ca="1">IFERROR(__xludf.DUMMYFUNCTION("""COMPUTED_VALUE"""),"csp")</f>
        <v>csp</v>
      </c>
      <c r="O27" s="10" t="str">
        <f ca="1">IFERROR(__xludf.DUMMYFUNCTION("""COMPUTED_VALUE"""),"csp")</f>
        <v>csp</v>
      </c>
      <c r="P27" s="81" t="str">
        <f ca="1">IFERROR(__xludf.DUMMYFUNCTION("""COMPUTED_VALUE"""),"P0_founder")</f>
        <v>P0_founder</v>
      </c>
      <c r="Q27" s="10" t="str">
        <f ca="1">IFERROR(__xludf.DUMMYFUNCTION("""COMPUTED_VALUE"""),"male C - ~10% frequency exorH:GFP (+) embryos")</f>
        <v>male C - ~10% frequency exorH:GFP (+) embryos</v>
      </c>
      <c r="R27" s="80" t="str">
        <f ca="1">IFERROR(__xludf.DUMMYFUNCTION("""COMPUTED_VALUE"""),"cytosol")</f>
        <v>cytosol</v>
      </c>
      <c r="S27" s="82">
        <f ca="1">IFERROR(__xludf.DUMMYFUNCTION("""COMPUTED_VALUE"""),405)</f>
        <v>405</v>
      </c>
      <c r="T27" s="80" t="str">
        <f ca="1">IFERROR(__xludf.DUMMYFUNCTION("""COMPUTED_VALUE"""),"cytosol")</f>
        <v>cytosol</v>
      </c>
      <c r="U27" s="82">
        <f ca="1">IFERROR(__xludf.DUMMYFUNCTION("""COMPUTED_VALUE"""),445)</f>
        <v>445</v>
      </c>
      <c r="V27" s="80" t="str">
        <f ca="1">IFERROR(__xludf.DUMMYFUNCTION("""COMPUTED_VALUE"""),"cytosol")</f>
        <v>cytosol</v>
      </c>
      <c r="W27" s="82">
        <f ca="1">IFERROR(__xludf.DUMMYFUNCTION("""COMPUTED_VALUE"""),514)</f>
        <v>514</v>
      </c>
      <c r="X27" s="80" t="str">
        <f ca="1">IFERROR(__xludf.DUMMYFUNCTION("""COMPUTED_VALUE"""),"cytosol")</f>
        <v>cytosol</v>
      </c>
    </row>
    <row r="28" spans="1:24" ht="15.75" customHeight="1" x14ac:dyDescent="0.15">
      <c r="A28" s="1" t="s">
        <v>1003</v>
      </c>
      <c r="B28" s="1" t="str">
        <f ca="1">IFERROR(__xludf.DUMMYFUNCTION("IFERROR(JOIN("","", UNIQUE(filter({VLOOKUP(A28,C:X,13, FALSE); VLOOKUP(A28,C:X,15, FALSE); VLOOKUP(A28,C:X,17, FALSE); VLOOKUP(A28,C:X,19, FALSE)}, {VLOOKUP(A28,C:X,13, FALSE); VLOOKUP(A28,C:X,15, FALSE); VLOOKUP(A28,C:X,17, FALSE); VLOOKUP(A28,C:X,19, FA"&amp;"LSE)}&lt;&gt;""""))), """")"),"csp,male #1,405,445")</f>
        <v>csp,male #1,405,445</v>
      </c>
      <c r="C28" s="77" t="str">
        <f t="shared" ca="1" si="0"/>
        <v>ef1a:&lt;exorh:GFP&gt;mKate2/mCitrine/Electra2/mKOK/mTFP1 (F1 of allele 313)</v>
      </c>
      <c r="D28" s="78" t="str">
        <f t="shared" ca="1" si="1"/>
        <v>(F1 of allele 313)</v>
      </c>
      <c r="E28" s="78" t="str">
        <f ca="1">IFERROR(__xludf.DUMMYFUNCTION("IFERROR(REGEXEXTRACT(N28, ""F\d+""), ""F1"")"),"F1")</f>
        <v>F1</v>
      </c>
      <c r="F28" s="79" t="str">
        <f ca="1">IFERROR(__xludf.DUMMYFUNCTION("""COMPUTED_VALUE"""),"Harry")</f>
        <v>Harry</v>
      </c>
      <c r="G28" s="10" t="str">
        <f ca="1">IFERROR(__xludf.DUMMYFUNCTION("""COMPUTED_VALUE"""),"ef1a:&lt;exorh:GFP&gt;mKate2/mCitrine/Electra2/mKOK/mTFP1")</f>
        <v>ef1a:&lt;exorh:GFP&gt;mKate2/mCitrine/Electra2/mKOK/mTFP1</v>
      </c>
      <c r="H28" s="80">
        <f ca="1">IFERROR(__xludf.DUMMYFUNCTION("""COMPUTED_VALUE"""),45616)</f>
        <v>45616</v>
      </c>
      <c r="I28" s="10" t="str">
        <f ca="1">IFERROR(__xludf.DUMMYFUNCTION("""COMPUTED_VALUE"""),"pDQM063/064")</f>
        <v>pDQM063/064</v>
      </c>
      <c r="J28" s="10" t="str">
        <f ca="1">IFERROR(__xludf.DUMMYFUNCTION("""COMPUTED_VALUE"""),"tol2")</f>
        <v>tol2</v>
      </c>
      <c r="K28" s="10">
        <f ca="1">IFERROR(__xludf.DUMMYFUNCTION("""COMPUTED_VALUE"""),313)</f>
        <v>313</v>
      </c>
      <c r="L28" s="10" t="str">
        <f ca="1">IFERROR(__xludf.DUMMYFUNCTION("""COMPUTED_VALUE"""),"casper")</f>
        <v>casper</v>
      </c>
      <c r="M28" s="80">
        <f ca="1">IFERROR(__xludf.DUMMYFUNCTION("""COMPUTED_VALUE"""),45706)</f>
        <v>45706</v>
      </c>
      <c r="N28" s="10" t="str">
        <f ca="1">IFERROR(__xludf.DUMMYFUNCTION("""COMPUTED_VALUE"""),"csp")</f>
        <v>csp</v>
      </c>
      <c r="O28" s="10" t="str">
        <f ca="1">IFERROR(__xludf.DUMMYFUNCTION("""COMPUTED_VALUE"""),"csp")</f>
        <v>csp</v>
      </c>
      <c r="P28" s="81" t="str">
        <f ca="1">IFERROR(__xludf.DUMMYFUNCTION("""COMPUTED_VALUE"""),"P0_founder")</f>
        <v>P0_founder</v>
      </c>
      <c r="Q28" s="10" t="str">
        <f ca="1">IFERROR(__xludf.DUMMYFUNCTION("""COMPUTED_VALUE"""),"male C - ~10% frequency exorH:GFP (+) embryos")</f>
        <v>male C - ~10% frequency exorH:GFP (+) embryos</v>
      </c>
      <c r="R28" s="80" t="str">
        <f ca="1">IFERROR(__xludf.DUMMYFUNCTION("""COMPUTED_VALUE"""),"cytosol")</f>
        <v>cytosol</v>
      </c>
      <c r="S28" s="82">
        <f ca="1">IFERROR(__xludf.DUMMYFUNCTION("""COMPUTED_VALUE"""),405)</f>
        <v>405</v>
      </c>
      <c r="T28" s="80" t="str">
        <f ca="1">IFERROR(__xludf.DUMMYFUNCTION("""COMPUTED_VALUE"""),"cytosol")</f>
        <v>cytosol</v>
      </c>
      <c r="U28" s="82">
        <f ca="1">IFERROR(__xludf.DUMMYFUNCTION("""COMPUTED_VALUE"""),445)</f>
        <v>445</v>
      </c>
      <c r="V28" s="80" t="str">
        <f ca="1">IFERROR(__xludf.DUMMYFUNCTION("""COMPUTED_VALUE"""),"cytosol")</f>
        <v>cytosol</v>
      </c>
      <c r="W28" s="82">
        <f ca="1">IFERROR(__xludf.DUMMYFUNCTION("""COMPUTED_VALUE"""),514)</f>
        <v>514</v>
      </c>
      <c r="X28" s="80" t="str">
        <f ca="1">IFERROR(__xludf.DUMMYFUNCTION("""COMPUTED_VALUE"""),"cytosol")</f>
        <v>cytosol</v>
      </c>
    </row>
    <row r="29" spans="1:24" ht="15.75" customHeight="1" x14ac:dyDescent="0.15">
      <c r="A29" s="1" t="s">
        <v>1004</v>
      </c>
      <c r="B29" s="1" t="str">
        <f ca="1">IFERROR(__xludf.DUMMYFUNCTION("IFERROR(JOIN("","", UNIQUE(filter({VLOOKUP(A29,C:X,13, FALSE); VLOOKUP(A29,C:X,15, FALSE); VLOOKUP(A29,C:X,17, FALSE); VLOOKUP(A29,C:X,19, FALSE)}, {VLOOKUP(A29,C:X,13, FALSE); VLOOKUP(A29,C:X,15, FALSE); VLOOKUP(A29,C:X,17, FALSE); VLOOKUP(A29,C:X,19, FA"&amp;"LSE)}&lt;&gt;""""))), """")"),"301,founder male #1 (very high percentage exoh + embryos) (mem:Sg is weakly expressed),488")</f>
        <v>301,founder male #1 (very high percentage exoh + embryos) (mem:Sg is weakly expressed),488</v>
      </c>
      <c r="C29" s="77" t="str">
        <f t="shared" ca="1" si="0"/>
        <v>ef1a:&lt;exorh:GFP&gt;mKate2/mCitrine/Electra2/mKOK/mTFP1 (F1 of allele 313)</v>
      </c>
      <c r="D29" s="78" t="str">
        <f t="shared" ca="1" si="1"/>
        <v>(F1 of allele 313)</v>
      </c>
      <c r="E29" s="78" t="str">
        <f ca="1">IFERROR(__xludf.DUMMYFUNCTION("IFERROR(REGEXEXTRACT(N29, ""F\d+""), ""F1"")"),"F1")</f>
        <v>F1</v>
      </c>
      <c r="F29" s="79" t="str">
        <f ca="1">IFERROR(__xludf.DUMMYFUNCTION("""COMPUTED_VALUE"""),"Skittles 5 FP exorh:GFP")</f>
        <v>Skittles 5 FP exorh:GFP</v>
      </c>
      <c r="G29" s="10" t="str">
        <f ca="1">IFERROR(__xludf.DUMMYFUNCTION("""COMPUTED_VALUE"""),"ef1a:&lt;exorh:GFP&gt;mKate2/mCitrine/Electra2/mKOK/mTFP1")</f>
        <v>ef1a:&lt;exorh:GFP&gt;mKate2/mCitrine/Electra2/mKOK/mTFP1</v>
      </c>
      <c r="H29" s="80">
        <f ca="1">IFERROR(__xludf.DUMMYFUNCTION("""COMPUTED_VALUE"""),45735)</f>
        <v>45735</v>
      </c>
      <c r="I29" s="10" t="str">
        <f ca="1">IFERROR(__xludf.DUMMYFUNCTION("""COMPUTED_VALUE"""),"pDQM063/064")</f>
        <v>pDQM063/064</v>
      </c>
      <c r="J29" s="10" t="str">
        <f ca="1">IFERROR(__xludf.DUMMYFUNCTION("""COMPUTED_VALUE"""),"tol2")</f>
        <v>tol2</v>
      </c>
      <c r="K29" s="10">
        <f ca="1">IFERROR(__xludf.DUMMYFUNCTION("""COMPUTED_VALUE"""),313)</f>
        <v>313</v>
      </c>
      <c r="L29" s="10" t="str">
        <f ca="1">IFERROR(__xludf.DUMMYFUNCTION("""COMPUTED_VALUE"""),"casper")</f>
        <v>casper</v>
      </c>
      <c r="M29" s="80">
        <f ca="1">IFERROR(__xludf.DUMMYFUNCTION("""COMPUTED_VALUE"""),45825)</f>
        <v>45825</v>
      </c>
      <c r="N29" s="10" t="str">
        <f ca="1">IFERROR(__xludf.DUMMYFUNCTION("""COMPUTED_VALUE"""),"csp")</f>
        <v>csp</v>
      </c>
      <c r="O29" s="10">
        <f ca="1">IFERROR(__xludf.DUMMYFUNCTION("""COMPUTED_VALUE"""),313)</f>
        <v>313</v>
      </c>
      <c r="P29" s="81" t="str">
        <f ca="1">IFERROR(__xludf.DUMMYFUNCTION("""COMPUTED_VALUE"""),"F1_ox")</f>
        <v>F1_ox</v>
      </c>
      <c r="Q29" s="10" t="str">
        <f ca="1">IFERROR(__xludf.DUMMYFUNCTION("""COMPUTED_VALUE"""),"F1s of male C ")</f>
        <v xml:space="preserve">F1s of male C </v>
      </c>
      <c r="R29" s="80" t="str">
        <f ca="1">IFERROR(__xludf.DUMMYFUNCTION("""COMPUTED_VALUE"""),"cytosol")</f>
        <v>cytosol</v>
      </c>
      <c r="S29" s="82">
        <f ca="1">IFERROR(__xludf.DUMMYFUNCTION("""COMPUTED_VALUE"""),405)</f>
        <v>405</v>
      </c>
      <c r="T29" s="80" t="str">
        <f ca="1">IFERROR(__xludf.DUMMYFUNCTION("""COMPUTED_VALUE"""),"cytosol")</f>
        <v>cytosol</v>
      </c>
      <c r="U29" s="82">
        <f ca="1">IFERROR(__xludf.DUMMYFUNCTION("""COMPUTED_VALUE"""),445)</f>
        <v>445</v>
      </c>
      <c r="V29" s="80" t="str">
        <f ca="1">IFERROR(__xludf.DUMMYFUNCTION("""COMPUTED_VALUE"""),"cytosol")</f>
        <v>cytosol</v>
      </c>
      <c r="W29" s="82">
        <f ca="1">IFERROR(__xludf.DUMMYFUNCTION("""COMPUTED_VALUE"""),514)</f>
        <v>514</v>
      </c>
      <c r="X29" s="80" t="str">
        <f ca="1">IFERROR(__xludf.DUMMYFUNCTION("""COMPUTED_VALUE"""),"cytosol")</f>
        <v>cytosol</v>
      </c>
    </row>
    <row r="30" spans="1:24" ht="15.75" customHeight="1" x14ac:dyDescent="0.15">
      <c r="A30" s="1" t="s">
        <v>1005</v>
      </c>
      <c r="B30" s="1" t="str">
        <f ca="1">IFERROR(__xludf.DUMMYFUNCTION("IFERROR(JOIN("","", UNIQUE(filter({VLOOKUP(A30,C:X,13, FALSE); VLOOKUP(A30,C:X,15, FALSE); VLOOKUP(A30,C:X,17, FALSE); VLOOKUP(A30,C:X,19, FALSE)}, {VLOOKUP(A30,C:X,13, FALSE); VLOOKUP(A30,C:X,15, FALSE); VLOOKUP(A30,C:X,17, FALSE); VLOOKUP(A30,C:X,19, FA"&amp;"LSE)}&lt;&gt;""""))), """")"),"301,founder male #3 (low percentage exorh + embryos) (mem:Sg is weakly expressed),488")</f>
        <v>301,founder male #3 (low percentage exorh + embryos) (mem:Sg is weakly expressed),488</v>
      </c>
      <c r="C30" s="77" t="str">
        <f t="shared" ca="1" si="0"/>
        <v>ef1a:&lt;exorh:GFP&gt;mKate2/mCitrine/Electra2/mKOK/mTFP1 (F1 of allele 313)</v>
      </c>
      <c r="D30" s="78" t="str">
        <f t="shared" ca="1" si="1"/>
        <v>(F1 of allele 313)</v>
      </c>
      <c r="E30" s="78" t="str">
        <f ca="1">IFERROR(__xludf.DUMMYFUNCTION("IFERROR(REGEXEXTRACT(N30, ""F\d+""), ""F1"")"),"F1")</f>
        <v>F1</v>
      </c>
      <c r="F30" s="79" t="str">
        <f ca="1">IFERROR(__xludf.DUMMYFUNCTION("""COMPUTED_VALUE"""),"Harry")</f>
        <v>Harry</v>
      </c>
      <c r="G30" s="10" t="str">
        <f ca="1">IFERROR(__xludf.DUMMYFUNCTION("""COMPUTED_VALUE"""),"ef1a:&lt;exorh:GFP&gt;mKate2/mCitrine/Electra2/mKOK/mTFP1")</f>
        <v>ef1a:&lt;exorh:GFP&gt;mKate2/mCitrine/Electra2/mKOK/mTFP1</v>
      </c>
      <c r="H30" s="80">
        <f ca="1">IFERROR(__xludf.DUMMYFUNCTION("""COMPUTED_VALUE"""),45735)</f>
        <v>45735</v>
      </c>
      <c r="I30" s="10" t="str">
        <f ca="1">IFERROR(__xludf.DUMMYFUNCTION("""COMPUTED_VALUE"""),"pDQM063/064")</f>
        <v>pDQM063/064</v>
      </c>
      <c r="J30" s="10" t="str">
        <f ca="1">IFERROR(__xludf.DUMMYFUNCTION("""COMPUTED_VALUE"""),"tol2")</f>
        <v>tol2</v>
      </c>
      <c r="K30" s="10">
        <f ca="1">IFERROR(__xludf.DUMMYFUNCTION("""COMPUTED_VALUE"""),313)</f>
        <v>313</v>
      </c>
      <c r="L30" s="10" t="str">
        <f ca="1">IFERROR(__xludf.DUMMYFUNCTION("""COMPUTED_VALUE"""),"casper")</f>
        <v>casper</v>
      </c>
      <c r="M30" s="80">
        <f ca="1">IFERROR(__xludf.DUMMYFUNCTION("""COMPUTED_VALUE"""),45825)</f>
        <v>45825</v>
      </c>
      <c r="N30" s="10" t="str">
        <f ca="1">IFERROR(__xludf.DUMMYFUNCTION("""COMPUTED_VALUE"""),"csp")</f>
        <v>csp</v>
      </c>
      <c r="O30" s="10">
        <f ca="1">IFERROR(__xludf.DUMMYFUNCTION("""COMPUTED_VALUE"""),313)</f>
        <v>313</v>
      </c>
      <c r="P30" s="81" t="str">
        <f ca="1">IFERROR(__xludf.DUMMYFUNCTION("""COMPUTED_VALUE"""),"F1_ox")</f>
        <v>F1_ox</v>
      </c>
      <c r="Q30" s="10" t="str">
        <f ca="1">IFERROR(__xludf.DUMMYFUNCTION("""COMPUTED_VALUE"""),"F1s of male C ")</f>
        <v xml:space="preserve">F1s of male C </v>
      </c>
      <c r="R30" s="80" t="str">
        <f ca="1">IFERROR(__xludf.DUMMYFUNCTION("""COMPUTED_VALUE"""),"cytosol")</f>
        <v>cytosol</v>
      </c>
      <c r="S30" s="82">
        <f ca="1">IFERROR(__xludf.DUMMYFUNCTION("""COMPUTED_VALUE"""),405)</f>
        <v>405</v>
      </c>
      <c r="T30" s="80" t="str">
        <f ca="1">IFERROR(__xludf.DUMMYFUNCTION("""COMPUTED_VALUE"""),"cytosol")</f>
        <v>cytosol</v>
      </c>
      <c r="U30" s="82">
        <f ca="1">IFERROR(__xludf.DUMMYFUNCTION("""COMPUTED_VALUE"""),445)</f>
        <v>445</v>
      </c>
      <c r="V30" s="80" t="str">
        <f ca="1">IFERROR(__xludf.DUMMYFUNCTION("""COMPUTED_VALUE"""),"cytosol")</f>
        <v>cytosol</v>
      </c>
      <c r="W30" s="82">
        <f ca="1">IFERROR(__xludf.DUMMYFUNCTION("""COMPUTED_VALUE"""),514)</f>
        <v>514</v>
      </c>
      <c r="X30" s="80" t="str">
        <f ca="1">IFERROR(__xludf.DUMMYFUNCTION("""COMPUTED_VALUE"""),"cytosol")</f>
        <v>cytosol</v>
      </c>
    </row>
    <row r="31" spans="1:24" ht="15.75" customHeight="1" x14ac:dyDescent="0.15">
      <c r="A31" s="1" t="s">
        <v>29</v>
      </c>
      <c r="B31" s="1" t="str">
        <f ca="1">IFERROR(__xludf.DUMMYFUNCTION("IFERROR(JOIN("","", UNIQUE(filter({VLOOKUP(A31,C:X,13, FALSE); VLOOKUP(A31,C:X,15, FALSE); VLOOKUP(A31,C:X,17, FALSE); VLOOKUP(A31,C:X,19, FALSE)}, {VLOOKUP(A31,C:X,13, FALSE); VLOOKUP(A31,C:X,15, FALSE); VLOOKUP(A31,C:X,17, FALSE); VLOOKUP(A31,C:X,19, FA"&amp;"LSE)}&lt;&gt;""""))), """")"),"csp,male #1,560")</f>
        <v>csp,male #1,560</v>
      </c>
      <c r="C31" s="77" t="str">
        <f t="shared" ca="1" si="0"/>
        <v>ef1a:&lt;exorh:GFP&gt;mKate2/mCitrine/Electra2/mKOK/mTFP1 (F1 of allele 314)</v>
      </c>
      <c r="D31" s="78" t="str">
        <f t="shared" ca="1" si="1"/>
        <v>(F1 of allele 314)</v>
      </c>
      <c r="E31" s="78" t="str">
        <f ca="1">IFERROR(__xludf.DUMMYFUNCTION("IFERROR(REGEXEXTRACT(N31, ""F\d+""), ""F1"")"),"F1")</f>
        <v>F1</v>
      </c>
      <c r="F31" s="79" t="str">
        <f ca="1">IFERROR(__xludf.DUMMYFUNCTION("""COMPUTED_VALUE"""),"Skittles 5 FP exorh:GFP")</f>
        <v>Skittles 5 FP exorh:GFP</v>
      </c>
      <c r="G31" s="10" t="str">
        <f ca="1">IFERROR(__xludf.DUMMYFUNCTION("""COMPUTED_VALUE"""),"ef1a:&lt;exorh:GFP&gt;mKate2/mCitrine/Electra2/mKOK/mTFP1")</f>
        <v>ef1a:&lt;exorh:GFP&gt;mKate2/mCitrine/Electra2/mKOK/mTFP1</v>
      </c>
      <c r="H31" s="80">
        <f ca="1">IFERROR(__xludf.DUMMYFUNCTION("""COMPUTED_VALUE"""),45616)</f>
        <v>45616</v>
      </c>
      <c r="I31" s="10" t="str">
        <f ca="1">IFERROR(__xludf.DUMMYFUNCTION("""COMPUTED_VALUE"""),"pDQM063/064")</f>
        <v>pDQM063/064</v>
      </c>
      <c r="J31" s="10" t="str">
        <f ca="1">IFERROR(__xludf.DUMMYFUNCTION("""COMPUTED_VALUE"""),"tol2")</f>
        <v>tol2</v>
      </c>
      <c r="K31" s="10">
        <f ca="1">IFERROR(__xludf.DUMMYFUNCTION("""COMPUTED_VALUE"""),314)</f>
        <v>314</v>
      </c>
      <c r="L31" s="10" t="str">
        <f ca="1">IFERROR(__xludf.DUMMYFUNCTION("""COMPUTED_VALUE"""),"casper")</f>
        <v>casper</v>
      </c>
      <c r="M31" s="80">
        <f ca="1">IFERROR(__xludf.DUMMYFUNCTION("""COMPUTED_VALUE"""),45706)</f>
        <v>45706</v>
      </c>
      <c r="N31" s="10" t="str">
        <f ca="1">IFERROR(__xludf.DUMMYFUNCTION("""COMPUTED_VALUE"""),"csp")</f>
        <v>csp</v>
      </c>
      <c r="O31" s="10" t="str">
        <f ca="1">IFERROR(__xludf.DUMMYFUNCTION("""COMPUTED_VALUE"""),"csp")</f>
        <v>csp</v>
      </c>
      <c r="P31" s="81" t="str">
        <f ca="1">IFERROR(__xludf.DUMMYFUNCTION("""COMPUTED_VALUE"""),"P0_founder")</f>
        <v>P0_founder</v>
      </c>
      <c r="Q31" s="10" t="str">
        <f ca="1">IFERROR(__xludf.DUMMYFUNCTION("""COMPUTED_VALUE"""),"male K ~20%+ frequency exorH:GFP (+) embryos")</f>
        <v>male K ~20%+ frequency exorH:GFP (+) embryos</v>
      </c>
      <c r="R31" s="80" t="str">
        <f ca="1">IFERROR(__xludf.DUMMYFUNCTION("""COMPUTED_VALUE"""),"cytosol")</f>
        <v>cytosol</v>
      </c>
      <c r="S31" s="82">
        <f ca="1">IFERROR(__xludf.DUMMYFUNCTION("""COMPUTED_VALUE"""),405)</f>
        <v>405</v>
      </c>
      <c r="T31" s="80" t="str">
        <f ca="1">IFERROR(__xludf.DUMMYFUNCTION("""COMPUTED_VALUE"""),"cytosol")</f>
        <v>cytosol</v>
      </c>
      <c r="U31" s="82">
        <f ca="1">IFERROR(__xludf.DUMMYFUNCTION("""COMPUTED_VALUE"""),445)</f>
        <v>445</v>
      </c>
      <c r="V31" s="80" t="str">
        <f ca="1">IFERROR(__xludf.DUMMYFUNCTION("""COMPUTED_VALUE"""),"cytosol")</f>
        <v>cytosol</v>
      </c>
      <c r="W31" s="82">
        <f ca="1">IFERROR(__xludf.DUMMYFUNCTION("""COMPUTED_VALUE"""),514)</f>
        <v>514</v>
      </c>
      <c r="X31" s="80" t="str">
        <f ca="1">IFERROR(__xludf.DUMMYFUNCTION("""COMPUTED_VALUE"""),"cytosol")</f>
        <v>cytosol</v>
      </c>
    </row>
    <row r="32" spans="1:24" ht="15.75" customHeight="1" x14ac:dyDescent="0.15">
      <c r="A32" s="1" t="s">
        <v>63</v>
      </c>
      <c r="B32" s="1" t="str">
        <f ca="1">IFERROR(__xludf.DUMMYFUNCTION("IFERROR(JOIN("","", UNIQUE(filter({VLOOKUP(A32,C:X,13, FALSE); VLOOKUP(A32,C:X,15, FALSE); VLOOKUP(A32,C:X,17, FALSE); VLOOKUP(A32,C:X,19, FALSE)}, {VLOOKUP(A32,C:X,13, FALSE); VLOOKUP(A32,C:X,15, FALSE); VLOOKUP(A32,C:X,17, FALSE); VLOOKUP(A32,C:X,19, FA"&amp;"LSE)}&lt;&gt;""""))), """")"),"csp,male #??,560")</f>
        <v>csp,male #??,560</v>
      </c>
      <c r="C32" s="77" t="str">
        <f t="shared" ca="1" si="0"/>
        <v>ef1a:&lt;exorh:GFP&gt;mKate2/mCitrine/Electra2/mKOK/mTFP1 (F1 of allele 314)</v>
      </c>
      <c r="D32" s="78" t="str">
        <f t="shared" ca="1" si="1"/>
        <v>(F1 of allele 314)</v>
      </c>
      <c r="E32" s="78" t="str">
        <f ca="1">IFERROR(__xludf.DUMMYFUNCTION("IFERROR(REGEXEXTRACT(N32, ""F\d+""), ""F1"")"),"F1")</f>
        <v>F1</v>
      </c>
      <c r="F32" s="79" t="str">
        <f ca="1">IFERROR(__xludf.DUMMYFUNCTION("""COMPUTED_VALUE"""),"Isaac")</f>
        <v>Isaac</v>
      </c>
      <c r="G32" s="10" t="str">
        <f ca="1">IFERROR(__xludf.DUMMYFUNCTION("""COMPUTED_VALUE"""),"ef1a:&lt;exorh:GFP&gt;mKate2/mCitrine/Electra2/mKOK/mTFP1")</f>
        <v>ef1a:&lt;exorh:GFP&gt;mKate2/mCitrine/Electra2/mKOK/mTFP1</v>
      </c>
      <c r="H32" s="80">
        <f ca="1">IFERROR(__xludf.DUMMYFUNCTION("""COMPUTED_VALUE"""),45616)</f>
        <v>45616</v>
      </c>
      <c r="I32" s="10" t="str">
        <f ca="1">IFERROR(__xludf.DUMMYFUNCTION("""COMPUTED_VALUE"""),"pDQM063/064")</f>
        <v>pDQM063/064</v>
      </c>
      <c r="J32" s="10" t="str">
        <f ca="1">IFERROR(__xludf.DUMMYFUNCTION("""COMPUTED_VALUE"""),"tol2")</f>
        <v>tol2</v>
      </c>
      <c r="K32" s="10">
        <f ca="1">IFERROR(__xludf.DUMMYFUNCTION("""COMPUTED_VALUE"""),314)</f>
        <v>314</v>
      </c>
      <c r="L32" s="10" t="str">
        <f ca="1">IFERROR(__xludf.DUMMYFUNCTION("""COMPUTED_VALUE"""),"casper")</f>
        <v>casper</v>
      </c>
      <c r="M32" s="80">
        <f ca="1">IFERROR(__xludf.DUMMYFUNCTION("""COMPUTED_VALUE"""),45706)</f>
        <v>45706</v>
      </c>
      <c r="N32" s="10" t="str">
        <f ca="1">IFERROR(__xludf.DUMMYFUNCTION("""COMPUTED_VALUE"""),"csp")</f>
        <v>csp</v>
      </c>
      <c r="O32" s="10" t="str">
        <f ca="1">IFERROR(__xludf.DUMMYFUNCTION("""COMPUTED_VALUE"""),"csp")</f>
        <v>csp</v>
      </c>
      <c r="P32" s="81" t="str">
        <f ca="1">IFERROR(__xludf.DUMMYFUNCTION("""COMPUTED_VALUE"""),"P0_founder")</f>
        <v>P0_founder</v>
      </c>
      <c r="Q32" s="10" t="str">
        <f ca="1">IFERROR(__xludf.DUMMYFUNCTION("""COMPUTED_VALUE"""),"male K ~20%+ frequency exorH:GFP (+) embryos")</f>
        <v>male K ~20%+ frequency exorH:GFP (+) embryos</v>
      </c>
      <c r="R32" s="80" t="str">
        <f ca="1">IFERROR(__xludf.DUMMYFUNCTION("""COMPUTED_VALUE"""),"cytosol")</f>
        <v>cytosol</v>
      </c>
      <c r="S32" s="82">
        <f ca="1">IFERROR(__xludf.DUMMYFUNCTION("""COMPUTED_VALUE"""),405)</f>
        <v>405</v>
      </c>
      <c r="T32" s="80" t="str">
        <f ca="1">IFERROR(__xludf.DUMMYFUNCTION("""COMPUTED_VALUE"""),"cytosol")</f>
        <v>cytosol</v>
      </c>
      <c r="U32" s="82">
        <f ca="1">IFERROR(__xludf.DUMMYFUNCTION("""COMPUTED_VALUE"""),445)</f>
        <v>445</v>
      </c>
      <c r="V32" s="80" t="str">
        <f ca="1">IFERROR(__xludf.DUMMYFUNCTION("""COMPUTED_VALUE"""),"cytosol")</f>
        <v>cytosol</v>
      </c>
      <c r="W32" s="82">
        <f ca="1">IFERROR(__xludf.DUMMYFUNCTION("""COMPUTED_VALUE"""),514)</f>
        <v>514</v>
      </c>
      <c r="X32" s="80" t="str">
        <f ca="1">IFERROR(__xludf.DUMMYFUNCTION("""COMPUTED_VALUE"""),"cytosol")</f>
        <v>cytosol</v>
      </c>
    </row>
    <row r="33" spans="1:24" ht="15.75" customHeight="1" x14ac:dyDescent="0.15">
      <c r="A33" s="1" t="s">
        <v>1006</v>
      </c>
      <c r="B33" s="1" t="str">
        <f ca="1">IFERROR(__xludf.DUMMYFUNCTION("IFERROR(JOIN("","", UNIQUE(filter({VLOOKUP(A33,C:X,13, FALSE); VLOOKUP(A33,C:X,15, FALSE); VLOOKUP(A33,C:X,17, FALSE); VLOOKUP(A33,C:X,19, FALSE)}, {VLOOKUP(A33,C:X,13, FALSE); VLOOKUP(A33,C:X,15, FALSE); VLOOKUP(A33,C:X,17, FALSE); VLOOKUP(A33,C:X,19, FA"&amp;"LSE)}&lt;&gt;""""))), """")"),"csp,male #2,560")</f>
        <v>csp,male #2,560</v>
      </c>
      <c r="C33" s="77" t="str">
        <f t="shared" ca="1" si="0"/>
        <v>ef1a:&lt;exorh:GFP&gt;mKate2/mCitrine/Electra2/mKOK/mTFP1 (F1 of allele 314)</v>
      </c>
      <c r="D33" s="78" t="str">
        <f t="shared" ca="1" si="1"/>
        <v>(F1 of allele 314)</v>
      </c>
      <c r="E33" s="78" t="str">
        <f ca="1">IFERROR(__xludf.DUMMYFUNCTION("IFERROR(REGEXEXTRACT(N33, ""F\d+""), ""F1"")"),"F1")</f>
        <v>F1</v>
      </c>
      <c r="F33" s="79" t="str">
        <f ca="1">IFERROR(__xludf.DUMMYFUNCTION("""COMPUTED_VALUE"""),"Skittles 5 FP exorh:GFP")</f>
        <v>Skittles 5 FP exorh:GFP</v>
      </c>
      <c r="G33" s="10" t="str">
        <f ca="1">IFERROR(__xludf.DUMMYFUNCTION("""COMPUTED_VALUE"""),"ef1a:&lt;exorh:GFP&gt;mKate2/mCitrine/Electra2/mKOK/mTFP1")</f>
        <v>ef1a:&lt;exorh:GFP&gt;mKate2/mCitrine/Electra2/mKOK/mTFP1</v>
      </c>
      <c r="H33" s="80">
        <f ca="1">IFERROR(__xludf.DUMMYFUNCTION("""COMPUTED_VALUE"""),45728)</f>
        <v>45728</v>
      </c>
      <c r="I33" s="10" t="str">
        <f ca="1">IFERROR(__xludf.DUMMYFUNCTION("""COMPUTED_VALUE"""),"pDQM063/064")</f>
        <v>pDQM063/064</v>
      </c>
      <c r="J33" s="10" t="str">
        <f ca="1">IFERROR(__xludf.DUMMYFUNCTION("""COMPUTED_VALUE"""),"tol2")</f>
        <v>tol2</v>
      </c>
      <c r="K33" s="10">
        <f ca="1">IFERROR(__xludf.DUMMYFUNCTION("""COMPUTED_VALUE"""),314)</f>
        <v>314</v>
      </c>
      <c r="L33" s="10" t="str">
        <f ca="1">IFERROR(__xludf.DUMMYFUNCTION("""COMPUTED_VALUE"""),"casper")</f>
        <v>casper</v>
      </c>
      <c r="M33" s="80">
        <f ca="1">IFERROR(__xludf.DUMMYFUNCTION("""COMPUTED_VALUE"""),45818)</f>
        <v>45818</v>
      </c>
      <c r="N33" s="10" t="str">
        <f ca="1">IFERROR(__xludf.DUMMYFUNCTION("""COMPUTED_VALUE"""),"csp")</f>
        <v>csp</v>
      </c>
      <c r="O33" s="10">
        <f ca="1">IFERROR(__xludf.DUMMYFUNCTION("""COMPUTED_VALUE"""),314)</f>
        <v>314</v>
      </c>
      <c r="P33" s="81" t="str">
        <f ca="1">IFERROR(__xludf.DUMMYFUNCTION("""COMPUTED_VALUE"""),"F1_ox")</f>
        <v>F1_ox</v>
      </c>
      <c r="Q33" s="10" t="str">
        <f ca="1">IFERROR(__xludf.DUMMYFUNCTION("""COMPUTED_VALUE"""),"F1s of male K")</f>
        <v>F1s of male K</v>
      </c>
      <c r="R33" s="80" t="str">
        <f ca="1">IFERROR(__xludf.DUMMYFUNCTION("""COMPUTED_VALUE"""),"cytosol")</f>
        <v>cytosol</v>
      </c>
      <c r="S33" s="82">
        <f ca="1">IFERROR(__xludf.DUMMYFUNCTION("""COMPUTED_VALUE"""),405)</f>
        <v>405</v>
      </c>
      <c r="T33" s="80" t="str">
        <f ca="1">IFERROR(__xludf.DUMMYFUNCTION("""COMPUTED_VALUE"""),"cytosol")</f>
        <v>cytosol</v>
      </c>
      <c r="U33" s="82">
        <f ca="1">IFERROR(__xludf.DUMMYFUNCTION("""COMPUTED_VALUE"""),445)</f>
        <v>445</v>
      </c>
      <c r="V33" s="80" t="str">
        <f ca="1">IFERROR(__xludf.DUMMYFUNCTION("""COMPUTED_VALUE"""),"cytosol")</f>
        <v>cytosol</v>
      </c>
      <c r="W33" s="82">
        <f ca="1">IFERROR(__xludf.DUMMYFUNCTION("""COMPUTED_VALUE"""),514)</f>
        <v>514</v>
      </c>
      <c r="X33" s="80" t="str">
        <f ca="1">IFERROR(__xludf.DUMMYFUNCTION("""COMPUTED_VALUE"""),"cytosol")</f>
        <v>cytosol</v>
      </c>
    </row>
    <row r="34" spans="1:24" ht="15.75" customHeight="1" x14ac:dyDescent="0.15">
      <c r="A34" s="1" t="s">
        <v>1007</v>
      </c>
      <c r="B34" s="1" t="str">
        <f ca="1">IFERROR(__xludf.DUMMYFUNCTION("IFERROR(JOIN("","", UNIQUE(filter({VLOOKUP(A34,C:X,13, FALSE); VLOOKUP(A34,C:X,15, FALSE); VLOOKUP(A34,C:X,17, FALSE); VLOOKUP(A34,C:X,19, FALSE)}, {VLOOKUP(A34,C:X,13, FALSE); VLOOKUP(A34,C:X,15, FALSE); VLOOKUP(A34,C:X,17, FALSE); VLOOKUP(A34,C:X,19, FA"&amp;"LSE)}&lt;&gt;""""))), """")"),"csp,F1s of female #1 - need to put more in system,488,560")</f>
        <v>csp,F1s of female #1 - need to put more in system,488,560</v>
      </c>
      <c r="C34" s="77" t="str">
        <f t="shared" ca="1" si="0"/>
        <v>ef1a:&lt;exorh:GFP&gt;mKate2/mCitrine/Electra2/mKOK/mTFP1 (F1 of allele 314)</v>
      </c>
      <c r="D34" s="78" t="str">
        <f t="shared" ca="1" si="1"/>
        <v>(F1 of allele 314)</v>
      </c>
      <c r="E34" s="78" t="str">
        <f ca="1">IFERROR(__xludf.DUMMYFUNCTION("IFERROR(REGEXEXTRACT(N34, ""F\d+""), ""F1"")"),"F1")</f>
        <v>F1</v>
      </c>
      <c r="F34" s="79" t="str">
        <f ca="1">IFERROR(__xludf.DUMMYFUNCTION("""COMPUTED_VALUE"""),"Isaac")</f>
        <v>Isaac</v>
      </c>
      <c r="G34" s="10" t="str">
        <f ca="1">IFERROR(__xludf.DUMMYFUNCTION("""COMPUTED_VALUE"""),"ef1a:&lt;exorh:GFP&gt;mKate2/mCitrine/Electra2/mKOK/mTFP1")</f>
        <v>ef1a:&lt;exorh:GFP&gt;mKate2/mCitrine/Electra2/mKOK/mTFP1</v>
      </c>
      <c r="H34" s="80">
        <f ca="1">IFERROR(__xludf.DUMMYFUNCTION("""COMPUTED_VALUE"""),45728)</f>
        <v>45728</v>
      </c>
      <c r="I34" s="10" t="str">
        <f ca="1">IFERROR(__xludf.DUMMYFUNCTION("""COMPUTED_VALUE"""),"pDQM063/064")</f>
        <v>pDQM063/064</v>
      </c>
      <c r="J34" s="10" t="str">
        <f ca="1">IFERROR(__xludf.DUMMYFUNCTION("""COMPUTED_VALUE"""),"tol2")</f>
        <v>tol2</v>
      </c>
      <c r="K34" s="10">
        <f ca="1">IFERROR(__xludf.DUMMYFUNCTION("""COMPUTED_VALUE"""),314)</f>
        <v>314</v>
      </c>
      <c r="L34" s="10" t="str">
        <f ca="1">IFERROR(__xludf.DUMMYFUNCTION("""COMPUTED_VALUE"""),"casper")</f>
        <v>casper</v>
      </c>
      <c r="M34" s="80">
        <f ca="1">IFERROR(__xludf.DUMMYFUNCTION("""COMPUTED_VALUE"""),45818)</f>
        <v>45818</v>
      </c>
      <c r="N34" s="10" t="str">
        <f ca="1">IFERROR(__xludf.DUMMYFUNCTION("""COMPUTED_VALUE"""),"csp")</f>
        <v>csp</v>
      </c>
      <c r="O34" s="10">
        <f ca="1">IFERROR(__xludf.DUMMYFUNCTION("""COMPUTED_VALUE"""),314)</f>
        <v>314</v>
      </c>
      <c r="P34" s="81" t="str">
        <f ca="1">IFERROR(__xludf.DUMMYFUNCTION("""COMPUTED_VALUE"""),"F1_ox")</f>
        <v>F1_ox</v>
      </c>
      <c r="Q34" s="10" t="str">
        <f ca="1">IFERROR(__xludf.DUMMYFUNCTION("""COMPUTED_VALUE"""),"F1s of male K")</f>
        <v>F1s of male K</v>
      </c>
      <c r="R34" s="80" t="str">
        <f ca="1">IFERROR(__xludf.DUMMYFUNCTION("""COMPUTED_VALUE"""),"cytosol")</f>
        <v>cytosol</v>
      </c>
      <c r="S34" s="82">
        <f ca="1">IFERROR(__xludf.DUMMYFUNCTION("""COMPUTED_VALUE"""),405)</f>
        <v>405</v>
      </c>
      <c r="T34" s="80" t="str">
        <f ca="1">IFERROR(__xludf.DUMMYFUNCTION("""COMPUTED_VALUE"""),"cytosol")</f>
        <v>cytosol</v>
      </c>
      <c r="U34" s="82">
        <f ca="1">IFERROR(__xludf.DUMMYFUNCTION("""COMPUTED_VALUE"""),445)</f>
        <v>445</v>
      </c>
      <c r="V34" s="80" t="str">
        <f ca="1">IFERROR(__xludf.DUMMYFUNCTION("""COMPUTED_VALUE"""),"cytosol")</f>
        <v>cytosol</v>
      </c>
      <c r="W34" s="82">
        <f ca="1">IFERROR(__xludf.DUMMYFUNCTION("""COMPUTED_VALUE"""),514)</f>
        <v>514</v>
      </c>
      <c r="X34" s="80" t="str">
        <f ca="1">IFERROR(__xludf.DUMMYFUNCTION("""COMPUTED_VALUE"""),"cytosol")</f>
        <v>cytosol</v>
      </c>
    </row>
    <row r="35" spans="1:24" ht="15.75" customHeight="1" x14ac:dyDescent="0.15">
      <c r="A35" s="1" t="s">
        <v>1008</v>
      </c>
      <c r="B35" s="1" t="str">
        <f ca="1">IFERROR(__xludf.DUMMYFUNCTION("IFERROR(JOIN("","", UNIQUE(filter({VLOOKUP(A35,C:X,13, FALSE); VLOOKUP(A35,C:X,15, FALSE); VLOOKUP(A35,C:X,17, FALSE); VLOOKUP(A35,C:X,19, FALSE)}, {VLOOKUP(A35,C:X,13, FALSE); VLOOKUP(A35,C:X,15, FALSE); VLOOKUP(A35,C:X,17, FALSE); VLOOKUP(A35,C:X,19, FA"&amp;"LSE)}&lt;&gt;""""))), """")"),"324,ox of F1 male 324 x F1 female 302,488,560")</f>
        <v>324,ox of F1 male 324 x F1 female 302,488,560</v>
      </c>
      <c r="C35" s="77" t="str">
        <f t="shared" ca="1" si="0"/>
        <v>ef1a:2xLynk:tdmChilada (F1 of allele 315)</v>
      </c>
      <c r="D35" s="78" t="str">
        <f t="shared" ca="1" si="1"/>
        <v>(F1 of allele 315)</v>
      </c>
      <c r="E35" s="78" t="str">
        <f ca="1">IFERROR(__xludf.DUMMYFUNCTION("IFERROR(REGEXEXTRACT(N35, ""F\d+""), ""F1"")"),"F1")</f>
        <v>F1</v>
      </c>
      <c r="F35" s="79" t="str">
        <f ca="1">IFERROR(__xludf.DUMMYFUNCTION("""COMPUTED_VALUE"""),"mem:tdmChilada")</f>
        <v>mem:tdmChilada</v>
      </c>
      <c r="G35" s="10" t="str">
        <f ca="1">IFERROR(__xludf.DUMMYFUNCTION("""COMPUTED_VALUE"""),"ef1a:2xLynk:tdmChilada")</f>
        <v>ef1a:2xLynk:tdmChilada</v>
      </c>
      <c r="H35" s="80">
        <f ca="1">IFERROR(__xludf.DUMMYFUNCTION("""COMPUTED_VALUE"""),45648)</f>
        <v>45648</v>
      </c>
      <c r="I35" s="10" t="str">
        <f ca="1">IFERROR(__xludf.DUMMYFUNCTION("""COMPUTED_VALUE"""),"pDQM082")</f>
        <v>pDQM082</v>
      </c>
      <c r="J35" s="10" t="str">
        <f ca="1">IFERROR(__xludf.DUMMYFUNCTION("""COMPUTED_VALUE"""),"tol2")</f>
        <v>tol2</v>
      </c>
      <c r="K35" s="10">
        <f ca="1">IFERROR(__xludf.DUMMYFUNCTION("""COMPUTED_VALUE"""),315)</f>
        <v>315</v>
      </c>
      <c r="L35" s="10" t="str">
        <f ca="1">IFERROR(__xludf.DUMMYFUNCTION("""COMPUTED_VALUE"""),"casper")</f>
        <v>casper</v>
      </c>
      <c r="M35" s="80">
        <f ca="1">IFERROR(__xludf.DUMMYFUNCTION("""COMPUTED_VALUE"""),45738)</f>
        <v>45738</v>
      </c>
      <c r="N35" s="10" t="str">
        <f ca="1">IFERROR(__xludf.DUMMYFUNCTION("""COMPUTED_VALUE"""),"csp")</f>
        <v>csp</v>
      </c>
      <c r="O35" s="10" t="str">
        <f ca="1">IFERROR(__xludf.DUMMYFUNCTION("""COMPUTED_VALUE"""),"csp")</f>
        <v>csp</v>
      </c>
      <c r="P35" s="81" t="str">
        <f ca="1">IFERROR(__xludf.DUMMYFUNCTION("""COMPUTED_VALUE"""),"P0_founder")</f>
        <v>P0_founder</v>
      </c>
      <c r="Q35" s="10" t="str">
        <f ca="1">IFERROR(__xludf.DUMMYFUNCTION("""COMPUTED_VALUE"""),"male #1 founder (good percentage ++, multiple alleles)")</f>
        <v>male #1 founder (good percentage ++, multiple alleles)</v>
      </c>
      <c r="R35" s="80" t="str">
        <f ca="1">IFERROR(__xludf.DUMMYFUNCTION("""COMPUTED_VALUE"""),"membrane")</f>
        <v>membrane</v>
      </c>
      <c r="S35" s="82">
        <f ca="1">IFERROR(__xludf.DUMMYFUNCTION("""COMPUTED_VALUE"""),560)</f>
        <v>560</v>
      </c>
      <c r="T35" s="10"/>
      <c r="U35" s="10"/>
      <c r="V35" s="10"/>
      <c r="W35" s="10"/>
      <c r="X35" s="10"/>
    </row>
    <row r="36" spans="1:24" ht="15.75" customHeight="1" x14ac:dyDescent="0.15">
      <c r="A36" s="1" t="s">
        <v>1009</v>
      </c>
      <c r="B36" s="1" t="str">
        <f ca="1">IFERROR(__xludf.DUMMYFUNCTION("IFERROR(JOIN("","", UNIQUE(filter({VLOOKUP(A36,C:X,13, FALSE); VLOOKUP(A36,C:X,15, FALSE); VLOOKUP(A36,C:X,17, FALSE); VLOOKUP(A36,C:X,19, FALSE)}, {VLOOKUP(A36,C:X,13, FALSE); VLOOKUP(A36,C:X,15, FALSE); VLOOKUP(A36,C:X,17, FALSE); VLOOKUP(A36,C:X,19, FA"&amp;"LSE)}&lt;&gt;""""))), """")"),"csp/pIGLET14a,1 tank started - screened all negative,560")</f>
        <v>csp/pIGLET14a,1 tank started - screened all negative,560</v>
      </c>
      <c r="C36" s="77" t="str">
        <f t="shared" ca="1" si="0"/>
        <v>ef1a:2xLynk:tdmChilada (F1 of allele 315)</v>
      </c>
      <c r="D36" s="78" t="str">
        <f t="shared" ca="1" si="1"/>
        <v>(F1 of allele 315)</v>
      </c>
      <c r="E36" s="78" t="str">
        <f ca="1">IFERROR(__xludf.DUMMYFUNCTION("IFERROR(REGEXEXTRACT(N36, ""F\d+""), ""F1"")"),"F1")</f>
        <v>F1</v>
      </c>
      <c r="F36" s="79" t="str">
        <f ca="1">IFERROR(__xludf.DUMMYFUNCTION("""COMPUTED_VALUE"""),"mem:tdmChilada")</f>
        <v>mem:tdmChilada</v>
      </c>
      <c r="G36" s="10" t="str">
        <f ca="1">IFERROR(__xludf.DUMMYFUNCTION("""COMPUTED_VALUE"""),"ef1a:2xLynk:tdmChilada")</f>
        <v>ef1a:2xLynk:tdmChilada</v>
      </c>
      <c r="H36" s="10"/>
      <c r="I36" s="10" t="str">
        <f ca="1">IFERROR(__xludf.DUMMYFUNCTION("""COMPUTED_VALUE"""),"pDQM082")</f>
        <v>pDQM082</v>
      </c>
      <c r="J36" s="10" t="str">
        <f ca="1">IFERROR(__xludf.DUMMYFUNCTION("""COMPUTED_VALUE"""),"tol2")</f>
        <v>tol2</v>
      </c>
      <c r="K36" s="10">
        <f ca="1">IFERROR(__xludf.DUMMYFUNCTION("""COMPUTED_VALUE"""),315)</f>
        <v>315</v>
      </c>
      <c r="L36" s="10" t="str">
        <f ca="1">IFERROR(__xludf.DUMMYFUNCTION("""COMPUTED_VALUE"""),"casper/AB")</f>
        <v>casper/AB</v>
      </c>
      <c r="M36" s="10"/>
      <c r="N36" s="10" t="str">
        <f ca="1">IFERROR(__xludf.DUMMYFUNCTION("""COMPUTED_VALUE"""),"csp")</f>
        <v>csp</v>
      </c>
      <c r="O36" s="10">
        <f ca="1">IFERROR(__xludf.DUMMYFUNCTION("""COMPUTED_VALUE"""),315)</f>
        <v>315</v>
      </c>
      <c r="P36" s="81" t="str">
        <f ca="1">IFERROR(__xludf.DUMMYFUNCTION("""COMPUTED_VALUE"""),"F1_ox")</f>
        <v>F1_ox</v>
      </c>
      <c r="Q36" s="10" t="str">
        <f ca="1">IFERROR(__xludf.DUMMYFUNCTION("""COMPUTED_VALUE"""),"F1s of allele 315")</f>
        <v>F1s of allele 315</v>
      </c>
      <c r="R36" s="80" t="str">
        <f ca="1">IFERROR(__xludf.DUMMYFUNCTION("""COMPUTED_VALUE"""),"membrane")</f>
        <v>membrane</v>
      </c>
      <c r="S36" s="82">
        <f ca="1">IFERROR(__xludf.DUMMYFUNCTION("""COMPUTED_VALUE"""),560)</f>
        <v>560</v>
      </c>
      <c r="T36" s="10"/>
      <c r="U36" s="10"/>
      <c r="V36" s="10"/>
      <c r="W36" s="10"/>
      <c r="X36" s="10"/>
    </row>
    <row r="37" spans="1:24" ht="15.75" customHeight="1" x14ac:dyDescent="0.15">
      <c r="A37" s="1" t="s">
        <v>1010</v>
      </c>
      <c r="B37" s="1" t="str">
        <f ca="1">IFERROR(__xludf.DUMMYFUNCTION("IFERROR(JOIN("","", UNIQUE(filter({VLOOKUP(A37,C:X,13, FALSE); VLOOKUP(A37,C:X,15, FALSE); VLOOKUP(A37,C:X,17, FALSE); VLOOKUP(A37,C:X,19, FALSE)}, {VLOOKUP(A37,C:X,13, FALSE); VLOOKUP(A37,C:X,15, FALSE); VLOOKUP(A37,C:X,17, FALSE); VLOOKUP(A37,C:X,19, FA"&amp;"LSE)}&lt;&gt;""""))), """")"),"csp/pIGLET14a,1 tank started - screened all negative,560")</f>
        <v>csp/pIGLET14a,1 tank started - screened all negative,560</v>
      </c>
      <c r="C37" s="77" t="str">
        <f t="shared" ca="1" si="0"/>
        <v>ef1a:2xLynk:tdmChilada (F1 of allele 328)</v>
      </c>
      <c r="D37" s="78" t="str">
        <f t="shared" ca="1" si="1"/>
        <v>(F1 of allele 328)</v>
      </c>
      <c r="E37" s="78" t="str">
        <f ca="1">IFERROR(__xludf.DUMMYFUNCTION("IFERROR(REGEXEXTRACT(N37, ""F\d+""), ""F1"")"),"F1")</f>
        <v>F1</v>
      </c>
      <c r="F37" s="79" t="str">
        <f ca="1">IFERROR(__xludf.DUMMYFUNCTION("""COMPUTED_VALUE"""),"mem:tdmChilada")</f>
        <v>mem:tdmChilada</v>
      </c>
      <c r="G37" s="10" t="str">
        <f ca="1">IFERROR(__xludf.DUMMYFUNCTION("""COMPUTED_VALUE"""),"ef1a:2xLynk:tdmChilada")</f>
        <v>ef1a:2xLynk:tdmChilada</v>
      </c>
      <c r="H37" s="80">
        <f ca="1">IFERROR(__xludf.DUMMYFUNCTION("""COMPUTED_VALUE"""),45648)</f>
        <v>45648</v>
      </c>
      <c r="I37" s="10" t="str">
        <f ca="1">IFERROR(__xludf.DUMMYFUNCTION("""COMPUTED_VALUE"""),"pDQM082")</f>
        <v>pDQM082</v>
      </c>
      <c r="J37" s="10" t="str">
        <f ca="1">IFERROR(__xludf.DUMMYFUNCTION("""COMPUTED_VALUE"""),"tol2")</f>
        <v>tol2</v>
      </c>
      <c r="K37" s="10">
        <f ca="1">IFERROR(__xludf.DUMMYFUNCTION("""COMPUTED_VALUE"""),328)</f>
        <v>328</v>
      </c>
      <c r="L37" s="10" t="str">
        <f ca="1">IFERROR(__xludf.DUMMYFUNCTION("""COMPUTED_VALUE"""),"casper")</f>
        <v>casper</v>
      </c>
      <c r="M37" s="80">
        <f ca="1">IFERROR(__xludf.DUMMYFUNCTION("""COMPUTED_VALUE"""),45738)</f>
        <v>45738</v>
      </c>
      <c r="N37" s="10" t="str">
        <f ca="1">IFERROR(__xludf.DUMMYFUNCTION("""COMPUTED_VALUE"""),"csp")</f>
        <v>csp</v>
      </c>
      <c r="O37" s="10" t="str">
        <f ca="1">IFERROR(__xludf.DUMMYFUNCTION("""COMPUTED_VALUE"""),"csp")</f>
        <v>csp</v>
      </c>
      <c r="P37" s="81" t="str">
        <f ca="1">IFERROR(__xludf.DUMMYFUNCTION("""COMPUTED_VALUE"""),"P0_founder")</f>
        <v>P0_founder</v>
      </c>
      <c r="Q37" s="10" t="str">
        <f ca="1">IFERROR(__xludf.DUMMYFUNCTION("""COMPUTED_VALUE"""),"female #4 founder (low percentage, bright)")</f>
        <v>female #4 founder (low percentage, bright)</v>
      </c>
      <c r="R37" s="80" t="str">
        <f ca="1">IFERROR(__xludf.DUMMYFUNCTION("""COMPUTED_VALUE"""),"membrane")</f>
        <v>membrane</v>
      </c>
      <c r="S37" s="82">
        <f ca="1">IFERROR(__xludf.DUMMYFUNCTION("""COMPUTED_VALUE"""),560)</f>
        <v>560</v>
      </c>
      <c r="T37" s="10"/>
      <c r="U37" s="10"/>
      <c r="V37" s="10"/>
      <c r="W37" s="10"/>
      <c r="X37" s="10"/>
    </row>
    <row r="38" spans="1:24" ht="15.75" customHeight="1" x14ac:dyDescent="0.15">
      <c r="A38" s="1" t="s">
        <v>1011</v>
      </c>
      <c r="B38" s="1" t="str">
        <f ca="1">IFERROR(__xludf.DUMMYFUNCTION("IFERROR(JOIN("","", UNIQUE(filter({VLOOKUP(A38,C:X,13, FALSE); VLOOKUP(A38,C:X,15, FALSE); VLOOKUP(A38,C:X,17, FALSE); VLOOKUP(A38,C:X,19, FALSE)}, {VLOOKUP(A38,C:X,13, FALSE); VLOOKUP(A38,C:X,15, FALSE); VLOOKUP(A38,C:X,17, FALSE); VLOOKUP(A38,C:X,19, FA"&amp;"LSE)}&lt;&gt;""""))), """")"),"csp,2 potential founders, but phiC mRNA injection yielded very low expression,405,445")</f>
        <v>csp,2 potential founders, but phiC mRNA injection yielded very low expression,405,445</v>
      </c>
      <c r="C38" s="77" t="str">
        <f t="shared" ca="1" si="0"/>
        <v>ef1a:&lt;exorh:GFP&gt;mKate2/Electra2/mKOK/mTFP1 (F1 of allele 316)</v>
      </c>
      <c r="D38" s="78" t="str">
        <f t="shared" ca="1" si="1"/>
        <v>(F1 of allele 316)</v>
      </c>
      <c r="E38" s="78" t="str">
        <f ca="1">IFERROR(__xludf.DUMMYFUNCTION("IFERROR(REGEXEXTRACT(N38, ""F\d+""), ""F1"")"),"F1")</f>
        <v>F1</v>
      </c>
      <c r="F38" s="79" t="str">
        <f ca="1">IFERROR(__xludf.DUMMYFUNCTION("""COMPUTED_VALUE"""),"skittles 4FP exorh:GFP")</f>
        <v>skittles 4FP exorh:GFP</v>
      </c>
      <c r="G38" s="10" t="str">
        <f ca="1">IFERROR(__xludf.DUMMYFUNCTION("""COMPUTED_VALUE"""),"ef1a:&lt;exorh:GFP&gt;mKate2/Electra2/mKOK/mTFP1")</f>
        <v>ef1a:&lt;exorh:GFP&gt;mKate2/Electra2/mKOK/mTFP1</v>
      </c>
      <c r="H38" s="80">
        <f ca="1">IFERROR(__xludf.DUMMYFUNCTION("""COMPUTED_VALUE"""),45713)</f>
        <v>45713</v>
      </c>
      <c r="I38" s="10" t="str">
        <f ca="1">IFERROR(__xludf.DUMMYFUNCTION("""COMPUTED_VALUE"""),"pDQM059")</f>
        <v>pDQM059</v>
      </c>
      <c r="J38" s="10" t="str">
        <f ca="1">IFERROR(__xludf.DUMMYFUNCTION("""COMPUTED_VALUE"""),"tol2")</f>
        <v>tol2</v>
      </c>
      <c r="K38" s="10">
        <f ca="1">IFERROR(__xludf.DUMMYFUNCTION("""COMPUTED_VALUE"""),316)</f>
        <v>316</v>
      </c>
      <c r="L38" s="10" t="str">
        <f ca="1">IFERROR(__xludf.DUMMYFUNCTION("""COMPUTED_VALUE"""),"casper")</f>
        <v>casper</v>
      </c>
      <c r="M38" s="80">
        <f ca="1">IFERROR(__xludf.DUMMYFUNCTION("""COMPUTED_VALUE"""),45803)</f>
        <v>45803</v>
      </c>
      <c r="N38" s="10" t="str">
        <f ca="1">IFERROR(__xludf.DUMMYFUNCTION("""COMPUTED_VALUE"""),"csp")</f>
        <v>csp</v>
      </c>
      <c r="O38" s="10" t="str">
        <f ca="1">IFERROR(__xludf.DUMMYFUNCTION("""COMPUTED_VALUE"""),"csp")</f>
        <v>csp</v>
      </c>
      <c r="P38" s="81" t="str">
        <f ca="1">IFERROR(__xludf.DUMMYFUNCTION("""COMPUTED_VALUE"""),"P0_founder")</f>
        <v>P0_founder</v>
      </c>
      <c r="Q38" s="10" t="str">
        <f ca="1">IFERROR(__xludf.DUMMYFUNCTION("""COMPUTED_VALUE"""),"male #7, 4 fish survived to adulthood")</f>
        <v>male #7, 4 fish survived to adulthood</v>
      </c>
      <c r="R38" s="80" t="str">
        <f ca="1">IFERROR(__xludf.DUMMYFUNCTION("""COMPUTED_VALUE"""),"cytosol")</f>
        <v>cytosol</v>
      </c>
      <c r="S38" s="82">
        <f ca="1">IFERROR(__xludf.DUMMYFUNCTION("""COMPUTED_VALUE"""),405)</f>
        <v>405</v>
      </c>
      <c r="T38" s="80" t="str">
        <f ca="1">IFERROR(__xludf.DUMMYFUNCTION("""COMPUTED_VALUE"""),"cytosol")</f>
        <v>cytosol</v>
      </c>
      <c r="U38" s="82">
        <f ca="1">IFERROR(__xludf.DUMMYFUNCTION("""COMPUTED_VALUE"""),445)</f>
        <v>445</v>
      </c>
      <c r="V38" s="80" t="str">
        <f ca="1">IFERROR(__xludf.DUMMYFUNCTION("""COMPUTED_VALUE"""),"cytosol")</f>
        <v>cytosol</v>
      </c>
      <c r="W38" s="82">
        <f ca="1">IFERROR(__xludf.DUMMYFUNCTION("""COMPUTED_VALUE"""),560)</f>
        <v>560</v>
      </c>
      <c r="X38" s="80" t="str">
        <f ca="1">IFERROR(__xludf.DUMMYFUNCTION("""COMPUTED_VALUE"""),"cytosol")</f>
        <v>cytosol</v>
      </c>
    </row>
    <row r="39" spans="1:24" ht="15.75" customHeight="1" x14ac:dyDescent="0.15">
      <c r="A39" s="1" t="s">
        <v>1012</v>
      </c>
      <c r="B39" s="1" t="str">
        <f ca="1">IFERROR(__xludf.DUMMYFUNCTION("IFERROR(JOIN("","", UNIQUE(filter({VLOOKUP(A39,C:X,13, FALSE); VLOOKUP(A39,C:X,15, FALSE); VLOOKUP(A39,C:X,17, FALSE); VLOOKUP(A39,C:X,19, FALSE)}, {VLOOKUP(A39,C:X,13, FALSE); VLOOKUP(A39,C:X,15, FALSE); VLOOKUP(A39,C:X,17, FALSE); VLOOKUP(A39,C:X,19, FA"&amp;"LSE)}&lt;&gt;""""))), """")"),"csp,20-25 fish in 1 tank - 2 good founders?, phiC mRNA injection results ++,405,445")</f>
        <v>csp,20-25 fish in 1 tank - 2 good founders?, phiC mRNA injection results ++,405,445</v>
      </c>
      <c r="C39" s="77" t="str">
        <f t="shared" ca="1" si="0"/>
        <v>ef1a:&lt;exorh:GFP&gt;mKate2/Electra2/mKOK/mTFP1 (F1 of allele 316)</v>
      </c>
      <c r="D39" s="78" t="str">
        <f t="shared" ca="1" si="1"/>
        <v>(F1 of allele 316)</v>
      </c>
      <c r="E39" s="78" t="str">
        <f ca="1">IFERROR(__xludf.DUMMYFUNCTION("IFERROR(REGEXEXTRACT(N39, ""F\d+""), ""F1"")"),"F1")</f>
        <v>F1</v>
      </c>
      <c r="F39" s="79" t="str">
        <f ca="1">IFERROR(__xludf.DUMMYFUNCTION("""COMPUTED_VALUE"""),"skittles 4FP exorh:GFP")</f>
        <v>skittles 4FP exorh:GFP</v>
      </c>
      <c r="G39" s="10" t="str">
        <f ca="1">IFERROR(__xludf.DUMMYFUNCTION("""COMPUTED_VALUE"""),"ef1a:&lt;exorh:GFP&gt;mKate2/Electra2/mKOK/mTFP1")</f>
        <v>ef1a:&lt;exorh:GFP&gt;mKate2/Electra2/mKOK/mTFP1</v>
      </c>
      <c r="H39" s="80">
        <f ca="1">IFERROR(__xludf.DUMMYFUNCTION("""COMPUTED_VALUE"""),45713)</f>
        <v>45713</v>
      </c>
      <c r="I39" s="10" t="str">
        <f ca="1">IFERROR(__xludf.DUMMYFUNCTION("""COMPUTED_VALUE"""),"pDQM059")</f>
        <v>pDQM059</v>
      </c>
      <c r="J39" s="10" t="str">
        <f ca="1">IFERROR(__xludf.DUMMYFUNCTION("""COMPUTED_VALUE"""),"tol2")</f>
        <v>tol2</v>
      </c>
      <c r="K39" s="10">
        <f ca="1">IFERROR(__xludf.DUMMYFUNCTION("""COMPUTED_VALUE"""),316)</f>
        <v>316</v>
      </c>
      <c r="L39" s="10" t="str">
        <f ca="1">IFERROR(__xludf.DUMMYFUNCTION("""COMPUTED_VALUE"""),"casper")</f>
        <v>casper</v>
      </c>
      <c r="M39" s="80">
        <f ca="1">IFERROR(__xludf.DUMMYFUNCTION("""COMPUTED_VALUE"""),45803)</f>
        <v>45803</v>
      </c>
      <c r="N39" s="10" t="str">
        <f ca="1">IFERROR(__xludf.DUMMYFUNCTION("""COMPUTED_VALUE"""),"csp")</f>
        <v>csp</v>
      </c>
      <c r="O39" s="10">
        <f ca="1">IFERROR(__xludf.DUMMYFUNCTION("""COMPUTED_VALUE"""),316)</f>
        <v>316</v>
      </c>
      <c r="P39" s="81" t="str">
        <f ca="1">IFERROR(__xludf.DUMMYFUNCTION("""COMPUTED_VALUE"""),"F1_ox")</f>
        <v>F1_ox</v>
      </c>
      <c r="Q39" s="10" t="str">
        <f ca="1">IFERROR(__xludf.DUMMYFUNCTION("""COMPUTED_VALUE"""),"F1s of male #7")</f>
        <v>F1s of male #7</v>
      </c>
      <c r="R39" s="80" t="str">
        <f ca="1">IFERROR(__xludf.DUMMYFUNCTION("""COMPUTED_VALUE"""),"cytosol")</f>
        <v>cytosol</v>
      </c>
      <c r="S39" s="82">
        <f ca="1">IFERROR(__xludf.DUMMYFUNCTION("""COMPUTED_VALUE"""),405)</f>
        <v>405</v>
      </c>
      <c r="T39" s="80" t="str">
        <f ca="1">IFERROR(__xludf.DUMMYFUNCTION("""COMPUTED_VALUE"""),"cytosol")</f>
        <v>cytosol</v>
      </c>
      <c r="U39" s="82">
        <f ca="1">IFERROR(__xludf.DUMMYFUNCTION("""COMPUTED_VALUE"""),445)</f>
        <v>445</v>
      </c>
      <c r="V39" s="80" t="str">
        <f ca="1">IFERROR(__xludf.DUMMYFUNCTION("""COMPUTED_VALUE"""),"cytosol")</f>
        <v>cytosol</v>
      </c>
      <c r="W39" s="82">
        <f ca="1">IFERROR(__xludf.DUMMYFUNCTION("""COMPUTED_VALUE"""),560)</f>
        <v>560</v>
      </c>
      <c r="X39" s="80" t="str">
        <f ca="1">IFERROR(__xludf.DUMMYFUNCTION("""COMPUTED_VALUE"""),"cytosol")</f>
        <v>cytosol</v>
      </c>
    </row>
    <row r="40" spans="1:24" ht="15.75" customHeight="1" x14ac:dyDescent="0.15">
      <c r="A40" s="1" t="s">
        <v>1013</v>
      </c>
      <c r="B40" s="1" t="str">
        <f ca="1">IFERROR(__xludf.DUMMYFUNCTION("IFERROR(JOIN("","", UNIQUE(filter({VLOOKUP(A40,C:X,13, FALSE); VLOOKUP(A40,C:X,15, FALSE); VLOOKUP(A40,C:X,17, FALSE); VLOOKUP(A40,C:X,19, FALSE)}, {VLOOKUP(A40,C:X,13, FALSE); VLOOKUP(A40,C:X,15, FALSE); VLOOKUP(A40,C:X,17, FALSE); VLOOKUP(A40,C:X,19, FA"&amp;"LSE)}&lt;&gt;""""))), """")"),"csp,2 potential founders, but phiC mRNA injection yielded very low expression,405,445")</f>
        <v>csp,2 potential founders, but phiC mRNA injection yielded very low expression,405,445</v>
      </c>
      <c r="C40" s="77" t="str">
        <f t="shared" ca="1" si="0"/>
        <v>ef1a:&lt;exorh:GFP&gt;mKate2/Electra2/mKOK/mTFP1 (F1 of allele 316)</v>
      </c>
      <c r="D40" s="78" t="str">
        <f t="shared" ca="1" si="1"/>
        <v>(F1 of allele 316)</v>
      </c>
      <c r="E40" s="78" t="str">
        <f ca="1">IFERROR(__xludf.DUMMYFUNCTION("IFERROR(REGEXEXTRACT(N40, ""F\d+""), ""F1"")"),"F1")</f>
        <v>F1</v>
      </c>
      <c r="F40" s="10" t="str">
        <f ca="1">IFERROR(__xludf.DUMMYFUNCTION("""COMPUTED_VALUE"""),"Jim")</f>
        <v>Jim</v>
      </c>
      <c r="G40" s="10" t="str">
        <f ca="1">IFERROR(__xludf.DUMMYFUNCTION("""COMPUTED_VALUE"""),"ef1a:&lt;exorh:GFP&gt;mKate2/Electra2/mKOK/mTFP1")</f>
        <v>ef1a:&lt;exorh:GFP&gt;mKate2/Electra2/mKOK/mTFP1</v>
      </c>
      <c r="H40" s="80">
        <f ca="1">IFERROR(__xludf.DUMMYFUNCTION("""COMPUTED_VALUE"""),45713)</f>
        <v>45713</v>
      </c>
      <c r="I40" s="10" t="str">
        <f ca="1">IFERROR(__xludf.DUMMYFUNCTION("""COMPUTED_VALUE"""),"pDQM059")</f>
        <v>pDQM059</v>
      </c>
      <c r="J40" s="10" t="str">
        <f ca="1">IFERROR(__xludf.DUMMYFUNCTION("""COMPUTED_VALUE"""),"tol2")</f>
        <v>tol2</v>
      </c>
      <c r="K40" s="10">
        <f ca="1">IFERROR(__xludf.DUMMYFUNCTION("""COMPUTED_VALUE"""),316)</f>
        <v>316</v>
      </c>
      <c r="L40" s="10" t="str">
        <f ca="1">IFERROR(__xludf.DUMMYFUNCTION("""COMPUTED_VALUE"""),"casper")</f>
        <v>casper</v>
      </c>
      <c r="M40" s="80">
        <f ca="1">IFERROR(__xludf.DUMMYFUNCTION("""COMPUTED_VALUE"""),45803)</f>
        <v>45803</v>
      </c>
      <c r="N40" s="10" t="str">
        <f ca="1">IFERROR(__xludf.DUMMYFUNCTION("""COMPUTED_VALUE"""),"csp")</f>
        <v>csp</v>
      </c>
      <c r="O40" s="10" t="str">
        <f ca="1">IFERROR(__xludf.DUMMYFUNCTION("""COMPUTED_VALUE"""),"csp")</f>
        <v>csp</v>
      </c>
      <c r="P40" s="81" t="str">
        <f ca="1">IFERROR(__xludf.DUMMYFUNCTION("""COMPUTED_VALUE"""),"P0_founder")</f>
        <v>P0_founder</v>
      </c>
      <c r="Q40" s="10" t="str">
        <f ca="1">IFERROR(__xludf.DUMMYFUNCTION("""COMPUTED_VALUE"""),"male #7, 4 fish survived to adulthood")</f>
        <v>male #7, 4 fish survived to adulthood</v>
      </c>
      <c r="R40" s="80" t="str">
        <f ca="1">IFERROR(__xludf.DUMMYFUNCTION("""COMPUTED_VALUE"""),"cytosol")</f>
        <v>cytosol</v>
      </c>
      <c r="S40" s="82">
        <f ca="1">IFERROR(__xludf.DUMMYFUNCTION("""COMPUTED_VALUE"""),405)</f>
        <v>405</v>
      </c>
      <c r="T40" s="80" t="str">
        <f ca="1">IFERROR(__xludf.DUMMYFUNCTION("""COMPUTED_VALUE"""),"cytosol")</f>
        <v>cytosol</v>
      </c>
      <c r="U40" s="82">
        <f ca="1">IFERROR(__xludf.DUMMYFUNCTION("""COMPUTED_VALUE"""),445)</f>
        <v>445</v>
      </c>
      <c r="V40" s="80" t="str">
        <f ca="1">IFERROR(__xludf.DUMMYFUNCTION("""COMPUTED_VALUE"""),"cytosol")</f>
        <v>cytosol</v>
      </c>
      <c r="W40" s="82">
        <f ca="1">IFERROR(__xludf.DUMMYFUNCTION("""COMPUTED_VALUE"""),560)</f>
        <v>560</v>
      </c>
      <c r="X40" s="80" t="str">
        <f ca="1">IFERROR(__xludf.DUMMYFUNCTION("""COMPUTED_VALUE"""),"cytosol")</f>
        <v>cytosol</v>
      </c>
    </row>
    <row r="41" spans="1:24" ht="15.75" customHeight="1" x14ac:dyDescent="0.15">
      <c r="A41" s="1" t="s">
        <v>1014</v>
      </c>
      <c r="B41" s="1" t="str">
        <f ca="1">IFERROR(__xludf.DUMMYFUNCTION("IFERROR(JOIN("","", UNIQUE(filter({VLOOKUP(A41,C:X,13, FALSE); VLOOKUP(A41,C:X,15, FALSE); VLOOKUP(A41,C:X,17, FALSE); VLOOKUP(A41,C:X,19, FALSE)}, {VLOOKUP(A41,C:X,13, FALSE); VLOOKUP(A41,C:X,15, FALSE); VLOOKUP(A41,C:X,17, FALSE); VLOOKUP(A41,C:X,19, FA"&amp;"LSE)}&lt;&gt;""""))), """")"),"casper/pIGLET 24b,1 tank started - screened all fish (all negative),560")</f>
        <v>casper/pIGLET 24b,1 tank started - screened all fish (all negative),560</v>
      </c>
      <c r="C41" s="77" t="str">
        <f t="shared" ca="1" si="0"/>
        <v>ef1a:&lt;exorh:GFP&gt;mKate2/Electra2/mKOK/mTFP1 (F1 of allele 316)</v>
      </c>
      <c r="D41" s="78" t="str">
        <f t="shared" ca="1" si="1"/>
        <v>(F1 of allele 316)</v>
      </c>
      <c r="E41" s="78" t="str">
        <f ca="1">IFERROR(__xludf.DUMMYFUNCTION("IFERROR(REGEXEXTRACT(N41, ""F\d+""), ""F1"")"),"F1")</f>
        <v>F1</v>
      </c>
      <c r="F41" s="10" t="str">
        <f ca="1">IFERROR(__xludf.DUMMYFUNCTION("""COMPUTED_VALUE"""),"Jim")</f>
        <v>Jim</v>
      </c>
      <c r="G41" s="10" t="str">
        <f ca="1">IFERROR(__xludf.DUMMYFUNCTION("""COMPUTED_VALUE"""),"ef1a:&lt;exorh:GFP&gt;mKate2/Electra2/mKOK/mTFP1")</f>
        <v>ef1a:&lt;exorh:GFP&gt;mKate2/Electra2/mKOK/mTFP1</v>
      </c>
      <c r="H41" s="80">
        <f ca="1">IFERROR(__xludf.DUMMYFUNCTION("""COMPUTED_VALUE"""),45713)</f>
        <v>45713</v>
      </c>
      <c r="I41" s="10" t="str">
        <f ca="1">IFERROR(__xludf.DUMMYFUNCTION("""COMPUTED_VALUE"""),"pDQM059")</f>
        <v>pDQM059</v>
      </c>
      <c r="J41" s="10" t="str">
        <f ca="1">IFERROR(__xludf.DUMMYFUNCTION("""COMPUTED_VALUE"""),"tol2")</f>
        <v>tol2</v>
      </c>
      <c r="K41" s="10">
        <f ca="1">IFERROR(__xludf.DUMMYFUNCTION("""COMPUTED_VALUE"""),316)</f>
        <v>316</v>
      </c>
      <c r="L41" s="10" t="str">
        <f ca="1">IFERROR(__xludf.DUMMYFUNCTION("""COMPUTED_VALUE"""),"casper")</f>
        <v>casper</v>
      </c>
      <c r="M41" s="80">
        <f ca="1">IFERROR(__xludf.DUMMYFUNCTION("""COMPUTED_VALUE"""),45803)</f>
        <v>45803</v>
      </c>
      <c r="N41" s="10" t="str">
        <f ca="1">IFERROR(__xludf.DUMMYFUNCTION("""COMPUTED_VALUE"""),"csp")</f>
        <v>csp</v>
      </c>
      <c r="O41" s="10">
        <f ca="1">IFERROR(__xludf.DUMMYFUNCTION("""COMPUTED_VALUE"""),316)</f>
        <v>316</v>
      </c>
      <c r="P41" s="81" t="str">
        <f ca="1">IFERROR(__xludf.DUMMYFUNCTION("""COMPUTED_VALUE"""),"F1_ox")</f>
        <v>F1_ox</v>
      </c>
      <c r="Q41" s="10" t="str">
        <f ca="1">IFERROR(__xludf.DUMMYFUNCTION("""COMPUTED_VALUE"""),"F1s of male #7")</f>
        <v>F1s of male #7</v>
      </c>
      <c r="R41" s="80" t="str">
        <f ca="1">IFERROR(__xludf.DUMMYFUNCTION("""COMPUTED_VALUE"""),"cytosol")</f>
        <v>cytosol</v>
      </c>
      <c r="S41" s="82">
        <f ca="1">IFERROR(__xludf.DUMMYFUNCTION("""COMPUTED_VALUE"""),405)</f>
        <v>405</v>
      </c>
      <c r="T41" s="80" t="str">
        <f ca="1">IFERROR(__xludf.DUMMYFUNCTION("""COMPUTED_VALUE"""),"cytosol")</f>
        <v>cytosol</v>
      </c>
      <c r="U41" s="82">
        <f ca="1">IFERROR(__xludf.DUMMYFUNCTION("""COMPUTED_VALUE"""),445)</f>
        <v>445</v>
      </c>
      <c r="V41" s="80" t="str">
        <f ca="1">IFERROR(__xludf.DUMMYFUNCTION("""COMPUTED_VALUE"""),"cytosol")</f>
        <v>cytosol</v>
      </c>
      <c r="W41" s="82">
        <f ca="1">IFERROR(__xludf.DUMMYFUNCTION("""COMPUTED_VALUE"""),560)</f>
        <v>560</v>
      </c>
      <c r="X41" s="80" t="str">
        <f ca="1">IFERROR(__xludf.DUMMYFUNCTION("""COMPUTED_VALUE"""),"cytosol")</f>
        <v>cytosol</v>
      </c>
    </row>
    <row r="42" spans="1:24" ht="15.75" customHeight="1" x14ac:dyDescent="0.15">
      <c r="A42" s="1" t="s">
        <v>1015</v>
      </c>
      <c r="B42" s="1" t="str">
        <f ca="1">IFERROR(__xludf.DUMMYFUNCTION("IFERROR(JOIN("","", UNIQUE(filter({VLOOKUP(A42,C:X,13, FALSE); VLOOKUP(A42,C:X,15, FALSE); VLOOKUP(A42,C:X,17, FALSE); VLOOKUP(A42,C:X,19, FALSE)}, {VLOOKUP(A42,C:X,13, FALSE); VLOOKUP(A42,C:X,15, FALSE); VLOOKUP(A42,C:X,17, FALSE); VLOOKUP(A42,C:X,19, FA"&amp;"LSE)}&lt;&gt;""""))), """")"),"csp,3 tanks started,405,445")</f>
        <v>csp,3 tanks started,405,445</v>
      </c>
      <c r="C42" s="77" t="str">
        <f t="shared" ca="1" si="0"/>
        <v>ef1a:&lt;cryaa:mSc&gt;mKate2/mCitrine/Electra2/mKOK/mTFP1 (F1 of allele 317)</v>
      </c>
      <c r="D42" s="78" t="str">
        <f t="shared" ca="1" si="1"/>
        <v>(F1 of allele 317)</v>
      </c>
      <c r="E42" s="78" t="str">
        <f ca="1">IFERROR(__xludf.DUMMYFUNCTION("IFERROR(REGEXEXTRACT(N42, ""F\d+""), ""F1"")"),"F1")</f>
        <v>F1</v>
      </c>
      <c r="F42" s="10" t="str">
        <f ca="1">IFERROR(__xludf.DUMMYFUNCTION("""COMPUTED_VALUE"""),"Skittles 5 FP cryaa:mScarlet")</f>
        <v>Skittles 5 FP cryaa:mScarlet</v>
      </c>
      <c r="G42" s="10" t="str">
        <f ca="1">IFERROR(__xludf.DUMMYFUNCTION("""COMPUTED_VALUE"""),"ef1a:&lt;cryaa:mSc&gt;mKate2/mCitrine/Electra2/mKOK/mTFP1")</f>
        <v>ef1a:&lt;cryaa:mSc&gt;mKate2/mCitrine/Electra2/mKOK/mTFP1</v>
      </c>
      <c r="H42" s="80">
        <f ca="1">IFERROR(__xludf.DUMMYFUNCTION("""COMPUTED_VALUE"""),45566)</f>
        <v>45566</v>
      </c>
      <c r="I42" s="10" t="str">
        <f ca="1">IFERROR(__xludf.DUMMYFUNCTION("""COMPUTED_VALUE"""),"pDQM034/035")</f>
        <v>pDQM034/035</v>
      </c>
      <c r="J42" s="10" t="str">
        <f ca="1">IFERROR(__xludf.DUMMYFUNCTION("""COMPUTED_VALUE"""),"tol2")</f>
        <v>tol2</v>
      </c>
      <c r="K42" s="10">
        <f ca="1">IFERROR(__xludf.DUMMYFUNCTION("""COMPUTED_VALUE"""),317)</f>
        <v>317</v>
      </c>
      <c r="L42" s="10" t="str">
        <f ca="1">IFERROR(__xludf.DUMMYFUNCTION("""COMPUTED_VALUE"""),"casper")</f>
        <v>casper</v>
      </c>
      <c r="M42" s="10"/>
      <c r="N42" s="10" t="str">
        <f ca="1">IFERROR(__xludf.DUMMYFUNCTION("""COMPUTED_VALUE"""),"csp")</f>
        <v>csp</v>
      </c>
      <c r="O42" s="10" t="str">
        <f ca="1">IFERROR(__xludf.DUMMYFUNCTION("""COMPUTED_VALUE"""),"csp")</f>
        <v>csp</v>
      </c>
      <c r="P42" s="81" t="str">
        <f ca="1">IFERROR(__xludf.DUMMYFUNCTION("""COMPUTED_VALUE"""),"P0_founder")</f>
        <v>P0_founder</v>
      </c>
      <c r="Q42" s="10" t="str">
        <f ca="1">IFERROR(__xludf.DUMMYFUNCTION("""COMPUTED_VALUE"""),"male #2 good founder")</f>
        <v>male #2 good founder</v>
      </c>
      <c r="R42" s="80" t="str">
        <f ca="1">IFERROR(__xludf.DUMMYFUNCTION("""COMPUTED_VALUE"""),"cytosol")</f>
        <v>cytosol</v>
      </c>
      <c r="S42" s="82">
        <f ca="1">IFERROR(__xludf.DUMMYFUNCTION("""COMPUTED_VALUE"""),405)</f>
        <v>405</v>
      </c>
      <c r="T42" s="80" t="str">
        <f ca="1">IFERROR(__xludf.DUMMYFUNCTION("""COMPUTED_VALUE"""),"cytosol")</f>
        <v>cytosol</v>
      </c>
      <c r="U42" s="82">
        <f ca="1">IFERROR(__xludf.DUMMYFUNCTION("""COMPUTED_VALUE"""),445)</f>
        <v>445</v>
      </c>
      <c r="V42" s="80" t="str">
        <f ca="1">IFERROR(__xludf.DUMMYFUNCTION("""COMPUTED_VALUE"""),"cytosol")</f>
        <v>cytosol</v>
      </c>
      <c r="W42" s="82">
        <f ca="1">IFERROR(__xludf.DUMMYFUNCTION("""COMPUTED_VALUE"""),514)</f>
        <v>514</v>
      </c>
      <c r="X42" s="80" t="str">
        <f ca="1">IFERROR(__xludf.DUMMYFUNCTION("""COMPUTED_VALUE"""),"cytosol")</f>
        <v>cytosol</v>
      </c>
    </row>
    <row r="43" spans="1:24" ht="15.75" customHeight="1" x14ac:dyDescent="0.15">
      <c r="A43" s="1" t="s">
        <v>1016</v>
      </c>
      <c r="B43" s="1" t="str">
        <f ca="1">IFERROR(__xludf.DUMMYFUNCTION("IFERROR(JOIN("","", UNIQUE(filter({VLOOKUP(A43,C:X,13, FALSE); VLOOKUP(A43,C:X,15, FALSE); VLOOKUP(A43,C:X,17, FALSE); VLOOKUP(A43,C:X,19, FALSE)}, {VLOOKUP(A43,C:X,13, FALSE); VLOOKUP(A43,C:X,15, FALSE); VLOOKUP(A43,C:X,17, FALSE); VLOOKUP(A43,C:X,19, FA"&amp;"LSE)}&lt;&gt;""""))), """")"),"csp,1 tank started,405,445")</f>
        <v>csp,1 tank started,405,445</v>
      </c>
      <c r="C43" s="77" t="str">
        <f t="shared" ca="1" si="0"/>
        <v>ef1a:&lt;cryaa:mSc&gt;mKate2/mCitrine/Electra2/mKOK/mTFP1 (F1 of allele 317)</v>
      </c>
      <c r="D43" s="78" t="str">
        <f t="shared" ca="1" si="1"/>
        <v>(F1 of allele 317)</v>
      </c>
      <c r="E43" s="78" t="str">
        <f ca="1">IFERROR(__xludf.DUMMYFUNCTION("IFERROR(REGEXEXTRACT(N43, ""F\d+""), ""F1"")"),"F1")</f>
        <v>F1</v>
      </c>
      <c r="F43" s="10" t="str">
        <f ca="1">IFERROR(__xludf.DUMMYFUNCTION("""COMPUTED_VALUE"""),"Chris")</f>
        <v>Chris</v>
      </c>
      <c r="G43" s="10" t="str">
        <f ca="1">IFERROR(__xludf.DUMMYFUNCTION("""COMPUTED_VALUE"""),"ef1a:&lt;cryaa:mSc&gt;mKate2/mCitrine/Electra2/mKOK/mTFP1")</f>
        <v>ef1a:&lt;cryaa:mSc&gt;mKate2/mCitrine/Electra2/mKOK/mTFP1</v>
      </c>
      <c r="H43" s="80">
        <f ca="1">IFERROR(__xludf.DUMMYFUNCTION("""COMPUTED_VALUE"""),45566)</f>
        <v>45566</v>
      </c>
      <c r="I43" s="10" t="str">
        <f ca="1">IFERROR(__xludf.DUMMYFUNCTION("""COMPUTED_VALUE"""),"pDQM034/035")</f>
        <v>pDQM034/035</v>
      </c>
      <c r="J43" s="10" t="str">
        <f ca="1">IFERROR(__xludf.DUMMYFUNCTION("""COMPUTED_VALUE"""),"tol2")</f>
        <v>tol2</v>
      </c>
      <c r="K43" s="10">
        <f ca="1">IFERROR(__xludf.DUMMYFUNCTION("""COMPUTED_VALUE"""),317)</f>
        <v>317</v>
      </c>
      <c r="L43" s="10" t="str">
        <f ca="1">IFERROR(__xludf.DUMMYFUNCTION("""COMPUTED_VALUE"""),"casper")</f>
        <v>casper</v>
      </c>
      <c r="M43" s="10"/>
      <c r="N43" s="10" t="str">
        <f ca="1">IFERROR(__xludf.DUMMYFUNCTION("""COMPUTED_VALUE"""),"csp")</f>
        <v>csp</v>
      </c>
      <c r="O43" s="10" t="str">
        <f ca="1">IFERROR(__xludf.DUMMYFUNCTION("""COMPUTED_VALUE"""),"csp")</f>
        <v>csp</v>
      </c>
      <c r="P43" s="81" t="str">
        <f ca="1">IFERROR(__xludf.DUMMYFUNCTION("""COMPUTED_VALUE"""),"P0_founder")</f>
        <v>P0_founder</v>
      </c>
      <c r="Q43" s="10" t="str">
        <f ca="1">IFERROR(__xludf.DUMMYFUNCTION("""COMPUTED_VALUE"""),"male #2 good founder")</f>
        <v>male #2 good founder</v>
      </c>
      <c r="R43" s="80" t="str">
        <f ca="1">IFERROR(__xludf.DUMMYFUNCTION("""COMPUTED_VALUE"""),"cytosol")</f>
        <v>cytosol</v>
      </c>
      <c r="S43" s="82">
        <f ca="1">IFERROR(__xludf.DUMMYFUNCTION("""COMPUTED_VALUE"""),405)</f>
        <v>405</v>
      </c>
      <c r="T43" s="80" t="str">
        <f ca="1">IFERROR(__xludf.DUMMYFUNCTION("""COMPUTED_VALUE"""),"cytosol")</f>
        <v>cytosol</v>
      </c>
      <c r="U43" s="82">
        <f ca="1">IFERROR(__xludf.DUMMYFUNCTION("""COMPUTED_VALUE"""),445)</f>
        <v>445</v>
      </c>
      <c r="V43" s="80" t="str">
        <f ca="1">IFERROR(__xludf.DUMMYFUNCTION("""COMPUTED_VALUE"""),"cytosol")</f>
        <v>cytosol</v>
      </c>
      <c r="W43" s="82">
        <f ca="1">IFERROR(__xludf.DUMMYFUNCTION("""COMPUTED_VALUE"""),514)</f>
        <v>514</v>
      </c>
      <c r="X43" s="80" t="str">
        <f ca="1">IFERROR(__xludf.DUMMYFUNCTION("""COMPUTED_VALUE"""),"cytosol")</f>
        <v>cytosol</v>
      </c>
    </row>
    <row r="44" spans="1:24" ht="15.75" customHeight="1" x14ac:dyDescent="0.15">
      <c r="A44" s="1" t="s">
        <v>215</v>
      </c>
      <c r="B44" s="1" t="str">
        <f ca="1">IFERROR(__xludf.DUMMYFUNCTION("IFERROR(JOIN("","", UNIQUE(filter({VLOOKUP(A44,C:X,13, FALSE); VLOOKUP(A44,C:X,15, FALSE); VLOOKUP(A44,C:X,17, FALSE); VLOOKUP(A44,C:X,19, FALSE)}, {VLOOKUP(A44,C:X,13, FALSE); VLOOKUP(A44,C:X,15, FALSE); VLOOKUP(A44,C:X,17, FALSE); VLOOKUP(A44,C:X,19, FA"&amp;"LSE)}&lt;&gt;""""))), """")"),"csp,1 tank started,488,560")</f>
        <v>csp,1 tank started,488,560</v>
      </c>
      <c r="C44" s="77" t="str">
        <f t="shared" ca="1" si="0"/>
        <v>ef1a:&lt;cryaa:mSc&gt;mKate2/Electra2/mKOK/mTFP1 (F1 of allele 318)</v>
      </c>
      <c r="D44" s="78" t="str">
        <f t="shared" ca="1" si="1"/>
        <v>(F1 of allele 318)</v>
      </c>
      <c r="E44" s="78" t="str">
        <f ca="1">IFERROR(__xludf.DUMMYFUNCTION("IFERROR(REGEXEXTRACT(N44, ""F\d+""), ""F1"")"),"F1")</f>
        <v>F1</v>
      </c>
      <c r="F44" s="10" t="str">
        <f ca="1">IFERROR(__xludf.DUMMYFUNCTION("""COMPUTED_VALUE"""),"skittles 4 FP cryaa:mScarlet")</f>
        <v>skittles 4 FP cryaa:mScarlet</v>
      </c>
      <c r="G44" s="10" t="str">
        <f ca="1">IFERROR(__xludf.DUMMYFUNCTION("""COMPUTED_VALUE"""),"ef1a:&lt;cryaa:mSc&gt;mKate2/Electra2/mKOK/mTFP1")</f>
        <v>ef1a:&lt;cryaa:mSc&gt;mKate2/Electra2/mKOK/mTFP1</v>
      </c>
      <c r="H44" s="80">
        <f ca="1">IFERROR(__xludf.DUMMYFUNCTION("""COMPUTED_VALUE"""),45566)</f>
        <v>45566</v>
      </c>
      <c r="I44" s="10" t="str">
        <f ca="1">IFERROR(__xludf.DUMMYFUNCTION("""COMPUTED_VALUE"""),"pDQM036")</f>
        <v>pDQM036</v>
      </c>
      <c r="J44" s="10" t="str">
        <f ca="1">IFERROR(__xludf.DUMMYFUNCTION("""COMPUTED_VALUE"""),"tol2")</f>
        <v>tol2</v>
      </c>
      <c r="K44" s="10">
        <f ca="1">IFERROR(__xludf.DUMMYFUNCTION("""COMPUTED_VALUE"""),318)</f>
        <v>318</v>
      </c>
      <c r="L44" s="10" t="str">
        <f ca="1">IFERROR(__xludf.DUMMYFUNCTION("""COMPUTED_VALUE"""),"casper")</f>
        <v>casper</v>
      </c>
      <c r="M44" s="80">
        <f ca="1">IFERROR(__xludf.DUMMYFUNCTION("""COMPUTED_VALUE"""),45656)</f>
        <v>45656</v>
      </c>
      <c r="N44" s="10" t="str">
        <f ca="1">IFERROR(__xludf.DUMMYFUNCTION("""COMPUTED_VALUE"""),"csp")</f>
        <v>csp</v>
      </c>
      <c r="O44" s="10" t="str">
        <f ca="1">IFERROR(__xludf.DUMMYFUNCTION("""COMPUTED_VALUE"""),"csp")</f>
        <v>csp</v>
      </c>
      <c r="P44" s="81" t="str">
        <f ca="1">IFERROR(__xludf.DUMMYFUNCTION("""COMPUTED_VALUE"""),"P0_founder")</f>
        <v>P0_founder</v>
      </c>
      <c r="Q44" s="10" t="str">
        <f ca="1">IFERROR(__xludf.DUMMYFUNCTION("""COMPUTED_VALUE"""),"male #14 raised up")</f>
        <v>male #14 raised up</v>
      </c>
      <c r="R44" s="80" t="str">
        <f ca="1">IFERROR(__xludf.DUMMYFUNCTION("""COMPUTED_VALUE"""),"cytosol")</f>
        <v>cytosol</v>
      </c>
      <c r="S44" s="82">
        <f ca="1">IFERROR(__xludf.DUMMYFUNCTION("""COMPUTED_VALUE"""),405)</f>
        <v>405</v>
      </c>
      <c r="T44" s="80" t="str">
        <f ca="1">IFERROR(__xludf.DUMMYFUNCTION("""COMPUTED_VALUE"""),"cytosol")</f>
        <v>cytosol</v>
      </c>
      <c r="U44" s="82">
        <f ca="1">IFERROR(__xludf.DUMMYFUNCTION("""COMPUTED_VALUE"""),445)</f>
        <v>445</v>
      </c>
      <c r="V44" s="80" t="str">
        <f ca="1">IFERROR(__xludf.DUMMYFUNCTION("""COMPUTED_VALUE"""),"cytosol")</f>
        <v>cytosol</v>
      </c>
      <c r="W44" s="82">
        <f ca="1">IFERROR(__xludf.DUMMYFUNCTION("""COMPUTED_VALUE"""),560)</f>
        <v>560</v>
      </c>
      <c r="X44" s="80" t="str">
        <f ca="1">IFERROR(__xludf.DUMMYFUNCTION("""COMPUTED_VALUE"""),"cytosol")</f>
        <v>cytosol</v>
      </c>
    </row>
    <row r="45" spans="1:24" ht="15.75" customHeight="1" x14ac:dyDescent="0.15">
      <c r="A45" s="1" t="s">
        <v>1017</v>
      </c>
      <c r="B45" s="1" t="str">
        <f ca="1">IFERROR(__xludf.DUMMYFUNCTION("IFERROR(JOIN("","", UNIQUE(filter({VLOOKUP(A45,C:X,13, FALSE); VLOOKUP(A45,C:X,15, FALSE); VLOOKUP(A45,C:X,17, FALSE); VLOOKUP(A45,C:X,19, FALSE)}, {VLOOKUP(A45,C:X,13, FALSE); VLOOKUP(A45,C:X,15, FALSE); VLOOKUP(A45,C:X,17, FALSE); VLOOKUP(A45,C:X,19, FA"&amp;"LSE)}&lt;&gt;""""))), """")"),"csp,488,560")</f>
        <v>csp,488,560</v>
      </c>
      <c r="C45" s="77" t="str">
        <f t="shared" ca="1" si="0"/>
        <v>ef1a:&lt;cryaa:mSc&gt;mKate2/Electra2/mKOK/mTFP1 (F1 of allele 318)</v>
      </c>
      <c r="D45" s="78" t="str">
        <f t="shared" ca="1" si="1"/>
        <v>(F1 of allele 318)</v>
      </c>
      <c r="E45" s="78" t="str">
        <f ca="1">IFERROR(__xludf.DUMMYFUNCTION("IFERROR(REGEXEXTRACT(N45, ""F\d+""), ""F1"")"),"F1")</f>
        <v>F1</v>
      </c>
      <c r="F45" s="10" t="str">
        <f ca="1">IFERROR(__xludf.DUMMYFUNCTION("""COMPUTED_VALUE"""),"Dennis")</f>
        <v>Dennis</v>
      </c>
      <c r="G45" s="10" t="str">
        <f ca="1">IFERROR(__xludf.DUMMYFUNCTION("""COMPUTED_VALUE"""),"ef1a:&lt;cryaa:mSc&gt;mKate2/Electra2/mKOK/mTFP1")</f>
        <v>ef1a:&lt;cryaa:mSc&gt;mKate2/Electra2/mKOK/mTFP1</v>
      </c>
      <c r="H45" s="80">
        <f ca="1">IFERROR(__xludf.DUMMYFUNCTION("""COMPUTED_VALUE"""),45566)</f>
        <v>45566</v>
      </c>
      <c r="I45" s="10" t="str">
        <f ca="1">IFERROR(__xludf.DUMMYFUNCTION("""COMPUTED_VALUE"""),"pDQM036")</f>
        <v>pDQM036</v>
      </c>
      <c r="J45" s="10" t="str">
        <f ca="1">IFERROR(__xludf.DUMMYFUNCTION("""COMPUTED_VALUE"""),"tol2")</f>
        <v>tol2</v>
      </c>
      <c r="K45" s="10">
        <f ca="1">IFERROR(__xludf.DUMMYFUNCTION("""COMPUTED_VALUE"""),318)</f>
        <v>318</v>
      </c>
      <c r="L45" s="10" t="str">
        <f ca="1">IFERROR(__xludf.DUMMYFUNCTION("""COMPUTED_VALUE"""),"casper")</f>
        <v>casper</v>
      </c>
      <c r="M45" s="80">
        <f ca="1">IFERROR(__xludf.DUMMYFUNCTION("""COMPUTED_VALUE"""),45656)</f>
        <v>45656</v>
      </c>
      <c r="N45" s="10" t="str">
        <f ca="1">IFERROR(__xludf.DUMMYFUNCTION("""COMPUTED_VALUE"""),"csp")</f>
        <v>csp</v>
      </c>
      <c r="O45" s="10" t="str">
        <f ca="1">IFERROR(__xludf.DUMMYFUNCTION("""COMPUTED_VALUE"""),"csp")</f>
        <v>csp</v>
      </c>
      <c r="P45" s="81" t="str">
        <f ca="1">IFERROR(__xludf.DUMMYFUNCTION("""COMPUTED_VALUE"""),"P0_founder")</f>
        <v>P0_founder</v>
      </c>
      <c r="Q45" s="10" t="str">
        <f ca="1">IFERROR(__xludf.DUMMYFUNCTION("""COMPUTED_VALUE"""),"male #14 raised up")</f>
        <v>male #14 raised up</v>
      </c>
      <c r="R45" s="80" t="str">
        <f ca="1">IFERROR(__xludf.DUMMYFUNCTION("""COMPUTED_VALUE"""),"cytosol")</f>
        <v>cytosol</v>
      </c>
      <c r="S45" s="82">
        <f ca="1">IFERROR(__xludf.DUMMYFUNCTION("""COMPUTED_VALUE"""),405)</f>
        <v>405</v>
      </c>
      <c r="T45" s="80" t="str">
        <f ca="1">IFERROR(__xludf.DUMMYFUNCTION("""COMPUTED_VALUE"""),"cytosol")</f>
        <v>cytosol</v>
      </c>
      <c r="U45" s="82">
        <f ca="1">IFERROR(__xludf.DUMMYFUNCTION("""COMPUTED_VALUE"""),445)</f>
        <v>445</v>
      </c>
      <c r="V45" s="80" t="str">
        <f ca="1">IFERROR(__xludf.DUMMYFUNCTION("""COMPUTED_VALUE"""),"cytosol")</f>
        <v>cytosol</v>
      </c>
      <c r="W45" s="82">
        <f ca="1">IFERROR(__xludf.DUMMYFUNCTION("""COMPUTED_VALUE"""),560)</f>
        <v>560</v>
      </c>
      <c r="X45" s="80" t="str">
        <f ca="1">IFERROR(__xludf.DUMMYFUNCTION("""COMPUTED_VALUE"""),"cytosol")</f>
        <v>cytosol</v>
      </c>
    </row>
    <row r="46" spans="1:24" ht="15.75" customHeight="1" x14ac:dyDescent="0.15">
      <c r="A46" s="1" t="s">
        <v>196</v>
      </c>
      <c r="B46" s="1" t="str">
        <f ca="1">IFERROR(__xludf.DUMMYFUNCTION("IFERROR(JOIN("","", UNIQUE(filter({VLOOKUP(A46,C:X,13, FALSE); VLOOKUP(A46,C:X,15, FALSE); VLOOKUP(A46,C:X,17, FALSE); VLOOKUP(A46,C:X,19, FALSE)}, {VLOOKUP(A46,C:X,13, FALSE); VLOOKUP(A46,C:X,15, FALSE); VLOOKUP(A46,C:X,17, FALSE); VLOOKUP(A46,C:X,19, FA"&amp;"LSE)}&lt;&gt;""""))), """")"),"casper/pIGLET 14a,1 tank started,488")</f>
        <v>casper/pIGLET 14a,1 tank started,488</v>
      </c>
      <c r="C46" s="77" t="str">
        <f t="shared" ca="1" si="0"/>
        <v>ef1a:&lt;cryaa:mSc&gt;mKate2/Electra2/mKOK/mTFP1 (F1 of allele 318)</v>
      </c>
      <c r="D46" s="78" t="str">
        <f t="shared" ca="1" si="1"/>
        <v>(F1 of allele 318)</v>
      </c>
      <c r="E46" s="78" t="str">
        <f ca="1">IFERROR(__xludf.DUMMYFUNCTION("IFERROR(REGEXEXTRACT(N46, ""F\d+""), ""F1"")"),"F1")</f>
        <v>F1</v>
      </c>
      <c r="F46" s="10" t="str">
        <f ca="1">IFERROR(__xludf.DUMMYFUNCTION("""COMPUTED_VALUE"""),"skittles 4 FP cryaa:mScarlet")</f>
        <v>skittles 4 FP cryaa:mScarlet</v>
      </c>
      <c r="G46" s="10" t="str">
        <f ca="1">IFERROR(__xludf.DUMMYFUNCTION("""COMPUTED_VALUE"""),"ef1a:&lt;cryaa:mSc&gt;mKate2/Electra2/mKOK/mTFP1")</f>
        <v>ef1a:&lt;cryaa:mSc&gt;mKate2/Electra2/mKOK/mTFP1</v>
      </c>
      <c r="H46" s="80">
        <f ca="1">IFERROR(__xludf.DUMMYFUNCTION("""COMPUTED_VALUE"""),45566)</f>
        <v>45566</v>
      </c>
      <c r="I46" s="10" t="str">
        <f ca="1">IFERROR(__xludf.DUMMYFUNCTION("""COMPUTED_VALUE"""),"pDQM036")</f>
        <v>pDQM036</v>
      </c>
      <c r="J46" s="10" t="str">
        <f ca="1">IFERROR(__xludf.DUMMYFUNCTION("""COMPUTED_VALUE"""),"tol2")</f>
        <v>tol2</v>
      </c>
      <c r="K46" s="10">
        <f ca="1">IFERROR(__xludf.DUMMYFUNCTION("""COMPUTED_VALUE"""),318)</f>
        <v>318</v>
      </c>
      <c r="L46" s="10" t="str">
        <f ca="1">IFERROR(__xludf.DUMMYFUNCTION("""COMPUTED_VALUE"""),"casper")</f>
        <v>casper</v>
      </c>
      <c r="M46" s="10"/>
      <c r="N46" s="10" t="str">
        <f ca="1">IFERROR(__xludf.DUMMYFUNCTION("""COMPUTED_VALUE"""),"csp")</f>
        <v>csp</v>
      </c>
      <c r="O46" s="10">
        <f ca="1">IFERROR(__xludf.DUMMYFUNCTION("""COMPUTED_VALUE"""),318)</f>
        <v>318</v>
      </c>
      <c r="P46" s="81" t="str">
        <f ca="1">IFERROR(__xludf.DUMMYFUNCTION("""COMPUTED_VALUE"""),"F1_ox")</f>
        <v>F1_ox</v>
      </c>
      <c r="Q46" s="10" t="str">
        <f ca="1">IFERROR(__xludf.DUMMYFUNCTION("""COMPUTED_VALUE"""),"F1s of male #14")</f>
        <v>F1s of male #14</v>
      </c>
      <c r="R46" s="80" t="str">
        <f ca="1">IFERROR(__xludf.DUMMYFUNCTION("""COMPUTED_VALUE"""),"cytosol")</f>
        <v>cytosol</v>
      </c>
      <c r="S46" s="82">
        <f ca="1">IFERROR(__xludf.DUMMYFUNCTION("""COMPUTED_VALUE"""),405)</f>
        <v>405</v>
      </c>
      <c r="T46" s="80" t="str">
        <f ca="1">IFERROR(__xludf.DUMMYFUNCTION("""COMPUTED_VALUE"""),"cytosol")</f>
        <v>cytosol</v>
      </c>
      <c r="U46" s="82">
        <f ca="1">IFERROR(__xludf.DUMMYFUNCTION("""COMPUTED_VALUE"""),445)</f>
        <v>445</v>
      </c>
      <c r="V46" s="80" t="str">
        <f ca="1">IFERROR(__xludf.DUMMYFUNCTION("""COMPUTED_VALUE"""),"cytosol")</f>
        <v>cytosol</v>
      </c>
      <c r="W46" s="82">
        <f ca="1">IFERROR(__xludf.DUMMYFUNCTION("""COMPUTED_VALUE"""),560)</f>
        <v>560</v>
      </c>
      <c r="X46" s="80" t="str">
        <f ca="1">IFERROR(__xludf.DUMMYFUNCTION("""COMPUTED_VALUE"""),"cytosol")</f>
        <v>cytosol</v>
      </c>
    </row>
    <row r="47" spans="1:24" ht="15.75" customHeight="1" x14ac:dyDescent="0.15">
      <c r="A47" s="1" t="s">
        <v>1018</v>
      </c>
      <c r="B47" s="1" t="str">
        <f ca="1">IFERROR(__xludf.DUMMYFUNCTION("IFERROR(JOIN("","", UNIQUE(filter({VLOOKUP(A47,C:X,13, FALSE); VLOOKUP(A47,C:X,15, FALSE); VLOOKUP(A47,C:X,17, FALSE); VLOOKUP(A47,C:X,19, FALSE)}, {VLOOKUP(A47,C:X,13, FALSE); VLOOKUP(A47,C:X,15, FALSE); VLOOKUP(A47,C:X,17, FALSE); VLOOKUP(A47,C:X,19, FA"&amp;"LSE)}&lt;&gt;""""))), """")"),"casper/pIGLET 14a,1 tank started,488,560")</f>
        <v>casper/pIGLET 14a,1 tank started,488,560</v>
      </c>
      <c r="C47" s="77" t="str">
        <f t="shared" ca="1" si="0"/>
        <v>ef1a:&lt;cryaa:mSc&gt;mKate2/Electra2/mKOK/mTFP1 (F1 of allele 318)</v>
      </c>
      <c r="D47" s="78" t="str">
        <f t="shared" ca="1" si="1"/>
        <v>(F1 of allele 318)</v>
      </c>
      <c r="E47" s="78" t="str">
        <f ca="1">IFERROR(__xludf.DUMMYFUNCTION("IFERROR(REGEXEXTRACT(N47, ""F\d+""), ""F1"")"),"F1")</f>
        <v>F1</v>
      </c>
      <c r="F47" s="10" t="str">
        <f ca="1">IFERROR(__xludf.DUMMYFUNCTION("""COMPUTED_VALUE"""),"Dennis")</f>
        <v>Dennis</v>
      </c>
      <c r="G47" s="10" t="str">
        <f ca="1">IFERROR(__xludf.DUMMYFUNCTION("""COMPUTED_VALUE"""),"ef1a:&lt;cryaa:mSc&gt;mKate2/Electra2/mKOK/mTFP1")</f>
        <v>ef1a:&lt;cryaa:mSc&gt;mKate2/Electra2/mKOK/mTFP1</v>
      </c>
      <c r="H47" s="80">
        <f ca="1">IFERROR(__xludf.DUMMYFUNCTION("""COMPUTED_VALUE"""),45566)</f>
        <v>45566</v>
      </c>
      <c r="I47" s="10" t="str">
        <f ca="1">IFERROR(__xludf.DUMMYFUNCTION("""COMPUTED_VALUE"""),"pDQM036")</f>
        <v>pDQM036</v>
      </c>
      <c r="J47" s="10" t="str">
        <f ca="1">IFERROR(__xludf.DUMMYFUNCTION("""COMPUTED_VALUE"""),"tol2")</f>
        <v>tol2</v>
      </c>
      <c r="K47" s="10">
        <f ca="1">IFERROR(__xludf.DUMMYFUNCTION("""COMPUTED_VALUE"""),318)</f>
        <v>318</v>
      </c>
      <c r="L47" s="10" t="str">
        <f ca="1">IFERROR(__xludf.DUMMYFUNCTION("""COMPUTED_VALUE"""),"casper")</f>
        <v>casper</v>
      </c>
      <c r="M47" s="10"/>
      <c r="N47" s="10" t="str">
        <f ca="1">IFERROR(__xludf.DUMMYFUNCTION("""COMPUTED_VALUE"""),"csp")</f>
        <v>csp</v>
      </c>
      <c r="O47" s="10">
        <f ca="1">IFERROR(__xludf.DUMMYFUNCTION("""COMPUTED_VALUE"""),318)</f>
        <v>318</v>
      </c>
      <c r="P47" s="81" t="str">
        <f ca="1">IFERROR(__xludf.DUMMYFUNCTION("""COMPUTED_VALUE"""),"F1_ox")</f>
        <v>F1_ox</v>
      </c>
      <c r="Q47" s="10" t="str">
        <f ca="1">IFERROR(__xludf.DUMMYFUNCTION("""COMPUTED_VALUE"""),"F1s of male #14")</f>
        <v>F1s of male #14</v>
      </c>
      <c r="R47" s="80" t="str">
        <f ca="1">IFERROR(__xludf.DUMMYFUNCTION("""COMPUTED_VALUE"""),"cytosol")</f>
        <v>cytosol</v>
      </c>
      <c r="S47" s="82">
        <f ca="1">IFERROR(__xludf.DUMMYFUNCTION("""COMPUTED_VALUE"""),405)</f>
        <v>405</v>
      </c>
      <c r="T47" s="80" t="str">
        <f ca="1">IFERROR(__xludf.DUMMYFUNCTION("""COMPUTED_VALUE"""),"cytosol")</f>
        <v>cytosol</v>
      </c>
      <c r="U47" s="82">
        <f ca="1">IFERROR(__xludf.DUMMYFUNCTION("""COMPUTED_VALUE"""),445)</f>
        <v>445</v>
      </c>
      <c r="V47" s="80" t="str">
        <f ca="1">IFERROR(__xludf.DUMMYFUNCTION("""COMPUTED_VALUE"""),"cytosol")</f>
        <v>cytosol</v>
      </c>
      <c r="W47" s="82">
        <f ca="1">IFERROR(__xludf.DUMMYFUNCTION("""COMPUTED_VALUE"""),560)</f>
        <v>560</v>
      </c>
      <c r="X47" s="80" t="str">
        <f ca="1">IFERROR(__xludf.DUMMYFUNCTION("""COMPUTED_VALUE"""),"cytosol")</f>
        <v>cytosol</v>
      </c>
    </row>
    <row r="48" spans="1:24" ht="15.75" customHeight="1" x14ac:dyDescent="0.15">
      <c r="A48" s="1" t="s">
        <v>1019</v>
      </c>
      <c r="B48" s="1" t="str">
        <f ca="1">IFERROR(__xludf.DUMMYFUNCTION("IFERROR(JOIN("","", UNIQUE(filter({VLOOKUP(A48,C:X,13, FALSE); VLOOKUP(A48,C:X,15, FALSE); VLOOKUP(A48,C:X,17, FALSE); VLOOKUP(A48,C:X,19, FALSE)}, {VLOOKUP(A48,C:X,13, FALSE); VLOOKUP(A48,C:X,15, FALSE); VLOOKUP(A48,C:X,17, FALSE); VLOOKUP(A48,C:X,19, FA"&amp;"LSE)}&lt;&gt;""""))), """")"),"casper/pIGLET 14a,1 tank started,488")</f>
        <v>casper/pIGLET 14a,1 tank started,488</v>
      </c>
      <c r="C48" s="77" t="str">
        <f t="shared" ca="1" si="0"/>
        <v>ef1a:&lt;cryaa:mSc&gt;mKate2/Electra2/mKOK/mTFP1 (F1 of allele 319)</v>
      </c>
      <c r="D48" s="78" t="str">
        <f t="shared" ca="1" si="1"/>
        <v>(F1 of allele 319)</v>
      </c>
      <c r="E48" s="78" t="str">
        <f ca="1">IFERROR(__xludf.DUMMYFUNCTION("IFERROR(REGEXEXTRACT(N48, ""F\d+""), ""F1"")"),"F1")</f>
        <v>F1</v>
      </c>
      <c r="F48" s="10" t="str">
        <f ca="1">IFERROR(__xludf.DUMMYFUNCTION("""COMPUTED_VALUE"""),"skittles 4 FP cryaa:mScarlet")</f>
        <v>skittles 4 FP cryaa:mScarlet</v>
      </c>
      <c r="G48" s="10" t="str">
        <f ca="1">IFERROR(__xludf.DUMMYFUNCTION("""COMPUTED_VALUE"""),"ef1a:&lt;cryaa:mSc&gt;mKate2/Electra2/mKOK/mTFP1")</f>
        <v>ef1a:&lt;cryaa:mSc&gt;mKate2/Electra2/mKOK/mTFP1</v>
      </c>
      <c r="H48" s="80">
        <f ca="1">IFERROR(__xludf.DUMMYFUNCTION("""COMPUTED_VALUE"""),45714)</f>
        <v>45714</v>
      </c>
      <c r="I48" s="10" t="str">
        <f ca="1">IFERROR(__xludf.DUMMYFUNCTION("""COMPUTED_VALUE"""),"pDQM036")</f>
        <v>pDQM036</v>
      </c>
      <c r="J48" s="10" t="str">
        <f ca="1">IFERROR(__xludf.DUMMYFUNCTION("""COMPUTED_VALUE"""),"tol2")</f>
        <v>tol2</v>
      </c>
      <c r="K48" s="10">
        <f ca="1">IFERROR(__xludf.DUMMYFUNCTION("""COMPUTED_VALUE"""),319)</f>
        <v>319</v>
      </c>
      <c r="L48" s="10" t="str">
        <f ca="1">IFERROR(__xludf.DUMMYFUNCTION("""COMPUTED_VALUE"""),"casper")</f>
        <v>casper</v>
      </c>
      <c r="M48" s="80">
        <f ca="1">IFERROR(__xludf.DUMMYFUNCTION("""COMPUTED_VALUE"""),45804)</f>
        <v>45804</v>
      </c>
      <c r="N48" s="10" t="str">
        <f ca="1">IFERROR(__xludf.DUMMYFUNCTION("""COMPUTED_VALUE"""),"csp")</f>
        <v>csp</v>
      </c>
      <c r="O48" s="10" t="str">
        <f ca="1">IFERROR(__xludf.DUMMYFUNCTION("""COMPUTED_VALUE"""),"csp")</f>
        <v>csp</v>
      </c>
      <c r="P48" s="81" t="str">
        <f ca="1">IFERROR(__xludf.DUMMYFUNCTION("""COMPUTED_VALUE"""),"P0_founder")</f>
        <v>P0_founder</v>
      </c>
      <c r="Q48" s="10" t="str">
        <f ca="1">IFERROR(__xludf.DUMMYFUNCTION("""COMPUTED_VALUE"""),"male #1 - 10+ fish survived")</f>
        <v>male #1 - 10+ fish survived</v>
      </c>
      <c r="R48" s="80" t="str">
        <f ca="1">IFERROR(__xludf.DUMMYFUNCTION("""COMPUTED_VALUE"""),"cytosol")</f>
        <v>cytosol</v>
      </c>
      <c r="S48" s="82">
        <f ca="1">IFERROR(__xludf.DUMMYFUNCTION("""COMPUTED_VALUE"""),405)</f>
        <v>405</v>
      </c>
      <c r="T48" s="80" t="str">
        <f ca="1">IFERROR(__xludf.DUMMYFUNCTION("""COMPUTED_VALUE"""),"cytosol")</f>
        <v>cytosol</v>
      </c>
      <c r="U48" s="82">
        <f ca="1">IFERROR(__xludf.DUMMYFUNCTION("""COMPUTED_VALUE"""),445)</f>
        <v>445</v>
      </c>
      <c r="V48" s="80" t="str">
        <f ca="1">IFERROR(__xludf.DUMMYFUNCTION("""COMPUTED_VALUE"""),"cytosol")</f>
        <v>cytosol</v>
      </c>
      <c r="W48" s="82">
        <f ca="1">IFERROR(__xludf.DUMMYFUNCTION("""COMPUTED_VALUE"""),560)</f>
        <v>560</v>
      </c>
      <c r="X48" s="80" t="str">
        <f ca="1">IFERROR(__xludf.DUMMYFUNCTION("""COMPUTED_VALUE"""),"cytosol")</f>
        <v>cytosol</v>
      </c>
    </row>
    <row r="49" spans="1:24" ht="15.75" customHeight="1" x14ac:dyDescent="0.15">
      <c r="A49" s="1" t="s">
        <v>1020</v>
      </c>
      <c r="B49" s="1" t="str">
        <f ca="1">IFERROR(__xludf.DUMMYFUNCTION("IFERROR(JOIN("","", UNIQUE(filter({VLOOKUP(A49,C:X,13, FALSE); VLOOKUP(A49,C:X,15, FALSE); VLOOKUP(A49,C:X,17, FALSE); VLOOKUP(A49,C:X,19, FALSE)}, {VLOOKUP(A49,C:X,13, FALSE); VLOOKUP(A49,C:X,15, FALSE); VLOOKUP(A49,C:X,17, FALSE); VLOOKUP(A49,C:X,19, FA"&amp;"LSE)}&lt;&gt;""""))), """")"),"casper/pIGLET 24b,1 tank started,488")</f>
        <v>casper/pIGLET 24b,1 tank started,488</v>
      </c>
      <c r="C49" s="77" t="str">
        <f t="shared" ca="1" si="0"/>
        <v>ef1a:&lt;cryaa:mSc&gt;mKate2/Electra2/mKOK/mTFP1 (F1 of allele 319)</v>
      </c>
      <c r="D49" s="78" t="str">
        <f t="shared" ca="1" si="1"/>
        <v>(F1 of allele 319)</v>
      </c>
      <c r="E49" s="78" t="str">
        <f ca="1">IFERROR(__xludf.DUMMYFUNCTION("IFERROR(REGEXEXTRACT(N49, ""F\d+""), ""F1"")"),"F1")</f>
        <v>F1</v>
      </c>
      <c r="F49" s="10" t="str">
        <f ca="1">IFERROR(__xludf.DUMMYFUNCTION("""COMPUTED_VALUE"""),"skittles 4 FP cryaa:mScarlet")</f>
        <v>skittles 4 FP cryaa:mScarlet</v>
      </c>
      <c r="G49" s="10" t="str">
        <f ca="1">IFERROR(__xludf.DUMMYFUNCTION("""COMPUTED_VALUE"""),"ef1a:&lt;cryaa:mSc&gt;mKate2/Electra2/mKOK/mTFP1")</f>
        <v>ef1a:&lt;cryaa:mSc&gt;mKate2/Electra2/mKOK/mTFP1</v>
      </c>
      <c r="H49" s="80">
        <f ca="1">IFERROR(__xludf.DUMMYFUNCTION("""COMPUTED_VALUE"""),45714)</f>
        <v>45714</v>
      </c>
      <c r="I49" s="10" t="str">
        <f ca="1">IFERROR(__xludf.DUMMYFUNCTION("""COMPUTED_VALUE"""),"pDQM036")</f>
        <v>pDQM036</v>
      </c>
      <c r="J49" s="10" t="str">
        <f ca="1">IFERROR(__xludf.DUMMYFUNCTION("""COMPUTED_VALUE"""),"tol2")</f>
        <v>tol2</v>
      </c>
      <c r="K49" s="10">
        <f ca="1">IFERROR(__xludf.DUMMYFUNCTION("""COMPUTED_VALUE"""),319)</f>
        <v>319</v>
      </c>
      <c r="L49" s="10" t="str">
        <f ca="1">IFERROR(__xludf.DUMMYFUNCTION("""COMPUTED_VALUE"""),"casper")</f>
        <v>casper</v>
      </c>
      <c r="M49" s="80">
        <f ca="1">IFERROR(__xludf.DUMMYFUNCTION("""COMPUTED_VALUE"""),45804)</f>
        <v>45804</v>
      </c>
      <c r="N49" s="10" t="str">
        <f ca="1">IFERROR(__xludf.DUMMYFUNCTION("""COMPUTED_VALUE"""),"csp")</f>
        <v>csp</v>
      </c>
      <c r="O49" s="10">
        <f ca="1">IFERROR(__xludf.DUMMYFUNCTION("""COMPUTED_VALUE"""),319)</f>
        <v>319</v>
      </c>
      <c r="P49" s="81" t="str">
        <f ca="1">IFERROR(__xludf.DUMMYFUNCTION("""COMPUTED_VALUE"""),"F1_ox")</f>
        <v>F1_ox</v>
      </c>
      <c r="Q49" s="10" t="str">
        <f ca="1">IFERROR(__xludf.DUMMYFUNCTION("""COMPUTED_VALUE"""),"F1s of male #1")</f>
        <v>F1s of male #1</v>
      </c>
      <c r="R49" s="80" t="str">
        <f ca="1">IFERROR(__xludf.DUMMYFUNCTION("""COMPUTED_VALUE"""),"cytosol")</f>
        <v>cytosol</v>
      </c>
      <c r="S49" s="82">
        <f ca="1">IFERROR(__xludf.DUMMYFUNCTION("""COMPUTED_VALUE"""),405)</f>
        <v>405</v>
      </c>
      <c r="T49" s="80" t="str">
        <f ca="1">IFERROR(__xludf.DUMMYFUNCTION("""COMPUTED_VALUE"""),"cytosol")</f>
        <v>cytosol</v>
      </c>
      <c r="U49" s="82">
        <f ca="1">IFERROR(__xludf.DUMMYFUNCTION("""COMPUTED_VALUE"""),445)</f>
        <v>445</v>
      </c>
      <c r="V49" s="80" t="str">
        <f ca="1">IFERROR(__xludf.DUMMYFUNCTION("""COMPUTED_VALUE"""),"cytosol")</f>
        <v>cytosol</v>
      </c>
      <c r="W49" s="82">
        <f ca="1">IFERROR(__xludf.DUMMYFUNCTION("""COMPUTED_VALUE"""),560)</f>
        <v>560</v>
      </c>
      <c r="X49" s="80" t="str">
        <f ca="1">IFERROR(__xludf.DUMMYFUNCTION("""COMPUTED_VALUE"""),"cytosol")</f>
        <v>cytosol</v>
      </c>
    </row>
    <row r="50" spans="1:24" ht="15.75" customHeight="1" x14ac:dyDescent="0.15">
      <c r="A50" s="1" t="s">
        <v>217</v>
      </c>
      <c r="B50" s="1" t="str">
        <f ca="1">IFERROR(__xludf.DUMMYFUNCTION("IFERROR(JOIN("","", UNIQUE(filter({VLOOKUP(A50,C:X,13, FALSE); VLOOKUP(A50,C:X,15, FALSE); VLOOKUP(A50,C:X,17, FALSE); VLOOKUP(A50,C:X,19, FALSE)}, {VLOOKUP(A50,C:X,13, FALSE); VLOOKUP(A50,C:X,15, FALSE); VLOOKUP(A50,C:X,17, FALSE); VLOOKUP(A50,C:X,19, FA"&amp;"LSE)}&lt;&gt;""""))), """")"),"csp,488,560")</f>
        <v>csp,488,560</v>
      </c>
      <c r="C50" s="77" t="str">
        <f t="shared" ca="1" si="0"/>
        <v>ef1a:&lt;cryaa:mSc&gt;mKate2/Electra2/mKOK/mTFP1 (F1 of allele 319)</v>
      </c>
      <c r="D50" s="78" t="str">
        <f t="shared" ca="1" si="1"/>
        <v>(F1 of allele 319)</v>
      </c>
      <c r="E50" s="78" t="str">
        <f ca="1">IFERROR(__xludf.DUMMYFUNCTION("IFERROR(REGEXEXTRACT(N50, ""F\d+""), ""F1"")"),"F1")</f>
        <v>F1</v>
      </c>
      <c r="F50" s="10" t="str">
        <f ca="1">IFERROR(__xludf.DUMMYFUNCTION("""COMPUTED_VALUE"""),"Ed")</f>
        <v>Ed</v>
      </c>
      <c r="G50" s="10" t="str">
        <f ca="1">IFERROR(__xludf.DUMMYFUNCTION("""COMPUTED_VALUE"""),"ef1a:&lt;cryaa:mSc&gt;mKate2/Electra2/mKOK/mTFP1")</f>
        <v>ef1a:&lt;cryaa:mSc&gt;mKate2/Electra2/mKOK/mTFP1</v>
      </c>
      <c r="H50" s="80">
        <f ca="1">IFERROR(__xludf.DUMMYFUNCTION("""COMPUTED_VALUE"""),45714)</f>
        <v>45714</v>
      </c>
      <c r="I50" s="10" t="str">
        <f ca="1">IFERROR(__xludf.DUMMYFUNCTION("""COMPUTED_VALUE"""),"pDQM036")</f>
        <v>pDQM036</v>
      </c>
      <c r="J50" s="10" t="str">
        <f ca="1">IFERROR(__xludf.DUMMYFUNCTION("""COMPUTED_VALUE"""),"tol2")</f>
        <v>tol2</v>
      </c>
      <c r="K50" s="10">
        <f ca="1">IFERROR(__xludf.DUMMYFUNCTION("""COMPUTED_VALUE"""),319)</f>
        <v>319</v>
      </c>
      <c r="L50" s="10" t="str">
        <f ca="1">IFERROR(__xludf.DUMMYFUNCTION("""COMPUTED_VALUE"""),"casper")</f>
        <v>casper</v>
      </c>
      <c r="M50" s="80">
        <f ca="1">IFERROR(__xludf.DUMMYFUNCTION("""COMPUTED_VALUE"""),45804)</f>
        <v>45804</v>
      </c>
      <c r="N50" s="10" t="str">
        <f ca="1">IFERROR(__xludf.DUMMYFUNCTION("""COMPUTED_VALUE"""),"csp")</f>
        <v>csp</v>
      </c>
      <c r="O50" s="10" t="str">
        <f ca="1">IFERROR(__xludf.DUMMYFUNCTION("""COMPUTED_VALUE"""),"csp")</f>
        <v>csp</v>
      </c>
      <c r="P50" s="81" t="str">
        <f ca="1">IFERROR(__xludf.DUMMYFUNCTION("""COMPUTED_VALUE"""),"P0_founder")</f>
        <v>P0_founder</v>
      </c>
      <c r="Q50" s="10" t="str">
        <f ca="1">IFERROR(__xludf.DUMMYFUNCTION("""COMPUTED_VALUE"""),"male #1 - 10+ fish survived")</f>
        <v>male #1 - 10+ fish survived</v>
      </c>
      <c r="R50" s="80" t="str">
        <f ca="1">IFERROR(__xludf.DUMMYFUNCTION("""COMPUTED_VALUE"""),"cytosol")</f>
        <v>cytosol</v>
      </c>
      <c r="S50" s="82">
        <f ca="1">IFERROR(__xludf.DUMMYFUNCTION("""COMPUTED_VALUE"""),405)</f>
        <v>405</v>
      </c>
      <c r="T50" s="80" t="str">
        <f ca="1">IFERROR(__xludf.DUMMYFUNCTION("""COMPUTED_VALUE"""),"cytosol")</f>
        <v>cytosol</v>
      </c>
      <c r="U50" s="82">
        <f ca="1">IFERROR(__xludf.DUMMYFUNCTION("""COMPUTED_VALUE"""),445)</f>
        <v>445</v>
      </c>
      <c r="V50" s="80" t="str">
        <f ca="1">IFERROR(__xludf.DUMMYFUNCTION("""COMPUTED_VALUE"""),"cytosol")</f>
        <v>cytosol</v>
      </c>
      <c r="W50" s="82">
        <f ca="1">IFERROR(__xludf.DUMMYFUNCTION("""COMPUTED_VALUE"""),560)</f>
        <v>560</v>
      </c>
      <c r="X50" s="80" t="str">
        <f ca="1">IFERROR(__xludf.DUMMYFUNCTION("""COMPUTED_VALUE"""),"cytosol")</f>
        <v>cytosol</v>
      </c>
    </row>
    <row r="51" spans="1:24" ht="15.75" customHeight="1" x14ac:dyDescent="0.15">
      <c r="A51" s="1" t="s">
        <v>1021</v>
      </c>
      <c r="B51" s="1" t="str">
        <f ca="1">IFERROR(__xludf.DUMMYFUNCTION("IFERROR(JOIN("","", UNIQUE(filter({VLOOKUP(A51,C:X,13, FALSE); VLOOKUP(A51,C:X,15, FALSE); VLOOKUP(A51,C:X,17, FALSE); VLOOKUP(A51,C:X,19, FALSE)}, {VLOOKUP(A51,C:X,13, FALSE); VLOOKUP(A51,C:X,15, FALSE); VLOOKUP(A51,C:X,17, FALSE); VLOOKUP(A51,C:X,19, FA"&amp;"LSE)}&lt;&gt;""""))), """")"),"csp,488,560")</f>
        <v>csp,488,560</v>
      </c>
      <c r="C51" s="77" t="str">
        <f t="shared" ca="1" si="0"/>
        <v>ef1a:&lt;cryaa:mSc&gt;mKate2/Electra2/mKOK/mTFP1 (F1 of allele 319)</v>
      </c>
      <c r="D51" s="78" t="str">
        <f t="shared" ca="1" si="1"/>
        <v>(F1 of allele 319)</v>
      </c>
      <c r="E51" s="78" t="str">
        <f ca="1">IFERROR(__xludf.DUMMYFUNCTION("IFERROR(REGEXEXTRACT(N51, ""F\d+""), ""F1"")"),"F1")</f>
        <v>F1</v>
      </c>
      <c r="F51" s="10" t="str">
        <f ca="1">IFERROR(__xludf.DUMMYFUNCTION("""COMPUTED_VALUE"""),"Ed")</f>
        <v>Ed</v>
      </c>
      <c r="G51" s="10" t="str">
        <f ca="1">IFERROR(__xludf.DUMMYFUNCTION("""COMPUTED_VALUE"""),"ef1a:&lt;cryaa:mSc&gt;mKate2/Electra2/mKOK/mTFP1")</f>
        <v>ef1a:&lt;cryaa:mSc&gt;mKate2/Electra2/mKOK/mTFP1</v>
      </c>
      <c r="H51" s="80">
        <f ca="1">IFERROR(__xludf.DUMMYFUNCTION("""COMPUTED_VALUE"""),45714)</f>
        <v>45714</v>
      </c>
      <c r="I51" s="10" t="str">
        <f ca="1">IFERROR(__xludf.DUMMYFUNCTION("""COMPUTED_VALUE"""),"pDQM036")</f>
        <v>pDQM036</v>
      </c>
      <c r="J51" s="10" t="str">
        <f ca="1">IFERROR(__xludf.DUMMYFUNCTION("""COMPUTED_VALUE"""),"tol2")</f>
        <v>tol2</v>
      </c>
      <c r="K51" s="10">
        <f ca="1">IFERROR(__xludf.DUMMYFUNCTION("""COMPUTED_VALUE"""),319)</f>
        <v>319</v>
      </c>
      <c r="L51" s="10" t="str">
        <f ca="1">IFERROR(__xludf.DUMMYFUNCTION("""COMPUTED_VALUE"""),"casper")</f>
        <v>casper</v>
      </c>
      <c r="M51" s="80">
        <f ca="1">IFERROR(__xludf.DUMMYFUNCTION("""COMPUTED_VALUE"""),45804)</f>
        <v>45804</v>
      </c>
      <c r="N51" s="10" t="str">
        <f ca="1">IFERROR(__xludf.DUMMYFUNCTION("""COMPUTED_VALUE"""),"csp")</f>
        <v>csp</v>
      </c>
      <c r="O51" s="10">
        <f ca="1">IFERROR(__xludf.DUMMYFUNCTION("""COMPUTED_VALUE"""),319)</f>
        <v>319</v>
      </c>
      <c r="P51" s="81" t="str">
        <f ca="1">IFERROR(__xludf.DUMMYFUNCTION("""COMPUTED_VALUE"""),"F1_ox")</f>
        <v>F1_ox</v>
      </c>
      <c r="Q51" s="10" t="str">
        <f ca="1">IFERROR(__xludf.DUMMYFUNCTION("""COMPUTED_VALUE"""),"F1s of male #1")</f>
        <v>F1s of male #1</v>
      </c>
      <c r="R51" s="80" t="str">
        <f ca="1">IFERROR(__xludf.DUMMYFUNCTION("""COMPUTED_VALUE"""),"cytosol")</f>
        <v>cytosol</v>
      </c>
      <c r="S51" s="82">
        <f ca="1">IFERROR(__xludf.DUMMYFUNCTION("""COMPUTED_VALUE"""),405)</f>
        <v>405</v>
      </c>
      <c r="T51" s="80" t="str">
        <f ca="1">IFERROR(__xludf.DUMMYFUNCTION("""COMPUTED_VALUE"""),"cytosol")</f>
        <v>cytosol</v>
      </c>
      <c r="U51" s="82">
        <f ca="1">IFERROR(__xludf.DUMMYFUNCTION("""COMPUTED_VALUE"""),445)</f>
        <v>445</v>
      </c>
      <c r="V51" s="80" t="str">
        <f ca="1">IFERROR(__xludf.DUMMYFUNCTION("""COMPUTED_VALUE"""),"cytosol")</f>
        <v>cytosol</v>
      </c>
      <c r="W51" s="82">
        <f ca="1">IFERROR(__xludf.DUMMYFUNCTION("""COMPUTED_VALUE"""),560)</f>
        <v>560</v>
      </c>
      <c r="X51" s="80" t="str">
        <f ca="1">IFERROR(__xludf.DUMMYFUNCTION("""COMPUTED_VALUE"""),"cytosol")</f>
        <v>cytosol</v>
      </c>
    </row>
    <row r="52" spans="1:24" ht="15.75" customHeight="1" x14ac:dyDescent="0.15">
      <c r="A52" s="1" t="s">
        <v>248</v>
      </c>
      <c r="B52" s="1" t="str">
        <f ca="1">IFERROR(__xludf.DUMMYFUNCTION("IFERROR(JOIN("","", UNIQUE(filter({VLOOKUP(A52,C:X,13, FALSE); VLOOKUP(A52,C:X,15, FALSE); VLOOKUP(A52,C:X,17, FALSE); VLOOKUP(A52,C:X,19, FALSE)}, {VLOOKUP(A52,C:X,13, FALSE); VLOOKUP(A52,C:X,15, FALSE); VLOOKUP(A52,C:X,17, FALSE); VLOOKUP(A52,C:X,19, FA"&amp;"LSE)}&lt;&gt;""""))), """")"),"301,injected heatshock phiC plasmid into allele 301, also expresses pineal gland mScarlet for screening,488")</f>
        <v>301,injected heatshock phiC plasmid into allele 301, also expresses pineal gland mScarlet for screening,488</v>
      </c>
      <c r="C52" s="77" t="str">
        <f t="shared" ca="1" si="0"/>
        <v>ef1a:&lt;exorh:GFP&gt;mKate2/Electra2/mKOK/mTFP1 (F1 of allele 320)</v>
      </c>
      <c r="D52" s="78" t="str">
        <f t="shared" ca="1" si="1"/>
        <v>(F1 of allele 320)</v>
      </c>
      <c r="E52" s="78" t="str">
        <f ca="1">IFERROR(__xludf.DUMMYFUNCTION("IFERROR(REGEXEXTRACT(N52, ""F\d+""), ""F1"")"),"F1")</f>
        <v>F1</v>
      </c>
      <c r="F52" s="10" t="str">
        <f ca="1">IFERROR(__xludf.DUMMYFUNCTION("""COMPUTED_VALUE"""),"skittles 4FP exorh:GFP")</f>
        <v>skittles 4FP exorh:GFP</v>
      </c>
      <c r="G52" s="10" t="str">
        <f ca="1">IFERROR(__xludf.DUMMYFUNCTION("""COMPUTED_VALUE"""),"ef1a:&lt;exorh:GFP&gt;mKate2/Electra2/mKOK/mTFP1")</f>
        <v>ef1a:&lt;exorh:GFP&gt;mKate2/Electra2/mKOK/mTFP1</v>
      </c>
      <c r="H52" s="80">
        <f ca="1">IFERROR(__xludf.DUMMYFUNCTION("""COMPUTED_VALUE"""),45713)</f>
        <v>45713</v>
      </c>
      <c r="I52" s="10" t="str">
        <f ca="1">IFERROR(__xludf.DUMMYFUNCTION("""COMPUTED_VALUE"""),"pDQM059")</f>
        <v>pDQM059</v>
      </c>
      <c r="J52" s="10" t="str">
        <f ca="1">IFERROR(__xludf.DUMMYFUNCTION("""COMPUTED_VALUE"""),"tol2")</f>
        <v>tol2</v>
      </c>
      <c r="K52" s="10">
        <f ca="1">IFERROR(__xludf.DUMMYFUNCTION("""COMPUTED_VALUE"""),320)</f>
        <v>320</v>
      </c>
      <c r="L52" s="10" t="str">
        <f ca="1">IFERROR(__xludf.DUMMYFUNCTION("""COMPUTED_VALUE"""),"casper")</f>
        <v>casper</v>
      </c>
      <c r="M52" s="80">
        <f ca="1">IFERROR(__xludf.DUMMYFUNCTION("""COMPUTED_VALUE"""),45803)</f>
        <v>45803</v>
      </c>
      <c r="N52" s="10" t="str">
        <f ca="1">IFERROR(__xludf.DUMMYFUNCTION("""COMPUTED_VALUE"""),"csp")</f>
        <v>csp</v>
      </c>
      <c r="O52" s="10" t="str">
        <f ca="1">IFERROR(__xludf.DUMMYFUNCTION("""COMPUTED_VALUE"""),"csp")</f>
        <v>csp</v>
      </c>
      <c r="P52" s="81" t="str">
        <f ca="1">IFERROR(__xludf.DUMMYFUNCTION("""COMPUTED_VALUE"""),"P0_founder")</f>
        <v>P0_founder</v>
      </c>
      <c r="Q52" s="10" t="str">
        <f ca="1">IFERROR(__xludf.DUMMYFUNCTION("""COMPUTED_VALUE"""),"male #6")</f>
        <v>male #6</v>
      </c>
      <c r="R52" s="80" t="str">
        <f ca="1">IFERROR(__xludf.DUMMYFUNCTION("""COMPUTED_VALUE"""),"cytosol")</f>
        <v>cytosol</v>
      </c>
      <c r="S52" s="82">
        <f ca="1">IFERROR(__xludf.DUMMYFUNCTION("""COMPUTED_VALUE"""),405)</f>
        <v>405</v>
      </c>
      <c r="T52" s="80" t="str">
        <f ca="1">IFERROR(__xludf.DUMMYFUNCTION("""COMPUTED_VALUE"""),"cytosol")</f>
        <v>cytosol</v>
      </c>
      <c r="U52" s="82">
        <f ca="1">IFERROR(__xludf.DUMMYFUNCTION("""COMPUTED_VALUE"""),445)</f>
        <v>445</v>
      </c>
      <c r="V52" s="80" t="str">
        <f ca="1">IFERROR(__xludf.DUMMYFUNCTION("""COMPUTED_VALUE"""),"cytosol")</f>
        <v>cytosol</v>
      </c>
      <c r="W52" s="82">
        <f ca="1">IFERROR(__xludf.DUMMYFUNCTION("""COMPUTED_VALUE"""),560)</f>
        <v>560</v>
      </c>
      <c r="X52" s="80" t="str">
        <f ca="1">IFERROR(__xludf.DUMMYFUNCTION("""COMPUTED_VALUE"""),"cytosol")</f>
        <v>cytosol</v>
      </c>
    </row>
    <row r="53" spans="1:24" ht="15.75" customHeight="1" x14ac:dyDescent="0.15">
      <c r="A53" s="1" t="s">
        <v>1022</v>
      </c>
      <c r="B53" s="1" t="str">
        <f ca="1">IFERROR(__xludf.DUMMYFUNCTION("IFERROR(JOIN("","", UNIQUE(filter({VLOOKUP(A53,C:X,13, FALSE); VLOOKUP(A53,C:X,15, FALSE); VLOOKUP(A53,C:X,17, FALSE); VLOOKUP(A53,C:X,19, FALSE)}, {VLOOKUP(A53,C:X,13, FALSE); VLOOKUP(A53,C:X,15, FALSE); VLOOKUP(A53,C:X,17, FALSE); VLOOKUP(A53,C:X,19, FA"&amp;"LSE)}&lt;&gt;""""))), """")"),"301,founder male #1 (high hit rate, but not expressing phiC? multiple heat shock experiments have not worked),488")</f>
        <v>301,founder male #1 (high hit rate, but not expressing phiC? multiple heat shock experiments have not worked),488</v>
      </c>
      <c r="C53" s="77" t="str">
        <f t="shared" ca="1" si="0"/>
        <v>ef1a:&lt;exorh:GFP&gt;mKate2/Electra2/mKOK/mTFP1 (F1 of allele 320)</v>
      </c>
      <c r="D53" s="78" t="str">
        <f t="shared" ca="1" si="1"/>
        <v>(F1 of allele 320)</v>
      </c>
      <c r="E53" s="78" t="str">
        <f ca="1">IFERROR(__xludf.DUMMYFUNCTION("IFERROR(REGEXEXTRACT(N53, ""F\d+""), ""F1"")"),"F1")</f>
        <v>F1</v>
      </c>
      <c r="F53" s="10" t="str">
        <f ca="1">IFERROR(__xludf.DUMMYFUNCTION("""COMPUTED_VALUE"""),"skittles 4FP exorh:GFP")</f>
        <v>skittles 4FP exorh:GFP</v>
      </c>
      <c r="G53" s="10" t="str">
        <f ca="1">IFERROR(__xludf.DUMMYFUNCTION("""COMPUTED_VALUE"""),"ef1a:&lt;exorh:GFP&gt;mKate2/Electra2/mKOK/mTFP1")</f>
        <v>ef1a:&lt;exorh:GFP&gt;mKate2/Electra2/mKOK/mTFP1</v>
      </c>
      <c r="H53" s="80">
        <f ca="1">IFERROR(__xludf.DUMMYFUNCTION("""COMPUTED_VALUE"""),45713)</f>
        <v>45713</v>
      </c>
      <c r="I53" s="10" t="str">
        <f ca="1">IFERROR(__xludf.DUMMYFUNCTION("""COMPUTED_VALUE"""),"pDQM059")</f>
        <v>pDQM059</v>
      </c>
      <c r="J53" s="10" t="str">
        <f ca="1">IFERROR(__xludf.DUMMYFUNCTION("""COMPUTED_VALUE"""),"tol2")</f>
        <v>tol2</v>
      </c>
      <c r="K53" s="10">
        <f ca="1">IFERROR(__xludf.DUMMYFUNCTION("""COMPUTED_VALUE"""),320)</f>
        <v>320</v>
      </c>
      <c r="L53" s="10" t="str">
        <f ca="1">IFERROR(__xludf.DUMMYFUNCTION("""COMPUTED_VALUE"""),"casper")</f>
        <v>casper</v>
      </c>
      <c r="M53" s="80">
        <f ca="1">IFERROR(__xludf.DUMMYFUNCTION("""COMPUTED_VALUE"""),45803)</f>
        <v>45803</v>
      </c>
      <c r="N53" s="10" t="str">
        <f ca="1">IFERROR(__xludf.DUMMYFUNCTION("""COMPUTED_VALUE"""),"csp")</f>
        <v>csp</v>
      </c>
      <c r="O53" s="10">
        <f ca="1">IFERROR(__xludf.DUMMYFUNCTION("""COMPUTED_VALUE"""),320)</f>
        <v>320</v>
      </c>
      <c r="P53" s="81" t="str">
        <f ca="1">IFERROR(__xludf.DUMMYFUNCTION("""COMPUTED_VALUE"""),"F1_ox")</f>
        <v>F1_ox</v>
      </c>
      <c r="Q53" s="10" t="str">
        <f ca="1">IFERROR(__xludf.DUMMYFUNCTION("""COMPUTED_VALUE"""),"F1s of male #6")</f>
        <v>F1s of male #6</v>
      </c>
      <c r="R53" s="80" t="str">
        <f ca="1">IFERROR(__xludf.DUMMYFUNCTION("""COMPUTED_VALUE"""),"cytosol")</f>
        <v>cytosol</v>
      </c>
      <c r="S53" s="82">
        <f ca="1">IFERROR(__xludf.DUMMYFUNCTION("""COMPUTED_VALUE"""),405)</f>
        <v>405</v>
      </c>
      <c r="T53" s="80" t="str">
        <f ca="1">IFERROR(__xludf.DUMMYFUNCTION("""COMPUTED_VALUE"""),"cytosol")</f>
        <v>cytosol</v>
      </c>
      <c r="U53" s="82">
        <f ca="1">IFERROR(__xludf.DUMMYFUNCTION("""COMPUTED_VALUE"""),445)</f>
        <v>445</v>
      </c>
      <c r="V53" s="80" t="str">
        <f ca="1">IFERROR(__xludf.DUMMYFUNCTION("""COMPUTED_VALUE"""),"cytosol")</f>
        <v>cytosol</v>
      </c>
      <c r="W53" s="82">
        <f ca="1">IFERROR(__xludf.DUMMYFUNCTION("""COMPUTED_VALUE"""),560)</f>
        <v>560</v>
      </c>
      <c r="X53" s="80" t="str">
        <f ca="1">IFERROR(__xludf.DUMMYFUNCTION("""COMPUTED_VALUE"""),"cytosol")</f>
        <v>cytosol</v>
      </c>
    </row>
    <row r="54" spans="1:24" ht="15.75" customHeight="1" x14ac:dyDescent="0.15">
      <c r="A54" s="1" t="s">
        <v>1023</v>
      </c>
      <c r="B54" s="1" t="str">
        <f ca="1">IFERROR(__xludf.DUMMYFUNCTION("IFERROR(JOIN("","", UNIQUE(filter({VLOOKUP(A54,C:X,13, FALSE); VLOOKUP(A54,C:X,15, FALSE); VLOOKUP(A54,C:X,17, FALSE); VLOOKUP(A54,C:X,19, FALSE)}, {VLOOKUP(A54,C:X,13, FALSE); VLOOKUP(A54,C:X,15, FALSE); VLOOKUP(A54,C:X,17, FALSE); VLOOKUP(A54,C:X,19, FA"&amp;"LSE)}&lt;&gt;""""))), """")"),"335,F1s of male #3 outcrossed to 301 (mem:Sg),488")</f>
        <v>335,F1s of male #3 outcrossed to 301 (mem:Sg),488</v>
      </c>
      <c r="C54" s="77" t="str">
        <f t="shared" ca="1" si="0"/>
        <v>ef1a:&lt;exorh:GFP&gt;mKate2/Electra2/mKOK/mTFP1 (F1 of allele 320)</v>
      </c>
      <c r="D54" s="78" t="str">
        <f t="shared" ca="1" si="1"/>
        <v>(F1 of allele 320)</v>
      </c>
      <c r="E54" s="78" t="str">
        <f ca="1">IFERROR(__xludf.DUMMYFUNCTION("IFERROR(REGEXEXTRACT(N54, ""F\d+""), ""F1"")"),"F1")</f>
        <v>F1</v>
      </c>
      <c r="F54" s="10" t="str">
        <f ca="1">IFERROR(__xludf.DUMMYFUNCTION("""COMPUTED_VALUE"""),"Ken")</f>
        <v>Ken</v>
      </c>
      <c r="G54" s="10" t="str">
        <f ca="1">IFERROR(__xludf.DUMMYFUNCTION("""COMPUTED_VALUE"""),"ef1a:&lt;exorh:GFP&gt;mKate2/Electra2/mKOK/mTFP1")</f>
        <v>ef1a:&lt;exorh:GFP&gt;mKate2/Electra2/mKOK/mTFP1</v>
      </c>
      <c r="H54" s="80">
        <f ca="1">IFERROR(__xludf.DUMMYFUNCTION("""COMPUTED_VALUE"""),45713)</f>
        <v>45713</v>
      </c>
      <c r="I54" s="10" t="str">
        <f ca="1">IFERROR(__xludf.DUMMYFUNCTION("""COMPUTED_VALUE"""),"pDQM059")</f>
        <v>pDQM059</v>
      </c>
      <c r="J54" s="10" t="str">
        <f ca="1">IFERROR(__xludf.DUMMYFUNCTION("""COMPUTED_VALUE"""),"tol2")</f>
        <v>tol2</v>
      </c>
      <c r="K54" s="10">
        <f ca="1">IFERROR(__xludf.DUMMYFUNCTION("""COMPUTED_VALUE"""),320)</f>
        <v>320</v>
      </c>
      <c r="L54" s="10" t="str">
        <f ca="1">IFERROR(__xludf.DUMMYFUNCTION("""COMPUTED_VALUE"""),"casper")</f>
        <v>casper</v>
      </c>
      <c r="M54" s="80">
        <f ca="1">IFERROR(__xludf.DUMMYFUNCTION("""COMPUTED_VALUE"""),45803)</f>
        <v>45803</v>
      </c>
      <c r="N54" s="10" t="str">
        <f ca="1">IFERROR(__xludf.DUMMYFUNCTION("""COMPUTED_VALUE"""),"csp")</f>
        <v>csp</v>
      </c>
      <c r="O54" s="10" t="str">
        <f ca="1">IFERROR(__xludf.DUMMYFUNCTION("""COMPUTED_VALUE"""),"csp")</f>
        <v>csp</v>
      </c>
      <c r="P54" s="81" t="str">
        <f ca="1">IFERROR(__xludf.DUMMYFUNCTION("""COMPUTED_VALUE"""),"P0_founder")</f>
        <v>P0_founder</v>
      </c>
      <c r="Q54" s="10" t="str">
        <f ca="1">IFERROR(__xludf.DUMMYFUNCTION("""COMPUTED_VALUE"""),"male #6")</f>
        <v>male #6</v>
      </c>
      <c r="R54" s="80" t="str">
        <f ca="1">IFERROR(__xludf.DUMMYFUNCTION("""COMPUTED_VALUE"""),"cytosol")</f>
        <v>cytosol</v>
      </c>
      <c r="S54" s="82">
        <f ca="1">IFERROR(__xludf.DUMMYFUNCTION("""COMPUTED_VALUE"""),405)</f>
        <v>405</v>
      </c>
      <c r="T54" s="80" t="str">
        <f ca="1">IFERROR(__xludf.DUMMYFUNCTION("""COMPUTED_VALUE"""),"cytosol")</f>
        <v>cytosol</v>
      </c>
      <c r="U54" s="82">
        <f ca="1">IFERROR(__xludf.DUMMYFUNCTION("""COMPUTED_VALUE"""),445)</f>
        <v>445</v>
      </c>
      <c r="V54" s="80" t="str">
        <f ca="1">IFERROR(__xludf.DUMMYFUNCTION("""COMPUTED_VALUE"""),"cytosol")</f>
        <v>cytosol</v>
      </c>
      <c r="W54" s="82">
        <f ca="1">IFERROR(__xludf.DUMMYFUNCTION("""COMPUTED_VALUE"""),560)</f>
        <v>560</v>
      </c>
      <c r="X54" s="80" t="str">
        <f ca="1">IFERROR(__xludf.DUMMYFUNCTION("""COMPUTED_VALUE"""),"cytosol")</f>
        <v>cytosol</v>
      </c>
    </row>
    <row r="55" spans="1:24" ht="15.75" customHeight="1" x14ac:dyDescent="0.15">
      <c r="A55" s="1" t="s">
        <v>48</v>
      </c>
      <c r="B55" s="1" t="str">
        <f ca="1">IFERROR(__xludf.DUMMYFUNCTION("IFERROR(JOIN("","", UNIQUE(filter({VLOOKUP(A55,C:X,13, FALSE); VLOOKUP(A55,C:X,15, FALSE); VLOOKUP(A55,C:X,17, FALSE); VLOOKUP(A55,C:X,19, FALSE)}, {VLOOKUP(A55,C:X,13, FALSE); VLOOKUP(A55,C:X,15, FALSE); VLOOKUP(A55,C:X,17, FALSE); VLOOKUP(A55,C:X,19, FA"&amp;"LSE)}&lt;&gt;""""))), """")"),"csp,1 tank started")</f>
        <v>csp,1 tank started</v>
      </c>
      <c r="C55" s="77" t="str">
        <f t="shared" ca="1" si="0"/>
        <v>ef1a:&lt;exorh:GFP&gt;mKate2/Electra2/mKOK/mTFP1 (F1 of allele 320)</v>
      </c>
      <c r="D55" s="78" t="str">
        <f t="shared" ca="1" si="1"/>
        <v>(F1 of allele 320)</v>
      </c>
      <c r="E55" s="78" t="str">
        <f ca="1">IFERROR(__xludf.DUMMYFUNCTION("IFERROR(REGEXEXTRACT(N55, ""F\d+""), ""F1"")"),"F1")</f>
        <v>F1</v>
      </c>
      <c r="F55" s="10" t="str">
        <f ca="1">IFERROR(__xludf.DUMMYFUNCTION("""COMPUTED_VALUE"""),"Ken")</f>
        <v>Ken</v>
      </c>
      <c r="G55" s="10" t="str">
        <f ca="1">IFERROR(__xludf.DUMMYFUNCTION("""COMPUTED_VALUE"""),"ef1a:&lt;exorh:GFP&gt;mKate2/Electra2/mKOK/mTFP1")</f>
        <v>ef1a:&lt;exorh:GFP&gt;mKate2/Electra2/mKOK/mTFP1</v>
      </c>
      <c r="H55" s="80">
        <f ca="1">IFERROR(__xludf.DUMMYFUNCTION("""COMPUTED_VALUE"""),45713)</f>
        <v>45713</v>
      </c>
      <c r="I55" s="10" t="str">
        <f ca="1">IFERROR(__xludf.DUMMYFUNCTION("""COMPUTED_VALUE"""),"pDQM059")</f>
        <v>pDQM059</v>
      </c>
      <c r="J55" s="10" t="str">
        <f ca="1">IFERROR(__xludf.DUMMYFUNCTION("""COMPUTED_VALUE"""),"tol2")</f>
        <v>tol2</v>
      </c>
      <c r="K55" s="10">
        <f ca="1">IFERROR(__xludf.DUMMYFUNCTION("""COMPUTED_VALUE"""),320)</f>
        <v>320</v>
      </c>
      <c r="L55" s="10" t="str">
        <f ca="1">IFERROR(__xludf.DUMMYFUNCTION("""COMPUTED_VALUE"""),"casper")</f>
        <v>casper</v>
      </c>
      <c r="M55" s="80">
        <f ca="1">IFERROR(__xludf.DUMMYFUNCTION("""COMPUTED_VALUE"""),45803)</f>
        <v>45803</v>
      </c>
      <c r="N55" s="10" t="str">
        <f ca="1">IFERROR(__xludf.DUMMYFUNCTION("""COMPUTED_VALUE"""),"csp")</f>
        <v>csp</v>
      </c>
      <c r="O55" s="10">
        <f ca="1">IFERROR(__xludf.DUMMYFUNCTION("""COMPUTED_VALUE"""),320)</f>
        <v>320</v>
      </c>
      <c r="P55" s="81" t="str">
        <f ca="1">IFERROR(__xludf.DUMMYFUNCTION("""COMPUTED_VALUE"""),"F1_ox")</f>
        <v>F1_ox</v>
      </c>
      <c r="Q55" s="10" t="str">
        <f ca="1">IFERROR(__xludf.DUMMYFUNCTION("""COMPUTED_VALUE"""),"F1s of male #6")</f>
        <v>F1s of male #6</v>
      </c>
      <c r="R55" s="80" t="str">
        <f ca="1">IFERROR(__xludf.DUMMYFUNCTION("""COMPUTED_VALUE"""),"cytosol")</f>
        <v>cytosol</v>
      </c>
      <c r="S55" s="82">
        <f ca="1">IFERROR(__xludf.DUMMYFUNCTION("""COMPUTED_VALUE"""),405)</f>
        <v>405</v>
      </c>
      <c r="T55" s="80" t="str">
        <f ca="1">IFERROR(__xludf.DUMMYFUNCTION("""COMPUTED_VALUE"""),"cytosol")</f>
        <v>cytosol</v>
      </c>
      <c r="U55" s="82">
        <f ca="1">IFERROR(__xludf.DUMMYFUNCTION("""COMPUTED_VALUE"""),445)</f>
        <v>445</v>
      </c>
      <c r="V55" s="80" t="str">
        <f ca="1">IFERROR(__xludf.DUMMYFUNCTION("""COMPUTED_VALUE"""),"cytosol")</f>
        <v>cytosol</v>
      </c>
      <c r="W55" s="82">
        <f ca="1">IFERROR(__xludf.DUMMYFUNCTION("""COMPUTED_VALUE"""),560)</f>
        <v>560</v>
      </c>
      <c r="X55" s="80" t="str">
        <f ca="1">IFERROR(__xludf.DUMMYFUNCTION("""COMPUTED_VALUE"""),"cytosol")</f>
        <v>cytosol</v>
      </c>
    </row>
    <row r="56" spans="1:24" ht="15.75" customHeight="1" x14ac:dyDescent="0.15">
      <c r="A56" s="1" t="s">
        <v>1024</v>
      </c>
      <c r="B56" s="1" t="str">
        <f ca="1">IFERROR(__xludf.DUMMYFUNCTION("IFERROR(JOIN("","", UNIQUE(filter({VLOOKUP(A56,C:X,13, FALSE); VLOOKUP(A56,C:X,15, FALSE); VLOOKUP(A56,C:X,17, FALSE); VLOOKUP(A56,C:X,19, FALSE)}, {VLOOKUP(A56,C:X,13, FALSE); VLOOKUP(A56,C:X,15, FALSE); VLOOKUP(A56,C:X,17, FALSE); VLOOKUP(A56,C:X,19, FA"&amp;"LSE)}&lt;&gt;""""))), """")"),"csp,1 tank started, only ~10 fish survived @ 1 month, will inejct again to raise numbers,488,405")</f>
        <v>csp,1 tank started, only ~10 fish survived @ 1 month, will inejct again to raise numbers,488,405</v>
      </c>
      <c r="C56" s="77" t="str">
        <f t="shared" ca="1" si="0"/>
        <v>ef1a:&lt;exorh:GFP&gt;mKate2/Electra2/mKOK/mTFP1 (F1 of allele 321)</v>
      </c>
      <c r="D56" s="78" t="str">
        <f t="shared" ca="1" si="1"/>
        <v>(F1 of allele 321)</v>
      </c>
      <c r="E56" s="78" t="str">
        <f ca="1">IFERROR(__xludf.DUMMYFUNCTION("IFERROR(REGEXEXTRACT(N56, ""F\d+""), ""F1"")"),"F1")</f>
        <v>F1</v>
      </c>
      <c r="F56" s="10" t="str">
        <f ca="1">IFERROR(__xludf.DUMMYFUNCTION("""COMPUTED_VALUE"""),"skittles 4FP exorh:GFP")</f>
        <v>skittles 4FP exorh:GFP</v>
      </c>
      <c r="G56" s="10" t="str">
        <f ca="1">IFERROR(__xludf.DUMMYFUNCTION("""COMPUTED_VALUE"""),"ef1a:&lt;exorh:GFP&gt;mKate2/Electra2/mKOK/mTFP1")</f>
        <v>ef1a:&lt;exorh:GFP&gt;mKate2/Electra2/mKOK/mTFP1</v>
      </c>
      <c r="H56" s="80">
        <f ca="1">IFERROR(__xludf.DUMMYFUNCTION("""COMPUTED_VALUE"""),45599)</f>
        <v>45599</v>
      </c>
      <c r="I56" s="10" t="str">
        <f ca="1">IFERROR(__xludf.DUMMYFUNCTION("""COMPUTED_VALUE"""),"pDQM059")</f>
        <v>pDQM059</v>
      </c>
      <c r="J56" s="10" t="str">
        <f ca="1">IFERROR(__xludf.DUMMYFUNCTION("""COMPUTED_VALUE"""),"tol2")</f>
        <v>tol2</v>
      </c>
      <c r="K56" s="10">
        <f ca="1">IFERROR(__xludf.DUMMYFUNCTION("""COMPUTED_VALUE"""),321)</f>
        <v>321</v>
      </c>
      <c r="L56" s="10" t="str">
        <f ca="1">IFERROR(__xludf.DUMMYFUNCTION("""COMPUTED_VALUE"""),"casper")</f>
        <v>casper</v>
      </c>
      <c r="M56" s="10"/>
      <c r="N56" s="10" t="str">
        <f ca="1">IFERROR(__xludf.DUMMYFUNCTION("""COMPUTED_VALUE"""),"csp")</f>
        <v>csp</v>
      </c>
      <c r="O56" s="10" t="str">
        <f ca="1">IFERROR(__xludf.DUMMYFUNCTION("""COMPUTED_VALUE"""),"csp")</f>
        <v>csp</v>
      </c>
      <c r="P56" s="81" t="str">
        <f ca="1">IFERROR(__xludf.DUMMYFUNCTION("""COMPUTED_VALUE"""),"P0_founder")</f>
        <v>P0_founder</v>
      </c>
      <c r="Q56" s="10" t="str">
        <f ca="1">IFERROR(__xludf.DUMMYFUNCTION("""COMPUTED_VALUE"""),"male #1")</f>
        <v>male #1</v>
      </c>
      <c r="R56" s="80" t="str">
        <f ca="1">IFERROR(__xludf.DUMMYFUNCTION("""COMPUTED_VALUE"""),"cytosol")</f>
        <v>cytosol</v>
      </c>
      <c r="S56" s="82">
        <f ca="1">IFERROR(__xludf.DUMMYFUNCTION("""COMPUTED_VALUE"""),405)</f>
        <v>405</v>
      </c>
      <c r="T56" s="80" t="str">
        <f ca="1">IFERROR(__xludf.DUMMYFUNCTION("""COMPUTED_VALUE"""),"cytosol")</f>
        <v>cytosol</v>
      </c>
      <c r="U56" s="82">
        <f ca="1">IFERROR(__xludf.DUMMYFUNCTION("""COMPUTED_VALUE"""),445)</f>
        <v>445</v>
      </c>
      <c r="V56" s="80" t="str">
        <f ca="1">IFERROR(__xludf.DUMMYFUNCTION("""COMPUTED_VALUE"""),"cytosol")</f>
        <v>cytosol</v>
      </c>
      <c r="W56" s="82">
        <f ca="1">IFERROR(__xludf.DUMMYFUNCTION("""COMPUTED_VALUE"""),560)</f>
        <v>560</v>
      </c>
      <c r="X56" s="80" t="str">
        <f ca="1">IFERROR(__xludf.DUMMYFUNCTION("""COMPUTED_VALUE"""),"cytosol")</f>
        <v>cytosol</v>
      </c>
    </row>
    <row r="57" spans="1:24" ht="15.75" customHeight="1" x14ac:dyDescent="0.15">
      <c r="A57" s="1" t="s">
        <v>1025</v>
      </c>
      <c r="B57" s="1" t="str">
        <f ca="1">IFERROR(__xludf.DUMMYFUNCTION("IFERROR(JOIN("","", UNIQUE(filter({VLOOKUP(A57,C:X,13, FALSE); VLOOKUP(A57,C:X,15, FALSE); VLOOKUP(A57,C:X,17, FALSE); VLOOKUP(A57,C:X,19, FALSE)}, {VLOOKUP(A57,C:X,13, FALSE); VLOOKUP(A57,C:X,15, FALSE); VLOOKUP(A57,C:X,17, FALSE); VLOOKUP(A57,C:X,19, FA"&amp;"LSE)}&lt;&gt;""""))), """")"),"csp,male #1 - low hit rate founder, not super bright,488,405")</f>
        <v>csp,male #1 - low hit rate founder, not super bright,488,405</v>
      </c>
      <c r="C57" s="77" t="str">
        <f t="shared" ca="1" si="0"/>
        <v>ef1a:&lt;exorh:GFP&gt;mKate2/Electra2/mKOK/mTFP1 (F1 of allele 321)</v>
      </c>
      <c r="D57" s="78" t="str">
        <f t="shared" ca="1" si="1"/>
        <v>(F1 of allele 321)</v>
      </c>
      <c r="E57" s="78" t="str">
        <f ca="1">IFERROR(__xludf.DUMMYFUNCTION("IFERROR(REGEXEXTRACT(N57, ""F\d+""), ""F1"")"),"F1")</f>
        <v>F1</v>
      </c>
      <c r="F57" s="10" t="str">
        <f ca="1">IFERROR(__xludf.DUMMYFUNCTION("""COMPUTED_VALUE"""),"Liam")</f>
        <v>Liam</v>
      </c>
      <c r="G57" s="10" t="str">
        <f ca="1">IFERROR(__xludf.DUMMYFUNCTION("""COMPUTED_VALUE"""),"ef1a:&lt;exorh:GFP&gt;mKate2/Electra2/mKOK/mTFP1")</f>
        <v>ef1a:&lt;exorh:GFP&gt;mKate2/Electra2/mKOK/mTFP1</v>
      </c>
      <c r="H57" s="80">
        <f ca="1">IFERROR(__xludf.DUMMYFUNCTION("""COMPUTED_VALUE"""),45599)</f>
        <v>45599</v>
      </c>
      <c r="I57" s="10" t="str">
        <f ca="1">IFERROR(__xludf.DUMMYFUNCTION("""COMPUTED_VALUE"""),"pDQM059")</f>
        <v>pDQM059</v>
      </c>
      <c r="J57" s="10" t="str">
        <f ca="1">IFERROR(__xludf.DUMMYFUNCTION("""COMPUTED_VALUE"""),"tol2")</f>
        <v>tol2</v>
      </c>
      <c r="K57" s="10">
        <f ca="1">IFERROR(__xludf.DUMMYFUNCTION("""COMPUTED_VALUE"""),321)</f>
        <v>321</v>
      </c>
      <c r="L57" s="10" t="str">
        <f ca="1">IFERROR(__xludf.DUMMYFUNCTION("""COMPUTED_VALUE"""),"casper")</f>
        <v>casper</v>
      </c>
      <c r="M57" s="80">
        <f ca="1">IFERROR(__xludf.DUMMYFUNCTION("""COMPUTED_VALUE"""),45689)</f>
        <v>45689</v>
      </c>
      <c r="N57" s="10" t="str">
        <f ca="1">IFERROR(__xludf.DUMMYFUNCTION("""COMPUTED_VALUE"""),"csp")</f>
        <v>csp</v>
      </c>
      <c r="O57" s="10" t="str">
        <f ca="1">IFERROR(__xludf.DUMMYFUNCTION("""COMPUTED_VALUE"""),"csp")</f>
        <v>csp</v>
      </c>
      <c r="P57" s="81" t="str">
        <f ca="1">IFERROR(__xludf.DUMMYFUNCTION("""COMPUTED_VALUE"""),"P0_founder")</f>
        <v>P0_founder</v>
      </c>
      <c r="Q57" s="10" t="str">
        <f ca="1">IFERROR(__xludf.DUMMYFUNCTION("""COMPUTED_VALUE"""),"male #1 02012025")</f>
        <v>male #1 02012025</v>
      </c>
      <c r="R57" s="80" t="str">
        <f ca="1">IFERROR(__xludf.DUMMYFUNCTION("""COMPUTED_VALUE"""),"cytosol")</f>
        <v>cytosol</v>
      </c>
      <c r="S57" s="82">
        <f ca="1">IFERROR(__xludf.DUMMYFUNCTION("""COMPUTED_VALUE"""),405)</f>
        <v>405</v>
      </c>
      <c r="T57" s="80" t="str">
        <f ca="1">IFERROR(__xludf.DUMMYFUNCTION("""COMPUTED_VALUE"""),"cytosol")</f>
        <v>cytosol</v>
      </c>
      <c r="U57" s="82">
        <f ca="1">IFERROR(__xludf.DUMMYFUNCTION("""COMPUTED_VALUE"""),445)</f>
        <v>445</v>
      </c>
      <c r="V57" s="80" t="str">
        <f ca="1">IFERROR(__xludf.DUMMYFUNCTION("""COMPUTED_VALUE"""),"cytosol")</f>
        <v>cytosol</v>
      </c>
      <c r="W57" s="82">
        <f ca="1">IFERROR(__xludf.DUMMYFUNCTION("""COMPUTED_VALUE"""),560)</f>
        <v>560</v>
      </c>
      <c r="X57" s="80" t="str">
        <f ca="1">IFERROR(__xludf.DUMMYFUNCTION("""COMPUTED_VALUE"""),"cytosol")</f>
        <v>cytosol</v>
      </c>
    </row>
    <row r="58" spans="1:24" ht="15.75" customHeight="1" x14ac:dyDescent="0.15">
      <c r="A58" s="1" t="s">
        <v>1026</v>
      </c>
      <c r="B58" s="1" t="str">
        <f ca="1">IFERROR(__xludf.DUMMYFUNCTION("IFERROR(JOIN("","", UNIQUE(filter({VLOOKUP(A58,C:X,13, FALSE); VLOOKUP(A58,C:X,15, FALSE); VLOOKUP(A58,C:X,17, FALSE); VLOOKUP(A58,C:X,19, FALSE)}, {VLOOKUP(A58,C:X,13, FALSE); VLOOKUP(A58,C:X,15, FALSE); VLOOKUP(A58,C:X,17, FALSE); VLOOKUP(A58,C:X,19, FA"&amp;"LSE)}&lt;&gt;""""))), """")"),"csp,male #2 multiple alleles, good founder (?) but not super bright,488,405")</f>
        <v>csp,male #2 multiple alleles, good founder (?) but not super bright,488,405</v>
      </c>
      <c r="C58" s="77" t="str">
        <f t="shared" ca="1" si="0"/>
        <v>ef1a:&lt;exorh:GFP&gt;mKate2/Electra2/mKOK/mTFP1 (F1 of allele 321)</v>
      </c>
      <c r="D58" s="78" t="str">
        <f t="shared" ca="1" si="1"/>
        <v>(F1 of allele 321)</v>
      </c>
      <c r="E58" s="78" t="str">
        <f ca="1">IFERROR(__xludf.DUMMYFUNCTION("IFERROR(REGEXEXTRACT(N58, ""F\d+""), ""F1"")"),"F1")</f>
        <v>F1</v>
      </c>
      <c r="F58" s="10" t="str">
        <f ca="1">IFERROR(__xludf.DUMMYFUNCTION("""COMPUTED_VALUE"""),"skittles 4FP exorh:GFP")</f>
        <v>skittles 4FP exorh:GFP</v>
      </c>
      <c r="G58" s="10" t="str">
        <f ca="1">IFERROR(__xludf.DUMMYFUNCTION("""COMPUTED_VALUE"""),"ef1a:&lt;exorh:GFP&gt;mKate2/Electra2/mKOK/mTFP1")</f>
        <v>ef1a:&lt;exorh:GFP&gt;mKate2/Electra2/mKOK/mTFP1</v>
      </c>
      <c r="H58" s="80">
        <f ca="1">IFERROR(__xludf.DUMMYFUNCTION("""COMPUTED_VALUE"""),45705)</f>
        <v>45705</v>
      </c>
      <c r="I58" s="10" t="str">
        <f ca="1">IFERROR(__xludf.DUMMYFUNCTION("""COMPUTED_VALUE"""),"pDQM059")</f>
        <v>pDQM059</v>
      </c>
      <c r="J58" s="10" t="str">
        <f ca="1">IFERROR(__xludf.DUMMYFUNCTION("""COMPUTED_VALUE"""),"tol2")</f>
        <v>tol2</v>
      </c>
      <c r="K58" s="10">
        <f ca="1">IFERROR(__xludf.DUMMYFUNCTION("""COMPUTED_VALUE"""),321)</f>
        <v>321</v>
      </c>
      <c r="L58" s="10" t="str">
        <f ca="1">IFERROR(__xludf.DUMMYFUNCTION("""COMPUTED_VALUE"""),"casper")</f>
        <v>casper</v>
      </c>
      <c r="M58" s="10"/>
      <c r="N58" s="10" t="str">
        <f ca="1">IFERROR(__xludf.DUMMYFUNCTION("""COMPUTED_VALUE"""),"csp")</f>
        <v>csp</v>
      </c>
      <c r="O58" s="10">
        <f ca="1">IFERROR(__xludf.DUMMYFUNCTION("""COMPUTED_VALUE"""),321)</f>
        <v>321</v>
      </c>
      <c r="P58" s="81" t="str">
        <f ca="1">IFERROR(__xludf.DUMMYFUNCTION("""COMPUTED_VALUE"""),"F1_ox")</f>
        <v>F1_ox</v>
      </c>
      <c r="Q58" s="10" t="str">
        <f ca="1">IFERROR(__xludf.DUMMYFUNCTION("""COMPUTED_VALUE"""),"F1s of male #1")</f>
        <v>F1s of male #1</v>
      </c>
      <c r="R58" s="80" t="str">
        <f ca="1">IFERROR(__xludf.DUMMYFUNCTION("""COMPUTED_VALUE"""),"cytosol")</f>
        <v>cytosol</v>
      </c>
      <c r="S58" s="82">
        <f ca="1">IFERROR(__xludf.DUMMYFUNCTION("""COMPUTED_VALUE"""),405)</f>
        <v>405</v>
      </c>
      <c r="T58" s="80" t="str">
        <f ca="1">IFERROR(__xludf.DUMMYFUNCTION("""COMPUTED_VALUE"""),"cytosol")</f>
        <v>cytosol</v>
      </c>
      <c r="U58" s="82">
        <f ca="1">IFERROR(__xludf.DUMMYFUNCTION("""COMPUTED_VALUE"""),445)</f>
        <v>445</v>
      </c>
      <c r="V58" s="80" t="str">
        <f ca="1">IFERROR(__xludf.DUMMYFUNCTION("""COMPUTED_VALUE"""),"cytosol")</f>
        <v>cytosol</v>
      </c>
      <c r="W58" s="82">
        <f ca="1">IFERROR(__xludf.DUMMYFUNCTION("""COMPUTED_VALUE"""),560)</f>
        <v>560</v>
      </c>
      <c r="X58" s="80" t="str">
        <f ca="1">IFERROR(__xludf.DUMMYFUNCTION("""COMPUTED_VALUE"""),"cytosol")</f>
        <v>cytosol</v>
      </c>
    </row>
    <row r="59" spans="1:24" ht="15.75" customHeight="1" x14ac:dyDescent="0.15">
      <c r="A59" s="1" t="s">
        <v>1027</v>
      </c>
      <c r="B59" s="1" t="str">
        <f ca="1">IFERROR(__xludf.DUMMYFUNCTION("IFERROR(JOIN("","", UNIQUE(filter({VLOOKUP(A59,C:X,13, FALSE); VLOOKUP(A59,C:X,15, FALSE); VLOOKUP(A59,C:X,17, FALSE); VLOOKUP(A59,C:X,19, FALSE)}, {VLOOKUP(A59,C:X,13, FALSE); VLOOKUP(A59,C:X,15, FALSE); VLOOKUP(A59,C:X,17, FALSE); VLOOKUP(A59,C:X,19, FA"&amp;"LSE)}&lt;&gt;""""))), """")"),"csp,male #4 low hit rate founder, not super bright,488,405")</f>
        <v>csp,male #4 low hit rate founder, not super bright,488,405</v>
      </c>
      <c r="C59" s="77" t="str">
        <f t="shared" ca="1" si="0"/>
        <v>ef1a:&lt;exorh:GFP&gt;mKate2/Electra2/mKOK/mTFP1 (F1 of allele 321)</v>
      </c>
      <c r="D59" s="78" t="str">
        <f t="shared" ca="1" si="1"/>
        <v>(F1 of allele 321)</v>
      </c>
      <c r="E59" s="78" t="str">
        <f ca="1">IFERROR(__xludf.DUMMYFUNCTION("IFERROR(REGEXEXTRACT(N59, ""F\d+""), ""F1"")"),"F1")</f>
        <v>F1</v>
      </c>
      <c r="F59" s="10" t="str">
        <f ca="1">IFERROR(__xludf.DUMMYFUNCTION("""COMPUTED_VALUE"""),"Liam")</f>
        <v>Liam</v>
      </c>
      <c r="G59" s="10" t="str">
        <f ca="1">IFERROR(__xludf.DUMMYFUNCTION("""COMPUTED_VALUE"""),"ef1a:&lt;exorh:GFP&gt;mKate2/Electra2/mKOK/mTFP1")</f>
        <v>ef1a:&lt;exorh:GFP&gt;mKate2/Electra2/mKOK/mTFP1</v>
      </c>
      <c r="H59" s="80">
        <f ca="1">IFERROR(__xludf.DUMMYFUNCTION("""COMPUTED_VALUE"""),45705)</f>
        <v>45705</v>
      </c>
      <c r="I59" s="10" t="str">
        <f ca="1">IFERROR(__xludf.DUMMYFUNCTION("""COMPUTED_VALUE"""),"pDQM059")</f>
        <v>pDQM059</v>
      </c>
      <c r="J59" s="10" t="str">
        <f ca="1">IFERROR(__xludf.DUMMYFUNCTION("""COMPUTED_VALUE"""),"tol2")</f>
        <v>tol2</v>
      </c>
      <c r="K59" s="10">
        <f ca="1">IFERROR(__xludf.DUMMYFUNCTION("""COMPUTED_VALUE"""),321)</f>
        <v>321</v>
      </c>
      <c r="L59" s="10" t="str">
        <f ca="1">IFERROR(__xludf.DUMMYFUNCTION("""COMPUTED_VALUE"""),"casper")</f>
        <v>casper</v>
      </c>
      <c r="M59" s="80">
        <f ca="1">IFERROR(__xludf.DUMMYFUNCTION("""COMPUTED_VALUE"""),45795)</f>
        <v>45795</v>
      </c>
      <c r="N59" s="10" t="str">
        <f ca="1">IFERROR(__xludf.DUMMYFUNCTION("""COMPUTED_VALUE"""),"csp")</f>
        <v>csp</v>
      </c>
      <c r="O59" s="10">
        <f ca="1">IFERROR(__xludf.DUMMYFUNCTION("""COMPUTED_VALUE"""),321)</f>
        <v>321</v>
      </c>
      <c r="P59" s="81" t="str">
        <f ca="1">IFERROR(__xludf.DUMMYFUNCTION("""COMPUTED_VALUE"""),"F1_ox")</f>
        <v>F1_ox</v>
      </c>
      <c r="Q59" s="10" t="str">
        <f ca="1">IFERROR(__xludf.DUMMYFUNCTION("""COMPUTED_VALUE"""),"F1s of male #1")</f>
        <v>F1s of male #1</v>
      </c>
      <c r="R59" s="80" t="str">
        <f ca="1">IFERROR(__xludf.DUMMYFUNCTION("""COMPUTED_VALUE"""),"cytosol")</f>
        <v>cytosol</v>
      </c>
      <c r="S59" s="82">
        <f ca="1">IFERROR(__xludf.DUMMYFUNCTION("""COMPUTED_VALUE"""),405)</f>
        <v>405</v>
      </c>
      <c r="T59" s="80" t="str">
        <f ca="1">IFERROR(__xludf.DUMMYFUNCTION("""COMPUTED_VALUE"""),"cytosol")</f>
        <v>cytosol</v>
      </c>
      <c r="U59" s="82">
        <f ca="1">IFERROR(__xludf.DUMMYFUNCTION("""COMPUTED_VALUE"""),445)</f>
        <v>445</v>
      </c>
      <c r="V59" s="80" t="str">
        <f ca="1">IFERROR(__xludf.DUMMYFUNCTION("""COMPUTED_VALUE"""),"cytosol")</f>
        <v>cytosol</v>
      </c>
      <c r="W59" s="82">
        <f ca="1">IFERROR(__xludf.DUMMYFUNCTION("""COMPUTED_VALUE"""),560)</f>
        <v>560</v>
      </c>
      <c r="X59" s="80" t="str">
        <f ca="1">IFERROR(__xludf.DUMMYFUNCTION("""COMPUTED_VALUE"""),"cytosol")</f>
        <v>cytosol</v>
      </c>
    </row>
    <row r="60" spans="1:24" ht="15.75" customHeight="1" x14ac:dyDescent="0.15">
      <c r="A60" s="1" t="s">
        <v>1028</v>
      </c>
      <c r="B60" s="1" t="str">
        <f ca="1">IFERROR(__xludf.DUMMYFUNCTION("IFERROR(JOIN("","", UNIQUE(filter({VLOOKUP(A60,C:X,13, FALSE); VLOOKUP(A60,C:X,15, FALSE); VLOOKUP(A60,C:X,17, FALSE); VLOOKUP(A60,C:X,19, FALSE)}, {VLOOKUP(A60,C:X,13, FALSE); VLOOKUP(A60,C:X,15, FALSE); VLOOKUP(A60,C:X,17, FALSE); VLOOKUP(A60,C:X,19, FA"&amp;"LSE)}&lt;&gt;""""))), """")"),"csp,female #1 - multiple alleles, good founder (?) but not super bright,488,405")</f>
        <v>csp,female #1 - multiple alleles, good founder (?) but not super bright,488,405</v>
      </c>
      <c r="C60" s="77" t="str">
        <f t="shared" ca="1" si="0"/>
        <v>hsp:PhiC-NLS;exorh:mScarlet (F1 of allele 322)</v>
      </c>
      <c r="D60" s="78" t="str">
        <f t="shared" ca="1" si="1"/>
        <v>(F1 of allele 322)</v>
      </c>
      <c r="E60" s="78" t="str">
        <f ca="1">IFERROR(__xludf.DUMMYFUNCTION("IFERROR(REGEXEXTRACT(N60, ""F\d+""), ""F1"")"),"F1")</f>
        <v>F1</v>
      </c>
      <c r="F60" s="10" t="str">
        <f ca="1">IFERROR(__xludf.DUMMYFUNCTION("""COMPUTED_VALUE"""),"heatshock PhiC")</f>
        <v>heatshock PhiC</v>
      </c>
      <c r="G60" s="10" t="str">
        <f ca="1">IFERROR(__xludf.DUMMYFUNCTION("""COMPUTED_VALUE"""),"hsp:PhiC-NLS;exorh:mScarlet")</f>
        <v>hsp:PhiC-NLS;exorh:mScarlet</v>
      </c>
      <c r="H60" s="80">
        <f ca="1">IFERROR(__xludf.DUMMYFUNCTION("""COMPUTED_VALUE"""),45705)</f>
        <v>45705</v>
      </c>
      <c r="I60" s="10" t="str">
        <f ca="1">IFERROR(__xludf.DUMMYFUNCTION("""COMPUTED_VALUE"""),"pDQM112")</f>
        <v>pDQM112</v>
      </c>
      <c r="J60" s="10" t="str">
        <f ca="1">IFERROR(__xludf.DUMMYFUNCTION("""COMPUTED_VALUE"""),"tol2")</f>
        <v>tol2</v>
      </c>
      <c r="K60" s="10">
        <f ca="1">IFERROR(__xludf.DUMMYFUNCTION("""COMPUTED_VALUE"""),322)</f>
        <v>322</v>
      </c>
      <c r="L60" s="10" t="str">
        <f ca="1">IFERROR(__xludf.DUMMYFUNCTION("""COMPUTED_VALUE"""),"301/casper")</f>
        <v>301/casper</v>
      </c>
      <c r="M60" s="80">
        <f ca="1">IFERROR(__xludf.DUMMYFUNCTION("""COMPUTED_VALUE"""),45795)</f>
        <v>45795</v>
      </c>
      <c r="N60" s="10">
        <f ca="1">IFERROR(__xludf.DUMMYFUNCTION("""COMPUTED_VALUE"""),301)</f>
        <v>301</v>
      </c>
      <c r="O60" s="10">
        <f ca="1">IFERROR(__xludf.DUMMYFUNCTION("""COMPUTED_VALUE"""),301)</f>
        <v>301</v>
      </c>
      <c r="P60" s="81" t="str">
        <f ca="1">IFERROR(__xludf.DUMMYFUNCTION("""COMPUTED_VALUE"""),"P0_founder")</f>
        <v>P0_founder</v>
      </c>
      <c r="Q60" s="10" t="str">
        <f ca="1">IFERROR(__xludf.DUMMYFUNCTION("""COMPUTED_VALUE"""),"founder male #1 (very high percentage exoh + embryos) (mem:Sg is weakly expressed)")</f>
        <v>founder male #1 (very high percentage exoh + embryos) (mem:Sg is weakly expressed)</v>
      </c>
      <c r="R60" s="10" t="str">
        <f ca="1">IFERROR(__xludf.DUMMYFUNCTION("""COMPUTED_VALUE"""),"membrane")</f>
        <v>membrane</v>
      </c>
      <c r="S60" s="82">
        <f ca="1">IFERROR(__xludf.DUMMYFUNCTION("""COMPUTED_VALUE"""),488)</f>
        <v>488</v>
      </c>
      <c r="T60" s="10"/>
      <c r="U60" s="10"/>
      <c r="V60" s="10"/>
      <c r="W60" s="10"/>
      <c r="X60" s="10"/>
    </row>
    <row r="61" spans="1:24" ht="15.75" customHeight="1" x14ac:dyDescent="0.15">
      <c r="A61" s="1" t="s">
        <v>1029</v>
      </c>
      <c r="B61" s="1" t="str">
        <f ca="1">IFERROR(__xludf.DUMMYFUNCTION("IFERROR(JOIN("","", UNIQUE(filter({VLOOKUP(A61,C:X,13, FALSE); VLOOKUP(A61,C:X,15, FALSE); VLOOKUP(A61,C:X,17, FALSE); VLOOKUP(A61,C:X,19, FALSE)}, {VLOOKUP(A61,C:X,13, FALSE); VLOOKUP(A61,C:X,15, FALSE); VLOOKUP(A61,C:X,17, FALSE); VLOOKUP(A61,C:X,19, FA"&amp;"LSE)}&lt;&gt;""""))), """")"),"csp,P0 founder female very bright, positive rate ~5-10%, Ian  injected pDQM137 + Meganuclease,488,405")</f>
        <v>csp,P0 founder female very bright, positive rate ~5-10%, Ian  injected pDQM137 + Meganuclease,488,405</v>
      </c>
      <c r="C61" s="77" t="str">
        <f t="shared" ca="1" si="0"/>
        <v>hsp:PhiC-NLS;exorh:mScarlet (F1 of allele 323)</v>
      </c>
      <c r="D61" s="78" t="str">
        <f t="shared" ca="1" si="1"/>
        <v>(F1 of allele 323)</v>
      </c>
      <c r="E61" s="78" t="str">
        <f ca="1">IFERROR(__xludf.DUMMYFUNCTION("IFERROR(REGEXEXTRACT(N61, ""F\d+""), ""F1"")"),"F1")</f>
        <v>F1</v>
      </c>
      <c r="F61" s="10" t="str">
        <f ca="1">IFERROR(__xludf.DUMMYFUNCTION("""COMPUTED_VALUE"""),"heatshock PhiC")</f>
        <v>heatshock PhiC</v>
      </c>
      <c r="G61" s="10" t="str">
        <f ca="1">IFERROR(__xludf.DUMMYFUNCTION("""COMPUTED_VALUE"""),"hsp:PhiC-NLS;exorh:mScarlet")</f>
        <v>hsp:PhiC-NLS;exorh:mScarlet</v>
      </c>
      <c r="H61" s="80">
        <f ca="1">IFERROR(__xludf.DUMMYFUNCTION("""COMPUTED_VALUE"""),45705)</f>
        <v>45705</v>
      </c>
      <c r="I61" s="10" t="str">
        <f ca="1">IFERROR(__xludf.DUMMYFUNCTION("""COMPUTED_VALUE"""),"pDQM112")</f>
        <v>pDQM112</v>
      </c>
      <c r="J61" s="10" t="str">
        <f ca="1">IFERROR(__xludf.DUMMYFUNCTION("""COMPUTED_VALUE"""),"tol2")</f>
        <v>tol2</v>
      </c>
      <c r="K61" s="10">
        <f ca="1">IFERROR(__xludf.DUMMYFUNCTION("""COMPUTED_VALUE"""),323)</f>
        <v>323</v>
      </c>
      <c r="L61" s="10" t="str">
        <f ca="1">IFERROR(__xludf.DUMMYFUNCTION("""COMPUTED_VALUE"""),"301/casper")</f>
        <v>301/casper</v>
      </c>
      <c r="M61" s="80">
        <f ca="1">IFERROR(__xludf.DUMMYFUNCTION("""COMPUTED_VALUE"""),45795)</f>
        <v>45795</v>
      </c>
      <c r="N61" s="10">
        <f ca="1">IFERROR(__xludf.DUMMYFUNCTION("""COMPUTED_VALUE"""),301)</f>
        <v>301</v>
      </c>
      <c r="O61" s="10">
        <f ca="1">IFERROR(__xludf.DUMMYFUNCTION("""COMPUTED_VALUE"""),301)</f>
        <v>301</v>
      </c>
      <c r="P61" s="81" t="str">
        <f ca="1">IFERROR(__xludf.DUMMYFUNCTION("""COMPUTED_VALUE"""),"P0_founder")</f>
        <v>P0_founder</v>
      </c>
      <c r="Q61" s="10" t="str">
        <f ca="1">IFERROR(__xludf.DUMMYFUNCTION("""COMPUTED_VALUE"""),"founder male #3 (low percentage exorh + embryos) (mem:Sg is weakly expressed)")</f>
        <v>founder male #3 (low percentage exorh + embryos) (mem:Sg is weakly expressed)</v>
      </c>
      <c r="R61" s="10" t="str">
        <f ca="1">IFERROR(__xludf.DUMMYFUNCTION("""COMPUTED_VALUE"""),"membrane")</f>
        <v>membrane</v>
      </c>
      <c r="S61" s="82">
        <f ca="1">IFERROR(__xludf.DUMMYFUNCTION("""COMPUTED_VALUE"""),488)</f>
        <v>488</v>
      </c>
      <c r="T61" s="10"/>
      <c r="U61" s="10"/>
      <c r="V61" s="10"/>
      <c r="W61" s="10"/>
      <c r="X61" s="10"/>
    </row>
    <row r="62" spans="1:24" ht="15.75" customHeight="1" x14ac:dyDescent="0.15">
      <c r="A62" s="1" t="s">
        <v>199</v>
      </c>
      <c r="B62" s="1" t="str">
        <f ca="1">IFERROR(__xludf.DUMMYFUNCTION("IFERROR(JOIN("","", UNIQUE(filter({VLOOKUP(A62,C:X,13, FALSE); VLOOKUP(A62,C:X,15, FALSE); VLOOKUP(A62,C:X,17, FALSE); VLOOKUP(A62,C:X,19, FALSE)}, {VLOOKUP(A62,C:X,13, FALSE); VLOOKUP(A62,C:X,15, FALSE); VLOOKUP(A62,C:X,17, FALSE); VLOOKUP(A62,C:X,19, FA"&amp;"LSE)}&lt;&gt;""""))), """")"),"")</f>
        <v/>
      </c>
      <c r="C62" s="77" t="str">
        <f t="shared" ref="C62:C141" ca="1" si="2">IF(ISBLANK(D62), F62, CONCATENATE(F62, " (", E62, " of allele ", K62, ")" ))</f>
        <v>tdmScarlet3S2:H2B-tol2 (F1 of allele 324)</v>
      </c>
      <c r="D62" s="78" t="str">
        <f t="shared" ca="1" si="1"/>
        <v>(F1 of allele 324)</v>
      </c>
      <c r="E62" s="78" t="str">
        <f ca="1">IFERROR(__xludf.DUMMYFUNCTION("IFERROR(REGEXEXTRACT(N62, ""F\d+""), ""F1"")"),"F1")</f>
        <v>F1</v>
      </c>
      <c r="F62" s="10" t="str">
        <f ca="1">IFERROR(__xludf.DUMMYFUNCTION("""COMPUTED_VALUE"""),"tdmScarlet3S2:H2B-tol2")</f>
        <v>tdmScarlet3S2:H2B-tol2</v>
      </c>
      <c r="G62" s="10" t="str">
        <f ca="1">IFERROR(__xludf.DUMMYFUNCTION("""COMPUTED_VALUE"""),"ef1a-extened::tdmScarlet3-S2:H2B-tol2")</f>
        <v>ef1a-extened::tdmScarlet3-S2:H2B-tol2</v>
      </c>
      <c r="H62" s="10"/>
      <c r="I62" s="10" t="str">
        <f ca="1">IFERROR(__xludf.DUMMYFUNCTION("""COMPUTED_VALUE"""),"pDQM133")</f>
        <v>pDQM133</v>
      </c>
      <c r="J62" s="10" t="str">
        <f ca="1">IFERROR(__xludf.DUMMYFUNCTION("""COMPUTED_VALUE"""),"tol2")</f>
        <v>tol2</v>
      </c>
      <c r="K62" s="10">
        <f ca="1">IFERROR(__xludf.DUMMYFUNCTION("""COMPUTED_VALUE"""),324)</f>
        <v>324</v>
      </c>
      <c r="L62" s="10" t="str">
        <f ca="1">IFERROR(__xludf.DUMMYFUNCTION("""COMPUTED_VALUE"""),"casper")</f>
        <v>casper</v>
      </c>
      <c r="M62" s="10"/>
      <c r="N62" s="10" t="str">
        <f ca="1">IFERROR(__xludf.DUMMYFUNCTION("""COMPUTED_VALUE"""),"csp")</f>
        <v>csp</v>
      </c>
      <c r="O62" s="10" t="str">
        <f ca="1">IFERROR(__xludf.DUMMYFUNCTION("""COMPUTED_VALUE"""),"csp")</f>
        <v>csp</v>
      </c>
      <c r="P62" s="81" t="str">
        <f ca="1">IFERROR(__xludf.DUMMYFUNCTION("""COMPUTED_VALUE"""),"P0_founder")</f>
        <v>P0_founder</v>
      </c>
      <c r="Q62" s="10" t="str">
        <f ca="1">IFERROR(__xludf.DUMMYFUNCTION("""COMPUTED_VALUE"""),"male #1")</f>
        <v>male #1</v>
      </c>
      <c r="R62" s="10" t="str">
        <f ca="1">IFERROR(__xludf.DUMMYFUNCTION("""COMPUTED_VALUE"""),"nuclei")</f>
        <v>nuclei</v>
      </c>
      <c r="S62" s="82">
        <f ca="1">IFERROR(__xludf.DUMMYFUNCTION("""COMPUTED_VALUE"""),560)</f>
        <v>560</v>
      </c>
      <c r="T62" s="10"/>
      <c r="U62" s="10"/>
      <c r="V62" s="10"/>
      <c r="W62" s="10"/>
      <c r="X62" s="10"/>
    </row>
    <row r="63" spans="1:24" ht="15.75" customHeight="1" x14ac:dyDescent="0.15">
      <c r="A63" s="1" t="s">
        <v>1030</v>
      </c>
      <c r="B63" s="1" t="str">
        <f ca="1">IFERROR(__xludf.DUMMYFUNCTION("IFERROR(JOIN("","", UNIQUE(filter({VLOOKUP(A63,C:X,13, FALSE); VLOOKUP(A63,C:X,15, FALSE); VLOOKUP(A63,C:X,17, FALSE); VLOOKUP(A63,C:X,19, FALSE)}, {VLOOKUP(A63,C:X,13, FALSE); VLOOKUP(A63,C:X,15, FALSE); VLOOKUP(A63,C:X,17, FALSE); VLOOKUP(A63,C:X,19, FA"&amp;"LSE)}&lt;&gt;""""))), """")"),"")</f>
        <v/>
      </c>
      <c r="C63" s="77" t="str">
        <f t="shared" ca="1" si="2"/>
        <v>tdmScarlet3S2:H2B-tol2 (F1 of allele 324)</v>
      </c>
      <c r="D63" s="78" t="str">
        <f t="shared" ca="1" si="1"/>
        <v>(F1 of allele 324)</v>
      </c>
      <c r="E63" s="78" t="str">
        <f ca="1">IFERROR(__xludf.DUMMYFUNCTION("IFERROR(REGEXEXTRACT(N63, ""F\d+""), ""F1"")"),"F1")</f>
        <v>F1</v>
      </c>
      <c r="F63" s="10" t="str">
        <f ca="1">IFERROR(__xludf.DUMMYFUNCTION("""COMPUTED_VALUE"""),"tdmScarlet3S2:H2B-tol2")</f>
        <v>tdmScarlet3S2:H2B-tol2</v>
      </c>
      <c r="G63" s="10" t="str">
        <f ca="1">IFERROR(__xludf.DUMMYFUNCTION("""COMPUTED_VALUE"""),"ef1a-extened::tdmScarlet3-S2:H2B-tol2")</f>
        <v>ef1a-extened::tdmScarlet3-S2:H2B-tol2</v>
      </c>
      <c r="H63" s="10"/>
      <c r="I63" s="10" t="str">
        <f ca="1">IFERROR(__xludf.DUMMYFUNCTION("""COMPUTED_VALUE"""),"pDQM133")</f>
        <v>pDQM133</v>
      </c>
      <c r="J63" s="10" t="str">
        <f ca="1">IFERROR(__xludf.DUMMYFUNCTION("""COMPUTED_VALUE"""),"tol2")</f>
        <v>tol2</v>
      </c>
      <c r="K63" s="10">
        <f ca="1">IFERROR(__xludf.DUMMYFUNCTION("""COMPUTED_VALUE"""),324)</f>
        <v>324</v>
      </c>
      <c r="L63" s="10" t="str">
        <f ca="1">IFERROR(__xludf.DUMMYFUNCTION("""COMPUTED_VALUE"""),"casper")</f>
        <v>casper</v>
      </c>
      <c r="M63" s="10"/>
      <c r="N63" s="10" t="str">
        <f ca="1">IFERROR(__xludf.DUMMYFUNCTION("""COMPUTED_VALUE"""),"csp")</f>
        <v>csp</v>
      </c>
      <c r="O63" s="10">
        <f ca="1">IFERROR(__xludf.DUMMYFUNCTION("""COMPUTED_VALUE"""),324)</f>
        <v>324</v>
      </c>
      <c r="P63" s="81" t="str">
        <f ca="1">IFERROR(__xludf.DUMMYFUNCTION("""COMPUTED_VALUE"""),"F1_ox")</f>
        <v>F1_ox</v>
      </c>
      <c r="Q63" s="10" t="str">
        <f ca="1">IFERROR(__xludf.DUMMYFUNCTION("""COMPUTED_VALUE"""),"F1s of male #1")</f>
        <v>F1s of male #1</v>
      </c>
      <c r="R63" s="10" t="str">
        <f ca="1">IFERROR(__xludf.DUMMYFUNCTION("""COMPUTED_VALUE"""),"nuclei")</f>
        <v>nuclei</v>
      </c>
      <c r="S63" s="82">
        <f ca="1">IFERROR(__xludf.DUMMYFUNCTION("""COMPUTED_VALUE"""),560)</f>
        <v>560</v>
      </c>
      <c r="T63" s="10"/>
      <c r="U63" s="10"/>
      <c r="V63" s="10"/>
      <c r="W63" s="10"/>
      <c r="X63" s="10"/>
    </row>
    <row r="64" spans="1:24" ht="15.75" customHeight="1" x14ac:dyDescent="0.15">
      <c r="A64" s="1" t="s">
        <v>1031</v>
      </c>
      <c r="B64" s="1" t="str">
        <f ca="1">IFERROR(__xludf.DUMMYFUNCTION("IFERROR(JOIN("","", UNIQUE(filter({VLOOKUP(A64,C:X,13, FALSE); VLOOKUP(A64,C:X,15, FALSE); VLOOKUP(A64,C:X,17, FALSE); VLOOKUP(A64,C:X,19, FALSE)}, {VLOOKUP(A64,C:X,13, FALSE); VLOOKUP(A64,C:X,15, FALSE); VLOOKUP(A64,C:X,17, FALSE); VLOOKUP(A64,C:X,19, FA"&amp;"LSE)}&lt;&gt;""""))), """")"),"301,female #3- multiple alleles in 301, bright histone signal")</f>
        <v>301,female #3- multiple alleles in 301, bright histone signal</v>
      </c>
      <c r="C64" s="77" t="str">
        <f t="shared" ca="1" si="2"/>
        <v>memrane tdmScarlet3S2 (F1 of allele 325)</v>
      </c>
      <c r="D64" s="78" t="str">
        <f t="shared" ca="1" si="1"/>
        <v>(F1 of allele 325)</v>
      </c>
      <c r="E64" s="78" t="str">
        <f ca="1">IFERROR(__xludf.DUMMYFUNCTION("IFERROR(REGEXEXTRACT(N64, ""F\d+""), ""F1"")"),"F1")</f>
        <v>F1</v>
      </c>
      <c r="F64" s="10" t="str">
        <f ca="1">IFERROR(__xludf.DUMMYFUNCTION("""COMPUTED_VALUE"""),"memrane tdmScarlet3S2")</f>
        <v>memrane tdmScarlet3S2</v>
      </c>
      <c r="G64" s="10" t="str">
        <f ca="1">IFERROR(__xludf.DUMMYFUNCTION("""COMPUTED_VALUE"""),"ef1a-extended:2xLynk:tdmScarlet3-S2-tol2")</f>
        <v>ef1a-extended:2xLynk:tdmScarlet3-S2-tol2</v>
      </c>
      <c r="H64" s="10"/>
      <c r="I64" s="10" t="str">
        <f ca="1">IFERROR(__xludf.DUMMYFUNCTION("""COMPUTED_VALUE"""),"pDQM136")</f>
        <v>pDQM136</v>
      </c>
      <c r="J64" s="10" t="str">
        <f ca="1">IFERROR(__xludf.DUMMYFUNCTION("""COMPUTED_VALUE"""),"tol2")</f>
        <v>tol2</v>
      </c>
      <c r="K64" s="10">
        <f ca="1">IFERROR(__xludf.DUMMYFUNCTION("""COMPUTED_VALUE"""),325)</f>
        <v>325</v>
      </c>
      <c r="L64" s="10" t="str">
        <f ca="1">IFERROR(__xludf.DUMMYFUNCTION("""COMPUTED_VALUE"""),"casper")</f>
        <v>casper</v>
      </c>
      <c r="M64" s="10"/>
      <c r="N64" s="10" t="str">
        <f ca="1">IFERROR(__xludf.DUMMYFUNCTION("""COMPUTED_VALUE"""),"csp")</f>
        <v>csp</v>
      </c>
      <c r="O64" s="10" t="str">
        <f ca="1">IFERROR(__xludf.DUMMYFUNCTION("""COMPUTED_VALUE"""),"csp")</f>
        <v>csp</v>
      </c>
      <c r="P64" s="81" t="str">
        <f ca="1">IFERROR(__xludf.DUMMYFUNCTION("""COMPUTED_VALUE"""),"P0_founder")</f>
        <v>P0_founder</v>
      </c>
      <c r="Q64" s="10" t="str">
        <f ca="1">IFERROR(__xludf.DUMMYFUNCTION("""COMPUTED_VALUE"""),"male #??")</f>
        <v>male #??</v>
      </c>
      <c r="R64" s="10" t="str">
        <f ca="1">IFERROR(__xludf.DUMMYFUNCTION("""COMPUTED_VALUE"""),"membrane")</f>
        <v>membrane</v>
      </c>
      <c r="S64" s="82">
        <f ca="1">IFERROR(__xludf.DUMMYFUNCTION("""COMPUTED_VALUE"""),560)</f>
        <v>560</v>
      </c>
      <c r="T64" s="10"/>
      <c r="U64" s="10"/>
      <c r="V64" s="10"/>
      <c r="W64" s="10"/>
      <c r="X64" s="10"/>
    </row>
    <row r="65" spans="1:24" ht="15.75" customHeight="1" x14ac:dyDescent="0.15">
      <c r="A65" s="1" t="s">
        <v>1032</v>
      </c>
      <c r="B65" s="1" t="str">
        <f ca="1">IFERROR(__xludf.DUMMYFUNCTION("IFERROR(JOIN("","", UNIQUE(filter({VLOOKUP(A65,C:X,13, FALSE); VLOOKUP(A65,C:X,15, FALSE); VLOOKUP(A65,C:X,17, FALSE); VLOOKUP(A65,C:X,19, FALSE)}, {VLOOKUP(A65,C:X,13, FALSE); VLOOKUP(A65,C:X,15, FALSE); VLOOKUP(A65,C:X,17, FALSE); VLOOKUP(A65,C:X,19, FA"&amp;"LSE)}&lt;&gt;""""))), """")"),"")</f>
        <v/>
      </c>
      <c r="C65" s="77" t="str">
        <f t="shared" ca="1" si="2"/>
        <v>memrane tdmScarlet3S2 (F1 of allele 325)</v>
      </c>
      <c r="D65" s="78" t="str">
        <f t="shared" ca="1" si="1"/>
        <v>(F1 of allele 325)</v>
      </c>
      <c r="E65" s="78" t="str">
        <f ca="1">IFERROR(__xludf.DUMMYFUNCTION("IFERROR(REGEXEXTRACT(N65, ""F\d+""), ""F1"")"),"F1")</f>
        <v>F1</v>
      </c>
      <c r="F65" s="10" t="str">
        <f ca="1">IFERROR(__xludf.DUMMYFUNCTION("""COMPUTED_VALUE"""),"memrane tdmScarlet3S2")</f>
        <v>memrane tdmScarlet3S2</v>
      </c>
      <c r="G65" s="10" t="str">
        <f ca="1">IFERROR(__xludf.DUMMYFUNCTION("""COMPUTED_VALUE"""),"ef1a-extended:2xLynk:tdmScarlet3-S2-tol2")</f>
        <v>ef1a-extended:2xLynk:tdmScarlet3-S2-tol2</v>
      </c>
      <c r="H65" s="10"/>
      <c r="I65" s="10" t="str">
        <f ca="1">IFERROR(__xludf.DUMMYFUNCTION("""COMPUTED_VALUE"""),"pDQM136")</f>
        <v>pDQM136</v>
      </c>
      <c r="J65" s="10" t="str">
        <f ca="1">IFERROR(__xludf.DUMMYFUNCTION("""COMPUTED_VALUE"""),"tol2")</f>
        <v>tol2</v>
      </c>
      <c r="K65" s="10">
        <f ca="1">IFERROR(__xludf.DUMMYFUNCTION("""COMPUTED_VALUE"""),325)</f>
        <v>325</v>
      </c>
      <c r="L65" s="10" t="str">
        <f ca="1">IFERROR(__xludf.DUMMYFUNCTION("""COMPUTED_VALUE"""),"casper")</f>
        <v>casper</v>
      </c>
      <c r="M65" s="10"/>
      <c r="N65" s="10" t="str">
        <f ca="1">IFERROR(__xludf.DUMMYFUNCTION("""COMPUTED_VALUE"""),"csp")</f>
        <v>csp</v>
      </c>
      <c r="O65" s="10">
        <f ca="1">IFERROR(__xludf.DUMMYFUNCTION("""COMPUTED_VALUE"""),325)</f>
        <v>325</v>
      </c>
      <c r="P65" s="81" t="str">
        <f ca="1">IFERROR(__xludf.DUMMYFUNCTION("""COMPUTED_VALUE"""),"F1_ox")</f>
        <v>F1_ox</v>
      </c>
      <c r="Q65" s="10" t="str">
        <f ca="1">IFERROR(__xludf.DUMMYFUNCTION("""COMPUTED_VALUE"""),"F1s of male #1??? ox casper")</f>
        <v>F1s of male #1??? ox casper</v>
      </c>
      <c r="R65" s="10" t="str">
        <f ca="1">IFERROR(__xludf.DUMMYFUNCTION("""COMPUTED_VALUE"""),"membrane")</f>
        <v>membrane</v>
      </c>
      <c r="S65" s="82">
        <f ca="1">IFERROR(__xludf.DUMMYFUNCTION("""COMPUTED_VALUE"""),560)</f>
        <v>560</v>
      </c>
      <c r="T65" s="10"/>
      <c r="U65" s="10"/>
      <c r="V65" s="10"/>
      <c r="W65" s="10"/>
      <c r="X65" s="10"/>
    </row>
    <row r="66" spans="1:24" ht="15.75" customHeight="1" x14ac:dyDescent="0.15">
      <c r="A66" s="1" t="s">
        <v>1033</v>
      </c>
      <c r="B66" s="1" t="str">
        <f ca="1">IFERROR(__xludf.DUMMYFUNCTION("IFERROR(JOIN("","", UNIQUE(filter({VLOOKUP(A66,C:X,13, FALSE); VLOOKUP(A66,C:X,15, FALSE); VLOOKUP(A66,C:X,17, FALSE); VLOOKUP(A66,C:X,19, FALSE)}, {VLOOKUP(A66,C:X,13, FALSE); VLOOKUP(A66,C:X,15, FALSE); VLOOKUP(A66,C:X,17, FALSE); VLOOKUP(A66,C:X,19, FA"&amp;"LSE)}&lt;&gt;""""))), """")"),"csp")</f>
        <v>csp</v>
      </c>
      <c r="C66" s="77" t="str">
        <f t="shared" ca="1" si="2"/>
        <v>memrane tdmScarlet3S2 (F1 of allele 327)</v>
      </c>
      <c r="D66" s="78" t="str">
        <f t="shared" ca="1" si="1"/>
        <v>(F1 of allele 327)</v>
      </c>
      <c r="E66" s="78" t="str">
        <f ca="1">IFERROR(__xludf.DUMMYFUNCTION("IFERROR(REGEXEXTRACT(N66, ""F\d+""), ""F1"")"),"F1")</f>
        <v>F1</v>
      </c>
      <c r="F66" s="10" t="str">
        <f ca="1">IFERROR(__xludf.DUMMYFUNCTION("""COMPUTED_VALUE"""),"memrane tdmScarlet3S2")</f>
        <v>memrane tdmScarlet3S2</v>
      </c>
      <c r="G66" s="10" t="str">
        <f ca="1">IFERROR(__xludf.DUMMYFUNCTION("""COMPUTED_VALUE"""),"ef1a-extended:2xLynk:tdmScarlet3-S2-tol2")</f>
        <v>ef1a-extended:2xLynk:tdmScarlet3-S2-tol2</v>
      </c>
      <c r="H66" s="10"/>
      <c r="I66" s="10" t="str">
        <f ca="1">IFERROR(__xludf.DUMMYFUNCTION("""COMPUTED_VALUE"""),"pDQM136")</f>
        <v>pDQM136</v>
      </c>
      <c r="J66" s="10" t="str">
        <f ca="1">IFERROR(__xludf.DUMMYFUNCTION("""COMPUTED_VALUE"""),"tol2")</f>
        <v>tol2</v>
      </c>
      <c r="K66" s="10">
        <f ca="1">IFERROR(__xludf.DUMMYFUNCTION("""COMPUTED_VALUE"""),327)</f>
        <v>327</v>
      </c>
      <c r="L66" s="10" t="str">
        <f ca="1">IFERROR(__xludf.DUMMYFUNCTION("""COMPUTED_VALUE"""),"casper")</f>
        <v>casper</v>
      </c>
      <c r="M66" s="10"/>
      <c r="N66" s="10" t="str">
        <f ca="1">IFERROR(__xludf.DUMMYFUNCTION("""COMPUTED_VALUE"""),"csp")</f>
        <v>csp</v>
      </c>
      <c r="O66" s="10" t="str">
        <f ca="1">IFERROR(__xludf.DUMMYFUNCTION("""COMPUTED_VALUE"""),"csp")</f>
        <v>csp</v>
      </c>
      <c r="P66" s="81" t="str">
        <f ca="1">IFERROR(__xludf.DUMMYFUNCTION("""COMPUTED_VALUE"""),"P0_founder")</f>
        <v>P0_founder</v>
      </c>
      <c r="Q66" s="10" t="str">
        <f ca="1">IFERROR(__xludf.DUMMYFUNCTION("""COMPUTED_VALUE"""),"male #2")</f>
        <v>male #2</v>
      </c>
      <c r="R66" s="10" t="str">
        <f ca="1">IFERROR(__xludf.DUMMYFUNCTION("""COMPUTED_VALUE"""),"membrane")</f>
        <v>membrane</v>
      </c>
      <c r="S66" s="82">
        <f ca="1">IFERROR(__xludf.DUMMYFUNCTION("""COMPUTED_VALUE"""),560)</f>
        <v>560</v>
      </c>
      <c r="T66" s="10"/>
      <c r="U66" s="10"/>
      <c r="V66" s="10"/>
      <c r="W66" s="10"/>
      <c r="X66" s="10"/>
    </row>
    <row r="67" spans="1:24" ht="15.75" customHeight="1" x14ac:dyDescent="0.15">
      <c r="A67" s="1" t="s">
        <v>1034</v>
      </c>
      <c r="B67" s="1" t="str">
        <f ca="1">IFERROR(__xludf.DUMMYFUNCTION("IFERROR(JOIN("","", UNIQUE(filter({VLOOKUP(A67,C:X,13, FALSE); VLOOKUP(A67,C:X,15, FALSE); VLOOKUP(A67,C:X,17, FALSE); VLOOKUP(A67,C:X,19, FALSE)}, {VLOOKUP(A67,C:X,13, FALSE); VLOOKUP(A67,C:X,15, FALSE); VLOOKUP(A67,C:X,17, FALSE); VLOOKUP(A67,C:X,19, FA"&amp;"LSE)}&lt;&gt;""""))), """")"),"csp")</f>
        <v>csp</v>
      </c>
      <c r="C67" s="77" t="str">
        <f t="shared" ca="1" si="2"/>
        <v>memrane tdmScarlet3S2 (F1 of allele 327)</v>
      </c>
      <c r="D67" s="78" t="str">
        <f t="shared" ca="1" si="1"/>
        <v>(F1 of allele 327)</v>
      </c>
      <c r="E67" s="78" t="str">
        <f ca="1">IFERROR(__xludf.DUMMYFUNCTION("IFERROR(REGEXEXTRACT(N67, ""F\d+""), ""F1"")"),"F1")</f>
        <v>F1</v>
      </c>
      <c r="F67" s="10" t="str">
        <f ca="1">IFERROR(__xludf.DUMMYFUNCTION("""COMPUTED_VALUE"""),"memrane tdmScarlet3S2")</f>
        <v>memrane tdmScarlet3S2</v>
      </c>
      <c r="G67" s="10" t="str">
        <f ca="1">IFERROR(__xludf.DUMMYFUNCTION("""COMPUTED_VALUE"""),"ef1a-extended:2xLynk:tdmScarlet3-S2-tol2")</f>
        <v>ef1a-extended:2xLynk:tdmScarlet3-S2-tol2</v>
      </c>
      <c r="H67" s="10"/>
      <c r="I67" s="10" t="str">
        <f ca="1">IFERROR(__xludf.DUMMYFUNCTION("""COMPUTED_VALUE"""),"pDQM136")</f>
        <v>pDQM136</v>
      </c>
      <c r="J67" s="10" t="str">
        <f ca="1">IFERROR(__xludf.DUMMYFUNCTION("""COMPUTED_VALUE"""),"tol2")</f>
        <v>tol2</v>
      </c>
      <c r="K67" s="10">
        <f ca="1">IFERROR(__xludf.DUMMYFUNCTION("""COMPUTED_VALUE"""),327)</f>
        <v>327</v>
      </c>
      <c r="L67" s="10" t="str">
        <f ca="1">IFERROR(__xludf.DUMMYFUNCTION("""COMPUTED_VALUE"""),"casper")</f>
        <v>casper</v>
      </c>
      <c r="M67" s="10"/>
      <c r="N67" s="10" t="str">
        <f ca="1">IFERROR(__xludf.DUMMYFUNCTION("""COMPUTED_VALUE"""),"csp")</f>
        <v>csp</v>
      </c>
      <c r="O67" s="10">
        <f ca="1">IFERROR(__xludf.DUMMYFUNCTION("""COMPUTED_VALUE"""),327)</f>
        <v>327</v>
      </c>
      <c r="P67" s="81" t="str">
        <f ca="1">IFERROR(__xludf.DUMMYFUNCTION("""COMPUTED_VALUE"""),"F1_ox")</f>
        <v>F1_ox</v>
      </c>
      <c r="Q67" s="10" t="str">
        <f ca="1">IFERROR(__xludf.DUMMYFUNCTION("""COMPUTED_VALUE"""),"F1s of male #2 ox casper")</f>
        <v>F1s of male #2 ox casper</v>
      </c>
      <c r="R67" s="10" t="str">
        <f ca="1">IFERROR(__xludf.DUMMYFUNCTION("""COMPUTED_VALUE"""),"membrane")</f>
        <v>membrane</v>
      </c>
      <c r="S67" s="82">
        <f ca="1">IFERROR(__xludf.DUMMYFUNCTION("""COMPUTED_VALUE"""),560)</f>
        <v>560</v>
      </c>
      <c r="T67" s="10"/>
      <c r="U67" s="10"/>
      <c r="V67" s="10"/>
      <c r="W67" s="10"/>
      <c r="X67" s="10"/>
    </row>
    <row r="68" spans="1:24" ht="15.75" customHeight="1" x14ac:dyDescent="0.15">
      <c r="A68" s="1" t="s">
        <v>1035</v>
      </c>
      <c r="B68" s="1" t="str">
        <f ca="1">IFERROR(__xludf.DUMMYFUNCTION("IFERROR(JOIN("","", UNIQUE(filter({VLOOKUP(A68,C:X,13, FALSE); VLOOKUP(A68,C:X,15, FALSE); VLOOKUP(A68,C:X,17, FALSE); VLOOKUP(A68,C:X,19, FALSE)}, {VLOOKUP(A68,C:X,13, FALSE); VLOOKUP(A68,C:X,15, FALSE); VLOOKUP(A68,C:X,17, FALSE); VLOOKUP(A68,C:X,19, FA"&amp;"LSE)}&lt;&gt;""""))), """")"),"csp,female founder, 3 positive embryos (very very bright), only laid one time,488,405")</f>
        <v>csp,female founder, 3 positive embryos (very very bright), only laid one time,488,405</v>
      </c>
      <c r="C68" s="77" t="str">
        <f t="shared" ca="1" si="2"/>
        <v>tandem mem:mStayGold; tdmChilada(MAGPV):Histone (F1 of allele 326)</v>
      </c>
      <c r="D68" s="78" t="str">
        <f t="shared" ca="1" si="1"/>
        <v>(F1 of allele 326)</v>
      </c>
      <c r="E68" s="78" t="str">
        <f ca="1">IFERROR(__xludf.DUMMYFUNCTION("IFERROR(REGEXEXTRACT(N68, ""F\d+""), ""F1"")"),"F1")</f>
        <v>F1</v>
      </c>
      <c r="F68" s="10" t="str">
        <f ca="1">IFERROR(__xludf.DUMMYFUNCTION("""COMPUTED_VALUE"""),"tandem mem:mStayGold; tdmChilada(MAGPV):Histone")</f>
        <v>tandem mem:mStayGold; tdmChilada(MAGPV):Histone</v>
      </c>
      <c r="G68" s="10" t="str">
        <f ca="1">IFERROR(__xludf.DUMMYFUNCTION("""COMPUTED_VALUE"""),"ef1a:2xLynk:tdmSG(J)-tPT2A-tdmChilada(MAGPV):H2B")</f>
        <v>ef1a:2xLynk:tdmSG(J)-tPT2A-tdmChilada(MAGPV):H2B</v>
      </c>
      <c r="H68" s="80">
        <f ca="1">IFERROR(__xludf.DUMMYFUNCTION("""COMPUTED_VALUE"""),45776)</f>
        <v>45776</v>
      </c>
      <c r="I68" s="10" t="str">
        <f ca="1">IFERROR(__xludf.DUMMYFUNCTION("""COMPUTED_VALUE"""),"pDQM094")</f>
        <v>pDQM094</v>
      </c>
      <c r="J68" s="10" t="str">
        <f ca="1">IFERROR(__xludf.DUMMYFUNCTION("""COMPUTED_VALUE"""),"tol2")</f>
        <v>tol2</v>
      </c>
      <c r="K68" s="10">
        <f ca="1">IFERROR(__xludf.DUMMYFUNCTION("""COMPUTED_VALUE"""),326)</f>
        <v>326</v>
      </c>
      <c r="L68" s="10" t="str">
        <f ca="1">IFERROR(__xludf.DUMMYFUNCTION("""COMPUTED_VALUE"""),"casper")</f>
        <v>casper</v>
      </c>
      <c r="M68" s="80">
        <f ca="1">IFERROR(__xludf.DUMMYFUNCTION("""COMPUTED_VALUE"""),45866)</f>
        <v>45866</v>
      </c>
      <c r="N68" s="10">
        <f ca="1">IFERROR(__xludf.DUMMYFUNCTION("""COMPUTED_VALUE"""),326)</f>
        <v>326</v>
      </c>
      <c r="O68" s="10" t="str">
        <f ca="1">IFERROR(__xludf.DUMMYFUNCTION("""COMPUTED_VALUE"""),"csp")</f>
        <v>csp</v>
      </c>
      <c r="P68" s="81" t="str">
        <f ca="1">IFERROR(__xludf.DUMMYFUNCTION("""COMPUTED_VALUE"""),"F1_ox")</f>
        <v>F1_ox</v>
      </c>
      <c r="Q68" s="10" t="str">
        <f ca="1">IFERROR(__xludf.DUMMYFUNCTION("""COMPUTED_VALUE"""),"F1s of female #1 - need to put more in system")</f>
        <v>F1s of female #1 - need to put more in system</v>
      </c>
      <c r="R68" s="10" t="str">
        <f ca="1">IFERROR(__xludf.DUMMYFUNCTION("""COMPUTED_VALUE"""),"membrane")</f>
        <v>membrane</v>
      </c>
      <c r="S68" s="82">
        <f ca="1">IFERROR(__xludf.DUMMYFUNCTION("""COMPUTED_VALUE"""),488)</f>
        <v>488</v>
      </c>
      <c r="T68" s="10" t="str">
        <f ca="1">IFERROR(__xludf.DUMMYFUNCTION("""COMPUTED_VALUE"""),"nuclei")</f>
        <v>nuclei</v>
      </c>
      <c r="U68" s="82">
        <f ca="1">IFERROR(__xludf.DUMMYFUNCTION("""COMPUTED_VALUE"""),560)</f>
        <v>560</v>
      </c>
      <c r="V68" s="10"/>
      <c r="W68" s="10"/>
      <c r="X68" s="10"/>
    </row>
    <row r="69" spans="1:24" ht="15.75" customHeight="1" x14ac:dyDescent="0.15">
      <c r="A69" s="1" t="s">
        <v>1036</v>
      </c>
      <c r="B69" s="1" t="str">
        <f ca="1">IFERROR(__xludf.DUMMYFUNCTION("IFERROR(JOIN("","", UNIQUE(filter({VLOOKUP(A69,C:X,13, FALSE); VLOOKUP(A69,C:X,15, FALSE); VLOOKUP(A69,C:X,17, FALSE); VLOOKUP(A69,C:X,19, FALSE)}, {VLOOKUP(A69,C:X,13, FALSE); VLOOKUP(A69,C:X,15, FALSE); VLOOKUP(A69,C:X,17, FALSE); VLOOKUP(A69,C:X,19, FA"&amp;"LSE)}&lt;&gt;""""))), """")"),"")</f>
        <v/>
      </c>
      <c r="C69" s="77" t="str">
        <f t="shared" ca="1" si="2"/>
        <v xml:space="preserve"> (F1 of allele 324;302)</v>
      </c>
      <c r="D69" s="78" t="str">
        <f t="shared" ca="1" si="1"/>
        <v>(F1 of allele 324;302)</v>
      </c>
      <c r="E69" s="78" t="str">
        <f ca="1">IFERROR(__xludf.DUMMYFUNCTION("IFERROR(REGEXEXTRACT(N69, ""F\d+""), ""F1"")"),"F1")</f>
        <v>F1</v>
      </c>
      <c r="F69" s="10"/>
      <c r="G69" s="10" t="str">
        <f ca="1">IFERROR(__xludf.DUMMYFUNCTION("""COMPUTED_VALUE"""),"ef1a-extened::tdmScarlet3-S2:H2B-tol2; ef1a:2xLynk:tdmSG")</f>
        <v>ef1a-extened::tdmScarlet3-S2:H2B-tol2; ef1a:2xLynk:tdmSG</v>
      </c>
      <c r="H69" s="10"/>
      <c r="I69" s="10" t="str">
        <f ca="1">IFERROR(__xludf.DUMMYFUNCTION("""COMPUTED_VALUE"""),"pDQM133; pDQM005")</f>
        <v>pDQM133; pDQM005</v>
      </c>
      <c r="J69" s="10" t="str">
        <f ca="1">IFERROR(__xludf.DUMMYFUNCTION("""COMPUTED_VALUE"""),"tol2")</f>
        <v>tol2</v>
      </c>
      <c r="K69" s="10" t="str">
        <f ca="1">IFERROR(__xludf.DUMMYFUNCTION("""COMPUTED_VALUE"""),"324;302")</f>
        <v>324;302</v>
      </c>
      <c r="L69" s="10" t="str">
        <f ca="1">IFERROR(__xludf.DUMMYFUNCTION("""COMPUTED_VALUE"""),"casper")</f>
        <v>casper</v>
      </c>
      <c r="M69" s="10"/>
      <c r="N69" s="10">
        <f ca="1">IFERROR(__xludf.DUMMYFUNCTION("""COMPUTED_VALUE"""),302)</f>
        <v>302</v>
      </c>
      <c r="O69" s="10">
        <f ca="1">IFERROR(__xludf.DUMMYFUNCTION("""COMPUTED_VALUE"""),324)</f>
        <v>324</v>
      </c>
      <c r="P69" s="81" t="str">
        <f ca="1">IFERROR(__xludf.DUMMYFUNCTION("""COMPUTED_VALUE"""),"F1_ox")</f>
        <v>F1_ox</v>
      </c>
      <c r="Q69" s="10" t="str">
        <f ca="1">IFERROR(__xludf.DUMMYFUNCTION("""COMPUTED_VALUE"""),"ox of F1 male 324 x F1 female 302")</f>
        <v>ox of F1 male 324 x F1 female 302</v>
      </c>
      <c r="R69" s="10" t="str">
        <f ca="1">IFERROR(__xludf.DUMMYFUNCTION("""COMPUTED_VALUE"""),"membrane")</f>
        <v>membrane</v>
      </c>
      <c r="S69" s="82">
        <f ca="1">IFERROR(__xludf.DUMMYFUNCTION("""COMPUTED_VALUE"""),488)</f>
        <v>488</v>
      </c>
      <c r="T69" s="10" t="str">
        <f ca="1">IFERROR(__xludf.DUMMYFUNCTION("""COMPUTED_VALUE"""),"nuclei")</f>
        <v>nuclei</v>
      </c>
      <c r="U69" s="82">
        <f ca="1">IFERROR(__xludf.DUMMYFUNCTION("""COMPUTED_VALUE"""),560)</f>
        <v>560</v>
      </c>
      <c r="V69" s="10"/>
      <c r="W69" s="10"/>
      <c r="X69" s="10"/>
    </row>
    <row r="70" spans="1:24" ht="15.75" customHeight="1" x14ac:dyDescent="0.15">
      <c r="A70" s="1" t="s">
        <v>1037</v>
      </c>
      <c r="B70" s="1" t="str">
        <f ca="1">IFERROR(__xludf.DUMMYFUNCTION("IFERROR(JOIN("","", UNIQUE(filter({VLOOKUP(A70,C:X,13, FALSE); VLOOKUP(A70,C:X,15, FALSE); VLOOKUP(A70,C:X,17, FALSE); VLOOKUP(A70,C:X,19, FALSE)}, {VLOOKUP(A70,C:X,13, FALSE); VLOOKUP(A70,C:X,15, FALSE); VLOOKUP(A70,C:X,17, FALSE); VLOOKUP(A70,C:X,19, FA"&amp;"LSE)}&lt;&gt;""""))), """")"),"")</f>
        <v/>
      </c>
      <c r="C70" s="77" t="str">
        <f t="shared" ca="1" si="2"/>
        <v>Astrocytes mKate2 (F1 of allele )</v>
      </c>
      <c r="D70" s="78">
        <f t="shared" si="1"/>
        <v>0</v>
      </c>
      <c r="E70" s="78" t="str">
        <f ca="1">IFERROR(__xludf.DUMMYFUNCTION("IFERROR(REGEXEXTRACT(N70, ""F\d+""), ""F1"")"),"F1")</f>
        <v>F1</v>
      </c>
      <c r="F70" s="10" t="str">
        <f ca="1">IFERROR(__xludf.DUMMYFUNCTION("""COMPUTED_VALUE"""),"Astrocytes mKate2")</f>
        <v>Astrocytes mKate2</v>
      </c>
      <c r="G70" s="10" t="str">
        <f ca="1">IFERROR(__xludf.DUMMYFUNCTION("""COMPUTED_VALUE"""),"Slc9a3b:mKate2")</f>
        <v>Slc9a3b:mKate2</v>
      </c>
      <c r="H70" s="80">
        <f ca="1">IFERROR(__xludf.DUMMYFUNCTION("""COMPUTED_VALUE"""),45622)</f>
        <v>45622</v>
      </c>
      <c r="I70" s="10" t="str">
        <f ca="1">IFERROR(__xludf.DUMMYFUNCTION("""COMPUTED_VALUE"""),"pAMJxxx")</f>
        <v>pAMJxxx</v>
      </c>
      <c r="J70" s="10" t="str">
        <f ca="1">IFERROR(__xludf.DUMMYFUNCTION("""COMPUTED_VALUE"""),"phiC")</f>
        <v>phiC</v>
      </c>
      <c r="K70" s="10"/>
      <c r="L70" s="10" t="str">
        <f ca="1">IFERROR(__xludf.DUMMYFUNCTION("""COMPUTED_VALUE"""),"casper/pIGLET14a")</f>
        <v>casper/pIGLET14a</v>
      </c>
      <c r="M70" s="80">
        <f ca="1">IFERROR(__xludf.DUMMYFUNCTION("""COMPUTED_VALUE"""),45712)</f>
        <v>45712</v>
      </c>
      <c r="N70" s="10" t="str">
        <f ca="1">IFERROR(__xludf.DUMMYFUNCTION("""COMPUTED_VALUE"""),"csp/pIGLET14a")</f>
        <v>csp/pIGLET14a</v>
      </c>
      <c r="O70" s="10" t="str">
        <f ca="1">IFERROR(__xludf.DUMMYFUNCTION("""COMPUTED_VALUE"""),"csp/pIGLET14a")</f>
        <v>csp/pIGLET14a</v>
      </c>
      <c r="P70" s="81" t="str">
        <f ca="1">IFERROR(__xludf.DUMMYFUNCTION("""COMPUTED_VALUE"""),"potential_founders")</f>
        <v>potential_founders</v>
      </c>
      <c r="Q70" s="10" t="str">
        <f ca="1">IFERROR(__xludf.DUMMYFUNCTION("""COMPUTED_VALUE"""),"1 tank started - screened all negative")</f>
        <v>1 tank started - screened all negative</v>
      </c>
      <c r="R70" s="80" t="str">
        <f ca="1">IFERROR(__xludf.DUMMYFUNCTION("""COMPUTED_VALUE"""),"cytosol")</f>
        <v>cytosol</v>
      </c>
      <c r="S70" s="82">
        <f ca="1">IFERROR(__xludf.DUMMYFUNCTION("""COMPUTED_VALUE"""),560)</f>
        <v>560</v>
      </c>
      <c r="T70" s="10"/>
      <c r="U70" s="10"/>
      <c r="V70" s="10"/>
      <c r="W70" s="10"/>
      <c r="X70" s="10"/>
    </row>
    <row r="71" spans="1:24" ht="15.75" customHeight="1" x14ac:dyDescent="0.15">
      <c r="A71" s="1" t="s">
        <v>1038</v>
      </c>
      <c r="B71" s="1" t="str">
        <f ca="1">IFERROR(__xludf.DUMMYFUNCTION("IFERROR(JOIN("","", UNIQUE(filter({VLOOKUP(A71,C:X,13, FALSE); VLOOKUP(A71,C:X,15, FALSE); VLOOKUP(A71,C:X,17, FALSE); VLOOKUP(A71,C:X,19, FALSE)}, {VLOOKUP(A71,C:X,13, FALSE); VLOOKUP(A71,C:X,15, FALSE); VLOOKUP(A71,C:X,17, FALSE); VLOOKUP(A71,C:X,19, FA"&amp;"LSE)}&lt;&gt;""""))), """")"),"")</f>
        <v/>
      </c>
      <c r="C71" s="77" t="str">
        <f t="shared" ca="1" si="2"/>
        <v>Astrocytes mKate2 (F1 of allele )</v>
      </c>
      <c r="D71" s="78">
        <f t="shared" si="1"/>
        <v>0</v>
      </c>
      <c r="E71" s="78" t="str">
        <f ca="1">IFERROR(__xludf.DUMMYFUNCTION("IFERROR(REGEXEXTRACT(N71, ""F\d+""), ""F1"")"),"F1")</f>
        <v>F1</v>
      </c>
      <c r="F71" s="10" t="str">
        <f ca="1">IFERROR(__xludf.DUMMYFUNCTION("""COMPUTED_VALUE"""),"Astrocytes mKate2")</f>
        <v>Astrocytes mKate2</v>
      </c>
      <c r="G71" s="10" t="str">
        <f ca="1">IFERROR(__xludf.DUMMYFUNCTION("""COMPUTED_VALUE"""),"Slc9a3b:mKate2")</f>
        <v>Slc9a3b:mKate2</v>
      </c>
      <c r="H71" s="80">
        <f ca="1">IFERROR(__xludf.DUMMYFUNCTION("""COMPUTED_VALUE"""),45632)</f>
        <v>45632</v>
      </c>
      <c r="I71" s="10" t="str">
        <f ca="1">IFERROR(__xludf.DUMMYFUNCTION("""COMPUTED_VALUE"""),"pAMJxxx")</f>
        <v>pAMJxxx</v>
      </c>
      <c r="J71" s="10" t="str">
        <f ca="1">IFERROR(__xludf.DUMMYFUNCTION("""COMPUTED_VALUE"""),"phiC")</f>
        <v>phiC</v>
      </c>
      <c r="K71" s="10"/>
      <c r="L71" s="10" t="str">
        <f ca="1">IFERROR(__xludf.DUMMYFUNCTION("""COMPUTED_VALUE"""),"casper/pIGLET 24b")</f>
        <v>casper/pIGLET 24b</v>
      </c>
      <c r="M71" s="80">
        <f ca="1">IFERROR(__xludf.DUMMYFUNCTION("""COMPUTED_VALUE"""),45722)</f>
        <v>45722</v>
      </c>
      <c r="N71" s="10" t="str">
        <f ca="1">IFERROR(__xludf.DUMMYFUNCTION("""COMPUTED_VALUE"""),"casper/pIGLET 24b")</f>
        <v>casper/pIGLET 24b</v>
      </c>
      <c r="O71" s="10" t="str">
        <f ca="1">IFERROR(__xludf.DUMMYFUNCTION("""COMPUTED_VALUE"""),"casper/pIGLET 24b")</f>
        <v>casper/pIGLET 24b</v>
      </c>
      <c r="P71" s="81" t="str">
        <f ca="1">IFERROR(__xludf.DUMMYFUNCTION("""COMPUTED_VALUE"""),"potential_founders")</f>
        <v>potential_founders</v>
      </c>
      <c r="Q71" s="10" t="str">
        <f ca="1">IFERROR(__xludf.DUMMYFUNCTION("""COMPUTED_VALUE"""),"1 tank started - screened all negative")</f>
        <v>1 tank started - screened all negative</v>
      </c>
      <c r="R71" s="80" t="str">
        <f ca="1">IFERROR(__xludf.DUMMYFUNCTION("""COMPUTED_VALUE"""),"cytosol")</f>
        <v>cytosol</v>
      </c>
      <c r="S71" s="82">
        <f ca="1">IFERROR(__xludf.DUMMYFUNCTION("""COMPUTED_VALUE"""),560)</f>
        <v>560</v>
      </c>
      <c r="T71" s="10"/>
      <c r="U71" s="10"/>
      <c r="V71" s="10"/>
      <c r="W71" s="10"/>
      <c r="X71" s="10"/>
    </row>
    <row r="72" spans="1:24" ht="15.75" customHeight="1" x14ac:dyDescent="0.15">
      <c r="A72" s="1" t="s">
        <v>1039</v>
      </c>
      <c r="B72" s="1" t="str">
        <f ca="1">IFERROR(__xludf.DUMMYFUNCTION("IFERROR(JOIN("","", UNIQUE(filter({VLOOKUP(A72,C:X,13, FALSE); VLOOKUP(A72,C:X,15, FALSE); VLOOKUP(A72,C:X,17, FALSE); VLOOKUP(A72,C:X,19, FALSE)}, {VLOOKUP(A72,C:X,13, FALSE); VLOOKUP(A72,C:X,15, FALSE); VLOOKUP(A72,C:X,17, FALSE); VLOOKUP(A72,C:X,19, FA"&amp;"LSE)}&lt;&gt;""""))), """")"),"male 3")</f>
        <v>male 3</v>
      </c>
      <c r="C72" s="77" t="str">
        <f t="shared" ca="1" si="2"/>
        <v>Neutrophils mChilada (F1 of allele )</v>
      </c>
      <c r="D72" s="78">
        <f t="shared" si="1"/>
        <v>0</v>
      </c>
      <c r="E72" s="78" t="str">
        <f ca="1">IFERROR(__xludf.DUMMYFUNCTION("IFERROR(REGEXEXTRACT(N72, ""F\d+""), ""F1"")"),"F1")</f>
        <v>F1</v>
      </c>
      <c r="F72" s="10" t="str">
        <f ca="1">IFERROR(__xludf.DUMMYFUNCTION("""COMPUTED_VALUE"""),"Neutrophils mChilada")</f>
        <v>Neutrophils mChilada</v>
      </c>
      <c r="G72" s="10" t="str">
        <f ca="1">IFERROR(__xludf.DUMMYFUNCTION("""COMPUTED_VALUE"""),"mpx:mChilada")</f>
        <v>mpx:mChilada</v>
      </c>
      <c r="H72" s="80">
        <f ca="1">IFERROR(__xludf.DUMMYFUNCTION("""COMPUTED_VALUE"""),45637)</f>
        <v>45637</v>
      </c>
      <c r="I72" s="10" t="str">
        <f ca="1">IFERROR(__xludf.DUMMYFUNCTION("""COMPUTED_VALUE"""),"pAMJxxx")</f>
        <v>pAMJxxx</v>
      </c>
      <c r="J72" s="10" t="str">
        <f ca="1">IFERROR(__xludf.DUMMYFUNCTION("""COMPUTED_VALUE"""),"phiC")</f>
        <v>phiC</v>
      </c>
      <c r="K72" s="10"/>
      <c r="L72" s="10" t="str">
        <f ca="1">IFERROR(__xludf.DUMMYFUNCTION("""COMPUTED_VALUE"""),"casper/pIGLET 14a")</f>
        <v>casper/pIGLET 14a</v>
      </c>
      <c r="M72" s="80">
        <f ca="1">IFERROR(__xludf.DUMMYFUNCTION("""COMPUTED_VALUE"""),45727)</f>
        <v>45727</v>
      </c>
      <c r="N72" s="10" t="str">
        <f ca="1">IFERROR(__xludf.DUMMYFUNCTION("""COMPUTED_VALUE"""),"csp/pIGLET14a")</f>
        <v>csp/pIGLET14a</v>
      </c>
      <c r="O72" s="10" t="str">
        <f ca="1">IFERROR(__xludf.DUMMYFUNCTION("""COMPUTED_VALUE"""),"csp/pIGLET14a")</f>
        <v>csp/pIGLET14a</v>
      </c>
      <c r="P72" s="81" t="str">
        <f ca="1">IFERROR(__xludf.DUMMYFUNCTION("""COMPUTED_VALUE"""),"potential_founders")</f>
        <v>potential_founders</v>
      </c>
      <c r="Q72" s="10" t="str">
        <f ca="1">IFERROR(__xludf.DUMMYFUNCTION("""COMPUTED_VALUE"""),"1 tank started - screened all negative")</f>
        <v>1 tank started - screened all negative</v>
      </c>
      <c r="R72" s="80" t="str">
        <f ca="1">IFERROR(__xludf.DUMMYFUNCTION("""COMPUTED_VALUE"""),"cytosol")</f>
        <v>cytosol</v>
      </c>
      <c r="S72" s="82">
        <f ca="1">IFERROR(__xludf.DUMMYFUNCTION("""COMPUTED_VALUE"""),560)</f>
        <v>560</v>
      </c>
      <c r="T72" s="10"/>
      <c r="U72" s="10"/>
      <c r="V72" s="10"/>
      <c r="W72" s="10"/>
      <c r="X72" s="10"/>
    </row>
    <row r="73" spans="1:24" ht="15.75" customHeight="1" x14ac:dyDescent="0.15">
      <c r="A73" s="1" t="s">
        <v>1040</v>
      </c>
      <c r="B73" s="1" t="str">
        <f ca="1">IFERROR(__xludf.DUMMYFUNCTION("IFERROR(JOIN("","", UNIQUE(filter({VLOOKUP(A73,C:X,13, FALSE); VLOOKUP(A73,C:X,15, FALSE); VLOOKUP(A73,C:X,17, FALSE); VLOOKUP(A73,C:X,19, FALSE)}, {VLOOKUP(A73,C:X,13, FALSE); VLOOKUP(A73,C:X,15, FALSE); VLOOKUP(A73,C:X,17, FALSE); VLOOKUP(A73,C:X,19, FA"&amp;"LSE)}&lt;&gt;""""))), """")"),"")</f>
        <v/>
      </c>
      <c r="C73" s="77" t="str">
        <f t="shared" ca="1" si="2"/>
        <v>Skittles 4 FP cryaa:mScarlet (F1 of allele )</v>
      </c>
      <c r="D73" s="78">
        <f t="shared" si="1"/>
        <v>0</v>
      </c>
      <c r="E73" s="78" t="str">
        <f ca="1">IFERROR(__xludf.DUMMYFUNCTION("IFERROR(REGEXEXTRACT(N73, ""F\d+""), ""F1"")"),"F1")</f>
        <v>F1</v>
      </c>
      <c r="F73" s="10" t="str">
        <f ca="1">IFERROR(__xludf.DUMMYFUNCTION("""COMPUTED_VALUE"""),"Skittles 4 FP cryaa:mScarlet")</f>
        <v>Skittles 4 FP cryaa:mScarlet</v>
      </c>
      <c r="G73" s="10" t="str">
        <f ca="1">IFERROR(__xludf.DUMMYFUNCTION("""COMPUTED_VALUE"""),"ef1a:&lt;cryaa:mSc&gt;mKate2/Electra2/mKOK/mTFP1")</f>
        <v>ef1a:&lt;cryaa:mSc&gt;mKate2/Electra2/mKOK/mTFP1</v>
      </c>
      <c r="H73" s="80">
        <f ca="1">IFERROR(__xludf.DUMMYFUNCTION("""COMPUTED_VALUE"""),45555)</f>
        <v>45555</v>
      </c>
      <c r="I73" s="10" t="str">
        <f ca="1">IFERROR(__xludf.DUMMYFUNCTION("""COMPUTED_VALUE"""),"pDQM009/010")</f>
        <v>pDQM009/010</v>
      </c>
      <c r="J73" s="10" t="str">
        <f ca="1">IFERROR(__xludf.DUMMYFUNCTION("""COMPUTED_VALUE"""),"tol2")</f>
        <v>tol2</v>
      </c>
      <c r="K73" s="10"/>
      <c r="L73" s="10" t="str">
        <f ca="1">IFERROR(__xludf.DUMMYFUNCTION("""COMPUTED_VALUE"""),"casper")</f>
        <v>casper</v>
      </c>
      <c r="M73" s="80">
        <f ca="1">IFERROR(__xludf.DUMMYFUNCTION("""COMPUTED_VALUE"""),45645)</f>
        <v>45645</v>
      </c>
      <c r="N73" s="10" t="str">
        <f ca="1">IFERROR(__xludf.DUMMYFUNCTION("""COMPUTED_VALUE"""),"csp")</f>
        <v>csp</v>
      </c>
      <c r="O73" s="10" t="str">
        <f ca="1">IFERROR(__xludf.DUMMYFUNCTION("""COMPUTED_VALUE"""),"csp")</f>
        <v>csp</v>
      </c>
      <c r="P73" s="81" t="str">
        <f ca="1">IFERROR(__xludf.DUMMYFUNCTION("""COMPUTED_VALUE"""),"potential_founders")</f>
        <v>potential_founders</v>
      </c>
      <c r="Q73" s="10" t="str">
        <f ca="1">IFERROR(__xludf.DUMMYFUNCTION("""COMPUTED_VALUE"""),"2 potential founders, but phiC mRNA injection yielded very low expression")</f>
        <v>2 potential founders, but phiC mRNA injection yielded very low expression</v>
      </c>
      <c r="R73" s="80" t="str">
        <f ca="1">IFERROR(__xludf.DUMMYFUNCTION("""COMPUTED_VALUE"""),"cytosol")</f>
        <v>cytosol</v>
      </c>
      <c r="S73" s="82">
        <f ca="1">IFERROR(__xludf.DUMMYFUNCTION("""COMPUTED_VALUE"""),405)</f>
        <v>405</v>
      </c>
      <c r="T73" s="80" t="str">
        <f ca="1">IFERROR(__xludf.DUMMYFUNCTION("""COMPUTED_VALUE"""),"cytosol")</f>
        <v>cytosol</v>
      </c>
      <c r="U73" s="82">
        <f ca="1">IFERROR(__xludf.DUMMYFUNCTION("""COMPUTED_VALUE"""),445)</f>
        <v>445</v>
      </c>
      <c r="V73" s="80" t="str">
        <f ca="1">IFERROR(__xludf.DUMMYFUNCTION("""COMPUTED_VALUE"""),"cytosol")</f>
        <v>cytosol</v>
      </c>
      <c r="W73" s="82">
        <f ca="1">IFERROR(__xludf.DUMMYFUNCTION("""COMPUTED_VALUE"""),560)</f>
        <v>560</v>
      </c>
      <c r="X73" s="80" t="str">
        <f ca="1">IFERROR(__xludf.DUMMYFUNCTION("""COMPUTED_VALUE"""),"cytosol")</f>
        <v>cytosol</v>
      </c>
    </row>
    <row r="74" spans="1:24" ht="15.75" customHeight="1" x14ac:dyDescent="0.15">
      <c r="A74" s="1" t="s">
        <v>1041</v>
      </c>
      <c r="B74" s="1" t="str">
        <f ca="1">IFERROR(__xludf.DUMMYFUNCTION("IFERROR(JOIN("","", UNIQUE(filter({VLOOKUP(A74,C:X,13, FALSE); VLOOKUP(A74,C:X,15, FALSE); VLOOKUP(A74,C:X,17, FALSE); VLOOKUP(A74,C:X,19, FALSE)}, {VLOOKUP(A74,C:X,13, FALSE); VLOOKUP(A74,C:X,15, FALSE); VLOOKUP(A74,C:X,17, FALSE); VLOOKUP(A74,C:X,19, FA"&amp;"LSE)}&lt;&gt;""""))), """")"),"piglet 24b male ")</f>
        <v xml:space="preserve">piglet 24b male </v>
      </c>
      <c r="C74" s="77" t="str">
        <f t="shared" ca="1" si="2"/>
        <v>Skittles 5 FP cryaa:mScarlet (F1 of allele )</v>
      </c>
      <c r="D74" s="78">
        <f t="shared" si="1"/>
        <v>0</v>
      </c>
      <c r="E74" s="78" t="str">
        <f ca="1">IFERROR(__xludf.DUMMYFUNCTION("IFERROR(REGEXEXTRACT(N74, ""F\d+""), ""F1"")"),"F1")</f>
        <v>F1</v>
      </c>
      <c r="F74" s="10" t="str">
        <f ca="1">IFERROR(__xludf.DUMMYFUNCTION("""COMPUTED_VALUE"""),"Skittles 5 FP cryaa:mScarlet")</f>
        <v>Skittles 5 FP cryaa:mScarlet</v>
      </c>
      <c r="G74" s="10" t="str">
        <f ca="1">IFERROR(__xludf.DUMMYFUNCTION("""COMPUTED_VALUE"""),"ef1a:&lt;cryaa:mSc&gt;mKate2/mCitrine/Electra2/mKOK/mTFP1")</f>
        <v>ef1a:&lt;cryaa:mSc&gt;mKate2/mCitrine/Electra2/mKOK/mTFP1</v>
      </c>
      <c r="H74" s="80">
        <f ca="1">IFERROR(__xludf.DUMMYFUNCTION("""COMPUTED_VALUE"""),45566)</f>
        <v>45566</v>
      </c>
      <c r="I74" s="10" t="str">
        <f ca="1">IFERROR(__xludf.DUMMYFUNCTION("""COMPUTED_VALUE"""),"pDQM034/035")</f>
        <v>pDQM034/035</v>
      </c>
      <c r="J74" s="10" t="str">
        <f ca="1">IFERROR(__xludf.DUMMYFUNCTION("""COMPUTED_VALUE"""),"tol2")</f>
        <v>tol2</v>
      </c>
      <c r="K74" s="10"/>
      <c r="L74" s="10" t="str">
        <f ca="1">IFERROR(__xludf.DUMMYFUNCTION("""COMPUTED_VALUE"""),"casper")</f>
        <v>casper</v>
      </c>
      <c r="M74" s="80">
        <f ca="1">IFERROR(__xludf.DUMMYFUNCTION("""COMPUTED_VALUE"""),45656)</f>
        <v>45656</v>
      </c>
      <c r="N74" s="10" t="str">
        <f ca="1">IFERROR(__xludf.DUMMYFUNCTION("""COMPUTED_VALUE"""),"csp")</f>
        <v>csp</v>
      </c>
      <c r="O74" s="10" t="str">
        <f ca="1">IFERROR(__xludf.DUMMYFUNCTION("""COMPUTED_VALUE"""),"csp")</f>
        <v>csp</v>
      </c>
      <c r="P74" s="81" t="str">
        <f ca="1">IFERROR(__xludf.DUMMYFUNCTION("""COMPUTED_VALUE"""),"potential_founders")</f>
        <v>potential_founders</v>
      </c>
      <c r="Q74" s="10" t="str">
        <f ca="1">IFERROR(__xludf.DUMMYFUNCTION("""COMPUTED_VALUE"""),"20-25 fish in 1 tank - 2 good founders?, phiC mRNA injection results ++")</f>
        <v>20-25 fish in 1 tank - 2 good founders?, phiC mRNA injection results ++</v>
      </c>
      <c r="R74" s="80" t="str">
        <f ca="1">IFERROR(__xludf.DUMMYFUNCTION("""COMPUTED_VALUE"""),"cytosol")</f>
        <v>cytosol</v>
      </c>
      <c r="S74" s="82">
        <f ca="1">IFERROR(__xludf.DUMMYFUNCTION("""COMPUTED_VALUE"""),405)</f>
        <v>405</v>
      </c>
      <c r="T74" s="80" t="str">
        <f ca="1">IFERROR(__xludf.DUMMYFUNCTION("""COMPUTED_VALUE"""),"cytosol")</f>
        <v>cytosol</v>
      </c>
      <c r="U74" s="82">
        <f ca="1">IFERROR(__xludf.DUMMYFUNCTION("""COMPUTED_VALUE"""),445)</f>
        <v>445</v>
      </c>
      <c r="V74" s="80" t="str">
        <f ca="1">IFERROR(__xludf.DUMMYFUNCTION("""COMPUTED_VALUE"""),"cytosol")</f>
        <v>cytosol</v>
      </c>
      <c r="W74" s="82">
        <f ca="1">IFERROR(__xludf.DUMMYFUNCTION("""COMPUTED_VALUE"""),514)</f>
        <v>514</v>
      </c>
      <c r="X74" s="80" t="str">
        <f ca="1">IFERROR(__xludf.DUMMYFUNCTION("""COMPUTED_VALUE"""),"cytosol")</f>
        <v>cytosol</v>
      </c>
    </row>
    <row r="75" spans="1:24" ht="15.75" customHeight="1" x14ac:dyDescent="0.15">
      <c r="A75" s="1" t="s">
        <v>1042</v>
      </c>
      <c r="B75" s="1" t="str">
        <f ca="1">IFERROR(__xludf.DUMMYFUNCTION("IFERROR(JOIN("","", UNIQUE(filter({VLOOKUP(A75,C:X,13, FALSE); VLOOKUP(A75,C:X,15, FALSE); VLOOKUP(A75,C:X,17, FALSE); VLOOKUP(A75,C:X,19, FALSE)}, {VLOOKUP(A75,C:X,13, FALSE); VLOOKUP(A75,C:X,15, FALSE); VLOOKUP(A75,C:X,17, FALSE); VLOOKUP(A75,C:X,19, FA"&amp;"LSE)}&lt;&gt;""""))), """")"),"csp")</f>
        <v>csp</v>
      </c>
      <c r="C75" s="77" t="str">
        <f t="shared" ca="1" si="2"/>
        <v>skittles 4 FP cryaa:mScarlet (F1 of allele )</v>
      </c>
      <c r="D75" s="78">
        <f t="shared" si="1"/>
        <v>0</v>
      </c>
      <c r="E75" s="78" t="str">
        <f ca="1">IFERROR(__xludf.DUMMYFUNCTION("IFERROR(REGEXEXTRACT(N75, ""F\d+""), ""F1"")"),"F1")</f>
        <v>F1</v>
      </c>
      <c r="F75" s="10" t="str">
        <f ca="1">IFERROR(__xludf.DUMMYFUNCTION("""COMPUTED_VALUE"""),"skittles 4 FP cryaa:mScarlet")</f>
        <v>skittles 4 FP cryaa:mScarlet</v>
      </c>
      <c r="G75" s="10" t="str">
        <f ca="1">IFERROR(__xludf.DUMMYFUNCTION("""COMPUTED_VALUE"""),"ef1a:&lt;cryaa:mSc&gt;mKate2/Electra2/mKOK/mTFP1")</f>
        <v>ef1a:&lt;cryaa:mSc&gt;mKate2/Electra2/mKOK/mTFP1</v>
      </c>
      <c r="H75" s="80">
        <f ca="1">IFERROR(__xludf.DUMMYFUNCTION("""COMPUTED_VALUE"""),45566)</f>
        <v>45566</v>
      </c>
      <c r="I75" s="10" t="str">
        <f ca="1">IFERROR(__xludf.DUMMYFUNCTION("""COMPUTED_VALUE"""),"pDQM036")</f>
        <v>pDQM036</v>
      </c>
      <c r="J75" s="10" t="str">
        <f ca="1">IFERROR(__xludf.DUMMYFUNCTION("""COMPUTED_VALUE"""),"tol2")</f>
        <v>tol2</v>
      </c>
      <c r="K75" s="10"/>
      <c r="L75" s="10" t="str">
        <f ca="1">IFERROR(__xludf.DUMMYFUNCTION("""COMPUTED_VALUE"""),"casper")</f>
        <v>casper</v>
      </c>
      <c r="M75" s="80">
        <f ca="1">IFERROR(__xludf.DUMMYFUNCTION("""COMPUTED_VALUE"""),45656)</f>
        <v>45656</v>
      </c>
      <c r="N75" s="10" t="str">
        <f ca="1">IFERROR(__xludf.DUMMYFUNCTION("""COMPUTED_VALUE"""),"csp")</f>
        <v>csp</v>
      </c>
      <c r="O75" s="10" t="str">
        <f ca="1">IFERROR(__xludf.DUMMYFUNCTION("""COMPUTED_VALUE"""),"csp")</f>
        <v>csp</v>
      </c>
      <c r="P75" s="81" t="str">
        <f ca="1">IFERROR(__xludf.DUMMYFUNCTION("""COMPUTED_VALUE"""),"potential_founders")</f>
        <v>potential_founders</v>
      </c>
      <c r="Q75" s="10" t="str">
        <f ca="1">IFERROR(__xludf.DUMMYFUNCTION("""COMPUTED_VALUE"""),"20-25 fish in 1 tank")</f>
        <v>20-25 fish in 1 tank</v>
      </c>
      <c r="R75" s="80" t="str">
        <f ca="1">IFERROR(__xludf.DUMMYFUNCTION("""COMPUTED_VALUE"""),"cytosol")</f>
        <v>cytosol</v>
      </c>
      <c r="S75" s="82">
        <f ca="1">IFERROR(__xludf.DUMMYFUNCTION("""COMPUTED_VALUE"""),405)</f>
        <v>405</v>
      </c>
      <c r="T75" s="80" t="str">
        <f ca="1">IFERROR(__xludf.DUMMYFUNCTION("""COMPUTED_VALUE"""),"cytosol")</f>
        <v>cytosol</v>
      </c>
      <c r="U75" s="82">
        <f ca="1">IFERROR(__xludf.DUMMYFUNCTION("""COMPUTED_VALUE"""),445)</f>
        <v>445</v>
      </c>
      <c r="V75" s="80" t="str">
        <f ca="1">IFERROR(__xludf.DUMMYFUNCTION("""COMPUTED_VALUE"""),"cytosol")</f>
        <v>cytosol</v>
      </c>
      <c r="W75" s="82">
        <f ca="1">IFERROR(__xludf.DUMMYFUNCTION("""COMPUTED_VALUE"""),560)</f>
        <v>560</v>
      </c>
      <c r="X75" s="80" t="str">
        <f ca="1">IFERROR(__xludf.DUMMYFUNCTION("""COMPUTED_VALUE"""),"cytosol")</f>
        <v>cytosol</v>
      </c>
    </row>
    <row r="76" spans="1:24" ht="15.75" customHeight="1" x14ac:dyDescent="0.15">
      <c r="A76" s="1" t="s">
        <v>1043</v>
      </c>
      <c r="B76" s="1" t="str">
        <f ca="1">IFERROR(__xludf.DUMMYFUNCTION("IFERROR(JOIN("","", UNIQUE(filter({VLOOKUP(A76,C:X,13, FALSE); VLOOKUP(A76,C:X,15, FALSE); VLOOKUP(A76,C:X,17, FALSE); VLOOKUP(A76,C:X,19, FALSE)}, {VLOOKUP(A76,C:X,13, FALSE); VLOOKUP(A76,C:X,15, FALSE); VLOOKUP(A76,C:X,17, FALSE); VLOOKUP(A76,C:X,19, FA"&amp;"LSE)}&lt;&gt;""""))), """")"),"csp")</f>
        <v>csp</v>
      </c>
      <c r="C76" s="77" t="str">
        <f t="shared" ca="1" si="2"/>
        <v>Neural Crest mChilada (F1 of allele )</v>
      </c>
      <c r="D76" s="78">
        <f t="shared" si="1"/>
        <v>0</v>
      </c>
      <c r="E76" s="78" t="str">
        <f ca="1">IFERROR(__xludf.DUMMYFUNCTION("IFERROR(REGEXEXTRACT(N76, ""F\d+""), ""F1"")"),"F1")</f>
        <v>F1</v>
      </c>
      <c r="F76" s="10" t="str">
        <f ca="1">IFERROR(__xludf.DUMMYFUNCTION("""COMPUTED_VALUE"""),"Neural Crest mChilada")</f>
        <v>Neural Crest mChilada</v>
      </c>
      <c r="G76" s="10" t="str">
        <f ca="1">IFERROR(__xludf.DUMMYFUNCTION("""COMPUTED_VALUE"""),"sox10:mChilada")</f>
        <v>sox10:mChilada</v>
      </c>
      <c r="H76" s="80">
        <f ca="1">IFERROR(__xludf.DUMMYFUNCTION("""COMPUTED_VALUE"""),45576)</f>
        <v>45576</v>
      </c>
      <c r="I76" s="10" t="str">
        <f ca="1">IFERROR(__xludf.DUMMYFUNCTION("""COMPUTED_VALUE"""),"pDQM041/042")</f>
        <v>pDQM041/042</v>
      </c>
      <c r="J76" s="10" t="str">
        <f ca="1">IFERROR(__xludf.DUMMYFUNCTION("""COMPUTED_VALUE"""),"phiC")</f>
        <v>phiC</v>
      </c>
      <c r="K76" s="10"/>
      <c r="L76" s="10" t="str">
        <f ca="1">IFERROR(__xludf.DUMMYFUNCTION("""COMPUTED_VALUE"""),"casper/pIGLET 24b")</f>
        <v>casper/pIGLET 24b</v>
      </c>
      <c r="M76" s="80">
        <f ca="1">IFERROR(__xludf.DUMMYFUNCTION("""COMPUTED_VALUE"""),45666)</f>
        <v>45666</v>
      </c>
      <c r="N76" s="10" t="str">
        <f ca="1">IFERROR(__xludf.DUMMYFUNCTION("""COMPUTED_VALUE"""),"casper/pIGLET 24b")</f>
        <v>casper/pIGLET 24b</v>
      </c>
      <c r="O76" s="10" t="str">
        <f ca="1">IFERROR(__xludf.DUMMYFUNCTION("""COMPUTED_VALUE"""),"casper/pIGLET 24b")</f>
        <v>casper/pIGLET 24b</v>
      </c>
      <c r="P76" s="81" t="str">
        <f ca="1">IFERROR(__xludf.DUMMYFUNCTION("""COMPUTED_VALUE"""),"potential_founders")</f>
        <v>potential_founders</v>
      </c>
      <c r="Q76" s="10" t="str">
        <f ca="1">IFERROR(__xludf.DUMMYFUNCTION("""COMPUTED_VALUE"""),"1 tank started - screened all fish (all negative)")</f>
        <v>1 tank started - screened all fish (all negative)</v>
      </c>
      <c r="R76" s="80" t="str">
        <f ca="1">IFERROR(__xludf.DUMMYFUNCTION("""COMPUTED_VALUE"""),"cytosol")</f>
        <v>cytosol</v>
      </c>
      <c r="S76" s="82">
        <f ca="1">IFERROR(__xludf.DUMMYFUNCTION("""COMPUTED_VALUE"""),560)</f>
        <v>560</v>
      </c>
      <c r="T76" s="10"/>
      <c r="U76" s="10"/>
      <c r="V76" s="10"/>
      <c r="W76" s="10"/>
      <c r="X76" s="10"/>
    </row>
    <row r="77" spans="1:24" ht="15.75" customHeight="1" x14ac:dyDescent="0.15">
      <c r="A77" s="1" t="s">
        <v>62</v>
      </c>
      <c r="B77" s="1" t="str">
        <f ca="1">IFERROR(__xludf.DUMMYFUNCTION("IFERROR(JOIN("","", UNIQUE(filter({VLOOKUP(A77,C:X,13, FALSE); VLOOKUP(A77,C:X,15, FALSE); VLOOKUP(A77,C:X,17, FALSE); VLOOKUP(A77,C:X,19, FALSE)}, {VLOOKUP(A77,C:X,13, FALSE); VLOOKUP(A77,C:X,15, FALSE); VLOOKUP(A77,C:X,17, FALSE); VLOOKUP(A77,C:X,19, FA"&amp;"LSE)}&lt;&gt;""""))), """")"),"csp,female")</f>
        <v>csp,female</v>
      </c>
      <c r="C77" s="77" t="str">
        <f t="shared" ca="1" si="2"/>
        <v>Neural Crest mChilada (F1 of allele )</v>
      </c>
      <c r="D77" s="78">
        <f t="shared" si="1"/>
        <v>0</v>
      </c>
      <c r="E77" s="78" t="str">
        <f ca="1">IFERROR(__xludf.DUMMYFUNCTION("IFERROR(REGEXEXTRACT(N77, ""F\d+""), ""F1"")"),"F1")</f>
        <v>F1</v>
      </c>
      <c r="F77" s="10" t="str">
        <f ca="1">IFERROR(__xludf.DUMMYFUNCTION("""COMPUTED_VALUE"""),"Neural Crest mChilada")</f>
        <v>Neural Crest mChilada</v>
      </c>
      <c r="G77" s="10" t="str">
        <f ca="1">IFERROR(__xludf.DUMMYFUNCTION("""COMPUTED_VALUE"""),"sox10:mChilada")</f>
        <v>sox10:mChilada</v>
      </c>
      <c r="H77" s="80">
        <f ca="1">IFERROR(__xludf.DUMMYFUNCTION("""COMPUTED_VALUE"""),45601)</f>
        <v>45601</v>
      </c>
      <c r="I77" s="10" t="str">
        <f ca="1">IFERROR(__xludf.DUMMYFUNCTION("""COMPUTED_VALUE"""),"pDQM041/042")</f>
        <v>pDQM041/042</v>
      </c>
      <c r="J77" s="10" t="str">
        <f ca="1">IFERROR(__xludf.DUMMYFUNCTION("""COMPUTED_VALUE"""),"phiC")</f>
        <v>phiC</v>
      </c>
      <c r="K77" s="10"/>
      <c r="L77" s="10" t="str">
        <f ca="1">IFERROR(__xludf.DUMMYFUNCTION("""COMPUTED_VALUE"""),"casper/pIGLET 14a")</f>
        <v>casper/pIGLET 14a</v>
      </c>
      <c r="M77" s="80">
        <f ca="1">IFERROR(__xludf.DUMMYFUNCTION("""COMPUTED_VALUE"""),45691)</f>
        <v>45691</v>
      </c>
      <c r="N77" s="10" t="str">
        <f ca="1">IFERROR(__xludf.DUMMYFUNCTION("""COMPUTED_VALUE"""),"csp/pIGLET14a")</f>
        <v>csp/pIGLET14a</v>
      </c>
      <c r="O77" s="10" t="str">
        <f ca="1">IFERROR(__xludf.DUMMYFUNCTION("""COMPUTED_VALUE"""),"csp/pIGLET14a")</f>
        <v>csp/pIGLET14a</v>
      </c>
      <c r="P77" s="81" t="str">
        <f ca="1">IFERROR(__xludf.DUMMYFUNCTION("""COMPUTED_VALUE"""),"potential_founders")</f>
        <v>potential_founders</v>
      </c>
      <c r="Q77" s="10" t="str">
        <f ca="1">IFERROR(__xludf.DUMMYFUNCTION("""COMPUTED_VALUE"""),"1 tank started - screened 2 fish (both negative)")</f>
        <v>1 tank started - screened 2 fish (both negative)</v>
      </c>
      <c r="R77" s="80" t="str">
        <f ca="1">IFERROR(__xludf.DUMMYFUNCTION("""COMPUTED_VALUE"""),"cytosol")</f>
        <v>cytosol</v>
      </c>
      <c r="S77" s="82">
        <f ca="1">IFERROR(__xludf.DUMMYFUNCTION("""COMPUTED_VALUE"""),560)</f>
        <v>560</v>
      </c>
      <c r="T77" s="10"/>
      <c r="U77" s="10"/>
      <c r="V77" s="10"/>
      <c r="W77" s="10"/>
      <c r="X77" s="10"/>
    </row>
    <row r="78" spans="1:24" ht="15.75" customHeight="1" x14ac:dyDescent="0.15">
      <c r="A78" s="1" t="s">
        <v>1044</v>
      </c>
      <c r="B78" s="1" t="str">
        <f ca="1">IFERROR(__xludf.DUMMYFUNCTION("IFERROR(JOIN("","", UNIQUE(filter({VLOOKUP(A78,C:X,13, FALSE); VLOOKUP(A78,C:X,15, FALSE); VLOOKUP(A78,C:X,17, FALSE); VLOOKUP(A78,C:X,19, FALSE)}, {VLOOKUP(A78,C:X,13, FALSE); VLOOKUP(A78,C:X,15, FALSE); VLOOKUP(A78,C:X,17, FALSE); VLOOKUP(A78,C:X,19, FA"&amp;"LSE)}&lt;&gt;""""))), """")"),"csp,male 1 ")</f>
        <v xml:space="preserve">csp,male 1 </v>
      </c>
      <c r="C78" s="77" t="str">
        <f t="shared" ca="1" si="2"/>
        <v>skittles 4FP exorh:GFP (F1 of allele )</v>
      </c>
      <c r="D78" s="78">
        <f t="shared" si="1"/>
        <v>0</v>
      </c>
      <c r="E78" s="78" t="str">
        <f ca="1">IFERROR(__xludf.DUMMYFUNCTION("IFERROR(REGEXEXTRACT(N78, ""F\d+""), ""F1"")"),"F1")</f>
        <v>F1</v>
      </c>
      <c r="F78" s="10" t="str">
        <f ca="1">IFERROR(__xludf.DUMMYFUNCTION("""COMPUTED_VALUE"""),"skittles 4FP exorh:GFP")</f>
        <v>skittles 4FP exorh:GFP</v>
      </c>
      <c r="G78" s="10" t="str">
        <f ca="1">IFERROR(__xludf.DUMMYFUNCTION("""COMPUTED_VALUE"""),"ef1a:&lt;exorh:GFP&gt;mKate2/Electra2/mKOK/mTFP1")</f>
        <v>ef1a:&lt;exorh:GFP&gt;mKate2/Electra2/mKOK/mTFP1</v>
      </c>
      <c r="H78" s="80">
        <f ca="1">IFERROR(__xludf.DUMMYFUNCTION("""COMPUTED_VALUE"""),45599)</f>
        <v>45599</v>
      </c>
      <c r="I78" s="10" t="str">
        <f ca="1">IFERROR(__xludf.DUMMYFUNCTION("""COMPUTED_VALUE"""),"pDQM059")</f>
        <v>pDQM059</v>
      </c>
      <c r="J78" s="10" t="str">
        <f ca="1">IFERROR(__xludf.DUMMYFUNCTION("""COMPUTED_VALUE"""),"tol2")</f>
        <v>tol2</v>
      </c>
      <c r="K78" s="10"/>
      <c r="L78" s="10" t="str">
        <f ca="1">IFERROR(__xludf.DUMMYFUNCTION("""COMPUTED_VALUE"""),"casper")</f>
        <v>casper</v>
      </c>
      <c r="M78" s="80">
        <f ca="1">IFERROR(__xludf.DUMMYFUNCTION("""COMPUTED_VALUE"""),45689)</f>
        <v>45689</v>
      </c>
      <c r="N78" s="10" t="str">
        <f ca="1">IFERROR(__xludf.DUMMYFUNCTION("""COMPUTED_VALUE"""),"csp")</f>
        <v>csp</v>
      </c>
      <c r="O78" s="10" t="str">
        <f ca="1">IFERROR(__xludf.DUMMYFUNCTION("""COMPUTED_VALUE"""),"csp")</f>
        <v>csp</v>
      </c>
      <c r="P78" s="81" t="str">
        <f ca="1">IFERROR(__xludf.DUMMYFUNCTION("""COMPUTED_VALUE"""),"potential_founders")</f>
        <v>potential_founders</v>
      </c>
      <c r="Q78" s="10" t="str">
        <f ca="1">IFERROR(__xludf.DUMMYFUNCTION("""COMPUTED_VALUE"""),"3 tanks started")</f>
        <v>3 tanks started</v>
      </c>
      <c r="R78" s="80" t="str">
        <f ca="1">IFERROR(__xludf.DUMMYFUNCTION("""COMPUTED_VALUE"""),"cytosol")</f>
        <v>cytosol</v>
      </c>
      <c r="S78" s="82">
        <f ca="1">IFERROR(__xludf.DUMMYFUNCTION("""COMPUTED_VALUE"""),405)</f>
        <v>405</v>
      </c>
      <c r="T78" s="80" t="str">
        <f ca="1">IFERROR(__xludf.DUMMYFUNCTION("""COMPUTED_VALUE"""),"cytosol")</f>
        <v>cytosol</v>
      </c>
      <c r="U78" s="82">
        <f ca="1">IFERROR(__xludf.DUMMYFUNCTION("""COMPUTED_VALUE"""),445)</f>
        <v>445</v>
      </c>
      <c r="V78" s="80" t="str">
        <f ca="1">IFERROR(__xludf.DUMMYFUNCTION("""COMPUTED_VALUE"""),"cytosol")</f>
        <v>cytosol</v>
      </c>
      <c r="W78" s="82">
        <f ca="1">IFERROR(__xludf.DUMMYFUNCTION("""COMPUTED_VALUE"""),560)</f>
        <v>560</v>
      </c>
      <c r="X78" s="80" t="str">
        <f ca="1">IFERROR(__xludf.DUMMYFUNCTION("""COMPUTED_VALUE"""),"cytosol")</f>
        <v>cytosol</v>
      </c>
    </row>
    <row r="79" spans="1:24" ht="15.75" customHeight="1" x14ac:dyDescent="0.15">
      <c r="A79" s="1" t="s">
        <v>1045</v>
      </c>
      <c r="B79" s="1" t="str">
        <f ca="1">IFERROR(__xludf.DUMMYFUNCTION("IFERROR(JOIN("","", UNIQUE(filter({VLOOKUP(A79,C:X,13, FALSE); VLOOKUP(A79,C:X,15, FALSE); VLOOKUP(A79,C:X,17, FALSE); VLOOKUP(A79,C:X,19, FALSE)}, {VLOOKUP(A79,C:X,13, FALSE); VLOOKUP(A79,C:X,15, FALSE); VLOOKUP(A79,C:X,17, FALSE); VLOOKUP(A79,C:X,19, FA"&amp;"LSE)}&lt;&gt;""""))), """")"),"csp,male 2")</f>
        <v>csp,male 2</v>
      </c>
      <c r="C79" s="77" t="str">
        <f t="shared" ca="1" si="2"/>
        <v>Skittles 5 FP exorH (F1 of allele )</v>
      </c>
      <c r="D79" s="78">
        <f t="shared" si="1"/>
        <v>0</v>
      </c>
      <c r="E79" s="78" t="str">
        <f ca="1">IFERROR(__xludf.DUMMYFUNCTION("IFERROR(REGEXEXTRACT(N79, ""F\d+""), ""F1"")"),"F1")</f>
        <v>F1</v>
      </c>
      <c r="F79" s="10" t="str">
        <f ca="1">IFERROR(__xludf.DUMMYFUNCTION("""COMPUTED_VALUE"""),"Skittles 5 FP exorH")</f>
        <v>Skittles 5 FP exorH</v>
      </c>
      <c r="G79" s="10" t="str">
        <f ca="1">IFERROR(__xludf.DUMMYFUNCTION("""COMPUTED_VALUE"""),"ef1a:&lt;exorh:GFP&gt;mKate2/mCitrine/Electra2/mKOK/mTFP1")</f>
        <v>ef1a:&lt;exorh:GFP&gt;mKate2/mCitrine/Electra2/mKOK/mTFP1</v>
      </c>
      <c r="H79" s="80">
        <f ca="1">IFERROR(__xludf.DUMMYFUNCTION("""COMPUTED_VALUE"""),45616)</f>
        <v>45616</v>
      </c>
      <c r="I79" s="10" t="str">
        <f ca="1">IFERROR(__xludf.DUMMYFUNCTION("""COMPUTED_VALUE"""),"pDQM063/064")</f>
        <v>pDQM063/064</v>
      </c>
      <c r="J79" s="10" t="str">
        <f ca="1">IFERROR(__xludf.DUMMYFUNCTION("""COMPUTED_VALUE"""),"tol2")</f>
        <v>tol2</v>
      </c>
      <c r="K79" s="10"/>
      <c r="L79" s="10" t="str">
        <f ca="1">IFERROR(__xludf.DUMMYFUNCTION("""COMPUTED_VALUE"""),"casper")</f>
        <v>casper</v>
      </c>
      <c r="M79" s="80">
        <f ca="1">IFERROR(__xludf.DUMMYFUNCTION("""COMPUTED_VALUE"""),45706)</f>
        <v>45706</v>
      </c>
      <c r="N79" s="10" t="str">
        <f ca="1">IFERROR(__xludf.DUMMYFUNCTION("""COMPUTED_VALUE"""),"csp")</f>
        <v>csp</v>
      </c>
      <c r="O79" s="10" t="str">
        <f ca="1">IFERROR(__xludf.DUMMYFUNCTION("""COMPUTED_VALUE"""),"csp")</f>
        <v>csp</v>
      </c>
      <c r="P79" s="81" t="str">
        <f ca="1">IFERROR(__xludf.DUMMYFUNCTION("""COMPUTED_VALUE"""),"potential_founders")</f>
        <v>potential_founders</v>
      </c>
      <c r="Q79" s="10" t="str">
        <f ca="1">IFERROR(__xludf.DUMMYFUNCTION("""COMPUTED_VALUE"""),"1 tank started")</f>
        <v>1 tank started</v>
      </c>
      <c r="R79" s="80" t="str">
        <f ca="1">IFERROR(__xludf.DUMMYFUNCTION("""COMPUTED_VALUE"""),"cytosol")</f>
        <v>cytosol</v>
      </c>
      <c r="S79" s="82">
        <f ca="1">IFERROR(__xludf.DUMMYFUNCTION("""COMPUTED_VALUE"""),405)</f>
        <v>405</v>
      </c>
      <c r="T79" s="80" t="str">
        <f ca="1">IFERROR(__xludf.DUMMYFUNCTION("""COMPUTED_VALUE"""),"cytosol")</f>
        <v>cytosol</v>
      </c>
      <c r="U79" s="82">
        <f ca="1">IFERROR(__xludf.DUMMYFUNCTION("""COMPUTED_VALUE"""),445)</f>
        <v>445</v>
      </c>
      <c r="V79" s="80" t="str">
        <f ca="1">IFERROR(__xludf.DUMMYFUNCTION("""COMPUTED_VALUE"""),"cytosol")</f>
        <v>cytosol</v>
      </c>
      <c r="W79" s="82">
        <f ca="1">IFERROR(__xludf.DUMMYFUNCTION("""COMPUTED_VALUE"""),514)</f>
        <v>514</v>
      </c>
      <c r="X79" s="80" t="str">
        <f ca="1">IFERROR(__xludf.DUMMYFUNCTION("""COMPUTED_VALUE"""),"cytosol")</f>
        <v>cytosol</v>
      </c>
    </row>
    <row r="80" spans="1:24" ht="15.75" customHeight="1" x14ac:dyDescent="0.15">
      <c r="A80" s="1" t="s">
        <v>1046</v>
      </c>
      <c r="B80" s="1" t="str">
        <f ca="1">IFERROR(__xludf.DUMMYFUNCTION("IFERROR(JOIN("","", UNIQUE(filter({VLOOKUP(A80,C:X,13, FALSE); VLOOKUP(A80,C:X,15, FALSE); VLOOKUP(A80,C:X,17, FALSE); VLOOKUP(A80,C:X,19, FALSE)}, {VLOOKUP(A80,C:X,13, FALSE); VLOOKUP(A80,C:X,15, FALSE); VLOOKUP(A80,C:X,17, FALSE); VLOOKUP(A80,C:X,19, FA"&amp;"LSE)}&lt;&gt;""""))), """")"),"csp ,male 1 ")</f>
        <v xml:space="preserve">csp ,male 1 </v>
      </c>
      <c r="C80" s="77" t="str">
        <f t="shared" ca="1" si="2"/>
        <v>Skittles 5 FP exorH (F1 of allele )</v>
      </c>
      <c r="D80" s="78">
        <f t="shared" si="1"/>
        <v>0</v>
      </c>
      <c r="E80" s="78" t="str">
        <f ca="1">IFERROR(__xludf.DUMMYFUNCTION("IFERROR(REGEXEXTRACT(N80, ""F\d+""), ""F1"")"),"F1")</f>
        <v>F1</v>
      </c>
      <c r="F80" s="10" t="str">
        <f ca="1">IFERROR(__xludf.DUMMYFUNCTION("""COMPUTED_VALUE"""),"Skittles 5 FP exorH")</f>
        <v>Skittles 5 FP exorH</v>
      </c>
      <c r="G80" s="10" t="str">
        <f ca="1">IFERROR(__xludf.DUMMYFUNCTION("""COMPUTED_VALUE"""),"ef1a:&lt;exorh:GFP&gt;mKate2/mCitrine/Electra2/mKOK/mTFP1")</f>
        <v>ef1a:&lt;exorh:GFP&gt;mKate2/mCitrine/Electra2/mKOK/mTFP1</v>
      </c>
      <c r="H80" s="80">
        <f ca="1">IFERROR(__xludf.DUMMYFUNCTION("""COMPUTED_VALUE"""),45621)</f>
        <v>45621</v>
      </c>
      <c r="I80" s="10" t="str">
        <f ca="1">IFERROR(__xludf.DUMMYFUNCTION("""COMPUTED_VALUE"""),"pDQM063/064")</f>
        <v>pDQM063/064</v>
      </c>
      <c r="J80" s="10" t="str">
        <f ca="1">IFERROR(__xludf.DUMMYFUNCTION("""COMPUTED_VALUE"""),"tol2")</f>
        <v>tol2</v>
      </c>
      <c r="K80" s="10"/>
      <c r="L80" s="10" t="str">
        <f ca="1">IFERROR(__xludf.DUMMYFUNCTION("""COMPUTED_VALUE"""),"casper")</f>
        <v>casper</v>
      </c>
      <c r="M80" s="80">
        <f ca="1">IFERROR(__xludf.DUMMYFUNCTION("""COMPUTED_VALUE"""),45711)</f>
        <v>45711</v>
      </c>
      <c r="N80" s="10" t="str">
        <f ca="1">IFERROR(__xludf.DUMMYFUNCTION("""COMPUTED_VALUE"""),"csp")</f>
        <v>csp</v>
      </c>
      <c r="O80" s="10" t="str">
        <f ca="1">IFERROR(__xludf.DUMMYFUNCTION("""COMPUTED_VALUE"""),"csp")</f>
        <v>csp</v>
      </c>
      <c r="P80" s="81" t="str">
        <f ca="1">IFERROR(__xludf.DUMMYFUNCTION("""COMPUTED_VALUE"""),"potential_founders")</f>
        <v>potential_founders</v>
      </c>
      <c r="Q80" s="10" t="str">
        <f ca="1">IFERROR(__xludf.DUMMYFUNCTION("""COMPUTED_VALUE"""),"1 tank started")</f>
        <v>1 tank started</v>
      </c>
      <c r="R80" s="80" t="str">
        <f ca="1">IFERROR(__xludf.DUMMYFUNCTION("""COMPUTED_VALUE"""),"cytosol")</f>
        <v>cytosol</v>
      </c>
      <c r="S80" s="82">
        <f ca="1">IFERROR(__xludf.DUMMYFUNCTION("""COMPUTED_VALUE"""),405)</f>
        <v>405</v>
      </c>
      <c r="T80" s="80" t="str">
        <f ca="1">IFERROR(__xludf.DUMMYFUNCTION("""COMPUTED_VALUE"""),"cytosol")</f>
        <v>cytosol</v>
      </c>
      <c r="U80" s="82">
        <f ca="1">IFERROR(__xludf.DUMMYFUNCTION("""COMPUTED_VALUE"""),445)</f>
        <v>445</v>
      </c>
      <c r="V80" s="80" t="str">
        <f ca="1">IFERROR(__xludf.DUMMYFUNCTION("""COMPUTED_VALUE"""),"cytosol")</f>
        <v>cytosol</v>
      </c>
      <c r="W80" s="82">
        <f ca="1">IFERROR(__xludf.DUMMYFUNCTION("""COMPUTED_VALUE"""),514)</f>
        <v>514</v>
      </c>
      <c r="X80" s="80" t="str">
        <f ca="1">IFERROR(__xludf.DUMMYFUNCTION("""COMPUTED_VALUE"""),"cytosol")</f>
        <v>cytosol</v>
      </c>
    </row>
    <row r="81" spans="1:24" ht="15.75" customHeight="1" x14ac:dyDescent="0.15">
      <c r="A81" s="1" t="s">
        <v>1047</v>
      </c>
      <c r="B81" s="1" t="str">
        <f ca="1">IFERROR(__xludf.DUMMYFUNCTION("IFERROR(JOIN("","", UNIQUE(filter({VLOOKUP(A81,C:X,13, FALSE); VLOOKUP(A81,C:X,15, FALSE); VLOOKUP(A81,C:X,17, FALSE); VLOOKUP(A81,C:X,19, FALSE)}, {VLOOKUP(A81,C:X,13, FALSE); VLOOKUP(A81,C:X,15, FALSE); VLOOKUP(A81,C:X,17, FALSE); VLOOKUP(A81,C:X,19, FA"&amp;"LSE)}&lt;&gt;""""))), """")"),"301,male in tank with other male need to find founder ")</f>
        <v xml:space="preserve">301,male in tank with other male need to find founder </v>
      </c>
      <c r="C81" s="77" t="str">
        <f t="shared" ca="1" si="2"/>
        <v>tandem mem:mStayGold; tdmChilada:Histone (F1 of allele )</v>
      </c>
      <c r="D81" s="78">
        <f t="shared" si="1"/>
        <v>0</v>
      </c>
      <c r="E81" s="78" t="str">
        <f ca="1">IFERROR(__xludf.DUMMYFUNCTION("IFERROR(REGEXEXTRACT(N81, ""F\d+""), ""F1"")"),"F1")</f>
        <v>F1</v>
      </c>
      <c r="F81" s="10" t="str">
        <f ca="1">IFERROR(__xludf.DUMMYFUNCTION("""COMPUTED_VALUE"""),"tandem mem:mStayGold; tdmChilada:Histone")</f>
        <v>tandem mem:mStayGold; tdmChilada:Histone</v>
      </c>
      <c r="G81" s="10" t="str">
        <f ca="1">IFERROR(__xludf.DUMMYFUNCTION("""COMPUTED_VALUE"""),"ef1a:2xLynk:tdmSG(J)-tPT2A-tdmChilada:H2B")</f>
        <v>ef1a:2xLynk:tdmSG(J)-tPT2A-tdmChilada:H2B</v>
      </c>
      <c r="H81" s="80">
        <f ca="1">IFERROR(__xludf.DUMMYFUNCTION("""COMPUTED_VALUE"""),45621)</f>
        <v>45621</v>
      </c>
      <c r="I81" s="10" t="str">
        <f ca="1">IFERROR(__xludf.DUMMYFUNCTION("""COMPUTED_VALUE"""),"pDQM065")</f>
        <v>pDQM065</v>
      </c>
      <c r="J81" s="10" t="str">
        <f ca="1">IFERROR(__xludf.DUMMYFUNCTION("""COMPUTED_VALUE"""),"tol2")</f>
        <v>tol2</v>
      </c>
      <c r="K81" s="10"/>
      <c r="L81" s="10" t="str">
        <f ca="1">IFERROR(__xludf.DUMMYFUNCTION("""COMPUTED_VALUE"""),"casper")</f>
        <v>casper</v>
      </c>
      <c r="M81" s="80">
        <f ca="1">IFERROR(__xludf.DUMMYFUNCTION("""COMPUTED_VALUE"""),45711)</f>
        <v>45711</v>
      </c>
      <c r="N81" s="10" t="str">
        <f ca="1">IFERROR(__xludf.DUMMYFUNCTION("""COMPUTED_VALUE"""),"csp")</f>
        <v>csp</v>
      </c>
      <c r="O81" s="10" t="str">
        <f ca="1">IFERROR(__xludf.DUMMYFUNCTION("""COMPUTED_VALUE"""),"csp")</f>
        <v>csp</v>
      </c>
      <c r="P81" s="81" t="str">
        <f ca="1">IFERROR(__xludf.DUMMYFUNCTION("""COMPUTED_VALUE"""),"potential_founders")</f>
        <v>potential_founders</v>
      </c>
      <c r="Q81" s="10" t="str">
        <f ca="1">IFERROR(__xludf.DUMMYFUNCTION("""COMPUTED_VALUE"""),"1 tank started")</f>
        <v>1 tank started</v>
      </c>
      <c r="R81" s="80" t="str">
        <f ca="1">IFERROR(__xludf.DUMMYFUNCTION("""COMPUTED_VALUE"""),"membrane")</f>
        <v>membrane</v>
      </c>
      <c r="S81" s="82">
        <f ca="1">IFERROR(__xludf.DUMMYFUNCTION("""COMPUTED_VALUE"""),488)</f>
        <v>488</v>
      </c>
      <c r="T81" s="80" t="str">
        <f ca="1">IFERROR(__xludf.DUMMYFUNCTION("""COMPUTED_VALUE"""),"nuclei")</f>
        <v>nuclei</v>
      </c>
      <c r="U81" s="82">
        <f ca="1">IFERROR(__xludf.DUMMYFUNCTION("""COMPUTED_VALUE"""),560)</f>
        <v>560</v>
      </c>
      <c r="V81" s="10"/>
      <c r="W81" s="10"/>
      <c r="X81" s="10"/>
    </row>
    <row r="82" spans="1:24" ht="15.75" customHeight="1" x14ac:dyDescent="0.15">
      <c r="A82" s="1" t="s">
        <v>1048</v>
      </c>
      <c r="B82" s="1" t="str">
        <f ca="1">IFERROR(__xludf.DUMMYFUNCTION("IFERROR(JOIN("","", UNIQUE(filter({VLOOKUP(A82,C:X,13, FALSE); VLOOKUP(A82,C:X,15, FALSE); VLOOKUP(A82,C:X,17, FALSE); VLOOKUP(A82,C:X,19, FALSE)}, {VLOOKUP(A82,C:X,13, FALSE); VLOOKUP(A82,C:X,15, FALSE); VLOOKUP(A82,C:X,17, FALSE); VLOOKUP(A82,C:X,19, FA"&amp;"LSE)}&lt;&gt;""""))), """")"),"csp")</f>
        <v>csp</v>
      </c>
      <c r="C82" s="77" t="str">
        <f t="shared" ca="1" si="2"/>
        <v>tandem mem:mStayGold; tdmChilada:Histone (F1 of allele 338)</v>
      </c>
      <c r="D82" s="78" t="str">
        <f t="shared" ca="1" si="1"/>
        <v>(F1 of allele 338)</v>
      </c>
      <c r="E82" s="78" t="str">
        <f ca="1">IFERROR(__xludf.DUMMYFUNCTION("IFERROR(REGEXEXTRACT(N82, ""F\d+""), ""F1"")"),"F1")</f>
        <v>F1</v>
      </c>
      <c r="F82" s="10" t="str">
        <f ca="1">IFERROR(__xludf.DUMMYFUNCTION("""COMPUTED_VALUE"""),"tandem mem:mStayGold; tdmChilada:Histone")</f>
        <v>tandem mem:mStayGold; tdmChilada:Histone</v>
      </c>
      <c r="G82" s="10" t="str">
        <f ca="1">IFERROR(__xludf.DUMMYFUNCTION("""COMPUTED_VALUE"""),"ef1a:2xLynk:tdmSG(J)-tPT2A-tdmChilada:H2B")</f>
        <v>ef1a:2xLynk:tdmSG(J)-tPT2A-tdmChilada:H2B</v>
      </c>
      <c r="H82" s="80">
        <f ca="1">IFERROR(__xludf.DUMMYFUNCTION("""COMPUTED_VALUE"""),45621)</f>
        <v>45621</v>
      </c>
      <c r="I82" s="10" t="str">
        <f ca="1">IFERROR(__xludf.DUMMYFUNCTION("""COMPUTED_VALUE"""),"pDQM065")</f>
        <v>pDQM065</v>
      </c>
      <c r="J82" s="10" t="str">
        <f ca="1">IFERROR(__xludf.DUMMYFUNCTION("""COMPUTED_VALUE"""),"tol2")</f>
        <v>tol2</v>
      </c>
      <c r="K82" s="10">
        <f ca="1">IFERROR(__xludf.DUMMYFUNCTION("""COMPUTED_VALUE"""),338)</f>
        <v>338</v>
      </c>
      <c r="L82" s="10" t="str">
        <f ca="1">IFERROR(__xludf.DUMMYFUNCTION("""COMPUTED_VALUE"""),"casper")</f>
        <v>casper</v>
      </c>
      <c r="M82" s="80">
        <f ca="1">IFERROR(__xludf.DUMMYFUNCTION("""COMPUTED_VALUE"""),45711)</f>
        <v>45711</v>
      </c>
      <c r="N82" s="10" t="str">
        <f ca="1">IFERROR(__xludf.DUMMYFUNCTION("""COMPUTED_VALUE"""),"csp")</f>
        <v>csp</v>
      </c>
      <c r="O82" s="10" t="str">
        <f ca="1">IFERROR(__xludf.DUMMYFUNCTION("""COMPUTED_VALUE"""),"csp")</f>
        <v>csp</v>
      </c>
      <c r="P82" s="81" t="str">
        <f ca="1">IFERROR(__xludf.DUMMYFUNCTION("""COMPUTED_VALUE"""),"P0_founder")</f>
        <v>P0_founder</v>
      </c>
      <c r="Q82" s="10"/>
      <c r="R82" s="80" t="str">
        <f ca="1">IFERROR(__xludf.DUMMYFUNCTION("""COMPUTED_VALUE"""),"membrane")</f>
        <v>membrane</v>
      </c>
      <c r="S82" s="82">
        <f ca="1">IFERROR(__xludf.DUMMYFUNCTION("""COMPUTED_VALUE"""),488)</f>
        <v>488</v>
      </c>
      <c r="T82" s="80" t="str">
        <f ca="1">IFERROR(__xludf.DUMMYFUNCTION("""COMPUTED_VALUE"""),"nuclei")</f>
        <v>nuclei</v>
      </c>
      <c r="U82" s="82">
        <f ca="1">IFERROR(__xludf.DUMMYFUNCTION("""COMPUTED_VALUE"""),560)</f>
        <v>560</v>
      </c>
      <c r="V82" s="10"/>
      <c r="W82" s="10"/>
      <c r="X82" s="10"/>
    </row>
    <row r="83" spans="1:24" ht="15.75" customHeight="1" x14ac:dyDescent="0.15">
      <c r="A83" s="1" t="s">
        <v>1049</v>
      </c>
      <c r="B83" s="1" t="str">
        <f ca="1">IFERROR(__xludf.DUMMYFUNCTION("IFERROR(JOIN("","", UNIQUE(filter({VLOOKUP(A83,C:X,13, FALSE); VLOOKUP(A83,C:X,15, FALSE); VLOOKUP(A83,C:X,17, FALSE); VLOOKUP(A83,C:X,19, FALSE)}, {VLOOKUP(A83,C:X,13, FALSE); VLOOKUP(A83,C:X,15, FALSE); VLOOKUP(A83,C:X,17, FALSE); VLOOKUP(A83,C:X,19, FA"&amp;"LSE)}&lt;&gt;""""))), """")"),"csp,female 1 ")</f>
        <v xml:space="preserve">csp,female 1 </v>
      </c>
      <c r="C83" s="77" t="str">
        <f t="shared" ca="1" si="2"/>
        <v>tandem mem:mStayGold (F1 of allele )</v>
      </c>
      <c r="D83" s="78">
        <f t="shared" si="1"/>
        <v>0</v>
      </c>
      <c r="E83" s="78" t="str">
        <f ca="1">IFERROR(__xludf.DUMMYFUNCTION("IFERROR(REGEXEXTRACT(N83, ""F\d+""), ""F1"")"),"F1")</f>
        <v>F1</v>
      </c>
      <c r="F83" s="10" t="str">
        <f ca="1">IFERROR(__xludf.DUMMYFUNCTION("""COMPUTED_VALUE"""),"tandem mem:mStayGold")</f>
        <v>tandem mem:mStayGold</v>
      </c>
      <c r="G83" s="10" t="str">
        <f ca="1">IFERROR(__xludf.DUMMYFUNCTION("""COMPUTED_VALUE"""),"ef1a:2xLynk:tdmSG(J)")</f>
        <v>ef1a:2xLynk:tdmSG(J)</v>
      </c>
      <c r="H83" s="80">
        <f ca="1">IFERROR(__xludf.DUMMYFUNCTION("""COMPUTED_VALUE"""),45631)</f>
        <v>45631</v>
      </c>
      <c r="I83" s="10" t="str">
        <f ca="1">IFERROR(__xludf.DUMMYFUNCTION("""COMPUTED_VALUE"""),"pDQM068")</f>
        <v>pDQM068</v>
      </c>
      <c r="J83" s="10" t="str">
        <f ca="1">IFERROR(__xludf.DUMMYFUNCTION("""COMPUTED_VALUE"""),"phiC")</f>
        <v>phiC</v>
      </c>
      <c r="K83" s="10"/>
      <c r="L83" s="10" t="str">
        <f ca="1">IFERROR(__xludf.DUMMYFUNCTION("""COMPUTED_VALUE"""),"casper/pIGLET 14a")</f>
        <v>casper/pIGLET 14a</v>
      </c>
      <c r="M83" s="80">
        <f ca="1">IFERROR(__xludf.DUMMYFUNCTION("""COMPUTED_VALUE"""),45721)</f>
        <v>45721</v>
      </c>
      <c r="N83" s="10" t="str">
        <f ca="1">IFERROR(__xludf.DUMMYFUNCTION("""COMPUTED_VALUE"""),"casper/pIGLET 14a")</f>
        <v>casper/pIGLET 14a</v>
      </c>
      <c r="O83" s="10" t="str">
        <f ca="1">IFERROR(__xludf.DUMMYFUNCTION("""COMPUTED_VALUE"""),"casper/pIGLET 14a")</f>
        <v>casper/pIGLET 14a</v>
      </c>
      <c r="P83" s="81" t="str">
        <f ca="1">IFERROR(__xludf.DUMMYFUNCTION("""COMPUTED_VALUE"""),"potential_founders")</f>
        <v>potential_founders</v>
      </c>
      <c r="Q83" s="10" t="str">
        <f ca="1">IFERROR(__xludf.DUMMYFUNCTION("""COMPUTED_VALUE"""),"1 tank started")</f>
        <v>1 tank started</v>
      </c>
      <c r="R83" s="80" t="str">
        <f ca="1">IFERROR(__xludf.DUMMYFUNCTION("""COMPUTED_VALUE"""),"membrane")</f>
        <v>membrane</v>
      </c>
      <c r="S83" s="82">
        <f ca="1">IFERROR(__xludf.DUMMYFUNCTION("""COMPUTED_VALUE"""),488)</f>
        <v>488</v>
      </c>
      <c r="T83" s="10"/>
      <c r="U83" s="10"/>
      <c r="V83" s="10"/>
      <c r="W83" s="10"/>
      <c r="X83" s="10"/>
    </row>
    <row r="84" spans="1:24" ht="15.75" customHeight="1" x14ac:dyDescent="0.15">
      <c r="A84" s="1" t="s">
        <v>1050</v>
      </c>
      <c r="B84" s="1" t="str">
        <f ca="1">IFERROR(__xludf.DUMMYFUNCTION("IFERROR(JOIN("","", UNIQUE(filter({VLOOKUP(A84,C:X,13, FALSE); VLOOKUP(A84,C:X,15, FALSE); VLOOKUP(A84,C:X,17, FALSE); VLOOKUP(A84,C:X,19, FALSE)}, {VLOOKUP(A84,C:X,13, FALSE); VLOOKUP(A84,C:X,15, FALSE); VLOOKUP(A84,C:X,17, FALSE); VLOOKUP(A84,C:X,19, FA"&amp;"LSE)}&lt;&gt;""""))), """")"),"csp/ piglet24b ,male 1 ")</f>
        <v xml:space="preserve">csp/ piglet24b ,male 1 </v>
      </c>
      <c r="C84" s="77" t="str">
        <f t="shared" ca="1" si="2"/>
        <v>tandem mem:mStayGold; tdmChilada:Histone (F1 of allele )</v>
      </c>
      <c r="D84" s="78">
        <f t="shared" si="1"/>
        <v>0</v>
      </c>
      <c r="E84" s="78" t="str">
        <f ca="1">IFERROR(__xludf.DUMMYFUNCTION("IFERROR(REGEXEXTRACT(N84, ""F\d+""), ""F1"")"),"F1")</f>
        <v>F1</v>
      </c>
      <c r="F84" s="10" t="str">
        <f ca="1">IFERROR(__xludf.DUMMYFUNCTION("""COMPUTED_VALUE"""),"tandem mem:mStayGold; tdmChilada:Histone")</f>
        <v>tandem mem:mStayGold; tdmChilada:Histone</v>
      </c>
      <c r="G84" s="10" t="str">
        <f ca="1">IFERROR(__xludf.DUMMYFUNCTION("""COMPUTED_VALUE"""),"ef1a:2xLynk:tdmSG(J)-tPT2A-tdmChilada:H2B")</f>
        <v>ef1a:2xLynk:tdmSG(J)-tPT2A-tdmChilada:H2B</v>
      </c>
      <c r="H84" s="80">
        <f ca="1">IFERROR(__xludf.DUMMYFUNCTION("""COMPUTED_VALUE"""),45632)</f>
        <v>45632</v>
      </c>
      <c r="I84" s="10" t="str">
        <f ca="1">IFERROR(__xludf.DUMMYFUNCTION("""COMPUTED_VALUE"""),"pDQM072")</f>
        <v>pDQM072</v>
      </c>
      <c r="J84" s="10" t="str">
        <f ca="1">IFERROR(__xludf.DUMMYFUNCTION("""COMPUTED_VALUE"""),"phiC")</f>
        <v>phiC</v>
      </c>
      <c r="K84" s="10"/>
      <c r="L84" s="10" t="str">
        <f ca="1">IFERROR(__xludf.DUMMYFUNCTION("""COMPUTED_VALUE"""),"casper/pIGLET 24b")</f>
        <v>casper/pIGLET 24b</v>
      </c>
      <c r="M84" s="80">
        <f ca="1">IFERROR(__xludf.DUMMYFUNCTION("""COMPUTED_VALUE"""),45722)</f>
        <v>45722</v>
      </c>
      <c r="N84" s="10" t="str">
        <f ca="1">IFERROR(__xludf.DUMMYFUNCTION("""COMPUTED_VALUE"""),"casper/pIGLET 24b")</f>
        <v>casper/pIGLET 24b</v>
      </c>
      <c r="O84" s="10" t="str">
        <f ca="1">IFERROR(__xludf.DUMMYFUNCTION("""COMPUTED_VALUE"""),"casper/pIGLET 24b")</f>
        <v>casper/pIGLET 24b</v>
      </c>
      <c r="P84" s="81" t="str">
        <f ca="1">IFERROR(__xludf.DUMMYFUNCTION("""COMPUTED_VALUE"""),"potential_founders")</f>
        <v>potential_founders</v>
      </c>
      <c r="Q84" s="10" t="str">
        <f ca="1">IFERROR(__xludf.DUMMYFUNCTION("""COMPUTED_VALUE"""),"1 tank started")</f>
        <v>1 tank started</v>
      </c>
      <c r="R84" s="80" t="str">
        <f ca="1">IFERROR(__xludf.DUMMYFUNCTION("""COMPUTED_VALUE"""),"membrane")</f>
        <v>membrane</v>
      </c>
      <c r="S84" s="82">
        <f ca="1">IFERROR(__xludf.DUMMYFUNCTION("""COMPUTED_VALUE"""),488)</f>
        <v>488</v>
      </c>
      <c r="T84" s="80" t="str">
        <f ca="1">IFERROR(__xludf.DUMMYFUNCTION("""COMPUTED_VALUE"""),"nuclei")</f>
        <v>nuclei</v>
      </c>
      <c r="U84" s="82">
        <f ca="1">IFERROR(__xludf.DUMMYFUNCTION("""COMPUTED_VALUE"""),560)</f>
        <v>560</v>
      </c>
      <c r="V84" s="10"/>
      <c r="W84" s="10"/>
      <c r="X84" s="10"/>
    </row>
    <row r="85" spans="1:24" ht="15.75" customHeight="1" x14ac:dyDescent="0.15">
      <c r="A85" s="1" t="s">
        <v>1051</v>
      </c>
      <c r="B85" s="1" t="str">
        <f ca="1">IFERROR(__xludf.DUMMYFUNCTION("IFERROR(JOIN("","", UNIQUE(filter({VLOOKUP(A85,C:X,13, FALSE); VLOOKUP(A85,C:X,15, FALSE); VLOOKUP(A85,C:X,17, FALSE); VLOOKUP(A85,C:X,19, FALSE)}, {VLOOKUP(A85,C:X,13, FALSE); VLOOKUP(A85,C:X,15, FALSE); VLOOKUP(A85,C:X,17, FALSE); VLOOKUP(A85,C:X,19, FA"&amp;"LSE)}&lt;&gt;""""))), """")"),"")</f>
        <v/>
      </c>
      <c r="C85" s="77" t="str">
        <f t="shared" ca="1" si="2"/>
        <v>cell cycle state sensor + histone (F1 of allele )</v>
      </c>
      <c r="D85" s="78">
        <f t="shared" si="1"/>
        <v>0</v>
      </c>
      <c r="E85" s="78" t="str">
        <f ca="1">IFERROR(__xludf.DUMMYFUNCTION("IFERROR(REGEXEXTRACT(N85, ""F\d+""), ""F1"")"),"F1")</f>
        <v>F1</v>
      </c>
      <c r="F85" s="10" t="str">
        <f ca="1">IFERROR(__xludf.DUMMYFUNCTION("""COMPUTED_VALUE"""),"cell cycle state sensor + histone")</f>
        <v>cell cycle state sensor + histone</v>
      </c>
      <c r="G85" s="10" t="str">
        <f ca="1">IFERROR(__xludf.DUMMYFUNCTION("""COMPUTED_VALUE"""),"exorh:GFP, hsp:DHB::tdmSG-tPT2A-tdmChilada:h2b")</f>
        <v>exorh:GFP, hsp:DHB::tdmSG-tPT2A-tdmChilada:h2b</v>
      </c>
      <c r="H85" s="80">
        <f ca="1">IFERROR(__xludf.DUMMYFUNCTION("""COMPUTED_VALUE"""),45631)</f>
        <v>45631</v>
      </c>
      <c r="I85" s="10" t="str">
        <f ca="1">IFERROR(__xludf.DUMMYFUNCTION("""COMPUTED_VALUE"""),"pDQM076")</f>
        <v>pDQM076</v>
      </c>
      <c r="J85" s="10" t="str">
        <f ca="1">IFERROR(__xludf.DUMMYFUNCTION("""COMPUTED_VALUE"""),"phiC")</f>
        <v>phiC</v>
      </c>
      <c r="K85" s="10"/>
      <c r="L85" s="10" t="str">
        <f ca="1">IFERROR(__xludf.DUMMYFUNCTION("""COMPUTED_VALUE"""),"casper/pIGLET 14a")</f>
        <v>casper/pIGLET 14a</v>
      </c>
      <c r="M85" s="80">
        <f ca="1">IFERROR(__xludf.DUMMYFUNCTION("""COMPUTED_VALUE"""),45721)</f>
        <v>45721</v>
      </c>
      <c r="N85" s="10" t="str">
        <f ca="1">IFERROR(__xludf.DUMMYFUNCTION("""COMPUTED_VALUE"""),"casper/pIGLET 14a")</f>
        <v>casper/pIGLET 14a</v>
      </c>
      <c r="O85" s="10" t="str">
        <f ca="1">IFERROR(__xludf.DUMMYFUNCTION("""COMPUTED_VALUE"""),"casper/pIGLET 14a")</f>
        <v>casper/pIGLET 14a</v>
      </c>
      <c r="P85" s="81" t="str">
        <f ca="1">IFERROR(__xludf.DUMMYFUNCTION("""COMPUTED_VALUE"""),"potential_founders")</f>
        <v>potential_founders</v>
      </c>
      <c r="Q85" s="10" t="str">
        <f ca="1">IFERROR(__xludf.DUMMYFUNCTION("""COMPUTED_VALUE"""),"1 tank started")</f>
        <v>1 tank started</v>
      </c>
      <c r="R85" s="80" t="str">
        <f ca="1">IFERROR(__xludf.DUMMYFUNCTION("""COMPUTED_VALUE"""),"DHB")</f>
        <v>DHB</v>
      </c>
      <c r="S85" s="82">
        <f ca="1">IFERROR(__xludf.DUMMYFUNCTION("""COMPUTED_VALUE"""),488)</f>
        <v>488</v>
      </c>
      <c r="T85" s="80" t="str">
        <f ca="1">IFERROR(__xludf.DUMMYFUNCTION("""COMPUTED_VALUE"""),"nuclei")</f>
        <v>nuclei</v>
      </c>
      <c r="U85" s="82">
        <f ca="1">IFERROR(__xludf.DUMMYFUNCTION("""COMPUTED_VALUE"""),560)</f>
        <v>560</v>
      </c>
      <c r="V85" s="10"/>
      <c r="W85" s="10"/>
      <c r="X85" s="10"/>
    </row>
    <row r="86" spans="1:24" ht="15.75" customHeight="1" x14ac:dyDescent="0.15">
      <c r="A86" s="1" t="s">
        <v>1052</v>
      </c>
      <c r="B86" s="1" t="str">
        <f ca="1">IFERROR(__xludf.DUMMYFUNCTION("IFERROR(JOIN("","", UNIQUE(filter({VLOOKUP(A86,C:X,13, FALSE); VLOOKUP(A86,C:X,15, FALSE); VLOOKUP(A86,C:X,17, FALSE); VLOOKUP(A86,C:X,19, FALSE)}, {VLOOKUP(A86,C:X,13, FALSE); VLOOKUP(A86,C:X,15, FALSE); VLOOKUP(A86,C:X,17, FALSE); VLOOKUP(A86,C:X,19, FA"&amp;"LSE)}&lt;&gt;""""))), """")"),"piglet24b female ")</f>
        <v xml:space="preserve">piglet24b female </v>
      </c>
      <c r="C86" s="77" t="str">
        <f t="shared" ca="1" si="2"/>
        <v>cell cycle state sensor + histone (F1 of allele )</v>
      </c>
      <c r="D86" s="78">
        <f t="shared" si="1"/>
        <v>0</v>
      </c>
      <c r="E86" s="78" t="str">
        <f ca="1">IFERROR(__xludf.DUMMYFUNCTION("IFERROR(REGEXEXTRACT(N86, ""F\d+""), ""F1"")"),"F1")</f>
        <v>F1</v>
      </c>
      <c r="F86" s="10" t="str">
        <f ca="1">IFERROR(__xludf.DUMMYFUNCTION("""COMPUTED_VALUE"""),"cell cycle state sensor + histone")</f>
        <v>cell cycle state sensor + histone</v>
      </c>
      <c r="G86" s="10" t="str">
        <f ca="1">IFERROR(__xludf.DUMMYFUNCTION("""COMPUTED_VALUE"""),"exorh:GFP, hsp:DHB::tdmSG-tPT2A-tdmChilada:h2b")</f>
        <v>exorh:GFP, hsp:DHB::tdmSG-tPT2A-tdmChilada:h2b</v>
      </c>
      <c r="H86" s="80">
        <f ca="1">IFERROR(__xludf.DUMMYFUNCTION("""COMPUTED_VALUE"""),45632)</f>
        <v>45632</v>
      </c>
      <c r="I86" s="10" t="str">
        <f ca="1">IFERROR(__xludf.DUMMYFUNCTION("""COMPUTED_VALUE"""),"pDQM076")</f>
        <v>pDQM076</v>
      </c>
      <c r="J86" s="10" t="str">
        <f ca="1">IFERROR(__xludf.DUMMYFUNCTION("""COMPUTED_VALUE"""),"phiC")</f>
        <v>phiC</v>
      </c>
      <c r="K86" s="10"/>
      <c r="L86" s="10" t="str">
        <f ca="1">IFERROR(__xludf.DUMMYFUNCTION("""COMPUTED_VALUE"""),"casper/pIGLET 24b")</f>
        <v>casper/pIGLET 24b</v>
      </c>
      <c r="M86" s="80">
        <f ca="1">IFERROR(__xludf.DUMMYFUNCTION("""COMPUTED_VALUE"""),45722)</f>
        <v>45722</v>
      </c>
      <c r="N86" s="10" t="str">
        <f ca="1">IFERROR(__xludf.DUMMYFUNCTION("""COMPUTED_VALUE"""),"casper/pIGLET 24b")</f>
        <v>casper/pIGLET 24b</v>
      </c>
      <c r="O86" s="10" t="str">
        <f ca="1">IFERROR(__xludf.DUMMYFUNCTION("""COMPUTED_VALUE"""),"casper/pIGLET 24b")</f>
        <v>casper/pIGLET 24b</v>
      </c>
      <c r="P86" s="81" t="str">
        <f ca="1">IFERROR(__xludf.DUMMYFUNCTION("""COMPUTED_VALUE"""),"potential_founders")</f>
        <v>potential_founders</v>
      </c>
      <c r="Q86" s="10" t="str">
        <f ca="1">IFERROR(__xludf.DUMMYFUNCTION("""COMPUTED_VALUE"""),"1 tank started")</f>
        <v>1 tank started</v>
      </c>
      <c r="R86" s="80" t="str">
        <f ca="1">IFERROR(__xludf.DUMMYFUNCTION("""COMPUTED_VALUE"""),"DHB")</f>
        <v>DHB</v>
      </c>
      <c r="S86" s="82">
        <f ca="1">IFERROR(__xludf.DUMMYFUNCTION("""COMPUTED_VALUE"""),488)</f>
        <v>488</v>
      </c>
      <c r="T86" s="80" t="str">
        <f ca="1">IFERROR(__xludf.DUMMYFUNCTION("""COMPUTED_VALUE"""),"nuclei")</f>
        <v>nuclei</v>
      </c>
      <c r="U86" s="82">
        <f ca="1">IFERROR(__xludf.DUMMYFUNCTION("""COMPUTED_VALUE"""),560)</f>
        <v>560</v>
      </c>
      <c r="V86" s="10"/>
      <c r="W86" s="10"/>
      <c r="X86" s="10"/>
    </row>
    <row r="87" spans="1:24" ht="15.75" customHeight="1" x14ac:dyDescent="0.15">
      <c r="A87" s="1" t="s">
        <v>1053</v>
      </c>
      <c r="B87" s="1" t="str">
        <f ca="1">IFERROR(__xludf.DUMMYFUNCTION("IFERROR(JOIN("","", UNIQUE(filter({VLOOKUP(A87,C:X,13, FALSE); VLOOKUP(A87,C:X,15, FALSE); VLOOKUP(A87,C:X,17, FALSE); VLOOKUP(A87,C:X,19, FALSE)}, {VLOOKUP(A87,C:X,13, FALSE); VLOOKUP(A87,C:X,15, FALSE); VLOOKUP(A87,C:X,17, FALSE); VLOOKUP(A87,C:X,19, FA"&amp;"LSE)}&lt;&gt;""""))), """")"),"")</f>
        <v/>
      </c>
      <c r="C87" s="77" t="str">
        <f t="shared" ca="1" si="2"/>
        <v>tandem mem:mStayGold (F1 of allele )</v>
      </c>
      <c r="D87" s="78">
        <f t="shared" si="1"/>
        <v>0</v>
      </c>
      <c r="E87" s="78" t="str">
        <f ca="1">IFERROR(__xludf.DUMMYFUNCTION("IFERROR(REGEXEXTRACT(N87, ""F\d+""), ""F1"")"),"F1")</f>
        <v>F1</v>
      </c>
      <c r="F87" s="10" t="str">
        <f ca="1">IFERROR(__xludf.DUMMYFUNCTION("""COMPUTED_VALUE"""),"tandem mem:mStayGold")</f>
        <v>tandem mem:mStayGold</v>
      </c>
      <c r="G87" s="10" t="str">
        <f ca="1">IFERROR(__xludf.DUMMYFUNCTION("""COMPUTED_VALUE"""),"ef1a:2xLynk:tdmSG(J)")</f>
        <v>ef1a:2xLynk:tdmSG(J)</v>
      </c>
      <c r="H87" s="80">
        <f ca="1">IFERROR(__xludf.DUMMYFUNCTION("""COMPUTED_VALUE"""),45631)</f>
        <v>45631</v>
      </c>
      <c r="I87" s="10" t="str">
        <f ca="1">IFERROR(__xludf.DUMMYFUNCTION("""COMPUTED_VALUE"""),"pDQM078")</f>
        <v>pDQM078</v>
      </c>
      <c r="J87" s="10" t="str">
        <f ca="1">IFERROR(__xludf.DUMMYFUNCTION("""COMPUTED_VALUE"""),"phiC")</f>
        <v>phiC</v>
      </c>
      <c r="K87" s="10"/>
      <c r="L87" s="10" t="str">
        <f ca="1">IFERROR(__xludf.DUMMYFUNCTION("""COMPUTED_VALUE"""),"casper/pIGLET 14a")</f>
        <v>casper/pIGLET 14a</v>
      </c>
      <c r="M87" s="80">
        <f ca="1">IFERROR(__xludf.DUMMYFUNCTION("""COMPUTED_VALUE"""),45721)</f>
        <v>45721</v>
      </c>
      <c r="N87" s="10" t="str">
        <f ca="1">IFERROR(__xludf.DUMMYFUNCTION("""COMPUTED_VALUE"""),"casper/pIGLET 14a")</f>
        <v>casper/pIGLET 14a</v>
      </c>
      <c r="O87" s="10" t="str">
        <f ca="1">IFERROR(__xludf.DUMMYFUNCTION("""COMPUTED_VALUE"""),"casper/pIGLET 14a")</f>
        <v>casper/pIGLET 14a</v>
      </c>
      <c r="P87" s="81" t="str">
        <f ca="1">IFERROR(__xludf.DUMMYFUNCTION("""COMPUTED_VALUE"""),"potential_founders")</f>
        <v>potential_founders</v>
      </c>
      <c r="Q87" s="10" t="str">
        <f ca="1">IFERROR(__xludf.DUMMYFUNCTION("""COMPUTED_VALUE"""),"1 tank started")</f>
        <v>1 tank started</v>
      </c>
      <c r="R87" s="80" t="str">
        <f ca="1">IFERROR(__xludf.DUMMYFUNCTION("""COMPUTED_VALUE"""),"membrane")</f>
        <v>membrane</v>
      </c>
      <c r="S87" s="82">
        <f ca="1">IFERROR(__xludf.DUMMYFUNCTION("""COMPUTED_VALUE"""),488)</f>
        <v>488</v>
      </c>
      <c r="T87" s="10"/>
      <c r="U87" s="10"/>
      <c r="V87" s="10"/>
      <c r="W87" s="10"/>
      <c r="X87" s="10"/>
    </row>
    <row r="88" spans="1:24" ht="15.75" customHeight="1" x14ac:dyDescent="0.15">
      <c r="B88" s="1" t="str">
        <f ca="1">IFERROR(__xludf.DUMMYFUNCTION("IFERROR(JOIN("","", UNIQUE(filter({VLOOKUP(A88,C:X,13, FALSE); VLOOKUP(A88,C:X,15, FALSE); VLOOKUP(A88,C:X,17, FALSE); VLOOKUP(A88,C:X,19, FALSE)}, {VLOOKUP(A88,C:X,13, FALSE); VLOOKUP(A88,C:X,15, FALSE); VLOOKUP(A88,C:X,17, FALSE); VLOOKUP(A88,C:X,19, FA"&amp;"LSE)}&lt;&gt;""""))), """")"),"")</f>
        <v/>
      </c>
      <c r="C88" s="77" t="str">
        <f t="shared" ca="1" si="2"/>
        <v>tandem mem:mStayGold (F1 of allele )</v>
      </c>
      <c r="D88" s="78">
        <f t="shared" si="1"/>
        <v>0</v>
      </c>
      <c r="E88" s="78" t="str">
        <f ca="1">IFERROR(__xludf.DUMMYFUNCTION("IFERROR(REGEXEXTRACT(N88, ""F\d+""), ""F1"")"),"F1")</f>
        <v>F1</v>
      </c>
      <c r="F88" s="10" t="str">
        <f ca="1">IFERROR(__xludf.DUMMYFUNCTION("""COMPUTED_VALUE"""),"tandem mem:mStayGold")</f>
        <v>tandem mem:mStayGold</v>
      </c>
      <c r="G88" s="10" t="str">
        <f ca="1">IFERROR(__xludf.DUMMYFUNCTION("""COMPUTED_VALUE"""),"ef1a:2xLynk:tdmSG(J)")</f>
        <v>ef1a:2xLynk:tdmSG(J)</v>
      </c>
      <c r="H88" s="80">
        <f ca="1">IFERROR(__xludf.DUMMYFUNCTION("""COMPUTED_VALUE"""),45632)</f>
        <v>45632</v>
      </c>
      <c r="I88" s="10" t="str">
        <f ca="1">IFERROR(__xludf.DUMMYFUNCTION("""COMPUTED_VALUE"""),"pDQM078")</f>
        <v>pDQM078</v>
      </c>
      <c r="J88" s="10" t="str">
        <f ca="1">IFERROR(__xludf.DUMMYFUNCTION("""COMPUTED_VALUE"""),"phiC")</f>
        <v>phiC</v>
      </c>
      <c r="K88" s="10"/>
      <c r="L88" s="10" t="str">
        <f ca="1">IFERROR(__xludf.DUMMYFUNCTION("""COMPUTED_VALUE"""),"casper/pIGLET 24b")</f>
        <v>casper/pIGLET 24b</v>
      </c>
      <c r="M88" s="80">
        <f ca="1">IFERROR(__xludf.DUMMYFUNCTION("""COMPUTED_VALUE"""),45722)</f>
        <v>45722</v>
      </c>
      <c r="N88" s="10" t="str">
        <f ca="1">IFERROR(__xludf.DUMMYFUNCTION("""COMPUTED_VALUE"""),"casper/pIGLET 24b")</f>
        <v>casper/pIGLET 24b</v>
      </c>
      <c r="O88" s="10" t="str">
        <f ca="1">IFERROR(__xludf.DUMMYFUNCTION("""COMPUTED_VALUE"""),"casper/pIGLET 24b")</f>
        <v>casper/pIGLET 24b</v>
      </c>
      <c r="P88" s="81" t="str">
        <f ca="1">IFERROR(__xludf.DUMMYFUNCTION("""COMPUTED_VALUE"""),"potential_founders")</f>
        <v>potential_founders</v>
      </c>
      <c r="Q88" s="10" t="str">
        <f ca="1">IFERROR(__xludf.DUMMYFUNCTION("""COMPUTED_VALUE"""),"1 tank started")</f>
        <v>1 tank started</v>
      </c>
      <c r="R88" s="80" t="str">
        <f ca="1">IFERROR(__xludf.DUMMYFUNCTION("""COMPUTED_VALUE"""),"membrane")</f>
        <v>membrane</v>
      </c>
      <c r="S88" s="82">
        <f ca="1">IFERROR(__xludf.DUMMYFUNCTION("""COMPUTED_VALUE"""),488)</f>
        <v>488</v>
      </c>
      <c r="T88" s="10"/>
      <c r="U88" s="10"/>
      <c r="V88" s="10"/>
      <c r="W88" s="10"/>
      <c r="X88" s="10"/>
    </row>
    <row r="89" spans="1:24" ht="15.75" customHeight="1" x14ac:dyDescent="0.15">
      <c r="B89" s="1" t="str">
        <f ca="1">IFERROR(__xludf.DUMMYFUNCTION("IFERROR(JOIN("","", UNIQUE(filter({VLOOKUP(A89,C:X,13, FALSE); VLOOKUP(A89,C:X,15, FALSE); VLOOKUP(A89,C:X,17, FALSE); VLOOKUP(A89,C:X,19, FALSE)}, {VLOOKUP(A89,C:X,13, FALSE); VLOOKUP(A89,C:X,15, FALSE); VLOOKUP(A89,C:X,17, FALSE); VLOOKUP(A89,C:X,19, FA"&amp;"LSE)}&lt;&gt;""""))), """")"),"")</f>
        <v/>
      </c>
      <c r="C89" s="77" t="str">
        <f t="shared" ca="1" si="2"/>
        <v>mem:mStayGold (1x) (F1 of allele 362)</v>
      </c>
      <c r="D89" s="78" t="str">
        <f t="shared" ca="1" si="1"/>
        <v>(F1 of allele 362)</v>
      </c>
      <c r="E89" s="78" t="str">
        <f ca="1">IFERROR(__xludf.DUMMYFUNCTION("IFERROR(REGEXEXTRACT(N89, ""F\d+""), ""F1"")"),"F1")</f>
        <v>F1</v>
      </c>
      <c r="F89" s="10" t="str">
        <f ca="1">IFERROR(__xludf.DUMMYFUNCTION("""COMPUTED_VALUE"""),"mem:mStayGold (1x)")</f>
        <v>mem:mStayGold (1x)</v>
      </c>
      <c r="G89" s="10" t="str">
        <f ca="1">IFERROR(__xludf.DUMMYFUNCTION("""COMPUTED_VALUE"""),"ef1a:2xLynk:mSG(J)")</f>
        <v>ef1a:2xLynk:mSG(J)</v>
      </c>
      <c r="H89" s="80">
        <f ca="1">IFERROR(__xludf.DUMMYFUNCTION("""COMPUTED_VALUE"""),45631)</f>
        <v>45631</v>
      </c>
      <c r="I89" s="10" t="str">
        <f ca="1">IFERROR(__xludf.DUMMYFUNCTION("""COMPUTED_VALUE"""),"pDQM079")</f>
        <v>pDQM079</v>
      </c>
      <c r="J89" s="10" t="str">
        <f ca="1">IFERROR(__xludf.DUMMYFUNCTION("""COMPUTED_VALUE"""),"phiC")</f>
        <v>phiC</v>
      </c>
      <c r="K89" s="10">
        <f ca="1">IFERROR(__xludf.DUMMYFUNCTION("""COMPUTED_VALUE"""),362)</f>
        <v>362</v>
      </c>
      <c r="L89" s="10" t="str">
        <f ca="1">IFERROR(__xludf.DUMMYFUNCTION("""COMPUTED_VALUE"""),"casper/pIGLET 14a")</f>
        <v>casper/pIGLET 14a</v>
      </c>
      <c r="M89" s="80">
        <f ca="1">IFERROR(__xludf.DUMMYFUNCTION("""COMPUTED_VALUE"""),45721)</f>
        <v>45721</v>
      </c>
      <c r="N89" s="10" t="str">
        <f ca="1">IFERROR(__xludf.DUMMYFUNCTION("""COMPUTED_VALUE"""),"casper/pIGLET 14a")</f>
        <v>casper/pIGLET 14a</v>
      </c>
      <c r="O89" s="10" t="str">
        <f ca="1">IFERROR(__xludf.DUMMYFUNCTION("""COMPUTED_VALUE"""),"casper/pIGLET 14a")</f>
        <v>casper/pIGLET 14a</v>
      </c>
      <c r="P89" s="81" t="str">
        <f ca="1">IFERROR(__xludf.DUMMYFUNCTION("""COMPUTED_VALUE"""),"potential_founders")</f>
        <v>potential_founders</v>
      </c>
      <c r="Q89" s="10" t="str">
        <f ca="1">IFERROR(__xludf.DUMMYFUNCTION("""COMPUTED_VALUE"""),"1 tank started")</f>
        <v>1 tank started</v>
      </c>
      <c r="R89" s="80" t="str">
        <f ca="1">IFERROR(__xludf.DUMMYFUNCTION("""COMPUTED_VALUE"""),"membrane")</f>
        <v>membrane</v>
      </c>
      <c r="S89" s="82">
        <f ca="1">IFERROR(__xludf.DUMMYFUNCTION("""COMPUTED_VALUE"""),488)</f>
        <v>488</v>
      </c>
      <c r="T89" s="10"/>
      <c r="U89" s="10"/>
      <c r="V89" s="10"/>
      <c r="W89" s="10"/>
      <c r="X89" s="10"/>
    </row>
    <row r="90" spans="1:24" ht="15.75" customHeight="1" x14ac:dyDescent="0.15">
      <c r="B90" s="1" t="str">
        <f ca="1">IFERROR(__xludf.DUMMYFUNCTION("IFERROR(JOIN("","", UNIQUE(filter({VLOOKUP(A90,C:X,13, FALSE); VLOOKUP(A90,C:X,15, FALSE); VLOOKUP(A90,C:X,17, FALSE); VLOOKUP(A90,C:X,19, FALSE)}, {VLOOKUP(A90,C:X,13, FALSE); VLOOKUP(A90,C:X,15, FALSE); VLOOKUP(A90,C:X,17, FALSE); VLOOKUP(A90,C:X,19, FA"&amp;"LSE)}&lt;&gt;""""))), """")"),"")</f>
        <v/>
      </c>
      <c r="C90" s="77" t="str">
        <f t="shared" ca="1" si="2"/>
        <v>mem:mStayGold (1x) (F1 of allele )</v>
      </c>
      <c r="D90" s="78">
        <f t="shared" si="1"/>
        <v>0</v>
      </c>
      <c r="E90" s="78" t="str">
        <f ca="1">IFERROR(__xludf.DUMMYFUNCTION("IFERROR(REGEXEXTRACT(N90, ""F\d+""), ""F1"")"),"F1")</f>
        <v>F1</v>
      </c>
      <c r="F90" s="10" t="str">
        <f ca="1">IFERROR(__xludf.DUMMYFUNCTION("""COMPUTED_VALUE"""),"mem:mStayGold (1x)")</f>
        <v>mem:mStayGold (1x)</v>
      </c>
      <c r="G90" s="10" t="str">
        <f ca="1">IFERROR(__xludf.DUMMYFUNCTION("""COMPUTED_VALUE"""),"ef1a:2xLynk:mSG(J)")</f>
        <v>ef1a:2xLynk:mSG(J)</v>
      </c>
      <c r="H90" s="80">
        <f ca="1">IFERROR(__xludf.DUMMYFUNCTION("""COMPUTED_VALUE"""),45632)</f>
        <v>45632</v>
      </c>
      <c r="I90" s="10" t="str">
        <f ca="1">IFERROR(__xludf.DUMMYFUNCTION("""COMPUTED_VALUE"""),"pDQM079")</f>
        <v>pDQM079</v>
      </c>
      <c r="J90" s="10" t="str">
        <f ca="1">IFERROR(__xludf.DUMMYFUNCTION("""COMPUTED_VALUE"""),"phiC")</f>
        <v>phiC</v>
      </c>
      <c r="K90" s="10"/>
      <c r="L90" s="10" t="str">
        <f ca="1">IFERROR(__xludf.DUMMYFUNCTION("""COMPUTED_VALUE"""),"casper/pIGLET 24b")</f>
        <v>casper/pIGLET 24b</v>
      </c>
      <c r="M90" s="80">
        <f ca="1">IFERROR(__xludf.DUMMYFUNCTION("""COMPUTED_VALUE"""),45722)</f>
        <v>45722</v>
      </c>
      <c r="N90" s="10" t="str">
        <f ca="1">IFERROR(__xludf.DUMMYFUNCTION("""COMPUTED_VALUE"""),"casper/pIGLET 24b")</f>
        <v>casper/pIGLET 24b</v>
      </c>
      <c r="O90" s="10" t="str">
        <f ca="1">IFERROR(__xludf.DUMMYFUNCTION("""COMPUTED_VALUE"""),"casper/pIGLET 24b")</f>
        <v>casper/pIGLET 24b</v>
      </c>
      <c r="P90" s="81" t="str">
        <f ca="1">IFERROR(__xludf.DUMMYFUNCTION("""COMPUTED_VALUE"""),"potential_founders")</f>
        <v>potential_founders</v>
      </c>
      <c r="Q90" s="10" t="str">
        <f ca="1">IFERROR(__xludf.DUMMYFUNCTION("""COMPUTED_VALUE"""),"1 tank started")</f>
        <v>1 tank started</v>
      </c>
      <c r="R90" s="80" t="str">
        <f ca="1">IFERROR(__xludf.DUMMYFUNCTION("""COMPUTED_VALUE"""),"membrane")</f>
        <v>membrane</v>
      </c>
      <c r="S90" s="82">
        <f ca="1">IFERROR(__xludf.DUMMYFUNCTION("""COMPUTED_VALUE"""),488)</f>
        <v>488</v>
      </c>
      <c r="T90" s="10"/>
      <c r="U90" s="10"/>
      <c r="V90" s="10"/>
      <c r="W90" s="10"/>
      <c r="X90" s="10"/>
    </row>
    <row r="91" spans="1:24" ht="15.75" customHeight="1" x14ac:dyDescent="0.15">
      <c r="B91" s="1" t="str">
        <f ca="1">IFERROR(__xludf.DUMMYFUNCTION("IFERROR(JOIN("","", UNIQUE(filter({VLOOKUP(A91,C:X,13, FALSE); VLOOKUP(A91,C:X,15, FALSE); VLOOKUP(A91,C:X,17, FALSE); VLOOKUP(A91,C:X,19, FALSE)}, {VLOOKUP(A91,C:X,13, FALSE); VLOOKUP(A91,C:X,15, FALSE); VLOOKUP(A91,C:X,17, FALSE); VLOOKUP(A91,C:X,19, FA"&amp;"LSE)}&lt;&gt;""""))), """")"),"")</f>
        <v/>
      </c>
      <c r="C91" s="77" t="str">
        <f t="shared" ca="1" si="2"/>
        <v>tandem mem:mStayGold; tdmChilada(MAGPV):Histone (F1 of allele )</v>
      </c>
      <c r="D91" s="78">
        <f t="shared" si="1"/>
        <v>0</v>
      </c>
      <c r="E91" s="78" t="str">
        <f ca="1">IFERROR(__xludf.DUMMYFUNCTION("IFERROR(REGEXEXTRACT(N91, ""F\d+""), ""F1"")"),"F1")</f>
        <v>F1</v>
      </c>
      <c r="F91" s="10" t="str">
        <f ca="1">IFERROR(__xludf.DUMMYFUNCTION("""COMPUTED_VALUE"""),"tandem mem:mStayGold; tdmChilada(MAGPV):Histone")</f>
        <v>tandem mem:mStayGold; tdmChilada(MAGPV):Histone</v>
      </c>
      <c r="G91" s="10" t="str">
        <f ca="1">IFERROR(__xludf.DUMMYFUNCTION("""COMPUTED_VALUE"""),"ef1a:2xLynk:tdmSG(J)-tPT2A-tdmChilada(MAGPV):H2B")</f>
        <v>ef1a:2xLynk:tdmSG(J)-tPT2A-tdmChilada(MAGPV):H2B</v>
      </c>
      <c r="H91" s="10"/>
      <c r="I91" s="10" t="str">
        <f ca="1">IFERROR(__xludf.DUMMYFUNCTION("""COMPUTED_VALUE"""),"pDQM094")</f>
        <v>pDQM094</v>
      </c>
      <c r="J91" s="10" t="str">
        <f ca="1">IFERROR(__xludf.DUMMYFUNCTION("""COMPUTED_VALUE"""),"tol2")</f>
        <v>tol2</v>
      </c>
      <c r="K91" s="10"/>
      <c r="L91" s="10" t="str">
        <f ca="1">IFERROR(__xludf.DUMMYFUNCTION("""COMPUTED_VALUE"""),"casper")</f>
        <v>casper</v>
      </c>
      <c r="M91" s="10"/>
      <c r="N91" s="10" t="str">
        <f ca="1">IFERROR(__xludf.DUMMYFUNCTION("""COMPUTED_VALUE"""),"csp")</f>
        <v>csp</v>
      </c>
      <c r="O91" s="10" t="str">
        <f ca="1">IFERROR(__xludf.DUMMYFUNCTION("""COMPUTED_VALUE"""),"csp")</f>
        <v>csp</v>
      </c>
      <c r="P91" s="81" t="str">
        <f ca="1">IFERROR(__xludf.DUMMYFUNCTION("""COMPUTED_VALUE"""),"potential_founders")</f>
        <v>potential_founders</v>
      </c>
      <c r="Q91" s="10"/>
      <c r="R91" s="10" t="str">
        <f ca="1">IFERROR(__xludf.DUMMYFUNCTION("""COMPUTED_VALUE"""),"membrane")</f>
        <v>membrane</v>
      </c>
      <c r="S91" s="82">
        <f ca="1">IFERROR(__xludf.DUMMYFUNCTION("""COMPUTED_VALUE"""),488)</f>
        <v>488</v>
      </c>
      <c r="T91" s="10" t="str">
        <f ca="1">IFERROR(__xludf.DUMMYFUNCTION("""COMPUTED_VALUE"""),"nuclei")</f>
        <v>nuclei</v>
      </c>
      <c r="U91" s="82">
        <f ca="1">IFERROR(__xludf.DUMMYFUNCTION("""COMPUTED_VALUE"""),560)</f>
        <v>560</v>
      </c>
      <c r="V91" s="10"/>
      <c r="W91" s="10"/>
      <c r="X91" s="10"/>
    </row>
    <row r="92" spans="1:24" ht="15.75" customHeight="1" x14ac:dyDescent="0.15">
      <c r="B92" s="1" t="str">
        <f ca="1">IFERROR(__xludf.DUMMYFUNCTION("IFERROR(JOIN("","", UNIQUE(filter({VLOOKUP(A92,C:X,13, FALSE); VLOOKUP(A92,C:X,15, FALSE); VLOOKUP(A92,C:X,17, FALSE); VLOOKUP(A92,C:X,19, FALSE)}, {VLOOKUP(A92,C:X,13, FALSE); VLOOKUP(A92,C:X,15, FALSE); VLOOKUP(A92,C:X,17, FALSE); VLOOKUP(A92,C:X,19, FA"&amp;"LSE)}&lt;&gt;""""))), """")"),"")</f>
        <v/>
      </c>
      <c r="C92" s="77" t="str">
        <f t="shared" ca="1" si="2"/>
        <v>tandem mem:mStayGold; tdmChilada(MAGPV):Histone (F1 of allele 339)</v>
      </c>
      <c r="D92" s="78" t="str">
        <f t="shared" ca="1" si="1"/>
        <v>(F1 of allele 339)</v>
      </c>
      <c r="E92" s="78" t="str">
        <f ca="1">IFERROR(__xludf.DUMMYFUNCTION("IFERROR(REGEXEXTRACT(N92, ""F\d+""), ""F1"")"),"F1")</f>
        <v>F1</v>
      </c>
      <c r="F92" s="10" t="str">
        <f ca="1">IFERROR(__xludf.DUMMYFUNCTION("""COMPUTED_VALUE"""),"tandem mem:mStayGold; tdmChilada(MAGPV):Histone")</f>
        <v>tandem mem:mStayGold; tdmChilada(MAGPV):Histone</v>
      </c>
      <c r="G92" s="10" t="str">
        <f ca="1">IFERROR(__xludf.DUMMYFUNCTION("""COMPUTED_VALUE"""),"ef1a:2xLynk:tdmSG(J)-tPT2A-tdmChilada(MAGPV):H2B")</f>
        <v>ef1a:2xLynk:tdmSG(J)-tPT2A-tdmChilada(MAGPV):H2B</v>
      </c>
      <c r="H92" s="10"/>
      <c r="I92" s="10" t="str">
        <f ca="1">IFERROR(__xludf.DUMMYFUNCTION("""COMPUTED_VALUE"""),"pDQM094")</f>
        <v>pDQM094</v>
      </c>
      <c r="J92" s="10" t="str">
        <f ca="1">IFERROR(__xludf.DUMMYFUNCTION("""COMPUTED_VALUE"""),"tol2")</f>
        <v>tol2</v>
      </c>
      <c r="K92" s="10">
        <f ca="1">IFERROR(__xludf.DUMMYFUNCTION("""COMPUTED_VALUE"""),339)</f>
        <v>339</v>
      </c>
      <c r="L92" s="10" t="str">
        <f ca="1">IFERROR(__xludf.DUMMYFUNCTION("""COMPUTED_VALUE"""),"casper")</f>
        <v>casper</v>
      </c>
      <c r="M92" s="10"/>
      <c r="N92" s="10" t="str">
        <f ca="1">IFERROR(__xludf.DUMMYFUNCTION("""COMPUTED_VALUE"""),"csp")</f>
        <v>csp</v>
      </c>
      <c r="O92" s="10" t="str">
        <f ca="1">IFERROR(__xludf.DUMMYFUNCTION("""COMPUTED_VALUE"""),"csp")</f>
        <v>csp</v>
      </c>
      <c r="P92" s="81" t="str">
        <f ca="1">IFERROR(__xludf.DUMMYFUNCTION("""COMPUTED_VALUE"""),"P0_founder")</f>
        <v>P0_founder</v>
      </c>
      <c r="Q92" s="10"/>
      <c r="R92" s="10" t="str">
        <f ca="1">IFERROR(__xludf.DUMMYFUNCTION("""COMPUTED_VALUE"""),"membrane")</f>
        <v>membrane</v>
      </c>
      <c r="S92" s="82">
        <f ca="1">IFERROR(__xludf.DUMMYFUNCTION("""COMPUTED_VALUE"""),488)</f>
        <v>488</v>
      </c>
      <c r="T92" s="10" t="str">
        <f ca="1">IFERROR(__xludf.DUMMYFUNCTION("""COMPUTED_VALUE"""),"nuclei")</f>
        <v>nuclei</v>
      </c>
      <c r="U92" s="82">
        <f ca="1">IFERROR(__xludf.DUMMYFUNCTION("""COMPUTED_VALUE"""),560)</f>
        <v>560</v>
      </c>
      <c r="V92" s="10"/>
      <c r="W92" s="10"/>
      <c r="X92" s="10"/>
    </row>
    <row r="93" spans="1:24" ht="15.75" customHeight="1" x14ac:dyDescent="0.15">
      <c r="B93" s="1" t="str">
        <f ca="1">IFERROR(__xludf.DUMMYFUNCTION("IFERROR(JOIN("","", UNIQUE(filter({VLOOKUP(A93,C:X,13, FALSE); VLOOKUP(A93,C:X,15, FALSE); VLOOKUP(A93,C:X,17, FALSE); VLOOKUP(A93,C:X,19, FALSE)}, {VLOOKUP(A93,C:X,13, FALSE); VLOOKUP(A93,C:X,15, FALSE); VLOOKUP(A93,C:X,17, FALSE); VLOOKUP(A93,C:X,19, FA"&amp;"LSE)}&lt;&gt;""""))), """")"),"")</f>
        <v/>
      </c>
      <c r="C93" s="77" t="str">
        <f t="shared" ca="1" si="2"/>
        <v>heatshock PhiC (F1 of allele )</v>
      </c>
      <c r="D93" s="78">
        <f t="shared" si="1"/>
        <v>0</v>
      </c>
      <c r="E93" s="78" t="str">
        <f ca="1">IFERROR(__xludf.DUMMYFUNCTION("IFERROR(REGEXEXTRACT(N93, ""F\d+""), ""F1"")"),"F1")</f>
        <v>F1</v>
      </c>
      <c r="F93" s="10" t="str">
        <f ca="1">IFERROR(__xludf.DUMMYFUNCTION("""COMPUTED_VALUE"""),"heatshock PhiC")</f>
        <v>heatshock PhiC</v>
      </c>
      <c r="G93" s="10" t="str">
        <f ca="1">IFERROR(__xludf.DUMMYFUNCTION("""COMPUTED_VALUE"""),"hsp:PhiC-NLS;exorh:mScarlet")</f>
        <v>hsp:PhiC-NLS;exorh:mScarlet</v>
      </c>
      <c r="H93" s="80">
        <f ca="1">IFERROR(__xludf.DUMMYFUNCTION("""COMPUTED_VALUE"""),45705)</f>
        <v>45705</v>
      </c>
      <c r="I93" s="10" t="str">
        <f ca="1">IFERROR(__xludf.DUMMYFUNCTION("""COMPUTED_VALUE"""),"pDQM112")</f>
        <v>pDQM112</v>
      </c>
      <c r="J93" s="10" t="str">
        <f ca="1">IFERROR(__xludf.DUMMYFUNCTION("""COMPUTED_VALUE"""),"tol2")</f>
        <v>tol2</v>
      </c>
      <c r="K93" s="10"/>
      <c r="L93" s="10" t="str">
        <f ca="1">IFERROR(__xludf.DUMMYFUNCTION("""COMPUTED_VALUE"""),"301/casper")</f>
        <v>301/casper</v>
      </c>
      <c r="M93" s="80">
        <f ca="1">IFERROR(__xludf.DUMMYFUNCTION("""COMPUTED_VALUE"""),45795)</f>
        <v>45795</v>
      </c>
      <c r="N93" s="10">
        <f ca="1">IFERROR(__xludf.DUMMYFUNCTION("""COMPUTED_VALUE"""),301)</f>
        <v>301</v>
      </c>
      <c r="O93" s="10">
        <f ca="1">IFERROR(__xludf.DUMMYFUNCTION("""COMPUTED_VALUE"""),301)</f>
        <v>301</v>
      </c>
      <c r="P93" s="81" t="str">
        <f ca="1">IFERROR(__xludf.DUMMYFUNCTION("""COMPUTED_VALUE"""),"potential_founders")</f>
        <v>potential_founders</v>
      </c>
      <c r="Q93" s="10" t="str">
        <f ca="1">IFERROR(__xludf.DUMMYFUNCTION("""COMPUTED_VALUE"""),"injected heatshock phiC plasmid into allele 301, also expresses pineal gland mScarlet for screening")</f>
        <v>injected heatshock phiC plasmid into allele 301, also expresses pineal gland mScarlet for screening</v>
      </c>
      <c r="R93" s="10" t="str">
        <f ca="1">IFERROR(__xludf.DUMMYFUNCTION("""COMPUTED_VALUE"""),"membrane")</f>
        <v>membrane</v>
      </c>
      <c r="S93" s="82">
        <f ca="1">IFERROR(__xludf.DUMMYFUNCTION("""COMPUTED_VALUE"""),488)</f>
        <v>488</v>
      </c>
      <c r="T93" s="10"/>
      <c r="U93" s="10"/>
      <c r="V93" s="10"/>
      <c r="W93" s="10"/>
      <c r="X93" s="10"/>
    </row>
    <row r="94" spans="1:24" ht="15.75" customHeight="1" x14ac:dyDescent="0.15">
      <c r="B94" s="1" t="str">
        <f ca="1">IFERROR(__xludf.DUMMYFUNCTION("IFERROR(JOIN("","", UNIQUE(filter({VLOOKUP(A94,C:X,13, FALSE); VLOOKUP(A94,C:X,15, FALSE); VLOOKUP(A94,C:X,17, FALSE); VLOOKUP(A94,C:X,19, FALSE)}, {VLOOKUP(A94,C:X,13, FALSE); VLOOKUP(A94,C:X,15, FALSE); VLOOKUP(A94,C:X,17, FALSE); VLOOKUP(A94,C:X,19, FA"&amp;"LSE)}&lt;&gt;""""))), """")"),"")</f>
        <v/>
      </c>
      <c r="C94" s="77" t="str">
        <f t="shared" ca="1" si="2"/>
        <v>heatshock PhiC (F1 of allele 334)</v>
      </c>
      <c r="D94" s="78" t="str">
        <f t="shared" ca="1" si="1"/>
        <v>(F1 of allele 334)</v>
      </c>
      <c r="E94" s="78" t="str">
        <f ca="1">IFERROR(__xludf.DUMMYFUNCTION("IFERROR(REGEXEXTRACT(N94, ""F\d+""), ""F1"")"),"F1")</f>
        <v>F1</v>
      </c>
      <c r="F94" s="10" t="str">
        <f ca="1">IFERROR(__xludf.DUMMYFUNCTION("""COMPUTED_VALUE"""),"heatshock PhiC")</f>
        <v>heatshock PhiC</v>
      </c>
      <c r="G94" s="10" t="str">
        <f ca="1">IFERROR(__xludf.DUMMYFUNCTION("""COMPUTED_VALUE"""),"hsp:PhiC-NLS;exorh:mScarlet")</f>
        <v>hsp:PhiC-NLS;exorh:mScarlet</v>
      </c>
      <c r="H94" s="80">
        <f ca="1">IFERROR(__xludf.DUMMYFUNCTION("""COMPUTED_VALUE"""),45764)</f>
        <v>45764</v>
      </c>
      <c r="I94" s="10" t="str">
        <f ca="1">IFERROR(__xludf.DUMMYFUNCTION("""COMPUTED_VALUE"""),"pDQM112")</f>
        <v>pDQM112</v>
      </c>
      <c r="J94" s="10" t="str">
        <f ca="1">IFERROR(__xludf.DUMMYFUNCTION("""COMPUTED_VALUE"""),"tol2")</f>
        <v>tol2</v>
      </c>
      <c r="K94" s="10">
        <f ca="1">IFERROR(__xludf.DUMMYFUNCTION("""COMPUTED_VALUE"""),334)</f>
        <v>334</v>
      </c>
      <c r="L94" s="10" t="str">
        <f ca="1">IFERROR(__xludf.DUMMYFUNCTION("""COMPUTED_VALUE"""),"301/casper")</f>
        <v>301/casper</v>
      </c>
      <c r="M94" s="80">
        <f ca="1">IFERROR(__xludf.DUMMYFUNCTION("""COMPUTED_VALUE"""),45854)</f>
        <v>45854</v>
      </c>
      <c r="N94" s="10">
        <f ca="1">IFERROR(__xludf.DUMMYFUNCTION("""COMPUTED_VALUE"""),301)</f>
        <v>301</v>
      </c>
      <c r="O94" s="10">
        <f ca="1">IFERROR(__xludf.DUMMYFUNCTION("""COMPUTED_VALUE"""),301)</f>
        <v>301</v>
      </c>
      <c r="P94" s="81" t="str">
        <f ca="1">IFERROR(__xludf.DUMMYFUNCTION("""COMPUTED_VALUE"""),"P0_founder")</f>
        <v>P0_founder</v>
      </c>
      <c r="Q94" s="10" t="str">
        <f ca="1">IFERROR(__xludf.DUMMYFUNCTION("""COMPUTED_VALUE"""),"founder male #1 (high hit rate, but not expressing phiC? multiple heat shock experiments have not worked)")</f>
        <v>founder male #1 (high hit rate, but not expressing phiC? multiple heat shock experiments have not worked)</v>
      </c>
      <c r="R94" s="10" t="str">
        <f ca="1">IFERROR(__xludf.DUMMYFUNCTION("""COMPUTED_VALUE"""),"membrane")</f>
        <v>membrane</v>
      </c>
      <c r="S94" s="82">
        <f ca="1">IFERROR(__xludf.DUMMYFUNCTION("""COMPUTED_VALUE"""),488)</f>
        <v>488</v>
      </c>
      <c r="T94" s="10"/>
      <c r="U94" s="10"/>
      <c r="V94" s="10"/>
      <c r="W94" s="10"/>
      <c r="X94" s="10"/>
    </row>
    <row r="95" spans="1:24" ht="15.75" customHeight="1" x14ac:dyDescent="0.15">
      <c r="B95" s="1" t="str">
        <f ca="1">IFERROR(__xludf.DUMMYFUNCTION("IFERROR(JOIN("","", UNIQUE(filter({VLOOKUP(A95,C:X,13, FALSE); VLOOKUP(A95,C:X,15, FALSE); VLOOKUP(A95,C:X,17, FALSE); VLOOKUP(A95,C:X,19, FALSE)}, {VLOOKUP(A95,C:X,13, FALSE); VLOOKUP(A95,C:X,15, FALSE); VLOOKUP(A95,C:X,17, FALSE); VLOOKUP(A95,C:X,19, FA"&amp;"LSE)}&lt;&gt;""""))), """")"),"")</f>
        <v/>
      </c>
      <c r="C95" s="77" t="str">
        <f t="shared" ca="1" si="2"/>
        <v>heatshock PhiC (F1 of allele 334)</v>
      </c>
      <c r="D95" s="78" t="str">
        <f t="shared" ca="1" si="1"/>
        <v>(F1 of allele 334)</v>
      </c>
      <c r="E95" s="78" t="str">
        <f ca="1">IFERROR(__xludf.DUMMYFUNCTION("IFERROR(REGEXEXTRACT(N95, ""F\d+""), ""F1"")"),"F1")</f>
        <v>F1</v>
      </c>
      <c r="F95" s="10" t="str">
        <f ca="1">IFERROR(__xludf.DUMMYFUNCTION("""COMPUTED_VALUE"""),"heatshock PhiC")</f>
        <v>heatshock PhiC</v>
      </c>
      <c r="G95" s="10" t="str">
        <f ca="1">IFERROR(__xludf.DUMMYFUNCTION("""COMPUTED_VALUE"""),"hsp:PhiC-NLS;exorh:mScarlet")</f>
        <v>hsp:PhiC-NLS;exorh:mScarlet</v>
      </c>
      <c r="H95" s="80">
        <f ca="1">IFERROR(__xludf.DUMMYFUNCTION("""COMPUTED_VALUE"""),45804)</f>
        <v>45804</v>
      </c>
      <c r="I95" s="10" t="str">
        <f ca="1">IFERROR(__xludf.DUMMYFUNCTION("""COMPUTED_VALUE"""),"pDQM112")</f>
        <v>pDQM112</v>
      </c>
      <c r="J95" s="10" t="str">
        <f ca="1">IFERROR(__xludf.DUMMYFUNCTION("""COMPUTED_VALUE"""),"tol2")</f>
        <v>tol2</v>
      </c>
      <c r="K95" s="10">
        <f ca="1">IFERROR(__xludf.DUMMYFUNCTION("""COMPUTED_VALUE"""),334)</f>
        <v>334</v>
      </c>
      <c r="L95" s="10" t="str">
        <f ca="1">IFERROR(__xludf.DUMMYFUNCTION("""COMPUTED_VALUE"""),"301/casper")</f>
        <v>301/casper</v>
      </c>
      <c r="M95" s="80">
        <f ca="1">IFERROR(__xludf.DUMMYFUNCTION("""COMPUTED_VALUE"""),45894)</f>
        <v>45894</v>
      </c>
      <c r="N95" s="10">
        <f ca="1">IFERROR(__xludf.DUMMYFUNCTION("""COMPUTED_VALUE"""),301)</f>
        <v>301</v>
      </c>
      <c r="O95" s="10">
        <f ca="1">IFERROR(__xludf.DUMMYFUNCTION("""COMPUTED_VALUE"""),334)</f>
        <v>334</v>
      </c>
      <c r="P95" s="81" t="str">
        <f ca="1">IFERROR(__xludf.DUMMYFUNCTION("""COMPUTED_VALUE"""),"F1_ox")</f>
        <v>F1_ox</v>
      </c>
      <c r="Q95" s="10" t="str">
        <f ca="1">IFERROR(__xludf.DUMMYFUNCTION("""COMPUTED_VALUE"""),"F1s ox to mem:SG of male #1")</f>
        <v>F1s ox to mem:SG of male #1</v>
      </c>
      <c r="R95" s="10" t="str">
        <f ca="1">IFERROR(__xludf.DUMMYFUNCTION("""COMPUTED_VALUE"""),"membrane")</f>
        <v>membrane</v>
      </c>
      <c r="S95" s="82">
        <f ca="1">IFERROR(__xludf.DUMMYFUNCTION("""COMPUTED_VALUE"""),488)</f>
        <v>488</v>
      </c>
      <c r="T95" s="10"/>
      <c r="U95" s="10"/>
      <c r="V95" s="10"/>
      <c r="W95" s="10"/>
      <c r="X95" s="10"/>
    </row>
    <row r="96" spans="1:24" ht="15.75" customHeight="1" x14ac:dyDescent="0.15">
      <c r="B96" s="1" t="str">
        <f ca="1">IFERROR(__xludf.DUMMYFUNCTION("IFERROR(JOIN("","", UNIQUE(filter({VLOOKUP(A96,C:X,13, FALSE); VLOOKUP(A96,C:X,15, FALSE); VLOOKUP(A96,C:X,17, FALSE); VLOOKUP(A96,C:X,19, FALSE)}, {VLOOKUP(A96,C:X,13, FALSE); VLOOKUP(A96,C:X,15, FALSE); VLOOKUP(A96,C:X,17, FALSE); VLOOKUP(A96,C:X,19, FA"&amp;"LSE)}&lt;&gt;""""))), """")"),"")</f>
        <v/>
      </c>
      <c r="C96" s="77" t="str">
        <f t="shared" ca="1" si="2"/>
        <v>heatshock PhiC (F1 of allele 335)</v>
      </c>
      <c r="D96" s="78" t="str">
        <f t="shared" ca="1" si="1"/>
        <v>(F1 of allele 335)</v>
      </c>
      <c r="E96" s="78" t="str">
        <f ca="1">IFERROR(__xludf.DUMMYFUNCTION("IFERROR(REGEXEXTRACT(N96, ""F\d+""), ""F1"")"),"F1")</f>
        <v>F1</v>
      </c>
      <c r="F96" s="10" t="str">
        <f ca="1">IFERROR(__xludf.DUMMYFUNCTION("""COMPUTED_VALUE"""),"heatshock PhiC")</f>
        <v>heatshock PhiC</v>
      </c>
      <c r="G96" s="10" t="str">
        <f ca="1">IFERROR(__xludf.DUMMYFUNCTION("""COMPUTED_VALUE"""),"hsp:PhiC-NLS;exorh:mScarlet")</f>
        <v>hsp:PhiC-NLS;exorh:mScarlet</v>
      </c>
      <c r="H96" s="80">
        <f ca="1">IFERROR(__xludf.DUMMYFUNCTION("""COMPUTED_VALUE"""),45804)</f>
        <v>45804</v>
      </c>
      <c r="I96" s="10" t="str">
        <f ca="1">IFERROR(__xludf.DUMMYFUNCTION("""COMPUTED_VALUE"""),"pDQM112")</f>
        <v>pDQM112</v>
      </c>
      <c r="J96" s="10" t="str">
        <f ca="1">IFERROR(__xludf.DUMMYFUNCTION("""COMPUTED_VALUE"""),"tol2")</f>
        <v>tol2</v>
      </c>
      <c r="K96" s="10">
        <f ca="1">IFERROR(__xludf.DUMMYFUNCTION("""COMPUTED_VALUE"""),335)</f>
        <v>335</v>
      </c>
      <c r="L96" s="10" t="str">
        <f ca="1">IFERROR(__xludf.DUMMYFUNCTION("""COMPUTED_VALUE"""),"301/casper")</f>
        <v>301/casper</v>
      </c>
      <c r="M96" s="80">
        <f ca="1">IFERROR(__xludf.DUMMYFUNCTION("""COMPUTED_VALUE"""),45894)</f>
        <v>45894</v>
      </c>
      <c r="N96" s="10">
        <f ca="1">IFERROR(__xludf.DUMMYFUNCTION("""COMPUTED_VALUE"""),301)</f>
        <v>301</v>
      </c>
      <c r="O96" s="10">
        <f ca="1">IFERROR(__xludf.DUMMYFUNCTION("""COMPUTED_VALUE"""),335)</f>
        <v>335</v>
      </c>
      <c r="P96" s="81" t="str">
        <f ca="1">IFERROR(__xludf.DUMMYFUNCTION("""COMPUTED_VALUE"""),"F1_ox")</f>
        <v>F1_ox</v>
      </c>
      <c r="Q96" s="10" t="str">
        <f ca="1">IFERROR(__xludf.DUMMYFUNCTION("""COMPUTED_VALUE"""),"F1s of male #3 outcrossed to 301 (mem:Sg)")</f>
        <v>F1s of male #3 outcrossed to 301 (mem:Sg)</v>
      </c>
      <c r="R96" s="10" t="str">
        <f ca="1">IFERROR(__xludf.DUMMYFUNCTION("""COMPUTED_VALUE"""),"membrane")</f>
        <v>membrane</v>
      </c>
      <c r="S96" s="82">
        <f ca="1">IFERROR(__xludf.DUMMYFUNCTION("""COMPUTED_VALUE"""),488)</f>
        <v>488</v>
      </c>
      <c r="T96" s="10"/>
      <c r="U96" s="10"/>
      <c r="V96" s="10"/>
      <c r="W96" s="10"/>
      <c r="X96" s="10"/>
    </row>
    <row r="97" spans="2:24" ht="15.75" customHeight="1" x14ac:dyDescent="0.15">
      <c r="B97" s="1" t="str">
        <f ca="1">IFERROR(__xludf.DUMMYFUNCTION("IFERROR(JOIN("","", UNIQUE(filter({VLOOKUP(A97,C:X,13, FALSE); VLOOKUP(A97,C:X,15, FALSE); VLOOKUP(A97,C:X,17, FALSE); VLOOKUP(A97,C:X,19, FALSE)}, {VLOOKUP(A97,C:X,13, FALSE); VLOOKUP(A97,C:X,15, FALSE); VLOOKUP(A97,C:X,17, FALSE); VLOOKUP(A97,C:X,19, FA"&amp;"LSE)}&lt;&gt;""""))), """")"),"")</f>
        <v/>
      </c>
      <c r="C97" s="77" t="str">
        <f t="shared" ca="1" si="2"/>
        <v xml:space="preserve"> (F1 of allele )</v>
      </c>
      <c r="D97" s="78">
        <f t="shared" si="1"/>
        <v>0</v>
      </c>
      <c r="E97" s="78" t="str">
        <f ca="1">IFERROR(__xludf.DUMMYFUNCTION("IFERROR(REGEXEXTRACT(N97, ""F\d+""), ""F1"")"),"F1")</f>
        <v>F1</v>
      </c>
      <c r="F97" s="10"/>
      <c r="G97" s="10" t="str">
        <f ca="1">IFERROR(__xludf.DUMMYFUNCTION("""COMPUTED_VALUE"""),"ef1a:2xLynk:tdmSG:tPT2A:tdmScarlet3-S2:H2B")</f>
        <v>ef1a:2xLynk:tdmSG:tPT2A:tdmScarlet3-S2:H2B</v>
      </c>
      <c r="H97" s="10"/>
      <c r="I97" s="10" t="str">
        <f ca="1">IFERROR(__xludf.DUMMYFUNCTION("""COMPUTED_VALUE"""),"pDQM125")</f>
        <v>pDQM125</v>
      </c>
      <c r="J97" s="10" t="str">
        <f ca="1">IFERROR(__xludf.DUMMYFUNCTION("""COMPUTED_VALUE"""),"tol2")</f>
        <v>tol2</v>
      </c>
      <c r="K97" s="10"/>
      <c r="L97" s="10" t="str">
        <f ca="1">IFERROR(__xludf.DUMMYFUNCTION("""COMPUTED_VALUE"""),"casper")</f>
        <v>casper</v>
      </c>
      <c r="M97" s="10"/>
      <c r="N97" s="10" t="str">
        <f ca="1">IFERROR(__xludf.DUMMYFUNCTION("""COMPUTED_VALUE"""),"csp")</f>
        <v>csp</v>
      </c>
      <c r="O97" s="10" t="str">
        <f ca="1">IFERROR(__xludf.DUMMYFUNCTION("""COMPUTED_VALUE"""),"csp")</f>
        <v>csp</v>
      </c>
      <c r="P97" s="81" t="str">
        <f ca="1">IFERROR(__xludf.DUMMYFUNCTION("""COMPUTED_VALUE"""),"potential_founders")</f>
        <v>potential_founders</v>
      </c>
      <c r="Q97" s="10" t="str">
        <f ca="1">IFERROR(__xludf.DUMMYFUNCTION("""COMPUTED_VALUE"""),"1 tank started")</f>
        <v>1 tank started</v>
      </c>
      <c r="R97" s="10"/>
      <c r="S97" s="10"/>
      <c r="T97" s="10"/>
      <c r="U97" s="10"/>
      <c r="V97" s="10"/>
      <c r="W97" s="10"/>
      <c r="X97" s="10"/>
    </row>
    <row r="98" spans="2:24" ht="15.75" customHeight="1" x14ac:dyDescent="0.15">
      <c r="B98" s="1" t="str">
        <f ca="1">IFERROR(__xludf.DUMMYFUNCTION("IFERROR(JOIN("","", UNIQUE(filter({VLOOKUP(A98,C:X,13, FALSE); VLOOKUP(A98,C:X,15, FALSE); VLOOKUP(A98,C:X,17, FALSE); VLOOKUP(A98,C:X,19, FALSE)}, {VLOOKUP(A98,C:X,13, FALSE); VLOOKUP(A98,C:X,15, FALSE); VLOOKUP(A98,C:X,17, FALSE); VLOOKUP(A98,C:X,19, FA"&amp;"LSE)}&lt;&gt;""""))), """")"),"")</f>
        <v/>
      </c>
      <c r="C98" s="77" t="str">
        <f t="shared" ca="1" si="2"/>
        <v xml:space="preserve"> (F1 of allele 361)</v>
      </c>
      <c r="D98" s="78" t="str">
        <f t="shared" ca="1" si="1"/>
        <v>(F1 of allele 361)</v>
      </c>
      <c r="E98" s="78" t="str">
        <f ca="1">IFERROR(__xludf.DUMMYFUNCTION("IFERROR(REGEXEXTRACT(N98, ""F\d+""), ""F1"")"),"F1")</f>
        <v>F1</v>
      </c>
      <c r="F98" s="10"/>
      <c r="G98" s="10" t="str">
        <f ca="1">IFERROR(__xludf.DUMMYFUNCTION("""COMPUTED_VALUE"""),"ef1a-extended::2xLynk:tdmSG:tPT2A:tdmScarlet3-S2:H2B-tol2")</f>
        <v>ef1a-extended::2xLynk:tdmSG:tPT2A:tdmScarlet3-S2:H2B-tol2</v>
      </c>
      <c r="H98" s="10"/>
      <c r="I98" s="10" t="str">
        <f ca="1">IFERROR(__xludf.DUMMYFUNCTION("""COMPUTED_VALUE"""),"pDQM132")</f>
        <v>pDQM132</v>
      </c>
      <c r="J98" s="10" t="str">
        <f ca="1">IFERROR(__xludf.DUMMYFUNCTION("""COMPUTED_VALUE"""),"tol2")</f>
        <v>tol2</v>
      </c>
      <c r="K98" s="10">
        <f ca="1">IFERROR(__xludf.DUMMYFUNCTION("""COMPUTED_VALUE"""),361)</f>
        <v>361</v>
      </c>
      <c r="L98" s="10" t="str">
        <f ca="1">IFERROR(__xludf.DUMMYFUNCTION("""COMPUTED_VALUE"""),"casper")</f>
        <v>casper</v>
      </c>
      <c r="M98" s="10"/>
      <c r="N98" s="10" t="str">
        <f ca="1">IFERROR(__xludf.DUMMYFUNCTION("""COMPUTED_VALUE"""),"csp")</f>
        <v>csp</v>
      </c>
      <c r="O98" s="10" t="str">
        <f ca="1">IFERROR(__xludf.DUMMYFUNCTION("""COMPUTED_VALUE"""),"csp")</f>
        <v>csp</v>
      </c>
      <c r="P98" s="81" t="str">
        <f ca="1">IFERROR(__xludf.DUMMYFUNCTION("""COMPUTED_VALUE"""),"potential_founders")</f>
        <v>potential_founders</v>
      </c>
      <c r="Q98" s="10" t="str">
        <f ca="1">IFERROR(__xludf.DUMMYFUNCTION("""COMPUTED_VALUE"""),"1 tank started")</f>
        <v>1 tank started</v>
      </c>
      <c r="R98" s="10"/>
      <c r="S98" s="10"/>
      <c r="T98" s="10"/>
      <c r="U98" s="10"/>
      <c r="V98" s="10"/>
      <c r="W98" s="10"/>
      <c r="X98" s="10"/>
    </row>
    <row r="99" spans="2:24" ht="15.75" customHeight="1" x14ac:dyDescent="0.15">
      <c r="B99" s="1" t="str">
        <f ca="1">IFERROR(__xludf.DUMMYFUNCTION("IFERROR(JOIN("","", UNIQUE(filter({VLOOKUP(A99,C:X,13, FALSE); VLOOKUP(A99,C:X,15, FALSE); VLOOKUP(A99,C:X,17, FALSE); VLOOKUP(A99,C:X,19, FALSE)}, {VLOOKUP(A99,C:X,13, FALSE); VLOOKUP(A99,C:X,15, FALSE); VLOOKUP(A99,C:X,17, FALSE); VLOOKUP(A99,C:X,19, FA"&amp;"LSE)}&lt;&gt;""""))), """")"),"")</f>
        <v/>
      </c>
      <c r="C99" s="77" t="str">
        <f t="shared" ca="1" si="2"/>
        <v>Skittles 4.1 (F1 of allele )</v>
      </c>
      <c r="D99" s="78">
        <f t="shared" si="1"/>
        <v>0</v>
      </c>
      <c r="E99" s="78" t="str">
        <f ca="1">IFERROR(__xludf.DUMMYFUNCTION("IFERROR(REGEXEXTRACT(N99, ""F\d+""), ""F1"")"),"F1")</f>
        <v>F1</v>
      </c>
      <c r="F99" s="10" t="str">
        <f ca="1">IFERROR(__xludf.DUMMYFUNCTION("""COMPUTED_VALUE"""),"Skittles 4.1")</f>
        <v>Skittles 4.1</v>
      </c>
      <c r="G99" s="10" t="str">
        <f ca="1">IFERROR(__xludf.DUMMYFUNCTION("""COMPUTED_VALUE"""),"ef1a-ext:&lt;mem:mSG&gt;Halo/Electra2/mBeRFP/mScarlet3S2/mTFP1")</f>
        <v>ef1a-ext:&lt;mem:mSG&gt;Halo/Electra2/mBeRFP/mScarlet3S2/mTFP1</v>
      </c>
      <c r="H99" s="80">
        <f ca="1">IFERROR(__xludf.DUMMYFUNCTION("""COMPUTED_VALUE"""),45769)</f>
        <v>45769</v>
      </c>
      <c r="I99" s="10" t="str">
        <f ca="1">IFERROR(__xludf.DUMMYFUNCTION("""COMPUTED_VALUE"""),"pDQM137")</f>
        <v>pDQM137</v>
      </c>
      <c r="J99" s="10" t="str">
        <f ca="1">IFERROR(__xludf.DUMMYFUNCTION("""COMPUTED_VALUE"""),"tol2")</f>
        <v>tol2</v>
      </c>
      <c r="K99" s="10"/>
      <c r="L99" s="10" t="str">
        <f ca="1">IFERROR(__xludf.DUMMYFUNCTION("""COMPUTED_VALUE"""),"casper")</f>
        <v>casper</v>
      </c>
      <c r="M99" s="80">
        <f ca="1">IFERROR(__xludf.DUMMYFUNCTION("""COMPUTED_VALUE"""),45859)</f>
        <v>45859</v>
      </c>
      <c r="N99" s="10" t="str">
        <f ca="1">IFERROR(__xludf.DUMMYFUNCTION("""COMPUTED_VALUE"""),"csp")</f>
        <v>csp</v>
      </c>
      <c r="O99" s="10" t="str">
        <f ca="1">IFERROR(__xludf.DUMMYFUNCTION("""COMPUTED_VALUE"""),"csp")</f>
        <v>csp</v>
      </c>
      <c r="P99" s="81" t="str">
        <f ca="1">IFERROR(__xludf.DUMMYFUNCTION("""COMPUTED_VALUE"""),"potential_founders")</f>
        <v>potential_founders</v>
      </c>
      <c r="Q99" s="10" t="str">
        <f ca="1">IFERROR(__xludf.DUMMYFUNCTION("""COMPUTED_VALUE"""),"1 tank started, only ~10 fish survived @ 1 month, will inejct again to raise numbers")</f>
        <v>1 tank started, only ~10 fish survived @ 1 month, will inejct again to raise numbers</v>
      </c>
      <c r="R99" s="10" t="str">
        <f ca="1">IFERROR(__xludf.DUMMYFUNCTION("""COMPUTED_VALUE"""),"membrane")</f>
        <v>membrane</v>
      </c>
      <c r="S99" s="82">
        <f ca="1">IFERROR(__xludf.DUMMYFUNCTION("""COMPUTED_VALUE"""),488)</f>
        <v>488</v>
      </c>
      <c r="T99" s="10" t="str">
        <f ca="1">IFERROR(__xludf.DUMMYFUNCTION("""COMPUTED_VALUE"""),"cytosol")</f>
        <v>cytosol</v>
      </c>
      <c r="U99" s="82">
        <f ca="1">IFERROR(__xludf.DUMMYFUNCTION("""COMPUTED_VALUE"""),405)</f>
        <v>405</v>
      </c>
      <c r="V99" s="10" t="str">
        <f ca="1">IFERROR(__xludf.DUMMYFUNCTION("""COMPUTED_VALUE"""),"cytosol")</f>
        <v>cytosol</v>
      </c>
      <c r="W99" s="82">
        <f ca="1">IFERROR(__xludf.DUMMYFUNCTION("""COMPUTED_VALUE"""),445)</f>
        <v>445</v>
      </c>
      <c r="X99" s="10" t="str">
        <f ca="1">IFERROR(__xludf.DUMMYFUNCTION("""COMPUTED_VALUE"""),"cytosol")</f>
        <v>cytosol</v>
      </c>
    </row>
    <row r="100" spans="2:24" ht="15.75" customHeight="1" x14ac:dyDescent="0.15">
      <c r="B100" s="1" t="str">
        <f ca="1">IFERROR(__xludf.DUMMYFUNCTION("IFERROR(JOIN("","", UNIQUE(filter({VLOOKUP(A100,C:X,13, FALSE); VLOOKUP(A100,C:X,15, FALSE); VLOOKUP(A100,C:X,17, FALSE); VLOOKUP(A100,C:X,19, FALSE)}, {VLOOKUP(A100,C:X,13, FALSE); VLOOKUP(A100,C:X,15, FALSE); VLOOKUP(A100,C:X,17, FALSE); VLOOKUP(A100,C:"&amp;"X,19, FALSE)}&lt;&gt;""""))), """")"),"")</f>
        <v/>
      </c>
      <c r="C100" s="77" t="str">
        <f t="shared" ca="1" si="2"/>
        <v>Skittles 4.1 (F1 of allele 330)</v>
      </c>
      <c r="D100" s="78" t="str">
        <f t="shared" ca="1" si="1"/>
        <v>(F1 of allele 330)</v>
      </c>
      <c r="E100" s="78" t="str">
        <f ca="1">IFERROR(__xludf.DUMMYFUNCTION("IFERROR(REGEXEXTRACT(N100, ""F\d+""), ""F1"")"),"F1")</f>
        <v>F1</v>
      </c>
      <c r="F100" s="10" t="str">
        <f ca="1">IFERROR(__xludf.DUMMYFUNCTION("""COMPUTED_VALUE"""),"Skittles 4.1")</f>
        <v>Skittles 4.1</v>
      </c>
      <c r="G100" s="10" t="str">
        <f ca="1">IFERROR(__xludf.DUMMYFUNCTION("""COMPUTED_VALUE"""),"ef1a-ext:&lt;mem:mSG&gt;Halo/Electra2/mBeRFP/mScarlet3S2/mTFP1")</f>
        <v>ef1a-ext:&lt;mem:mSG&gt;Halo/Electra2/mBeRFP/mScarlet3S2/mTFP1</v>
      </c>
      <c r="H100" s="80">
        <f ca="1">IFERROR(__xludf.DUMMYFUNCTION("""COMPUTED_VALUE"""),45769)</f>
        <v>45769</v>
      </c>
      <c r="I100" s="10" t="str">
        <f ca="1">IFERROR(__xludf.DUMMYFUNCTION("""COMPUTED_VALUE"""),"pDQM137")</f>
        <v>pDQM137</v>
      </c>
      <c r="J100" s="10" t="str">
        <f ca="1">IFERROR(__xludf.DUMMYFUNCTION("""COMPUTED_VALUE"""),"tol2")</f>
        <v>tol2</v>
      </c>
      <c r="K100" s="10">
        <f ca="1">IFERROR(__xludf.DUMMYFUNCTION("""COMPUTED_VALUE"""),330)</f>
        <v>330</v>
      </c>
      <c r="L100" s="10" t="str">
        <f ca="1">IFERROR(__xludf.DUMMYFUNCTION("""COMPUTED_VALUE"""),"casper")</f>
        <v>casper</v>
      </c>
      <c r="M100" s="80">
        <f ca="1">IFERROR(__xludf.DUMMYFUNCTION("""COMPUTED_VALUE"""),45859)</f>
        <v>45859</v>
      </c>
      <c r="N100" s="10" t="str">
        <f ca="1">IFERROR(__xludf.DUMMYFUNCTION("""COMPUTED_VALUE"""),"csp")</f>
        <v>csp</v>
      </c>
      <c r="O100" s="10" t="str">
        <f ca="1">IFERROR(__xludf.DUMMYFUNCTION("""COMPUTED_VALUE"""),"csp")</f>
        <v>csp</v>
      </c>
      <c r="P100" s="81" t="str">
        <f ca="1">IFERROR(__xludf.DUMMYFUNCTION("""COMPUTED_VALUE"""),"P0_founder")</f>
        <v>P0_founder</v>
      </c>
      <c r="Q100" s="10" t="str">
        <f ca="1">IFERROR(__xludf.DUMMYFUNCTION("""COMPUTED_VALUE"""),"male #1 - low hit rate founder, not super bright")</f>
        <v>male #1 - low hit rate founder, not super bright</v>
      </c>
      <c r="R100" s="10" t="str">
        <f ca="1">IFERROR(__xludf.DUMMYFUNCTION("""COMPUTED_VALUE"""),"membrane")</f>
        <v>membrane</v>
      </c>
      <c r="S100" s="82">
        <f ca="1">IFERROR(__xludf.DUMMYFUNCTION("""COMPUTED_VALUE"""),488)</f>
        <v>488</v>
      </c>
      <c r="T100" s="10" t="str">
        <f ca="1">IFERROR(__xludf.DUMMYFUNCTION("""COMPUTED_VALUE"""),"cytosol")</f>
        <v>cytosol</v>
      </c>
      <c r="U100" s="82">
        <f ca="1">IFERROR(__xludf.DUMMYFUNCTION("""COMPUTED_VALUE"""),405)</f>
        <v>405</v>
      </c>
      <c r="V100" s="10" t="str">
        <f ca="1">IFERROR(__xludf.DUMMYFUNCTION("""COMPUTED_VALUE"""),"cytosol")</f>
        <v>cytosol</v>
      </c>
      <c r="W100" s="82">
        <f ca="1">IFERROR(__xludf.DUMMYFUNCTION("""COMPUTED_VALUE"""),445)</f>
        <v>445</v>
      </c>
      <c r="X100" s="10" t="str">
        <f ca="1">IFERROR(__xludf.DUMMYFUNCTION("""COMPUTED_VALUE"""),"cytosol")</f>
        <v>cytosol</v>
      </c>
    </row>
    <row r="101" spans="2:24" ht="15.75" customHeight="1" x14ac:dyDescent="0.15">
      <c r="B101" s="1" t="str">
        <f ca="1">IFERROR(__xludf.DUMMYFUNCTION("IFERROR(JOIN("","", UNIQUE(filter({VLOOKUP(A101,C:X,13, FALSE); VLOOKUP(A101,C:X,15, FALSE); VLOOKUP(A101,C:X,17, FALSE); VLOOKUP(A101,C:X,19, FALSE)}, {VLOOKUP(A101,C:X,13, FALSE); VLOOKUP(A101,C:X,15, FALSE); VLOOKUP(A101,C:X,17, FALSE); VLOOKUP(A101,C:"&amp;"X,19, FALSE)}&lt;&gt;""""))), """")"),"")</f>
        <v/>
      </c>
      <c r="C101" s="77" t="str">
        <f t="shared" ca="1" si="2"/>
        <v>Skittles 4.1 (F1 of allele 329)</v>
      </c>
      <c r="D101" s="78" t="str">
        <f t="shared" ca="1" si="1"/>
        <v>(F1 of allele 329)</v>
      </c>
      <c r="E101" s="78" t="str">
        <f ca="1">IFERROR(__xludf.DUMMYFUNCTION("IFERROR(REGEXEXTRACT(N101, ""F\d+""), ""F1"")"),"F1")</f>
        <v>F1</v>
      </c>
      <c r="F101" s="10" t="str">
        <f ca="1">IFERROR(__xludf.DUMMYFUNCTION("""COMPUTED_VALUE"""),"Skittles 4.1")</f>
        <v>Skittles 4.1</v>
      </c>
      <c r="G101" s="10" t="str">
        <f ca="1">IFERROR(__xludf.DUMMYFUNCTION("""COMPUTED_VALUE"""),"ef1a-ext:&lt;mem:mSG&gt;Halo/Electra2/mBeRFP/mScarlet3S2/mTFP1")</f>
        <v>ef1a-ext:&lt;mem:mSG&gt;Halo/Electra2/mBeRFP/mScarlet3S2/mTFP1</v>
      </c>
      <c r="H101" s="80">
        <f ca="1">IFERROR(__xludf.DUMMYFUNCTION("""COMPUTED_VALUE"""),45769)</f>
        <v>45769</v>
      </c>
      <c r="I101" s="10" t="str">
        <f ca="1">IFERROR(__xludf.DUMMYFUNCTION("""COMPUTED_VALUE"""),"pDQM137")</f>
        <v>pDQM137</v>
      </c>
      <c r="J101" s="10" t="str">
        <f ca="1">IFERROR(__xludf.DUMMYFUNCTION("""COMPUTED_VALUE"""),"tol2")</f>
        <v>tol2</v>
      </c>
      <c r="K101" s="10">
        <f ca="1">IFERROR(__xludf.DUMMYFUNCTION("""COMPUTED_VALUE"""),329)</f>
        <v>329</v>
      </c>
      <c r="L101" s="10" t="str">
        <f ca="1">IFERROR(__xludf.DUMMYFUNCTION("""COMPUTED_VALUE"""),"casper")</f>
        <v>casper</v>
      </c>
      <c r="M101" s="80">
        <f ca="1">IFERROR(__xludf.DUMMYFUNCTION("""COMPUTED_VALUE"""),45859)</f>
        <v>45859</v>
      </c>
      <c r="N101" s="10" t="str">
        <f ca="1">IFERROR(__xludf.DUMMYFUNCTION("""COMPUTED_VALUE"""),"csp")</f>
        <v>csp</v>
      </c>
      <c r="O101" s="10" t="str">
        <f ca="1">IFERROR(__xludf.DUMMYFUNCTION("""COMPUTED_VALUE"""),"csp")</f>
        <v>csp</v>
      </c>
      <c r="P101" s="81" t="str">
        <f ca="1">IFERROR(__xludf.DUMMYFUNCTION("""COMPUTED_VALUE"""),"P0_founder")</f>
        <v>P0_founder</v>
      </c>
      <c r="Q101" s="10" t="str">
        <f ca="1">IFERROR(__xludf.DUMMYFUNCTION("""COMPUTED_VALUE"""),"male #2 multiple alleles, good founder (?) but not super bright")</f>
        <v>male #2 multiple alleles, good founder (?) but not super bright</v>
      </c>
      <c r="R101" s="10" t="str">
        <f ca="1">IFERROR(__xludf.DUMMYFUNCTION("""COMPUTED_VALUE"""),"membrane")</f>
        <v>membrane</v>
      </c>
      <c r="S101" s="82">
        <f ca="1">IFERROR(__xludf.DUMMYFUNCTION("""COMPUTED_VALUE"""),488)</f>
        <v>488</v>
      </c>
      <c r="T101" s="10" t="str">
        <f ca="1">IFERROR(__xludf.DUMMYFUNCTION("""COMPUTED_VALUE"""),"cytosol")</f>
        <v>cytosol</v>
      </c>
      <c r="U101" s="82">
        <f ca="1">IFERROR(__xludf.DUMMYFUNCTION("""COMPUTED_VALUE"""),405)</f>
        <v>405</v>
      </c>
      <c r="V101" s="10" t="str">
        <f ca="1">IFERROR(__xludf.DUMMYFUNCTION("""COMPUTED_VALUE"""),"cytosol")</f>
        <v>cytosol</v>
      </c>
      <c r="W101" s="82">
        <f ca="1">IFERROR(__xludf.DUMMYFUNCTION("""COMPUTED_VALUE"""),445)</f>
        <v>445</v>
      </c>
      <c r="X101" s="10" t="str">
        <f ca="1">IFERROR(__xludf.DUMMYFUNCTION("""COMPUTED_VALUE"""),"cytosol")</f>
        <v>cytosol</v>
      </c>
    </row>
    <row r="102" spans="2:24" ht="15.75" customHeight="1" x14ac:dyDescent="0.15">
      <c r="B102" s="1" t="str">
        <f ca="1">IFERROR(__xludf.DUMMYFUNCTION("IFERROR(JOIN("","", UNIQUE(filter({VLOOKUP(A102,C:X,13, FALSE); VLOOKUP(A102,C:X,15, FALSE); VLOOKUP(A102,C:X,17, FALSE); VLOOKUP(A102,C:X,19, FALSE)}, {VLOOKUP(A102,C:X,13, FALSE); VLOOKUP(A102,C:X,15, FALSE); VLOOKUP(A102,C:X,17, FALSE); VLOOKUP(A102,C:"&amp;"X,19, FALSE)}&lt;&gt;""""))), """")"),"")</f>
        <v/>
      </c>
      <c r="C102" s="77" t="str">
        <f t="shared" ca="1" si="2"/>
        <v>Skittles 4.1 (F1 of allele 329)</v>
      </c>
      <c r="D102" s="78" t="str">
        <f t="shared" ca="1" si="1"/>
        <v>(F1 of allele 329)</v>
      </c>
      <c r="E102" s="78" t="str">
        <f ca="1">IFERROR(__xludf.DUMMYFUNCTION("IFERROR(REGEXEXTRACT(N102, ""F\d+""), ""F1"")"),"F1")</f>
        <v>F1</v>
      </c>
      <c r="F102" s="10" t="str">
        <f ca="1">IFERROR(__xludf.DUMMYFUNCTION("""COMPUTED_VALUE"""),"Skittles 4.1")</f>
        <v>Skittles 4.1</v>
      </c>
      <c r="G102" s="10" t="str">
        <f ca="1">IFERROR(__xludf.DUMMYFUNCTION("""COMPUTED_VALUE"""),"ef1a-ext:&lt;mem:mSG&gt;Halo/Electra2/mBeRFP/mScarlet3S2/mTFP1")</f>
        <v>ef1a-ext:&lt;mem:mSG&gt;Halo/Electra2/mBeRFP/mScarlet3S2/mTFP1</v>
      </c>
      <c r="H102" s="80">
        <f ca="1">IFERROR(__xludf.DUMMYFUNCTION("""COMPUTED_VALUE"""),45888)</f>
        <v>45888</v>
      </c>
      <c r="I102" s="10" t="str">
        <f ca="1">IFERROR(__xludf.DUMMYFUNCTION("""COMPUTED_VALUE"""),"pDQM137")</f>
        <v>pDQM137</v>
      </c>
      <c r="J102" s="10" t="str">
        <f ca="1">IFERROR(__xludf.DUMMYFUNCTION("""COMPUTED_VALUE"""),"tol2")</f>
        <v>tol2</v>
      </c>
      <c r="K102" s="10">
        <f ca="1">IFERROR(__xludf.DUMMYFUNCTION("""COMPUTED_VALUE"""),329)</f>
        <v>329</v>
      </c>
      <c r="L102" s="10" t="str">
        <f ca="1">IFERROR(__xludf.DUMMYFUNCTION("""COMPUTED_VALUE"""),"casper")</f>
        <v>casper</v>
      </c>
      <c r="M102" s="80">
        <f ca="1">IFERROR(__xludf.DUMMYFUNCTION("""COMPUTED_VALUE"""),45978)</f>
        <v>45978</v>
      </c>
      <c r="N102" s="10" t="str">
        <f ca="1">IFERROR(__xludf.DUMMYFUNCTION("""COMPUTED_VALUE"""),"csp")</f>
        <v>csp</v>
      </c>
      <c r="O102" s="10">
        <f ca="1">IFERROR(__xludf.DUMMYFUNCTION("""COMPUTED_VALUE"""),329)</f>
        <v>329</v>
      </c>
      <c r="P102" s="81" t="str">
        <f ca="1">IFERROR(__xludf.DUMMYFUNCTION("""COMPUTED_VALUE"""),"F1_ox")</f>
        <v>F1_ox</v>
      </c>
      <c r="Q102" s="10" t="str">
        <f ca="1">IFERROR(__xludf.DUMMYFUNCTION("""COMPUTED_VALUE"""),"F1s of male #2 multiple alleles, good founder (?) but not super bright")</f>
        <v>F1s of male #2 multiple alleles, good founder (?) but not super bright</v>
      </c>
      <c r="R102" s="10" t="str">
        <f ca="1">IFERROR(__xludf.DUMMYFUNCTION("""COMPUTED_VALUE"""),"membrane")</f>
        <v>membrane</v>
      </c>
      <c r="S102" s="82">
        <f ca="1">IFERROR(__xludf.DUMMYFUNCTION("""COMPUTED_VALUE"""),488)</f>
        <v>488</v>
      </c>
      <c r="T102" s="10" t="str">
        <f ca="1">IFERROR(__xludf.DUMMYFUNCTION("""COMPUTED_VALUE"""),"cytosol")</f>
        <v>cytosol</v>
      </c>
      <c r="U102" s="82">
        <f ca="1">IFERROR(__xludf.DUMMYFUNCTION("""COMPUTED_VALUE"""),405)</f>
        <v>405</v>
      </c>
      <c r="V102" s="10" t="str">
        <f ca="1">IFERROR(__xludf.DUMMYFUNCTION("""COMPUTED_VALUE"""),"cytosol")</f>
        <v>cytosol</v>
      </c>
      <c r="W102" s="82">
        <f ca="1">IFERROR(__xludf.DUMMYFUNCTION("""COMPUTED_VALUE"""),445)</f>
        <v>445</v>
      </c>
      <c r="X102" s="10" t="str">
        <f ca="1">IFERROR(__xludf.DUMMYFUNCTION("""COMPUTED_VALUE"""),"cytosol")</f>
        <v>cytosol</v>
      </c>
    </row>
    <row r="103" spans="2:24" ht="15.75" customHeight="1" x14ac:dyDescent="0.15">
      <c r="B103" s="1" t="str">
        <f ca="1">IFERROR(__xludf.DUMMYFUNCTION("IFERROR(JOIN("","", UNIQUE(filter({VLOOKUP(A103,C:X,13, FALSE); VLOOKUP(A103,C:X,15, FALSE); VLOOKUP(A103,C:X,17, FALSE); VLOOKUP(A103,C:X,19, FALSE)}, {VLOOKUP(A103,C:X,13, FALSE); VLOOKUP(A103,C:X,15, FALSE); VLOOKUP(A103,C:X,17, FALSE); VLOOKUP(A103,C:"&amp;"X,19, FALSE)}&lt;&gt;""""))), """")"),"")</f>
        <v/>
      </c>
      <c r="C103" s="77" t="str">
        <f t="shared" ca="1" si="2"/>
        <v>Skittles 4.1 (F1 of allele 331)</v>
      </c>
      <c r="D103" s="78" t="str">
        <f t="shared" ca="1" si="1"/>
        <v>(F1 of allele 331)</v>
      </c>
      <c r="E103" s="78" t="str">
        <f ca="1">IFERROR(__xludf.DUMMYFUNCTION("IFERROR(REGEXEXTRACT(N103, ""F\d+""), ""F1"")"),"F1")</f>
        <v>F1</v>
      </c>
      <c r="F103" s="10" t="str">
        <f ca="1">IFERROR(__xludf.DUMMYFUNCTION("""COMPUTED_VALUE"""),"Skittles 4.1")</f>
        <v>Skittles 4.1</v>
      </c>
      <c r="G103" s="10" t="str">
        <f ca="1">IFERROR(__xludf.DUMMYFUNCTION("""COMPUTED_VALUE"""),"ef1a-ext:&lt;mem:mSG&gt;Halo/Electra2/mBeRFP/mScarlet3S2/mTFP1")</f>
        <v>ef1a-ext:&lt;mem:mSG&gt;Halo/Electra2/mBeRFP/mScarlet3S2/mTFP1</v>
      </c>
      <c r="H103" s="80">
        <f ca="1">IFERROR(__xludf.DUMMYFUNCTION("""COMPUTED_VALUE"""),45769)</f>
        <v>45769</v>
      </c>
      <c r="I103" s="10" t="str">
        <f ca="1">IFERROR(__xludf.DUMMYFUNCTION("""COMPUTED_VALUE"""),"pDQM137")</f>
        <v>pDQM137</v>
      </c>
      <c r="J103" s="10" t="str">
        <f ca="1">IFERROR(__xludf.DUMMYFUNCTION("""COMPUTED_VALUE"""),"tol2")</f>
        <v>tol2</v>
      </c>
      <c r="K103" s="10">
        <f ca="1">IFERROR(__xludf.DUMMYFUNCTION("""COMPUTED_VALUE"""),331)</f>
        <v>331</v>
      </c>
      <c r="L103" s="10" t="str">
        <f ca="1">IFERROR(__xludf.DUMMYFUNCTION("""COMPUTED_VALUE"""),"casper")</f>
        <v>casper</v>
      </c>
      <c r="M103" s="80">
        <f ca="1">IFERROR(__xludf.DUMMYFUNCTION("""COMPUTED_VALUE"""),45859)</f>
        <v>45859</v>
      </c>
      <c r="N103" s="10" t="str">
        <f ca="1">IFERROR(__xludf.DUMMYFUNCTION("""COMPUTED_VALUE"""),"csp")</f>
        <v>csp</v>
      </c>
      <c r="O103" s="10" t="str">
        <f ca="1">IFERROR(__xludf.DUMMYFUNCTION("""COMPUTED_VALUE"""),"csp")</f>
        <v>csp</v>
      </c>
      <c r="P103" s="81" t="str">
        <f ca="1">IFERROR(__xludf.DUMMYFUNCTION("""COMPUTED_VALUE"""),"P0_founder")</f>
        <v>P0_founder</v>
      </c>
      <c r="Q103" s="10" t="str">
        <f ca="1">IFERROR(__xludf.DUMMYFUNCTION("""COMPUTED_VALUE"""),"male #4 low hit rate founder, not super bright")</f>
        <v>male #4 low hit rate founder, not super bright</v>
      </c>
      <c r="R103" s="10" t="str">
        <f ca="1">IFERROR(__xludf.DUMMYFUNCTION("""COMPUTED_VALUE"""),"membrane")</f>
        <v>membrane</v>
      </c>
      <c r="S103" s="82">
        <f ca="1">IFERROR(__xludf.DUMMYFUNCTION("""COMPUTED_VALUE"""),488)</f>
        <v>488</v>
      </c>
      <c r="T103" s="10" t="str">
        <f ca="1">IFERROR(__xludf.DUMMYFUNCTION("""COMPUTED_VALUE"""),"cytosol")</f>
        <v>cytosol</v>
      </c>
      <c r="U103" s="82">
        <f ca="1">IFERROR(__xludf.DUMMYFUNCTION("""COMPUTED_VALUE"""),405)</f>
        <v>405</v>
      </c>
      <c r="V103" s="10" t="str">
        <f ca="1">IFERROR(__xludf.DUMMYFUNCTION("""COMPUTED_VALUE"""),"cytosol")</f>
        <v>cytosol</v>
      </c>
      <c r="W103" s="82">
        <f ca="1">IFERROR(__xludf.DUMMYFUNCTION("""COMPUTED_VALUE"""),445)</f>
        <v>445</v>
      </c>
      <c r="X103" s="10" t="str">
        <f ca="1">IFERROR(__xludf.DUMMYFUNCTION("""COMPUTED_VALUE"""),"cytosol")</f>
        <v>cytosol</v>
      </c>
    </row>
    <row r="104" spans="2:24" ht="15.75" customHeight="1" x14ac:dyDescent="0.15">
      <c r="B104" s="1" t="str">
        <f ca="1">IFERROR(__xludf.DUMMYFUNCTION("IFERROR(JOIN("","", UNIQUE(filter({VLOOKUP(A104,C:X,13, FALSE); VLOOKUP(A104,C:X,15, FALSE); VLOOKUP(A104,C:X,17, FALSE); VLOOKUP(A104,C:X,19, FALSE)}, {VLOOKUP(A104,C:X,13, FALSE); VLOOKUP(A104,C:X,15, FALSE); VLOOKUP(A104,C:X,17, FALSE); VLOOKUP(A104,C:"&amp;"X,19, FALSE)}&lt;&gt;""""))), """")"),"")</f>
        <v/>
      </c>
      <c r="C104" s="77" t="str">
        <f t="shared" ca="1" si="2"/>
        <v>Skittles 4.1 (F1 of allele 331)</v>
      </c>
      <c r="D104" s="78" t="str">
        <f t="shared" ca="1" si="1"/>
        <v>(F1 of allele 331)</v>
      </c>
      <c r="E104" s="78" t="str">
        <f ca="1">IFERROR(__xludf.DUMMYFUNCTION("IFERROR(REGEXEXTRACT(N104, ""F\d+""), ""F1"")"),"F1")</f>
        <v>F1</v>
      </c>
      <c r="F104" s="10" t="str">
        <f ca="1">IFERROR(__xludf.DUMMYFUNCTION("""COMPUTED_VALUE"""),"Skittles 4.1")</f>
        <v>Skittles 4.1</v>
      </c>
      <c r="G104" s="10" t="str">
        <f ca="1">IFERROR(__xludf.DUMMYFUNCTION("""COMPUTED_VALUE"""),"ef1a-ext:&lt;mem:mSG&gt;Halo/Electra2/mBeRFP/mScarlet3S2/mTFP1")</f>
        <v>ef1a-ext:&lt;mem:mSG&gt;Halo/Electra2/mBeRFP/mScarlet3S2/mTFP1</v>
      </c>
      <c r="H104" s="80">
        <f ca="1">IFERROR(__xludf.DUMMYFUNCTION("""COMPUTED_VALUE"""),45888)</f>
        <v>45888</v>
      </c>
      <c r="I104" s="10" t="str">
        <f ca="1">IFERROR(__xludf.DUMMYFUNCTION("""COMPUTED_VALUE"""),"pDQM137")</f>
        <v>pDQM137</v>
      </c>
      <c r="J104" s="10" t="str">
        <f ca="1">IFERROR(__xludf.DUMMYFUNCTION("""COMPUTED_VALUE"""),"tol2")</f>
        <v>tol2</v>
      </c>
      <c r="K104" s="10">
        <f ca="1">IFERROR(__xludf.DUMMYFUNCTION("""COMPUTED_VALUE"""),331)</f>
        <v>331</v>
      </c>
      <c r="L104" s="10" t="str">
        <f ca="1">IFERROR(__xludf.DUMMYFUNCTION("""COMPUTED_VALUE"""),"casper")</f>
        <v>casper</v>
      </c>
      <c r="M104" s="80">
        <f ca="1">IFERROR(__xludf.DUMMYFUNCTION("""COMPUTED_VALUE"""),45978)</f>
        <v>45978</v>
      </c>
      <c r="N104" s="10" t="str">
        <f ca="1">IFERROR(__xludf.DUMMYFUNCTION("""COMPUTED_VALUE"""),"csp")</f>
        <v>csp</v>
      </c>
      <c r="O104" s="10">
        <f ca="1">IFERROR(__xludf.DUMMYFUNCTION("""COMPUTED_VALUE"""),331)</f>
        <v>331</v>
      </c>
      <c r="P104" s="81" t="str">
        <f ca="1">IFERROR(__xludf.DUMMYFUNCTION("""COMPUTED_VALUE"""),"F1_ox")</f>
        <v>F1_ox</v>
      </c>
      <c r="Q104" s="10" t="str">
        <f ca="1">IFERROR(__xludf.DUMMYFUNCTION("""COMPUTED_VALUE"""),"F1s of male #4 low hit rate founder, not super bright")</f>
        <v>F1s of male #4 low hit rate founder, not super bright</v>
      </c>
      <c r="R104" s="10" t="str">
        <f ca="1">IFERROR(__xludf.DUMMYFUNCTION("""COMPUTED_VALUE"""),"membrane")</f>
        <v>membrane</v>
      </c>
      <c r="S104" s="82">
        <f ca="1">IFERROR(__xludf.DUMMYFUNCTION("""COMPUTED_VALUE"""),488)</f>
        <v>488</v>
      </c>
      <c r="T104" s="10" t="str">
        <f ca="1">IFERROR(__xludf.DUMMYFUNCTION("""COMPUTED_VALUE"""),"cytosol")</f>
        <v>cytosol</v>
      </c>
      <c r="U104" s="82">
        <f ca="1">IFERROR(__xludf.DUMMYFUNCTION("""COMPUTED_VALUE"""),405)</f>
        <v>405</v>
      </c>
      <c r="V104" s="10" t="str">
        <f ca="1">IFERROR(__xludf.DUMMYFUNCTION("""COMPUTED_VALUE"""),"cytosol")</f>
        <v>cytosol</v>
      </c>
      <c r="W104" s="82">
        <f ca="1">IFERROR(__xludf.DUMMYFUNCTION("""COMPUTED_VALUE"""),445)</f>
        <v>445</v>
      </c>
      <c r="X104" s="10" t="str">
        <f ca="1">IFERROR(__xludf.DUMMYFUNCTION("""COMPUTED_VALUE"""),"cytosol")</f>
        <v>cytosol</v>
      </c>
    </row>
    <row r="105" spans="2:24" ht="15.75" customHeight="1" x14ac:dyDescent="0.15">
      <c r="B105" s="1" t="str">
        <f ca="1">IFERROR(__xludf.DUMMYFUNCTION("IFERROR(JOIN("","", UNIQUE(filter({VLOOKUP(A105,C:X,13, FALSE); VLOOKUP(A105,C:X,15, FALSE); VLOOKUP(A105,C:X,17, FALSE); VLOOKUP(A105,C:X,19, FALSE)}, {VLOOKUP(A105,C:X,13, FALSE); VLOOKUP(A105,C:X,15, FALSE); VLOOKUP(A105,C:X,17, FALSE); VLOOKUP(A105,C:"&amp;"X,19, FALSE)}&lt;&gt;""""))), """")"),"")</f>
        <v/>
      </c>
      <c r="C105" s="77" t="str">
        <f t="shared" ca="1" si="2"/>
        <v>Skittles 4.1 (F1 of allele 332)</v>
      </c>
      <c r="D105" s="78" t="str">
        <f t="shared" ca="1" si="1"/>
        <v>(F1 of allele 332)</v>
      </c>
      <c r="E105" s="78" t="str">
        <f ca="1">IFERROR(__xludf.DUMMYFUNCTION("IFERROR(REGEXEXTRACT(N105, ""F\d+""), ""F1"")"),"F1")</f>
        <v>F1</v>
      </c>
      <c r="F105" s="10" t="str">
        <f ca="1">IFERROR(__xludf.DUMMYFUNCTION("""COMPUTED_VALUE"""),"Skittles 4.1")</f>
        <v>Skittles 4.1</v>
      </c>
      <c r="G105" s="10" t="str">
        <f ca="1">IFERROR(__xludf.DUMMYFUNCTION("""COMPUTED_VALUE"""),"ef1a-ext:&lt;mem:mSG&gt;Halo/Electra2/mBeRFP/mScarlet3S2/mTFP1")</f>
        <v>ef1a-ext:&lt;mem:mSG&gt;Halo/Electra2/mBeRFP/mScarlet3S2/mTFP1</v>
      </c>
      <c r="H105" s="80">
        <f ca="1">IFERROR(__xludf.DUMMYFUNCTION("""COMPUTED_VALUE"""),45769)</f>
        <v>45769</v>
      </c>
      <c r="I105" s="10" t="str">
        <f ca="1">IFERROR(__xludf.DUMMYFUNCTION("""COMPUTED_VALUE"""),"pDQM137")</f>
        <v>pDQM137</v>
      </c>
      <c r="J105" s="10" t="str">
        <f ca="1">IFERROR(__xludf.DUMMYFUNCTION("""COMPUTED_VALUE"""),"tol2")</f>
        <v>tol2</v>
      </c>
      <c r="K105" s="10">
        <f ca="1">IFERROR(__xludf.DUMMYFUNCTION("""COMPUTED_VALUE"""),332)</f>
        <v>332</v>
      </c>
      <c r="L105" s="10" t="str">
        <f ca="1">IFERROR(__xludf.DUMMYFUNCTION("""COMPUTED_VALUE"""),"casper")</f>
        <v>casper</v>
      </c>
      <c r="M105" s="80">
        <f ca="1">IFERROR(__xludf.DUMMYFUNCTION("""COMPUTED_VALUE"""),45859)</f>
        <v>45859</v>
      </c>
      <c r="N105" s="10" t="str">
        <f ca="1">IFERROR(__xludf.DUMMYFUNCTION("""COMPUTED_VALUE"""),"csp")</f>
        <v>csp</v>
      </c>
      <c r="O105" s="10" t="str">
        <f ca="1">IFERROR(__xludf.DUMMYFUNCTION("""COMPUTED_VALUE"""),"csp")</f>
        <v>csp</v>
      </c>
      <c r="P105" s="81" t="str">
        <f ca="1">IFERROR(__xludf.DUMMYFUNCTION("""COMPUTED_VALUE"""),"P0_founder")</f>
        <v>P0_founder</v>
      </c>
      <c r="Q105" s="10" t="str">
        <f ca="1">IFERROR(__xludf.DUMMYFUNCTION("""COMPUTED_VALUE"""),"female #1 - multiple alleles, good founder (?) but not super bright")</f>
        <v>female #1 - multiple alleles, good founder (?) but not super bright</v>
      </c>
      <c r="R105" s="10" t="str">
        <f ca="1">IFERROR(__xludf.DUMMYFUNCTION("""COMPUTED_VALUE"""),"membrane")</f>
        <v>membrane</v>
      </c>
      <c r="S105" s="82">
        <f ca="1">IFERROR(__xludf.DUMMYFUNCTION("""COMPUTED_VALUE"""),488)</f>
        <v>488</v>
      </c>
      <c r="T105" s="10" t="str">
        <f ca="1">IFERROR(__xludf.DUMMYFUNCTION("""COMPUTED_VALUE"""),"cytosol")</f>
        <v>cytosol</v>
      </c>
      <c r="U105" s="82">
        <f ca="1">IFERROR(__xludf.DUMMYFUNCTION("""COMPUTED_VALUE"""),405)</f>
        <v>405</v>
      </c>
      <c r="V105" s="10" t="str">
        <f ca="1">IFERROR(__xludf.DUMMYFUNCTION("""COMPUTED_VALUE"""),"cytosol")</f>
        <v>cytosol</v>
      </c>
      <c r="W105" s="82">
        <f ca="1">IFERROR(__xludf.DUMMYFUNCTION("""COMPUTED_VALUE"""),445)</f>
        <v>445</v>
      </c>
      <c r="X105" s="10" t="str">
        <f ca="1">IFERROR(__xludf.DUMMYFUNCTION("""COMPUTED_VALUE"""),"cytosol")</f>
        <v>cytosol</v>
      </c>
    </row>
    <row r="106" spans="2:24" ht="15.75" customHeight="1" x14ac:dyDescent="0.15">
      <c r="B106" s="1" t="str">
        <f ca="1">IFERROR(__xludf.DUMMYFUNCTION("IFERROR(JOIN("","", UNIQUE(filter({VLOOKUP(A106,C:X,13, FALSE); VLOOKUP(A106,C:X,15, FALSE); VLOOKUP(A106,C:X,17, FALSE); VLOOKUP(A106,C:X,19, FALSE)}, {VLOOKUP(A106,C:X,13, FALSE); VLOOKUP(A106,C:X,15, FALSE); VLOOKUP(A106,C:X,17, FALSE); VLOOKUP(A106,C:"&amp;"X,19, FALSE)}&lt;&gt;""""))), """")"),"")</f>
        <v/>
      </c>
      <c r="C106" s="77" t="str">
        <f t="shared" ca="1" si="2"/>
        <v>Skittles 4.1 (F1 of allele 333)</v>
      </c>
      <c r="D106" s="78" t="str">
        <f t="shared" ca="1" si="1"/>
        <v>(F1 of allele 333)</v>
      </c>
      <c r="E106" s="78" t="str">
        <f ca="1">IFERROR(__xludf.DUMMYFUNCTION("IFERROR(REGEXEXTRACT(N106, ""F\d+""), ""F1"")"),"F1")</f>
        <v>F1</v>
      </c>
      <c r="F106" s="10" t="str">
        <f ca="1">IFERROR(__xludf.DUMMYFUNCTION("""COMPUTED_VALUE"""),"Skittles 4.1")</f>
        <v>Skittles 4.1</v>
      </c>
      <c r="G106" s="10" t="str">
        <f ca="1">IFERROR(__xludf.DUMMYFUNCTION("""COMPUTED_VALUE"""),"ef1a-ext:&lt;mem:mSG&gt;Halo/Electra2/mBeRFP/mScarlet3S2/mTFP1")</f>
        <v>ef1a-ext:&lt;mem:mSG&gt;Halo/Electra2/mBeRFP/mScarlet3S2/mTFP1</v>
      </c>
      <c r="H106" s="80">
        <f ca="1">IFERROR(__xludf.DUMMYFUNCTION("""COMPUTED_VALUE"""),45769)</f>
        <v>45769</v>
      </c>
      <c r="I106" s="10" t="str">
        <f ca="1">IFERROR(__xludf.DUMMYFUNCTION("""COMPUTED_VALUE"""),"pDQM137")</f>
        <v>pDQM137</v>
      </c>
      <c r="J106" s="10" t="str">
        <f ca="1">IFERROR(__xludf.DUMMYFUNCTION("""COMPUTED_VALUE"""),"tol2")</f>
        <v>tol2</v>
      </c>
      <c r="K106" s="10">
        <f ca="1">IFERROR(__xludf.DUMMYFUNCTION("""COMPUTED_VALUE"""),333)</f>
        <v>333</v>
      </c>
      <c r="L106" s="10" t="str">
        <f ca="1">IFERROR(__xludf.DUMMYFUNCTION("""COMPUTED_VALUE"""),"casper")</f>
        <v>casper</v>
      </c>
      <c r="M106" s="80">
        <f ca="1">IFERROR(__xludf.DUMMYFUNCTION("""COMPUTED_VALUE"""),45859)</f>
        <v>45859</v>
      </c>
      <c r="N106" s="10" t="str">
        <f ca="1">IFERROR(__xludf.DUMMYFUNCTION("""COMPUTED_VALUE"""),"csp")</f>
        <v>csp</v>
      </c>
      <c r="O106" s="10" t="str">
        <f ca="1">IFERROR(__xludf.DUMMYFUNCTION("""COMPUTED_VALUE"""),"csp")</f>
        <v>csp</v>
      </c>
      <c r="P106" s="81" t="str">
        <f ca="1">IFERROR(__xludf.DUMMYFUNCTION("""COMPUTED_VALUE"""),"P0_founder")</f>
        <v>P0_founder</v>
      </c>
      <c r="Q106" s="10" t="str">
        <f ca="1">IFERROR(__xludf.DUMMYFUNCTION("""COMPUTED_VALUE"""),"P0 founder female very bright, positive rate ~5-10%, Ian  injected pDQM137 + Meganuclease")</f>
        <v>P0 founder female very bright, positive rate ~5-10%, Ian  injected pDQM137 + Meganuclease</v>
      </c>
      <c r="R106" s="10" t="str">
        <f ca="1">IFERROR(__xludf.DUMMYFUNCTION("""COMPUTED_VALUE"""),"membrane")</f>
        <v>membrane</v>
      </c>
      <c r="S106" s="82">
        <f ca="1">IFERROR(__xludf.DUMMYFUNCTION("""COMPUTED_VALUE"""),488)</f>
        <v>488</v>
      </c>
      <c r="T106" s="10" t="str">
        <f ca="1">IFERROR(__xludf.DUMMYFUNCTION("""COMPUTED_VALUE"""),"cytosol")</f>
        <v>cytosol</v>
      </c>
      <c r="U106" s="82">
        <f ca="1">IFERROR(__xludf.DUMMYFUNCTION("""COMPUTED_VALUE"""),405)</f>
        <v>405</v>
      </c>
      <c r="V106" s="10" t="str">
        <f ca="1">IFERROR(__xludf.DUMMYFUNCTION("""COMPUTED_VALUE"""),"cytosol")</f>
        <v>cytosol</v>
      </c>
      <c r="W106" s="82">
        <f ca="1">IFERROR(__xludf.DUMMYFUNCTION("""COMPUTED_VALUE"""),445)</f>
        <v>445</v>
      </c>
      <c r="X106" s="10" t="str">
        <f ca="1">IFERROR(__xludf.DUMMYFUNCTION("""COMPUTED_VALUE"""),"cytosol")</f>
        <v>cytosol</v>
      </c>
    </row>
    <row r="107" spans="2:24" ht="15.75" customHeight="1" x14ac:dyDescent="0.15">
      <c r="B107" s="1" t="str">
        <f ca="1">IFERROR(__xludf.DUMMYFUNCTION("IFERROR(JOIN("","", UNIQUE(filter({VLOOKUP(A107,C:X,13, FALSE); VLOOKUP(A107,C:X,15, FALSE); VLOOKUP(A107,C:X,17, FALSE); VLOOKUP(A107,C:X,19, FALSE)}, {VLOOKUP(A107,C:X,13, FALSE); VLOOKUP(A107,C:X,15, FALSE); VLOOKUP(A107,C:X,17, FALSE); VLOOKUP(A107,C:"&amp;"X,19, FALSE)}&lt;&gt;""""))), """")"),"")</f>
        <v/>
      </c>
      <c r="C107" s="77" t="str">
        <f t="shared" ca="1" si="2"/>
        <v>Skittles 4.1 (F1 of allele 333)</v>
      </c>
      <c r="D107" s="78" t="str">
        <f t="shared" ca="1" si="1"/>
        <v>(F1 of allele 333)</v>
      </c>
      <c r="E107" s="78" t="str">
        <f ca="1">IFERROR(__xludf.DUMMYFUNCTION("IFERROR(REGEXEXTRACT(N107, ""F\d+""), ""F1"")"),"F1")</f>
        <v>F1</v>
      </c>
      <c r="F107" s="10" t="str">
        <f ca="1">IFERROR(__xludf.DUMMYFUNCTION("""COMPUTED_VALUE"""),"Skittles 4.1")</f>
        <v>Skittles 4.1</v>
      </c>
      <c r="G107" s="10" t="str">
        <f ca="1">IFERROR(__xludf.DUMMYFUNCTION("""COMPUTED_VALUE"""),"ef1a-ext:&lt;mem:mSG&gt;Halo/Electra2/mBeRFP/mScarlet3S2/mTFP1")</f>
        <v>ef1a-ext:&lt;mem:mSG&gt;Halo/Electra2/mBeRFP/mScarlet3S2/mTFP1</v>
      </c>
      <c r="H107" s="80">
        <f ca="1">IFERROR(__xludf.DUMMYFUNCTION("""COMPUTED_VALUE"""),45902)</f>
        <v>45902</v>
      </c>
      <c r="I107" s="10" t="str">
        <f ca="1">IFERROR(__xludf.DUMMYFUNCTION("""COMPUTED_VALUE"""),"pDQM137")</f>
        <v>pDQM137</v>
      </c>
      <c r="J107" s="10" t="str">
        <f ca="1">IFERROR(__xludf.DUMMYFUNCTION("""COMPUTED_VALUE"""),"tol2")</f>
        <v>tol2</v>
      </c>
      <c r="K107" s="10">
        <f ca="1">IFERROR(__xludf.DUMMYFUNCTION("""COMPUTED_VALUE"""),333)</f>
        <v>333</v>
      </c>
      <c r="L107" s="10" t="str">
        <f ca="1">IFERROR(__xludf.DUMMYFUNCTION("""COMPUTED_VALUE"""),"casper")</f>
        <v>casper</v>
      </c>
      <c r="M107" s="80">
        <f ca="1">IFERROR(__xludf.DUMMYFUNCTION("""COMPUTED_VALUE"""),45992)</f>
        <v>45992</v>
      </c>
      <c r="N107" s="10">
        <f ca="1">IFERROR(__xludf.DUMMYFUNCTION("""COMPUTED_VALUE"""),333)</f>
        <v>333</v>
      </c>
      <c r="O107" s="10" t="str">
        <f ca="1">IFERROR(__xludf.DUMMYFUNCTION("""COMPUTED_VALUE"""),"csp")</f>
        <v>csp</v>
      </c>
      <c r="P107" s="81" t="str">
        <f ca="1">IFERROR(__xludf.DUMMYFUNCTION("""COMPUTED_VALUE"""),"F1_ox")</f>
        <v>F1_ox</v>
      </c>
      <c r="Q107" s="10" t="str">
        <f ca="1">IFERROR(__xludf.DUMMYFUNCTION("""COMPUTED_VALUE"""),"F1s of female Meganuclease founder - 3 embryos started (+++)")</f>
        <v>F1s of female Meganuclease founder - 3 embryos started (+++)</v>
      </c>
      <c r="R107" s="10" t="str">
        <f ca="1">IFERROR(__xludf.DUMMYFUNCTION("""COMPUTED_VALUE"""),"membrane")</f>
        <v>membrane</v>
      </c>
      <c r="S107" s="82">
        <f ca="1">IFERROR(__xludf.DUMMYFUNCTION("""COMPUTED_VALUE"""),488)</f>
        <v>488</v>
      </c>
      <c r="T107" s="10" t="str">
        <f ca="1">IFERROR(__xludf.DUMMYFUNCTION("""COMPUTED_VALUE"""),"cytosol")</f>
        <v>cytosol</v>
      </c>
      <c r="U107" s="82">
        <f ca="1">IFERROR(__xludf.DUMMYFUNCTION("""COMPUTED_VALUE"""),405)</f>
        <v>405</v>
      </c>
      <c r="V107" s="10" t="str">
        <f ca="1">IFERROR(__xludf.DUMMYFUNCTION("""COMPUTED_VALUE"""),"cytosol")</f>
        <v>cytosol</v>
      </c>
      <c r="W107" s="82">
        <f ca="1">IFERROR(__xludf.DUMMYFUNCTION("""COMPUTED_VALUE"""),445)</f>
        <v>445</v>
      </c>
      <c r="X107" s="10" t="str">
        <f ca="1">IFERROR(__xludf.DUMMYFUNCTION("""COMPUTED_VALUE"""),"cytosol")</f>
        <v>cytosol</v>
      </c>
    </row>
    <row r="108" spans="2:24" ht="15.75" customHeight="1" x14ac:dyDescent="0.15">
      <c r="B108" s="1" t="str">
        <f ca="1">IFERROR(__xludf.DUMMYFUNCTION("IFERROR(JOIN("","", UNIQUE(filter({VLOOKUP(A108,C:X,13, FALSE); VLOOKUP(A108,C:X,15, FALSE); VLOOKUP(A108,C:X,17, FALSE); VLOOKUP(A108,C:X,19, FALSE)}, {VLOOKUP(A108,C:X,13, FALSE); VLOOKUP(A108,C:X,15, FALSE); VLOOKUP(A108,C:X,17, FALSE); VLOOKUP(A108,C:"&amp;"X,19, FALSE)}&lt;&gt;""""))), """")"),"")</f>
        <v/>
      </c>
      <c r="C108" s="77" t="str">
        <f t="shared" ca="1" si="2"/>
        <v>Skittles 4.1 (F1 of allele 332)</v>
      </c>
      <c r="D108" s="78" t="str">
        <f t="shared" ca="1" si="1"/>
        <v>(F1 of allele 332)</v>
      </c>
      <c r="E108" s="78" t="str">
        <f ca="1">IFERROR(__xludf.DUMMYFUNCTION("IFERROR(REGEXEXTRACT(N108, ""F\d+""), ""F1"")"),"F1")</f>
        <v>F1</v>
      </c>
      <c r="F108" s="10" t="str">
        <f ca="1">IFERROR(__xludf.DUMMYFUNCTION("""COMPUTED_VALUE"""),"Skittles 4.1")</f>
        <v>Skittles 4.1</v>
      </c>
      <c r="G108" s="10" t="str">
        <f ca="1">IFERROR(__xludf.DUMMYFUNCTION("""COMPUTED_VALUE"""),"ef1a-ext:&lt;mem:mSG&gt;Halo/Electra2/mBeRFP/mScarlet3S2/mTFP1")</f>
        <v>ef1a-ext:&lt;mem:mSG&gt;Halo/Electra2/mBeRFP/mScarlet3S2/mTFP1</v>
      </c>
      <c r="H108" s="80">
        <f ca="1">IFERROR(__xludf.DUMMYFUNCTION("""COMPUTED_VALUE"""),45888)</f>
        <v>45888</v>
      </c>
      <c r="I108" s="10" t="str">
        <f ca="1">IFERROR(__xludf.DUMMYFUNCTION("""COMPUTED_VALUE"""),"pDQM137")</f>
        <v>pDQM137</v>
      </c>
      <c r="J108" s="10" t="str">
        <f ca="1">IFERROR(__xludf.DUMMYFUNCTION("""COMPUTED_VALUE"""),"tol2")</f>
        <v>tol2</v>
      </c>
      <c r="K108" s="10">
        <f ca="1">IFERROR(__xludf.DUMMYFUNCTION("""COMPUTED_VALUE"""),332)</f>
        <v>332</v>
      </c>
      <c r="L108" s="10" t="str">
        <f ca="1">IFERROR(__xludf.DUMMYFUNCTION("""COMPUTED_VALUE"""),"casper")</f>
        <v>casper</v>
      </c>
      <c r="M108" s="80">
        <f ca="1">IFERROR(__xludf.DUMMYFUNCTION("""COMPUTED_VALUE"""),45978)</f>
        <v>45978</v>
      </c>
      <c r="N108" s="10">
        <f ca="1">IFERROR(__xludf.DUMMYFUNCTION("""COMPUTED_VALUE"""),332)</f>
        <v>332</v>
      </c>
      <c r="O108" s="10" t="str">
        <f ca="1">IFERROR(__xludf.DUMMYFUNCTION("""COMPUTED_VALUE"""),"csp")</f>
        <v>csp</v>
      </c>
      <c r="P108" s="81" t="str">
        <f ca="1">IFERROR(__xludf.DUMMYFUNCTION("""COMPUTED_VALUE"""),"F1_ox")</f>
        <v>F1_ox</v>
      </c>
      <c r="Q108" s="10" t="str">
        <f ca="1">IFERROR(__xludf.DUMMYFUNCTION("""COMPUTED_VALUE"""),"F1s of female #1 - multiple alleles, good founder (?) but not super bright")</f>
        <v>F1s of female #1 - multiple alleles, good founder (?) but not super bright</v>
      </c>
      <c r="R108" s="10" t="str">
        <f ca="1">IFERROR(__xludf.DUMMYFUNCTION("""COMPUTED_VALUE"""),"membrane")</f>
        <v>membrane</v>
      </c>
      <c r="S108" s="82">
        <f ca="1">IFERROR(__xludf.DUMMYFUNCTION("""COMPUTED_VALUE"""),488)</f>
        <v>488</v>
      </c>
      <c r="T108" s="10" t="str">
        <f ca="1">IFERROR(__xludf.DUMMYFUNCTION("""COMPUTED_VALUE"""),"cytosol")</f>
        <v>cytosol</v>
      </c>
      <c r="U108" s="82">
        <f ca="1">IFERROR(__xludf.DUMMYFUNCTION("""COMPUTED_VALUE"""),405)</f>
        <v>405</v>
      </c>
      <c r="V108" s="10" t="str">
        <f ca="1">IFERROR(__xludf.DUMMYFUNCTION("""COMPUTED_VALUE"""),"cytosol")</f>
        <v>cytosol</v>
      </c>
      <c r="W108" s="82">
        <f ca="1">IFERROR(__xludf.DUMMYFUNCTION("""COMPUTED_VALUE"""),445)</f>
        <v>445</v>
      </c>
      <c r="X108" s="10" t="str">
        <f ca="1">IFERROR(__xludf.DUMMYFUNCTION("""COMPUTED_VALUE"""),"cytosol")</f>
        <v>cytosol</v>
      </c>
    </row>
    <row r="109" spans="2:24" ht="15.75" customHeight="1" x14ac:dyDescent="0.15">
      <c r="B109" s="1" t="str">
        <f ca="1">IFERROR(__xludf.DUMMYFUNCTION("IFERROR(JOIN("","", UNIQUE(filter({VLOOKUP(A109,C:X,13, FALSE); VLOOKUP(A109,C:X,15, FALSE); VLOOKUP(A109,C:X,17, FALSE); VLOOKUP(A109,C:X,19, FALSE)}, {VLOOKUP(A109,C:X,13, FALSE); VLOOKUP(A109,C:X,15, FALSE); VLOOKUP(A109,C:X,17, FALSE); VLOOKUP(A109,C:"&amp;"X,19, FALSE)}&lt;&gt;""""))), """")"),"")</f>
        <v/>
      </c>
      <c r="C109" s="77" t="str">
        <f t="shared" ca="1" si="2"/>
        <v>Skittles 4.1 (F1 of allele 330)</v>
      </c>
      <c r="D109" s="78" t="str">
        <f t="shared" ca="1" si="1"/>
        <v>(F1 of allele 330)</v>
      </c>
      <c r="E109" s="78" t="str">
        <f ca="1">IFERROR(__xludf.DUMMYFUNCTION("IFERROR(REGEXEXTRACT(N109, ""F\d+""), ""F1"")"),"F1")</f>
        <v>F1</v>
      </c>
      <c r="F109" s="10" t="str">
        <f ca="1">IFERROR(__xludf.DUMMYFUNCTION("""COMPUTED_VALUE"""),"Skittles 4.1")</f>
        <v>Skittles 4.1</v>
      </c>
      <c r="G109" s="10" t="str">
        <f ca="1">IFERROR(__xludf.DUMMYFUNCTION("""COMPUTED_VALUE"""),"ef1a-ext:&lt;mem:mSG&gt;Halo/Electra2/mBeRFP/mScarlet3S2/mTFP1")</f>
        <v>ef1a-ext:&lt;mem:mSG&gt;Halo/Electra2/mBeRFP/mScarlet3S2/mTFP1</v>
      </c>
      <c r="H109" s="80">
        <f ca="1">IFERROR(__xludf.DUMMYFUNCTION("""COMPUTED_VALUE"""),45888)</f>
        <v>45888</v>
      </c>
      <c r="I109" s="10" t="str">
        <f ca="1">IFERROR(__xludf.DUMMYFUNCTION("""COMPUTED_VALUE"""),"pDQM137")</f>
        <v>pDQM137</v>
      </c>
      <c r="J109" s="10" t="str">
        <f ca="1">IFERROR(__xludf.DUMMYFUNCTION("""COMPUTED_VALUE"""),"tol2")</f>
        <v>tol2</v>
      </c>
      <c r="K109" s="10">
        <f ca="1">IFERROR(__xludf.DUMMYFUNCTION("""COMPUTED_VALUE"""),330)</f>
        <v>330</v>
      </c>
      <c r="L109" s="10" t="str">
        <f ca="1">IFERROR(__xludf.DUMMYFUNCTION("""COMPUTED_VALUE"""),"casper")</f>
        <v>casper</v>
      </c>
      <c r="M109" s="80">
        <f ca="1">IFERROR(__xludf.DUMMYFUNCTION("""COMPUTED_VALUE"""),45978)</f>
        <v>45978</v>
      </c>
      <c r="N109" s="10" t="str">
        <f ca="1">IFERROR(__xludf.DUMMYFUNCTION("""COMPUTED_VALUE"""),"csp")</f>
        <v>csp</v>
      </c>
      <c r="O109" s="10">
        <f ca="1">IFERROR(__xludf.DUMMYFUNCTION("""COMPUTED_VALUE"""),330)</f>
        <v>330</v>
      </c>
      <c r="P109" s="81" t="str">
        <f ca="1">IFERROR(__xludf.DUMMYFUNCTION("""COMPUTED_VALUE"""),"F1_ox")</f>
        <v>F1_ox</v>
      </c>
      <c r="Q109" s="10" t="str">
        <f ca="1">IFERROR(__xludf.DUMMYFUNCTION("""COMPUTED_VALUE"""),"F1s of male #1 - low hit rate founder, not super bright")</f>
        <v>F1s of male #1 - low hit rate founder, not super bright</v>
      </c>
      <c r="R109" s="10" t="str">
        <f ca="1">IFERROR(__xludf.DUMMYFUNCTION("""COMPUTED_VALUE"""),"membrane")</f>
        <v>membrane</v>
      </c>
      <c r="S109" s="82">
        <f ca="1">IFERROR(__xludf.DUMMYFUNCTION("""COMPUTED_VALUE"""),488)</f>
        <v>488</v>
      </c>
      <c r="T109" s="10" t="str">
        <f ca="1">IFERROR(__xludf.DUMMYFUNCTION("""COMPUTED_VALUE"""),"cytosol")</f>
        <v>cytosol</v>
      </c>
      <c r="U109" s="82">
        <f ca="1">IFERROR(__xludf.DUMMYFUNCTION("""COMPUTED_VALUE"""),405)</f>
        <v>405</v>
      </c>
      <c r="V109" s="10" t="str">
        <f ca="1">IFERROR(__xludf.DUMMYFUNCTION("""COMPUTED_VALUE"""),"cytosol")</f>
        <v>cytosol</v>
      </c>
      <c r="W109" s="82">
        <f ca="1">IFERROR(__xludf.DUMMYFUNCTION("""COMPUTED_VALUE"""),445)</f>
        <v>445</v>
      </c>
      <c r="X109" s="10" t="str">
        <f ca="1">IFERROR(__xludf.DUMMYFUNCTION("""COMPUTED_VALUE"""),"cytosol")</f>
        <v>cytosol</v>
      </c>
    </row>
    <row r="110" spans="2:24" ht="15.75" customHeight="1" x14ac:dyDescent="0.15">
      <c r="B110" s="1" t="str">
        <f ca="1">IFERROR(__xludf.DUMMYFUNCTION("IFERROR(JOIN("","", UNIQUE(filter({VLOOKUP(A110,C:X,13, FALSE); VLOOKUP(A110,C:X,15, FALSE); VLOOKUP(A110,C:X,17, FALSE); VLOOKUP(A110,C:X,19, FALSE)}, {VLOOKUP(A110,C:X,13, FALSE); VLOOKUP(A110,C:X,15, FALSE); VLOOKUP(A110,C:X,17, FALSE); VLOOKUP(A110,C:"&amp;"X,19, FALSE)}&lt;&gt;""""))), """")"),"")</f>
        <v/>
      </c>
      <c r="C110" s="77" t="str">
        <f t="shared" ca="1" si="2"/>
        <v>casper (F1 of allele )</v>
      </c>
      <c r="D110" s="78">
        <f t="shared" si="1"/>
        <v>0</v>
      </c>
      <c r="E110" s="78" t="str">
        <f ca="1">IFERROR(__xludf.DUMMYFUNCTION("IFERROR(REGEXEXTRACT(N110, ""F\d+""), ""F1"")"),"F1")</f>
        <v>F1</v>
      </c>
      <c r="F110" s="10" t="str">
        <f ca="1">IFERROR(__xludf.DUMMYFUNCTION("""COMPUTED_VALUE"""),"casper")</f>
        <v>casper</v>
      </c>
      <c r="G110" s="10" t="str">
        <f ca="1">IFERROR(__xludf.DUMMYFUNCTION("""COMPUTED_VALUE"""),"none")</f>
        <v>none</v>
      </c>
      <c r="H110" s="10"/>
      <c r="I110" s="10"/>
      <c r="J110" s="10"/>
      <c r="K110" s="10"/>
      <c r="L110" s="10" t="str">
        <f ca="1">IFERROR(__xludf.DUMMYFUNCTION("""COMPUTED_VALUE"""),"casper")</f>
        <v>casper</v>
      </c>
      <c r="M110" s="10"/>
      <c r="N110" s="10"/>
      <c r="O110" s="10"/>
      <c r="P110" s="81"/>
      <c r="Q110" s="10"/>
      <c r="R110" s="10"/>
      <c r="S110" s="10"/>
      <c r="T110" s="10"/>
      <c r="U110" s="10"/>
      <c r="V110" s="10"/>
      <c r="W110" s="10"/>
      <c r="X110" s="10"/>
    </row>
    <row r="111" spans="2:24" ht="15.75" customHeight="1" x14ac:dyDescent="0.15">
      <c r="B111" s="1" t="str">
        <f ca="1">IFERROR(__xludf.DUMMYFUNCTION("IFERROR(JOIN("","", UNIQUE(filter({VLOOKUP(A111,C:X,13, FALSE); VLOOKUP(A111,C:X,15, FALSE); VLOOKUP(A111,C:X,17, FALSE); VLOOKUP(A111,C:X,19, FALSE)}, {VLOOKUP(A111,C:X,13, FALSE); VLOOKUP(A111,C:X,15, FALSE); VLOOKUP(A111,C:X,17, FALSE); VLOOKUP(A111,C:"&amp;"X,19, FALSE)}&lt;&gt;""""))), """")"),"")</f>
        <v/>
      </c>
      <c r="C111" s="77" t="str">
        <f t="shared" ca="1" si="2"/>
        <v>csp/pIGLET 14a (F1 of allele )</v>
      </c>
      <c r="D111" s="78">
        <f t="shared" si="1"/>
        <v>0</v>
      </c>
      <c r="E111" s="78" t="str">
        <f ca="1">IFERROR(__xludf.DUMMYFUNCTION("IFERROR(REGEXEXTRACT(N111, ""F\d+""), ""F1"")"),"F1")</f>
        <v>F1</v>
      </c>
      <c r="F111" s="10" t="str">
        <f ca="1">IFERROR(__xludf.DUMMYFUNCTION("""COMPUTED_VALUE"""),"csp/pIGLET 14a")</f>
        <v>csp/pIGLET 14a</v>
      </c>
      <c r="G111" s="10" t="str">
        <f ca="1">IFERROR(__xludf.DUMMYFUNCTION("""COMPUTED_VALUE"""),"none")</f>
        <v>none</v>
      </c>
      <c r="H111" s="10"/>
      <c r="I111" s="10"/>
      <c r="J111" s="10" t="str">
        <f ca="1">IFERROR(__xludf.DUMMYFUNCTION("""COMPUTED_VALUE"""),"phiC")</f>
        <v>phiC</v>
      </c>
      <c r="K111" s="10"/>
      <c r="L111" s="10" t="str">
        <f ca="1">IFERROR(__xludf.DUMMYFUNCTION("""COMPUTED_VALUE"""),"casper/pIGLET 14a")</f>
        <v>casper/pIGLET 14a</v>
      </c>
      <c r="M111" s="10"/>
      <c r="N111" s="10"/>
      <c r="O111" s="10"/>
      <c r="P111" s="81"/>
      <c r="Q111" s="10"/>
      <c r="R111" s="10"/>
      <c r="S111" s="10"/>
      <c r="T111" s="10"/>
      <c r="U111" s="10"/>
      <c r="V111" s="10"/>
      <c r="W111" s="10"/>
      <c r="X111" s="10"/>
    </row>
    <row r="112" spans="2:24" ht="15.75" customHeight="1" x14ac:dyDescent="0.15">
      <c r="B112" s="1" t="str">
        <f ca="1">IFERROR(__xludf.DUMMYFUNCTION("IFERROR(JOIN("","", UNIQUE(filter({VLOOKUP(A112,C:X,13, FALSE); VLOOKUP(A112,C:X,15, FALSE); VLOOKUP(A112,C:X,17, FALSE); VLOOKUP(A112,C:X,19, FALSE)}, {VLOOKUP(A112,C:X,13, FALSE); VLOOKUP(A112,C:X,15, FALSE); VLOOKUP(A112,C:X,17, FALSE); VLOOKUP(A112,C:"&amp;"X,19, FALSE)}&lt;&gt;""""))), """")"),"")</f>
        <v/>
      </c>
      <c r="C112" s="77" t="str">
        <f t="shared" ca="1" si="2"/>
        <v>csp/pIGLET 24b (F1 of allele )</v>
      </c>
      <c r="D112" s="78">
        <f t="shared" si="1"/>
        <v>0</v>
      </c>
      <c r="E112" s="78" t="str">
        <f ca="1">IFERROR(__xludf.DUMMYFUNCTION("IFERROR(REGEXEXTRACT(N112, ""F\d+""), ""F1"")"),"F1")</f>
        <v>F1</v>
      </c>
      <c r="F112" s="10" t="str">
        <f ca="1">IFERROR(__xludf.DUMMYFUNCTION("""COMPUTED_VALUE"""),"csp/pIGLET 24b")</f>
        <v>csp/pIGLET 24b</v>
      </c>
      <c r="G112" s="10" t="str">
        <f ca="1">IFERROR(__xludf.DUMMYFUNCTION("""COMPUTED_VALUE"""),"none")</f>
        <v>none</v>
      </c>
      <c r="H112" s="10"/>
      <c r="I112" s="10"/>
      <c r="J112" s="10" t="str">
        <f ca="1">IFERROR(__xludf.DUMMYFUNCTION("""COMPUTED_VALUE"""),"phiC")</f>
        <v>phiC</v>
      </c>
      <c r="K112" s="10"/>
      <c r="L112" s="10" t="str">
        <f ca="1">IFERROR(__xludf.DUMMYFUNCTION("""COMPUTED_VALUE"""),"casper/pIGLET 24b")</f>
        <v>casper/pIGLET 24b</v>
      </c>
      <c r="M112" s="10"/>
      <c r="N112" s="10"/>
      <c r="O112" s="10"/>
      <c r="P112" s="81"/>
      <c r="Q112" s="10"/>
      <c r="R112" s="10"/>
      <c r="S112" s="10"/>
      <c r="T112" s="10"/>
      <c r="U112" s="10"/>
      <c r="V112" s="10"/>
      <c r="W112" s="10"/>
      <c r="X112" s="10"/>
    </row>
    <row r="113" spans="2:24" ht="13" x14ac:dyDescent="0.15">
      <c r="B113" s="1" t="str">
        <f ca="1">IFERROR(__xludf.DUMMYFUNCTION("IFERROR(JOIN("","", UNIQUE(filter({VLOOKUP(A113,C:X,13, FALSE); VLOOKUP(A113,C:X,15, FALSE); VLOOKUP(A113,C:X,17, FALSE); VLOOKUP(A113,C:X,19, FALSE)}, {VLOOKUP(A113,C:X,13, FALSE); VLOOKUP(A113,C:X,15, FALSE); VLOOKUP(A113,C:X,17, FALSE); VLOOKUP(A113,C:"&amp;"X,19, FALSE)}&lt;&gt;""""))), """")"),"")</f>
        <v/>
      </c>
      <c r="C113" s="77" t="str">
        <f t="shared" ca="1" si="2"/>
        <v>tdmScarlet3S2:H2B-tol2 x 301 mutl. alleles  (F1 of allele 331)</v>
      </c>
      <c r="D113" s="78" t="str">
        <f t="shared" ca="1" si="1"/>
        <v>(F1 of allele 331)</v>
      </c>
      <c r="E113" s="78" t="str">
        <f ca="1">IFERROR(__xludf.DUMMYFUNCTION("IFERROR(REGEXEXTRACT(N113, ""F\d+""), ""F1"")"),"F1")</f>
        <v>F1</v>
      </c>
      <c r="F113" s="10" t="str">
        <f ca="1">IFERROR(__xludf.DUMMYFUNCTION("""COMPUTED_VALUE"""),"tdmScarlet3S2:H2B-tol2 x 301 mutl. alleles ")</f>
        <v xml:space="preserve">tdmScarlet3S2:H2B-tol2 x 301 mutl. alleles </v>
      </c>
      <c r="G113" s="10" t="str">
        <f ca="1">IFERROR(__xludf.DUMMYFUNCTION("""COMPUTED_VALUE"""),"ef1a-extened::tdmScarlet3-S2:H2B-tol2 x ef1a:2xLynk:tdmSG(J)")</f>
        <v>ef1a-extened::tdmScarlet3-S2:H2B-tol2 x ef1a:2xLynk:tdmSG(J)</v>
      </c>
      <c r="H113" s="10"/>
      <c r="I113" s="10" t="str">
        <f ca="1">IFERROR(__xludf.DUMMYFUNCTION("""COMPUTED_VALUE"""),"pDQM133")</f>
        <v>pDQM133</v>
      </c>
      <c r="J113" s="10"/>
      <c r="K113" s="10">
        <f ca="1">IFERROR(__xludf.DUMMYFUNCTION("""COMPUTED_VALUE"""),331)</f>
        <v>331</v>
      </c>
      <c r="L113" s="10" t="str">
        <f ca="1">IFERROR(__xludf.DUMMYFUNCTION("""COMPUTED_VALUE"""),"casper")</f>
        <v>casper</v>
      </c>
      <c r="M113" s="10"/>
      <c r="N113" s="10">
        <f ca="1">IFERROR(__xludf.DUMMYFUNCTION("""COMPUTED_VALUE"""),301)</f>
        <v>301</v>
      </c>
      <c r="O113" s="10">
        <f ca="1">IFERROR(__xludf.DUMMYFUNCTION("""COMPUTED_VALUE"""),301)</f>
        <v>301</v>
      </c>
      <c r="P113" s="81" t="str">
        <f ca="1">IFERROR(__xludf.DUMMYFUNCTION("""COMPUTED_VALUE"""),"P0_founder")</f>
        <v>P0_founder</v>
      </c>
      <c r="Q113" s="10" t="str">
        <f ca="1">IFERROR(__xludf.DUMMYFUNCTION("""COMPUTED_VALUE"""),"female #3- multiple alleles in 301, bright histone signal")</f>
        <v>female #3- multiple alleles in 301, bright histone signal</v>
      </c>
      <c r="R113" s="10"/>
      <c r="S113" s="10"/>
      <c r="T113" s="10"/>
      <c r="U113" s="10"/>
      <c r="V113" s="10"/>
      <c r="W113" s="10"/>
      <c r="X113" s="10"/>
    </row>
    <row r="114" spans="2:24" ht="13" x14ac:dyDescent="0.15">
      <c r="B114" s="1" t="str">
        <f ca="1">IFERROR(__xludf.DUMMYFUNCTION("IFERROR(JOIN("","", UNIQUE(filter({VLOOKUP(A114,C:X,13, FALSE); VLOOKUP(A114,C:X,15, FALSE); VLOOKUP(A114,C:X,17, FALSE); VLOOKUP(A114,C:X,19, FALSE)}, {VLOOKUP(A114,C:X,13, FALSE); VLOOKUP(A114,C:X,15, FALSE); VLOOKUP(A114,C:X,17, FALSE); VLOOKUP(A114,C:"&amp;"X,19, FALSE)}&lt;&gt;""""))), """")"),"")</f>
        <v/>
      </c>
      <c r="C114" s="77" t="str">
        <f t="shared" ca="1" si="2"/>
        <v>tdmScarlet3S2:H2B-tol2 x 301 mutl. alleles  (F1 of allele 331)</v>
      </c>
      <c r="D114" s="78" t="str">
        <f t="shared" ca="1" si="1"/>
        <v>(F1 of allele 331)</v>
      </c>
      <c r="E114" s="78" t="str">
        <f ca="1">IFERROR(__xludf.DUMMYFUNCTION("IFERROR(REGEXEXTRACT(N114, ""F\d+""), ""F1"")"),"F1")</f>
        <v>F1</v>
      </c>
      <c r="F114" s="10" t="str">
        <f ca="1">IFERROR(__xludf.DUMMYFUNCTION("""COMPUTED_VALUE"""),"tdmScarlet3S2:H2B-tol2 x 301 mutl. alleles ")</f>
        <v xml:space="preserve">tdmScarlet3S2:H2B-tol2 x 301 mutl. alleles </v>
      </c>
      <c r="G114" s="10" t="str">
        <f ca="1">IFERROR(__xludf.DUMMYFUNCTION("""COMPUTED_VALUE"""),"ef1a-extened::tdmScarlet3-S2:H2B-tol2 xx ef1a:2xLynk:tdmSG(J)")</f>
        <v>ef1a-extened::tdmScarlet3-S2:H2B-tol2 xx ef1a:2xLynk:tdmSG(J)</v>
      </c>
      <c r="H114" s="10"/>
      <c r="I114" s="10" t="str">
        <f ca="1">IFERROR(__xludf.DUMMYFUNCTION("""COMPUTED_VALUE"""),"pDQM133")</f>
        <v>pDQM133</v>
      </c>
      <c r="J114" s="10"/>
      <c r="K114" s="10">
        <f ca="1">IFERROR(__xludf.DUMMYFUNCTION("""COMPUTED_VALUE"""),331)</f>
        <v>331</v>
      </c>
      <c r="L114" s="10" t="str">
        <f ca="1">IFERROR(__xludf.DUMMYFUNCTION("""COMPUTED_VALUE"""),"casper ")</f>
        <v xml:space="preserve">casper </v>
      </c>
      <c r="M114" s="10"/>
      <c r="N114" s="10">
        <f ca="1">IFERROR(__xludf.DUMMYFUNCTION("""COMPUTED_VALUE"""),331)</f>
        <v>331</v>
      </c>
      <c r="O114" s="10" t="str">
        <f ca="1">IFERROR(__xludf.DUMMYFUNCTION("""COMPUTED_VALUE"""),"csp")</f>
        <v>csp</v>
      </c>
      <c r="P114" s="81" t="str">
        <f ca="1">IFERROR(__xludf.DUMMYFUNCTION("""COMPUTED_VALUE"""),"F1_ox")</f>
        <v>F1_ox</v>
      </c>
      <c r="Q114" s="10" t="str">
        <f ca="1">IFERROR(__xludf.DUMMYFUNCTION("""COMPUTED_VALUE"""),"1 tank on nursery ")</f>
        <v xml:space="preserve">1 tank on nursery </v>
      </c>
      <c r="R114" s="10"/>
      <c r="S114" s="10"/>
      <c r="T114" s="10"/>
      <c r="U114" s="10"/>
      <c r="V114" s="10"/>
      <c r="W114" s="10"/>
      <c r="X114" s="10"/>
    </row>
    <row r="115" spans="2:24" ht="13" x14ac:dyDescent="0.15">
      <c r="B115" s="1" t="str">
        <f ca="1">IFERROR(__xludf.DUMMYFUNCTION("IFERROR(JOIN("","", UNIQUE(filter({VLOOKUP(A115,C:X,13, FALSE); VLOOKUP(A115,C:X,15, FALSE); VLOOKUP(A115,C:X,17, FALSE); VLOOKUP(A115,C:X,19, FALSE)}, {VLOOKUP(A115,C:X,13, FALSE); VLOOKUP(A115,C:X,15, FALSE); VLOOKUP(A115,C:X,17, FALSE); VLOOKUP(A115,C:"&amp;"X,19, FALSE)}&lt;&gt;""""))), """")"),"")</f>
        <v/>
      </c>
      <c r="C115" s="77" t="str">
        <f t="shared" ca="1" si="2"/>
        <v>mito:mSG (F1 of allele 358)</v>
      </c>
      <c r="D115" s="78" t="str">
        <f t="shared" ca="1" si="1"/>
        <v>(F1 of allele 358)</v>
      </c>
      <c r="E115" s="78" t="str">
        <f ca="1">IFERROR(__xludf.DUMMYFUNCTION("IFERROR(REGEXEXTRACT(N115, ""F\d+""), ""F1"")"),"F1")</f>
        <v>F1</v>
      </c>
      <c r="F115" s="10" t="str">
        <f ca="1">IFERROR(__xludf.DUMMYFUNCTION("""COMPUTED_VALUE"""),"mito:mSG")</f>
        <v>mito:mSG</v>
      </c>
      <c r="G115" s="10"/>
      <c r="H115" s="80">
        <f ca="1">IFERROR(__xludf.DUMMYFUNCTION("""COMPUTED_VALUE"""),45867)</f>
        <v>45867</v>
      </c>
      <c r="I115" s="10" t="str">
        <f ca="1">IFERROR(__xludf.DUMMYFUNCTION("""COMPUTED_VALUE"""),"MGCO-28")</f>
        <v>MGCO-28</v>
      </c>
      <c r="J115" s="10"/>
      <c r="K115" s="10">
        <f ca="1">IFERROR(__xludf.DUMMYFUNCTION("""COMPUTED_VALUE"""),358)</f>
        <v>358</v>
      </c>
      <c r="L115" s="10"/>
      <c r="M115" s="80">
        <f ca="1">IFERROR(__xludf.DUMMYFUNCTION("""COMPUTED_VALUE"""),45957)</f>
        <v>45957</v>
      </c>
      <c r="N115" s="10"/>
      <c r="O115" s="10"/>
      <c r="P115" s="81"/>
      <c r="Q115" s="10"/>
      <c r="R115" s="10"/>
      <c r="S115" s="10"/>
      <c r="T115" s="10"/>
      <c r="U115" s="10"/>
      <c r="V115" s="10"/>
      <c r="W115" s="10"/>
      <c r="X115" s="10"/>
    </row>
    <row r="116" spans="2:24" ht="13" x14ac:dyDescent="0.15">
      <c r="B116" s="1" t="str">
        <f ca="1">IFERROR(__xludf.DUMMYFUNCTION("IFERROR(JOIN("","", UNIQUE(filter({VLOOKUP(A116,C:X,13, FALSE); VLOOKUP(A116,C:X,15, FALSE); VLOOKUP(A116,C:X,17, FALSE); VLOOKUP(A116,C:X,19, FALSE)}, {VLOOKUP(A116,C:X,13, FALSE); VLOOKUP(A116,C:X,15, FALSE); VLOOKUP(A116,C:X,17, FALSE); VLOOKUP(A116,C:"&amp;"X,19, FALSE)}&lt;&gt;""""))), """")"),"")</f>
        <v/>
      </c>
      <c r="C116" s="77" t="str">
        <f t="shared" ca="1" si="2"/>
        <v>mito:mScarlet3-S2 (F1 of allele )</v>
      </c>
      <c r="D116" s="78">
        <f t="shared" si="1"/>
        <v>0</v>
      </c>
      <c r="E116" s="78" t="str">
        <f ca="1">IFERROR(__xludf.DUMMYFUNCTION("IFERROR(REGEXEXTRACT(N116, ""F\d+""), ""F1"")"),"F1")</f>
        <v>F1</v>
      </c>
      <c r="F116" s="10" t="str">
        <f ca="1">IFERROR(__xludf.DUMMYFUNCTION("""COMPUTED_VALUE"""),"mito:mScarlet3-S2")</f>
        <v>mito:mScarlet3-S2</v>
      </c>
      <c r="G116" s="10" t="str">
        <f ca="1">IFERROR(__xludf.DUMMYFUNCTION("""COMPUTED_VALUE"""),"ef1a-extended-2Xcox8A-linker-mScarlet3S2-SV40-attb-tol2")</f>
        <v>ef1a-extended-2Xcox8A-linker-mScarlet3S2-SV40-attb-tol2</v>
      </c>
      <c r="H116" s="80">
        <f ca="1">IFERROR(__xludf.DUMMYFUNCTION("""COMPUTED_VALUE"""),45867)</f>
        <v>45867</v>
      </c>
      <c r="I116" s="10" t="str">
        <f ca="1">IFERROR(__xludf.DUMMYFUNCTION("""COMPUTED_VALUE"""),"MGCO-35")</f>
        <v>MGCO-35</v>
      </c>
      <c r="J116" s="10" t="str">
        <f ca="1">IFERROR(__xludf.DUMMYFUNCTION("""COMPUTED_VALUE"""),"tol2")</f>
        <v>tol2</v>
      </c>
      <c r="K116" s="10"/>
      <c r="L116" s="10" t="str">
        <f ca="1">IFERROR(__xludf.DUMMYFUNCTION("""COMPUTED_VALUE"""),"casper")</f>
        <v>casper</v>
      </c>
      <c r="M116" s="80">
        <f ca="1">IFERROR(__xludf.DUMMYFUNCTION("""COMPUTED_VALUE"""),45957)</f>
        <v>45957</v>
      </c>
      <c r="N116" s="10" t="str">
        <f ca="1">IFERROR(__xludf.DUMMYFUNCTION("""COMPUTED_VALUE"""),"csp")</f>
        <v>csp</v>
      </c>
      <c r="O116" s="10" t="str">
        <f ca="1">IFERROR(__xludf.DUMMYFUNCTION("""COMPUTED_VALUE"""),"csp")</f>
        <v>csp</v>
      </c>
      <c r="P116" s="81" t="str">
        <f ca="1">IFERROR(__xludf.DUMMYFUNCTION("""COMPUTED_VALUE"""),"potential_founders")</f>
        <v>potential_founders</v>
      </c>
      <c r="Q116" s="10"/>
      <c r="R116" s="10"/>
      <c r="S116" s="10"/>
      <c r="T116" s="10"/>
      <c r="U116" s="10"/>
      <c r="V116" s="10"/>
      <c r="W116" s="10"/>
      <c r="X116" s="10"/>
    </row>
    <row r="117" spans="2:24" ht="13" x14ac:dyDescent="0.15">
      <c r="B117" s="1" t="str">
        <f ca="1">IFERROR(__xludf.DUMMYFUNCTION("IFERROR(JOIN("","", UNIQUE(filter({VLOOKUP(A117,C:X,13, FALSE); VLOOKUP(A117,C:X,15, FALSE); VLOOKUP(A117,C:X,17, FALSE); VLOOKUP(A117,C:X,19, FALSE)}, {VLOOKUP(A117,C:X,13, FALSE); VLOOKUP(A117,C:X,15, FALSE); VLOOKUP(A117,C:X,17, FALSE); VLOOKUP(A117,C:"&amp;"X,19, FALSE)}&lt;&gt;""""))), """")"),"")</f>
        <v/>
      </c>
      <c r="C117" s="77" t="str">
        <f t="shared" ca="1" si="2"/>
        <v>mito:mScarlet3-S2 (F1 of allele 336)</v>
      </c>
      <c r="D117" s="78" t="str">
        <f t="shared" ca="1" si="1"/>
        <v>(F1 of allele 336)</v>
      </c>
      <c r="E117" s="78" t="str">
        <f ca="1">IFERROR(__xludf.DUMMYFUNCTION("IFERROR(REGEXEXTRACT(N117, ""F\d+""), ""F1"")"),"F1")</f>
        <v>F1</v>
      </c>
      <c r="F117" s="10" t="str">
        <f ca="1">IFERROR(__xludf.DUMMYFUNCTION("""COMPUTED_VALUE"""),"mito:mScarlet3-S2")</f>
        <v>mito:mScarlet3-S2</v>
      </c>
      <c r="G117" s="10" t="str">
        <f ca="1">IFERROR(__xludf.DUMMYFUNCTION("""COMPUTED_VALUE"""),"ef1a-extended-2Xcox8A-linker-mScarlet3S2-SV40-attb-tol2")</f>
        <v>ef1a-extended-2Xcox8A-linker-mScarlet3S2-SV40-attb-tol2</v>
      </c>
      <c r="H117" s="80">
        <f ca="1">IFERROR(__xludf.DUMMYFUNCTION("""COMPUTED_VALUE"""),45867)</f>
        <v>45867</v>
      </c>
      <c r="I117" s="10" t="str">
        <f ca="1">IFERROR(__xludf.DUMMYFUNCTION("""COMPUTED_VALUE"""),"MGCO-35")</f>
        <v>MGCO-35</v>
      </c>
      <c r="J117" s="10" t="str">
        <f ca="1">IFERROR(__xludf.DUMMYFUNCTION("""COMPUTED_VALUE"""),"tol2")</f>
        <v>tol2</v>
      </c>
      <c r="K117" s="10">
        <f ca="1">IFERROR(__xludf.DUMMYFUNCTION("""COMPUTED_VALUE"""),336)</f>
        <v>336</v>
      </c>
      <c r="L117" s="10" t="str">
        <f ca="1">IFERROR(__xludf.DUMMYFUNCTION("""COMPUTED_VALUE"""),"casper")</f>
        <v>casper</v>
      </c>
      <c r="M117" s="80">
        <f ca="1">IFERROR(__xludf.DUMMYFUNCTION("""COMPUTED_VALUE"""),45957)</f>
        <v>45957</v>
      </c>
      <c r="N117" s="10" t="str">
        <f ca="1">IFERROR(__xludf.DUMMYFUNCTION("""COMPUTED_VALUE"""),"csp")</f>
        <v>csp</v>
      </c>
      <c r="O117" s="10" t="str">
        <f ca="1">IFERROR(__xludf.DUMMYFUNCTION("""COMPUTED_VALUE"""),"csp")</f>
        <v>csp</v>
      </c>
      <c r="P117" s="81" t="str">
        <f ca="1">IFERROR(__xludf.DUMMYFUNCTION("""COMPUTED_VALUE"""),"P0_founders")</f>
        <v>P0_founders</v>
      </c>
      <c r="Q117" s="10"/>
      <c r="R117" s="10"/>
      <c r="S117" s="10"/>
      <c r="T117" s="10"/>
      <c r="U117" s="10"/>
      <c r="V117" s="10"/>
      <c r="W117" s="10"/>
      <c r="X117" s="10"/>
    </row>
    <row r="118" spans="2:24" ht="13" x14ac:dyDescent="0.15">
      <c r="B118" s="1" t="str">
        <f ca="1">IFERROR(__xludf.DUMMYFUNCTION("IFERROR(JOIN("","", UNIQUE(filter({VLOOKUP(A118,C:X,13, FALSE); VLOOKUP(A118,C:X,15, FALSE); VLOOKUP(A118,C:X,17, FALSE); VLOOKUP(A118,C:X,19, FALSE)}, {VLOOKUP(A118,C:X,13, FALSE); VLOOKUP(A118,C:X,15, FALSE); VLOOKUP(A118,C:X,17, FALSE); VLOOKUP(A118,C:"&amp;"X,19, FALSE)}&lt;&gt;""""))), """")"),"")</f>
        <v/>
      </c>
      <c r="C118" s="77" t="str">
        <f t="shared" ca="1" si="2"/>
        <v>mito:mScarlet3-S2 (F1 of allele 336)</v>
      </c>
      <c r="D118" s="78" t="str">
        <f t="shared" ca="1" si="1"/>
        <v>(F1 of allele 336)</v>
      </c>
      <c r="E118" s="78" t="str">
        <f ca="1">IFERROR(__xludf.DUMMYFUNCTION("IFERROR(REGEXEXTRACT(N118, ""F\d+""), ""F1"")"),"F1")</f>
        <v>F1</v>
      </c>
      <c r="F118" s="10" t="str">
        <f ca="1">IFERROR(__xludf.DUMMYFUNCTION("""COMPUTED_VALUE"""),"mito:mScarlet3-S2")</f>
        <v>mito:mScarlet3-S2</v>
      </c>
      <c r="G118" s="10" t="str">
        <f ca="1">IFERROR(__xludf.DUMMYFUNCTION("""COMPUTED_VALUE"""),"ef1a-extended-2Xcox8A-linker-mScarlet3S2-SV40-attb-tol2")</f>
        <v>ef1a-extended-2Xcox8A-linker-mScarlet3S2-SV40-attb-tol2</v>
      </c>
      <c r="H118" s="80">
        <f ca="1">IFERROR(__xludf.DUMMYFUNCTION("""COMPUTED_VALUE"""),45951)</f>
        <v>45951</v>
      </c>
      <c r="I118" s="10" t="str">
        <f ca="1">IFERROR(__xludf.DUMMYFUNCTION("""COMPUTED_VALUE"""),"MGCO-35")</f>
        <v>MGCO-35</v>
      </c>
      <c r="J118" s="10" t="str">
        <f ca="1">IFERROR(__xludf.DUMMYFUNCTION("""COMPUTED_VALUE"""),"tol2")</f>
        <v>tol2</v>
      </c>
      <c r="K118" s="10">
        <f ca="1">IFERROR(__xludf.DUMMYFUNCTION("""COMPUTED_VALUE"""),336)</f>
        <v>336</v>
      </c>
      <c r="L118" s="10" t="str">
        <f ca="1">IFERROR(__xludf.DUMMYFUNCTION("""COMPUTED_VALUE"""),"casper")</f>
        <v>casper</v>
      </c>
      <c r="M118" s="80">
        <f ca="1">IFERROR(__xludf.DUMMYFUNCTION("""COMPUTED_VALUE"""),46041)</f>
        <v>46041</v>
      </c>
      <c r="N118" s="10">
        <f ca="1">IFERROR(__xludf.DUMMYFUNCTION("""COMPUTED_VALUE"""),336)</f>
        <v>336</v>
      </c>
      <c r="O118" s="10" t="str">
        <f ca="1">IFERROR(__xludf.DUMMYFUNCTION("""COMPUTED_VALUE"""),"csp")</f>
        <v>csp</v>
      </c>
      <c r="P118" s="81" t="str">
        <f ca="1">IFERROR(__xludf.DUMMYFUNCTION("""COMPUTED_VALUE"""),"F1_ox")</f>
        <v>F1_ox</v>
      </c>
      <c r="Q118" s="10"/>
      <c r="R118" s="10"/>
      <c r="S118" s="10"/>
      <c r="T118" s="10"/>
      <c r="U118" s="10"/>
      <c r="V118" s="10"/>
      <c r="W118" s="10"/>
      <c r="X118" s="10"/>
    </row>
    <row r="119" spans="2:24" ht="13" x14ac:dyDescent="0.15">
      <c r="B119" s="1" t="str">
        <f ca="1">IFERROR(__xludf.DUMMYFUNCTION("IFERROR(JOIN("","", UNIQUE(filter({VLOOKUP(A119,C:X,13, FALSE); VLOOKUP(A119,C:X,15, FALSE); VLOOKUP(A119,C:X,17, FALSE); VLOOKUP(A119,C:X,19, FALSE)}, {VLOOKUP(A119,C:X,13, FALSE); VLOOKUP(A119,C:X,15, FALSE); VLOOKUP(A119,C:X,17, FALSE); VLOOKUP(A119,C:"&amp;"X,19, FALSE)}&lt;&gt;""""))), """")"),"")</f>
        <v/>
      </c>
      <c r="C119" s="77" t="str">
        <f t="shared" ca="1" si="2"/>
        <v>Skittles 4.1 (F1 of allele )</v>
      </c>
      <c r="D119" s="78">
        <f t="shared" si="1"/>
        <v>0</v>
      </c>
      <c r="E119" s="78" t="str">
        <f ca="1">IFERROR(__xludf.DUMMYFUNCTION("IFERROR(REGEXEXTRACT(N119, ""F\d+""), ""F1"")"),"F1")</f>
        <v>F1</v>
      </c>
      <c r="F119" s="10" t="str">
        <f ca="1">IFERROR(__xludf.DUMMYFUNCTION("""COMPUTED_VALUE"""),"Skittles 4.1")</f>
        <v>Skittles 4.1</v>
      </c>
      <c r="G119" s="10" t="str">
        <f ca="1">IFERROR(__xludf.DUMMYFUNCTION("""COMPUTED_VALUE"""),"ef1a-ext:&lt;mem:mSG&gt;Halo/Electra2/mBeRFP/mScarlet3S2/mTFP1")</f>
        <v>ef1a-ext:&lt;mem:mSG&gt;Halo/Electra2/mBeRFP/mScarlet3S2/mTFP1</v>
      </c>
      <c r="H119" s="80">
        <f ca="1">IFERROR(__xludf.DUMMYFUNCTION("""COMPUTED_VALUE"""),45795)</f>
        <v>45795</v>
      </c>
      <c r="I119" s="10" t="str">
        <f ca="1">IFERROR(__xludf.DUMMYFUNCTION("""COMPUTED_VALUE"""),"pDQM137")</f>
        <v>pDQM137</v>
      </c>
      <c r="J119" s="10" t="str">
        <f ca="1">IFERROR(__xludf.DUMMYFUNCTION("""COMPUTED_VALUE"""),"meganuclease")</f>
        <v>meganuclease</v>
      </c>
      <c r="K119" s="10"/>
      <c r="L119" s="10" t="str">
        <f ca="1">IFERROR(__xludf.DUMMYFUNCTION("""COMPUTED_VALUE"""),"casper")</f>
        <v>casper</v>
      </c>
      <c r="M119" s="80">
        <f ca="1">IFERROR(__xludf.DUMMYFUNCTION("""COMPUTED_VALUE"""),45885)</f>
        <v>45885</v>
      </c>
      <c r="N119" s="10" t="str">
        <f ca="1">IFERROR(__xludf.DUMMYFUNCTION("""COMPUTED_VALUE"""),"csp")</f>
        <v>csp</v>
      </c>
      <c r="O119" s="10" t="str">
        <f ca="1">IFERROR(__xludf.DUMMYFUNCTION("""COMPUTED_VALUE"""),"csp")</f>
        <v>csp</v>
      </c>
      <c r="P119" s="81" t="str">
        <f ca="1">IFERROR(__xludf.DUMMYFUNCTION("""COMPUTED_VALUE"""),"potential_founders")</f>
        <v>potential_founders</v>
      </c>
      <c r="Q119" s="10" t="str">
        <f ca="1">IFERROR(__xludf.DUMMYFUNCTION("""COMPUTED_VALUE"""),"2 fish survived, 1 female founder")</f>
        <v>2 fish survived, 1 female founder</v>
      </c>
      <c r="R119" s="10" t="str">
        <f ca="1">IFERROR(__xludf.DUMMYFUNCTION("""COMPUTED_VALUE"""),"membrane")</f>
        <v>membrane</v>
      </c>
      <c r="S119" s="82">
        <f ca="1">IFERROR(__xludf.DUMMYFUNCTION("""COMPUTED_VALUE"""),488)</f>
        <v>488</v>
      </c>
      <c r="T119" s="10" t="str">
        <f ca="1">IFERROR(__xludf.DUMMYFUNCTION("""COMPUTED_VALUE"""),"cytosol")</f>
        <v>cytosol</v>
      </c>
      <c r="U119" s="82">
        <f ca="1">IFERROR(__xludf.DUMMYFUNCTION("""COMPUTED_VALUE"""),405)</f>
        <v>405</v>
      </c>
      <c r="V119" s="10" t="str">
        <f ca="1">IFERROR(__xludf.DUMMYFUNCTION("""COMPUTED_VALUE"""),"cytosol")</f>
        <v>cytosol</v>
      </c>
      <c r="W119" s="82">
        <f ca="1">IFERROR(__xludf.DUMMYFUNCTION("""COMPUTED_VALUE"""),445)</f>
        <v>445</v>
      </c>
      <c r="X119" s="10" t="str">
        <f ca="1">IFERROR(__xludf.DUMMYFUNCTION("""COMPUTED_VALUE"""),"cytosol")</f>
        <v>cytosol</v>
      </c>
    </row>
    <row r="120" spans="2:24" ht="13" x14ac:dyDescent="0.15">
      <c r="B120" s="1" t="str">
        <f ca="1">IFERROR(__xludf.DUMMYFUNCTION("IFERROR(JOIN("","", UNIQUE(filter({VLOOKUP(A120,C:X,13, FALSE); VLOOKUP(A120,C:X,15, FALSE); VLOOKUP(A120,C:X,17, FALSE); VLOOKUP(A120,C:X,19, FALSE)}, {VLOOKUP(A120,C:X,13, FALSE); VLOOKUP(A120,C:X,15, FALSE); VLOOKUP(A120,C:X,17, FALSE); VLOOKUP(A120,C:"&amp;"X,19, FALSE)}&lt;&gt;""""))), """")"),"")</f>
        <v/>
      </c>
      <c r="C120" s="77" t="str">
        <f t="shared" ca="1" si="2"/>
        <v>Skittles 4.1 (F1 of allele 337)</v>
      </c>
      <c r="D120" s="78" t="str">
        <f t="shared" ca="1" si="1"/>
        <v>(F1 of allele 337)</v>
      </c>
      <c r="E120" s="78" t="str">
        <f ca="1">IFERROR(__xludf.DUMMYFUNCTION("IFERROR(REGEXEXTRACT(N120, ""F\d+""), ""F1"")"),"F1")</f>
        <v>F1</v>
      </c>
      <c r="F120" s="10" t="str">
        <f ca="1">IFERROR(__xludf.DUMMYFUNCTION("""COMPUTED_VALUE"""),"Skittles 4.1")</f>
        <v>Skittles 4.1</v>
      </c>
      <c r="G120" s="10" t="str">
        <f ca="1">IFERROR(__xludf.DUMMYFUNCTION("""COMPUTED_VALUE"""),"ef1a-ext:&lt;mem:mSG&gt;Halo/Electra2/mBeRFP/mScarlet3S2/mTFP1")</f>
        <v>ef1a-ext:&lt;mem:mSG&gt;Halo/Electra2/mBeRFP/mScarlet3S2/mTFP1</v>
      </c>
      <c r="H120" s="80">
        <f ca="1">IFERROR(__xludf.DUMMYFUNCTION("""COMPUTED_VALUE"""),45795)</f>
        <v>45795</v>
      </c>
      <c r="I120" s="10" t="str">
        <f ca="1">IFERROR(__xludf.DUMMYFUNCTION("""COMPUTED_VALUE"""),"pDQM137")</f>
        <v>pDQM137</v>
      </c>
      <c r="J120" s="10" t="str">
        <f ca="1">IFERROR(__xludf.DUMMYFUNCTION("""COMPUTED_VALUE"""),"meganuclease")</f>
        <v>meganuclease</v>
      </c>
      <c r="K120" s="10">
        <f ca="1">IFERROR(__xludf.DUMMYFUNCTION("""COMPUTED_VALUE"""),337)</f>
        <v>337</v>
      </c>
      <c r="L120" s="10" t="str">
        <f ca="1">IFERROR(__xludf.DUMMYFUNCTION("""COMPUTED_VALUE"""),"casper")</f>
        <v>casper</v>
      </c>
      <c r="M120" s="80">
        <f ca="1">IFERROR(__xludf.DUMMYFUNCTION("""COMPUTED_VALUE"""),45885)</f>
        <v>45885</v>
      </c>
      <c r="N120" s="10" t="str">
        <f ca="1">IFERROR(__xludf.DUMMYFUNCTION("""COMPUTED_VALUE"""),"csp")</f>
        <v>csp</v>
      </c>
      <c r="O120" s="10" t="str">
        <f ca="1">IFERROR(__xludf.DUMMYFUNCTION("""COMPUTED_VALUE"""),"csp")</f>
        <v>csp</v>
      </c>
      <c r="P120" s="81" t="str">
        <f ca="1">IFERROR(__xludf.DUMMYFUNCTION("""COMPUTED_VALUE"""),"P0_founder")</f>
        <v>P0_founder</v>
      </c>
      <c r="Q120" s="10" t="str">
        <f ca="1">IFERROR(__xludf.DUMMYFUNCTION("""COMPUTED_VALUE"""),"female founder, 3 positive embryos (very very bright), only laid one time")</f>
        <v>female founder, 3 positive embryos (very very bright), only laid one time</v>
      </c>
      <c r="R120" s="10" t="str">
        <f ca="1">IFERROR(__xludf.DUMMYFUNCTION("""COMPUTED_VALUE"""),"membrane")</f>
        <v>membrane</v>
      </c>
      <c r="S120" s="82">
        <f ca="1">IFERROR(__xludf.DUMMYFUNCTION("""COMPUTED_VALUE"""),488)</f>
        <v>488</v>
      </c>
      <c r="T120" s="10" t="str">
        <f ca="1">IFERROR(__xludf.DUMMYFUNCTION("""COMPUTED_VALUE"""),"cytosol")</f>
        <v>cytosol</v>
      </c>
      <c r="U120" s="82">
        <f ca="1">IFERROR(__xludf.DUMMYFUNCTION("""COMPUTED_VALUE"""),405)</f>
        <v>405</v>
      </c>
      <c r="V120" s="10" t="str">
        <f ca="1">IFERROR(__xludf.DUMMYFUNCTION("""COMPUTED_VALUE"""),"cytosol")</f>
        <v>cytosol</v>
      </c>
      <c r="W120" s="82">
        <f ca="1">IFERROR(__xludf.DUMMYFUNCTION("""COMPUTED_VALUE"""),445)</f>
        <v>445</v>
      </c>
      <c r="X120" s="10" t="str">
        <f ca="1">IFERROR(__xludf.DUMMYFUNCTION("""COMPUTED_VALUE"""),"cytosol")</f>
        <v>cytosol</v>
      </c>
    </row>
    <row r="121" spans="2:24" ht="13" x14ac:dyDescent="0.15">
      <c r="B121" s="1" t="str">
        <f ca="1">IFERROR(__xludf.DUMMYFUNCTION("IFERROR(JOIN("","", UNIQUE(filter({VLOOKUP(A121,C:X,13, FALSE); VLOOKUP(A121,C:X,15, FALSE); VLOOKUP(A121,C:X,17, FALSE); VLOOKUP(A121,C:X,19, FALSE)}, {VLOOKUP(A121,C:X,13, FALSE); VLOOKUP(A121,C:X,15, FALSE); VLOOKUP(A121,C:X,17, FALSE); VLOOKUP(A121,C:"&amp;"X,19, FALSE)}&lt;&gt;""""))), """")"),"")</f>
        <v/>
      </c>
      <c r="C121" s="77" t="str">
        <f t="shared" ca="1" si="2"/>
        <v>Skittles 4.1 (F1 of allele 337)</v>
      </c>
      <c r="D121" s="78" t="str">
        <f t="shared" ca="1" si="1"/>
        <v>(F1 of allele 337)</v>
      </c>
      <c r="E121" s="78" t="str">
        <f ca="1">IFERROR(__xludf.DUMMYFUNCTION("IFERROR(REGEXEXTRACT(N121, ""F\d+""), ""F1"")"),"F1")</f>
        <v>F1</v>
      </c>
      <c r="F121" s="10" t="str">
        <f ca="1">IFERROR(__xludf.DUMMYFUNCTION("""COMPUTED_VALUE"""),"Skittles 4.1")</f>
        <v>Skittles 4.1</v>
      </c>
      <c r="G121" s="10" t="str">
        <f ca="1">IFERROR(__xludf.DUMMYFUNCTION("""COMPUTED_VALUE"""),"ef1a-ext:&lt;mem:mSG&gt;Halo/Electra2/mBeRFP/mScarlet3S2/mTFP1")</f>
        <v>ef1a-ext:&lt;mem:mSG&gt;Halo/Electra2/mBeRFP/mScarlet3S2/mTFP1</v>
      </c>
      <c r="H121" s="80">
        <f ca="1">IFERROR(__xludf.DUMMYFUNCTION("""COMPUTED_VALUE"""),45795)</f>
        <v>45795</v>
      </c>
      <c r="I121" s="10" t="str">
        <f ca="1">IFERROR(__xludf.DUMMYFUNCTION("""COMPUTED_VALUE"""),"pDQM137")</f>
        <v>pDQM137</v>
      </c>
      <c r="J121" s="10" t="str">
        <f ca="1">IFERROR(__xludf.DUMMYFUNCTION("""COMPUTED_VALUE"""),"meganuclease")</f>
        <v>meganuclease</v>
      </c>
      <c r="K121" s="10">
        <f ca="1">IFERROR(__xludf.DUMMYFUNCTION("""COMPUTED_VALUE"""),337)</f>
        <v>337</v>
      </c>
      <c r="L121" s="10" t="str">
        <f ca="1">IFERROR(__xludf.DUMMYFUNCTION("""COMPUTED_VALUE"""),"casper")</f>
        <v>casper</v>
      </c>
      <c r="M121" s="80">
        <f ca="1">IFERROR(__xludf.DUMMYFUNCTION("""COMPUTED_VALUE"""),45885)</f>
        <v>45885</v>
      </c>
      <c r="N121" s="10" t="str">
        <f ca="1">IFERROR(__xludf.DUMMYFUNCTION("""COMPUTED_VALUE"""),"csp")</f>
        <v>csp</v>
      </c>
      <c r="O121" s="10" t="str">
        <f ca="1">IFERROR(__xludf.DUMMYFUNCTION("""COMPUTED_VALUE"""),"csp")</f>
        <v>csp</v>
      </c>
      <c r="P121" s="81" t="str">
        <f ca="1">IFERROR(__xludf.DUMMYFUNCTION("""COMPUTED_VALUE"""),"P0_founder")</f>
        <v>P0_founder</v>
      </c>
      <c r="Q121" s="10" t="str">
        <f ca="1">IFERROR(__xludf.DUMMYFUNCTION("""COMPUTED_VALUE"""),"female founder, 3 positive embryos (very very bright), only laid one time")</f>
        <v>female founder, 3 positive embryos (very very bright), only laid one time</v>
      </c>
      <c r="R121" s="10" t="str">
        <f ca="1">IFERROR(__xludf.DUMMYFUNCTION("""COMPUTED_VALUE"""),"membrane")</f>
        <v>membrane</v>
      </c>
      <c r="S121" s="82">
        <f ca="1">IFERROR(__xludf.DUMMYFUNCTION("""COMPUTED_VALUE"""),488)</f>
        <v>488</v>
      </c>
      <c r="T121" s="10" t="str">
        <f ca="1">IFERROR(__xludf.DUMMYFUNCTION("""COMPUTED_VALUE"""),"cytosol")</f>
        <v>cytosol</v>
      </c>
      <c r="U121" s="82">
        <f ca="1">IFERROR(__xludf.DUMMYFUNCTION("""COMPUTED_VALUE"""),405)</f>
        <v>405</v>
      </c>
      <c r="V121" s="10" t="str">
        <f ca="1">IFERROR(__xludf.DUMMYFUNCTION("""COMPUTED_VALUE"""),"cytosol")</f>
        <v>cytosol</v>
      </c>
      <c r="W121" s="82">
        <f ca="1">IFERROR(__xludf.DUMMYFUNCTION("""COMPUTED_VALUE"""),445)</f>
        <v>445</v>
      </c>
      <c r="X121" s="10" t="str">
        <f ca="1">IFERROR(__xludf.DUMMYFUNCTION("""COMPUTED_VALUE"""),"cytosol")</f>
        <v>cytosol</v>
      </c>
    </row>
    <row r="122" spans="2:24" ht="13" x14ac:dyDescent="0.15">
      <c r="B122" s="1" t="str">
        <f ca="1">IFERROR(__xludf.DUMMYFUNCTION("IFERROR(JOIN("","", UNIQUE(filter({VLOOKUP(A122,C:X,13, FALSE); VLOOKUP(A122,C:X,15, FALSE); VLOOKUP(A122,C:X,17, FALSE); VLOOKUP(A122,C:X,19, FALSE)}, {VLOOKUP(A122,C:X,13, FALSE); VLOOKUP(A122,C:X,15, FALSE); VLOOKUP(A122,C:X,17, FALSE); VLOOKUP(A122,C:"&amp;"X,19, FALSE)}&lt;&gt;""""))), """")"),"")</f>
        <v/>
      </c>
      <c r="C122" s="77" t="str">
        <f t="shared" ca="1" si="2"/>
        <v>membrane tandem mSG; mChilada H2B  (F1 of allele 338)</v>
      </c>
      <c r="D122" s="78" t="str">
        <f t="shared" ca="1" si="1"/>
        <v>(F1 of allele 338)</v>
      </c>
      <c r="E122" s="78" t="str">
        <f ca="1">IFERROR(__xludf.DUMMYFUNCTION("IFERROR(REGEXEXTRACT(N122, ""F\d+""), ""F1"")"),"F1")</f>
        <v>F1</v>
      </c>
      <c r="F122" s="10" t="str">
        <f ca="1">IFERROR(__xludf.DUMMYFUNCTION("""COMPUTED_VALUE"""),"membrane tandem mSG; mChilada H2B ")</f>
        <v xml:space="preserve">membrane tandem mSG; mChilada H2B </v>
      </c>
      <c r="G122" s="10" t="str">
        <f ca="1">IFERROR(__xludf.DUMMYFUNCTION("""COMPUTED_VALUE"""),"ef1a:2xlynk:tdmSG-tPT2A:tdmChilada:H2B")</f>
        <v>ef1a:2xlynk:tdmSG-tPT2A:tdmChilada:H2B</v>
      </c>
      <c r="H122" s="80">
        <f ca="1">IFERROR(__xludf.DUMMYFUNCTION("""COMPUTED_VALUE"""),45621)</f>
        <v>45621</v>
      </c>
      <c r="I122" s="10" t="str">
        <f ca="1">IFERROR(__xludf.DUMMYFUNCTION("""COMPUTED_VALUE"""),"pDQM065")</f>
        <v>pDQM065</v>
      </c>
      <c r="J122" s="10" t="str">
        <f ca="1">IFERROR(__xludf.DUMMYFUNCTION("""COMPUTED_VALUE"""),"tol2")</f>
        <v>tol2</v>
      </c>
      <c r="K122" s="10">
        <f ca="1">IFERROR(__xludf.DUMMYFUNCTION("""COMPUTED_VALUE"""),338)</f>
        <v>338</v>
      </c>
      <c r="L122" s="10" t="str">
        <f ca="1">IFERROR(__xludf.DUMMYFUNCTION("""COMPUTED_VALUE"""),"casper")</f>
        <v>casper</v>
      </c>
      <c r="M122" s="10"/>
      <c r="N122" s="10"/>
      <c r="O122" s="10"/>
      <c r="P122" s="81"/>
      <c r="Q122" s="10"/>
      <c r="R122" s="10"/>
      <c r="S122" s="10"/>
      <c r="T122" s="10"/>
      <c r="U122" s="10"/>
      <c r="V122" s="10"/>
      <c r="W122" s="10"/>
      <c r="X122" s="10"/>
    </row>
    <row r="123" spans="2:24" ht="13" x14ac:dyDescent="0.15">
      <c r="B123" s="1" t="str">
        <f ca="1">IFERROR(__xludf.DUMMYFUNCTION("IFERROR(JOIN("","", UNIQUE(filter({VLOOKUP(A123,C:X,13, FALSE); VLOOKUP(A123,C:X,15, FALSE); VLOOKUP(A123,C:X,17, FALSE); VLOOKUP(A123,C:X,19, FALSE)}, {VLOOKUP(A123,C:X,13, FALSE); VLOOKUP(A123,C:X,15, FALSE); VLOOKUP(A123,C:X,17, FALSE); VLOOKUP(A123,C:"&amp;"X,19, FALSE)}&lt;&gt;""""))), """")"),"")</f>
        <v/>
      </c>
      <c r="C123" s="77" t="str">
        <f t="shared" ca="1" si="2"/>
        <v>membrane tandem mSG; mChilada H2B  (F1 of allele 339)</v>
      </c>
      <c r="D123" s="78" t="str">
        <f t="shared" ca="1" si="1"/>
        <v>(F1 of allele 339)</v>
      </c>
      <c r="E123" s="78" t="str">
        <f ca="1">IFERROR(__xludf.DUMMYFUNCTION("IFERROR(REGEXEXTRACT(N123, ""F\d+""), ""F1"")"),"F1")</f>
        <v>F1</v>
      </c>
      <c r="F123" s="10" t="str">
        <f ca="1">IFERROR(__xludf.DUMMYFUNCTION("""COMPUTED_VALUE"""),"membrane tandem mSG; mChilada H2B ")</f>
        <v xml:space="preserve">membrane tandem mSG; mChilada H2B </v>
      </c>
      <c r="G123" s="10" t="str">
        <f ca="1">IFERROR(__xludf.DUMMYFUNCTION("""COMPUTED_VALUE"""),"ef1a:2xLynk:tdmSG:tPT2A:tdmChilada-MAGPV:H2B")</f>
        <v>ef1a:2xLynk:tdmSG:tPT2A:tdmChilada-MAGPV:H2B</v>
      </c>
      <c r="H123" s="80">
        <f ca="1">IFERROR(__xludf.DUMMYFUNCTION("""COMPUTED_VALUE"""),45664)</f>
        <v>45664</v>
      </c>
      <c r="I123" s="10" t="str">
        <f ca="1">IFERROR(__xludf.DUMMYFUNCTION("""COMPUTED_VALUE"""),"pDQM094")</f>
        <v>pDQM094</v>
      </c>
      <c r="J123" s="10" t="str">
        <f ca="1">IFERROR(__xludf.DUMMYFUNCTION("""COMPUTED_VALUE"""),"tol2")</f>
        <v>tol2</v>
      </c>
      <c r="K123" s="10">
        <f ca="1">IFERROR(__xludf.DUMMYFUNCTION("""COMPUTED_VALUE"""),339)</f>
        <v>339</v>
      </c>
      <c r="L123" s="10" t="str">
        <f ca="1">IFERROR(__xludf.DUMMYFUNCTION("""COMPUTED_VALUE"""),"casper")</f>
        <v>casper</v>
      </c>
      <c r="M123" s="10"/>
      <c r="N123" s="10"/>
      <c r="O123" s="10"/>
      <c r="P123" s="81"/>
      <c r="Q123" s="10"/>
      <c r="R123" s="10"/>
      <c r="S123" s="10"/>
      <c r="T123" s="10"/>
      <c r="U123" s="10"/>
      <c r="V123" s="10"/>
      <c r="W123" s="10"/>
      <c r="X123" s="10"/>
    </row>
    <row r="124" spans="2:24" ht="13" x14ac:dyDescent="0.15">
      <c r="B124" s="1" t="str">
        <f ca="1">IFERROR(__xludf.DUMMYFUNCTION("IFERROR(JOIN("","", UNIQUE(filter({VLOOKUP(A124,C:X,13, FALSE); VLOOKUP(A124,C:X,15, FALSE); VLOOKUP(A124,C:X,17, FALSE); VLOOKUP(A124,C:X,19, FALSE)}, {VLOOKUP(A124,C:X,13, FALSE); VLOOKUP(A124,C:X,15, FALSE); VLOOKUP(A124,C:X,17, FALSE); VLOOKUP(A124,C:"&amp;"X,19, FALSE)}&lt;&gt;""""))), """")"),"")</f>
        <v/>
      </c>
      <c r="C124" s="77" t="str">
        <f t="shared" ca="1" si="2"/>
        <v>mStayGold CDT1 (G0/G1 Fucci marker)  (F1 of allele 340)</v>
      </c>
      <c r="D124" s="78" t="str">
        <f t="shared" ca="1" si="1"/>
        <v>(F1 of allele 340)</v>
      </c>
      <c r="E124" s="78" t="str">
        <f ca="1">IFERROR(__xludf.DUMMYFUNCTION("IFERROR(REGEXEXTRACT(N124, ""F\d+""), ""F1"")"),"F1")</f>
        <v>F1</v>
      </c>
      <c r="F124" s="10" t="str">
        <f ca="1">IFERROR(__xludf.DUMMYFUNCTION("""COMPUTED_VALUE"""),"mStayGold CDT1 (G0/G1 Fucci marker) ")</f>
        <v xml:space="preserve">mStayGold CDT1 (G0/G1 Fucci marker) </v>
      </c>
      <c r="G124" s="10" t="str">
        <f ca="1">IFERROR(__xludf.DUMMYFUNCTION("""COMPUTED_VALUE"""),"ef1a-ext:mSG:CDT1")</f>
        <v>ef1a-ext:mSG:CDT1</v>
      </c>
      <c r="H124" s="80">
        <f ca="1">IFERROR(__xludf.DUMMYFUNCTION("""COMPUTED_VALUE"""),45879)</f>
        <v>45879</v>
      </c>
      <c r="I124" s="10" t="str">
        <f ca="1">IFERROR(__xludf.DUMMYFUNCTION("""COMPUTED_VALUE"""),"pDQM151")</f>
        <v>pDQM151</v>
      </c>
      <c r="J124" s="10" t="str">
        <f ca="1">IFERROR(__xludf.DUMMYFUNCTION("""COMPUTED_VALUE"""),"tol2")</f>
        <v>tol2</v>
      </c>
      <c r="K124" s="10">
        <f ca="1">IFERROR(__xludf.DUMMYFUNCTION("""COMPUTED_VALUE"""),340)</f>
        <v>340</v>
      </c>
      <c r="L124" s="10" t="str">
        <f ca="1">IFERROR(__xludf.DUMMYFUNCTION("""COMPUTED_VALUE"""),"casper")</f>
        <v>casper</v>
      </c>
      <c r="M124" s="10"/>
      <c r="N124" s="10"/>
      <c r="O124" s="10"/>
      <c r="P124" s="81"/>
      <c r="Q124" s="10"/>
      <c r="R124" s="10"/>
      <c r="S124" s="10"/>
      <c r="T124" s="10"/>
      <c r="U124" s="10"/>
      <c r="V124" s="10"/>
      <c r="W124" s="10"/>
      <c r="X124" s="10"/>
    </row>
    <row r="125" spans="2:24" ht="13" x14ac:dyDescent="0.15">
      <c r="B125" s="1" t="str">
        <f ca="1">IFERROR(__xludf.DUMMYFUNCTION("IFERROR(JOIN("","", UNIQUE(filter({VLOOKUP(A125,C:X,13, FALSE); VLOOKUP(A125,C:X,15, FALSE); VLOOKUP(A125,C:X,17, FALSE); VLOOKUP(A125,C:X,19, FALSE)}, {VLOOKUP(A125,C:X,13, FALSE); VLOOKUP(A125,C:X,15, FALSE); VLOOKUP(A125,C:X,17, FALSE); VLOOKUP(A125,C:"&amp;"X,19, FALSE)}&lt;&gt;""""))), """")"),"")</f>
        <v/>
      </c>
      <c r="C125" s="77" t="str">
        <f t="shared" ca="1" si="2"/>
        <v>mStayGold CDT1 (G0/G1 Fucci marker)  (F1 of allele 341)</v>
      </c>
      <c r="D125" s="78" t="str">
        <f t="shared" ca="1" si="1"/>
        <v>(F1 of allele 341)</v>
      </c>
      <c r="E125" s="78" t="str">
        <f ca="1">IFERROR(__xludf.DUMMYFUNCTION("IFERROR(REGEXEXTRACT(N125, ""F\d+""), ""F1"")"),"F1")</f>
        <v>F1</v>
      </c>
      <c r="F125" s="10" t="str">
        <f ca="1">IFERROR(__xludf.DUMMYFUNCTION("""COMPUTED_VALUE"""),"mStayGold CDT1 (G0/G1 Fucci marker) ")</f>
        <v xml:space="preserve">mStayGold CDT1 (G0/G1 Fucci marker) </v>
      </c>
      <c r="G125" s="10" t="str">
        <f ca="1">IFERROR(__xludf.DUMMYFUNCTION("""COMPUTED_VALUE"""),"ef1a-ext:mSG:CDT1")</f>
        <v>ef1a-ext:mSG:CDT1</v>
      </c>
      <c r="H125" s="80">
        <f ca="1">IFERROR(__xludf.DUMMYFUNCTION("""COMPUTED_VALUE"""),45879)</f>
        <v>45879</v>
      </c>
      <c r="I125" s="10" t="str">
        <f ca="1">IFERROR(__xludf.DUMMYFUNCTION("""COMPUTED_VALUE"""),"pDQM151")</f>
        <v>pDQM151</v>
      </c>
      <c r="J125" s="10" t="str">
        <f ca="1">IFERROR(__xludf.DUMMYFUNCTION("""COMPUTED_VALUE"""),"tol2")</f>
        <v>tol2</v>
      </c>
      <c r="K125" s="10">
        <f ca="1">IFERROR(__xludf.DUMMYFUNCTION("""COMPUTED_VALUE"""),341)</f>
        <v>341</v>
      </c>
      <c r="L125" s="10" t="str">
        <f ca="1">IFERROR(__xludf.DUMMYFUNCTION("""COMPUTED_VALUE"""),"casper")</f>
        <v>casper</v>
      </c>
      <c r="M125" s="10"/>
      <c r="N125" s="10"/>
      <c r="O125" s="10"/>
      <c r="P125" s="81"/>
      <c r="Q125" s="10" t="str">
        <f ca="1">IFERROR(__xludf.DUMMYFUNCTION("""COMPUTED_VALUE"""),"male 3")</f>
        <v>male 3</v>
      </c>
      <c r="R125" s="10"/>
      <c r="S125" s="10"/>
      <c r="T125" s="10"/>
      <c r="U125" s="10"/>
      <c r="V125" s="10"/>
      <c r="W125" s="10"/>
      <c r="X125" s="10"/>
    </row>
    <row r="126" spans="2:24" ht="13" x14ac:dyDescent="0.15">
      <c r="B126" s="1" t="str">
        <f ca="1">IFERROR(__xludf.DUMMYFUNCTION("IFERROR(JOIN("","", UNIQUE(filter({VLOOKUP(A126,C:X,13, FALSE); VLOOKUP(A126,C:X,15, FALSE); VLOOKUP(A126,C:X,17, FALSE); VLOOKUP(A126,C:X,19, FALSE)}, {VLOOKUP(A126,C:X,13, FALSE); VLOOKUP(A126,C:X,15, FALSE); VLOOKUP(A126,C:X,17, FALSE); VLOOKUP(A126,C:"&amp;"X,19, FALSE)}&lt;&gt;""""))), """")"),"")</f>
        <v/>
      </c>
      <c r="C126" s="77" t="str">
        <f t="shared" ca="1" si="2"/>
        <v>membrane tandem mScarlet3-S2 (F1 of allele 342)</v>
      </c>
      <c r="D126" s="78" t="str">
        <f t="shared" ca="1" si="1"/>
        <v>(F1 of allele 342)</v>
      </c>
      <c r="E126" s="78" t="str">
        <f ca="1">IFERROR(__xludf.DUMMYFUNCTION("IFERROR(REGEXEXTRACT(N126, ""F\d+""), ""F1"")"),"F1")</f>
        <v>F1</v>
      </c>
      <c r="F126" s="10" t="str">
        <f ca="1">IFERROR(__xludf.DUMMYFUNCTION("""COMPUTED_VALUE"""),"membrane tandem mScarlet3-S2")</f>
        <v>membrane tandem mScarlet3-S2</v>
      </c>
      <c r="G126" s="10" t="str">
        <f ca="1">IFERROR(__xludf.DUMMYFUNCTION("""COMPUTED_VALUE"""),"A2UCOE-ef1a-ext:2x:Lynk:tdmScarlet3S2")</f>
        <v>A2UCOE-ef1a-ext:2x:Lynk:tdmScarlet3S2</v>
      </c>
      <c r="H126" s="80">
        <f ca="1">IFERROR(__xludf.DUMMYFUNCTION("""COMPUTED_VALUE"""),45871)</f>
        <v>45871</v>
      </c>
      <c r="I126" s="10" t="str">
        <f ca="1">IFERROR(__xludf.DUMMYFUNCTION("""COMPUTED_VALUE"""),"pMNM002")</f>
        <v>pMNM002</v>
      </c>
      <c r="J126" s="10" t="str">
        <f ca="1">IFERROR(__xludf.DUMMYFUNCTION("""COMPUTED_VALUE"""),"tol2")</f>
        <v>tol2</v>
      </c>
      <c r="K126" s="10">
        <f ca="1">IFERROR(__xludf.DUMMYFUNCTION("""COMPUTED_VALUE"""),342)</f>
        <v>342</v>
      </c>
      <c r="L126" s="10" t="str">
        <f ca="1">IFERROR(__xludf.DUMMYFUNCTION("""COMPUTED_VALUE"""),"casper")</f>
        <v>casper</v>
      </c>
      <c r="M126" s="10"/>
      <c r="N126" s="10"/>
      <c r="O126" s="10"/>
      <c r="P126" s="81"/>
      <c r="Q126" s="10"/>
      <c r="R126" s="10"/>
      <c r="S126" s="10"/>
      <c r="T126" s="10"/>
      <c r="U126" s="10"/>
      <c r="V126" s="10"/>
      <c r="W126" s="10"/>
      <c r="X126" s="10"/>
    </row>
    <row r="127" spans="2:24" ht="13" x14ac:dyDescent="0.15">
      <c r="B127" s="1" t="str">
        <f ca="1">IFERROR(__xludf.DUMMYFUNCTION("IFERROR(JOIN("","", UNIQUE(filter({VLOOKUP(A127,C:X,13, FALSE); VLOOKUP(A127,C:X,15, FALSE); VLOOKUP(A127,C:X,17, FALSE); VLOOKUP(A127,C:X,19, FALSE)}, {VLOOKUP(A127,C:X,13, FALSE); VLOOKUP(A127,C:X,15, FALSE); VLOOKUP(A127,C:X,17, FALSE); VLOOKUP(A127,C:"&amp;"X,19, FALSE)}&lt;&gt;""""))), """")"),"")</f>
        <v/>
      </c>
      <c r="C127" s="77" t="str">
        <f t="shared" ca="1" si="2"/>
        <v>membrane tandem mScarlet3-S2 (F1 of allele 343)</v>
      </c>
      <c r="D127" s="78" t="str">
        <f t="shared" ca="1" si="1"/>
        <v>(F1 of allele 343)</v>
      </c>
      <c r="E127" s="78" t="str">
        <f ca="1">IFERROR(__xludf.DUMMYFUNCTION("IFERROR(REGEXEXTRACT(N127, ""F\d+""), ""F1"")"),"F1")</f>
        <v>F1</v>
      </c>
      <c r="F127" s="10" t="str">
        <f ca="1">IFERROR(__xludf.DUMMYFUNCTION("""COMPUTED_VALUE"""),"membrane tandem mScarlet3-S2")</f>
        <v>membrane tandem mScarlet3-S2</v>
      </c>
      <c r="G127" s="10" t="str">
        <f ca="1">IFERROR(__xludf.DUMMYFUNCTION("""COMPUTED_VALUE"""),"p24b;ef1a-ext:2x:Lynk:tdmScarlet3S2")</f>
        <v>p24b;ef1a-ext:2x:Lynk:tdmScarlet3S2</v>
      </c>
      <c r="H127" s="80">
        <f ca="1">IFERROR(__xludf.DUMMYFUNCTION("""COMPUTED_VALUE"""),45883)</f>
        <v>45883</v>
      </c>
      <c r="I127" s="10" t="str">
        <f ca="1">IFERROR(__xludf.DUMMYFUNCTION("""COMPUTED_VALUE"""),"pJWL001")</f>
        <v>pJWL001</v>
      </c>
      <c r="J127" s="10" t="str">
        <f ca="1">IFERROR(__xludf.DUMMYFUNCTION("""COMPUTED_VALUE"""),"phiC")</f>
        <v>phiC</v>
      </c>
      <c r="K127" s="10">
        <f ca="1">IFERROR(__xludf.DUMMYFUNCTION("""COMPUTED_VALUE"""),343)</f>
        <v>343</v>
      </c>
      <c r="L127" s="10" t="str">
        <f ca="1">IFERROR(__xludf.DUMMYFUNCTION("""COMPUTED_VALUE"""),"casper")</f>
        <v>casper</v>
      </c>
      <c r="M127" s="10"/>
      <c r="N127" s="10"/>
      <c r="O127" s="10"/>
      <c r="P127" s="81"/>
      <c r="Q127" s="10" t="str">
        <f ca="1">IFERROR(__xludf.DUMMYFUNCTION("""COMPUTED_VALUE"""),"piglet 24b male ")</f>
        <v xml:space="preserve">piglet 24b male </v>
      </c>
      <c r="R127" s="10"/>
      <c r="S127" s="10"/>
      <c r="T127" s="10"/>
      <c r="U127" s="10"/>
      <c r="V127" s="10"/>
      <c r="W127" s="10"/>
      <c r="X127" s="10"/>
    </row>
    <row r="128" spans="2:24" ht="13" x14ac:dyDescent="0.15">
      <c r="B128" s="1" t="str">
        <f ca="1">IFERROR(__xludf.DUMMYFUNCTION("IFERROR(JOIN("","", UNIQUE(filter({VLOOKUP(A128,C:X,13, FALSE); VLOOKUP(A128,C:X,15, FALSE); VLOOKUP(A128,C:X,17, FALSE); VLOOKUP(A128,C:X,19, FALSE)}, {VLOOKUP(A128,C:X,13, FALSE); VLOOKUP(A128,C:X,15, FALSE); VLOOKUP(A128,C:X,17, FALSE); VLOOKUP(A128,C:"&amp;"X,19, FALSE)}&lt;&gt;""""))), """")"),"")</f>
        <v/>
      </c>
      <c r="C128" s="77" t="str">
        <f t="shared" ca="1" si="2"/>
        <v>tdmScarlet3S2:H2B-tol2 (F1 of allele 344)</v>
      </c>
      <c r="D128" s="78" t="str">
        <f t="shared" ca="1" si="1"/>
        <v>(F1 of allele 344)</v>
      </c>
      <c r="E128" s="78" t="str">
        <f ca="1">IFERROR(__xludf.DUMMYFUNCTION("IFERROR(REGEXEXTRACT(N128, ""F\d+""), ""F1"")"),"F1")</f>
        <v>F1</v>
      </c>
      <c r="F128" s="10" t="str">
        <f ca="1">IFERROR(__xludf.DUMMYFUNCTION("""COMPUTED_VALUE"""),"tdmScarlet3S2:H2B-tol2")</f>
        <v>tdmScarlet3S2:H2B-tol2</v>
      </c>
      <c r="G128" s="10" t="str">
        <f ca="1">IFERROR(__xludf.DUMMYFUNCTION("""COMPUTED_VALUE"""),"ef1a-extended:tdmScarlet3-S2:H2B-tol2")</f>
        <v>ef1a-extended:tdmScarlet3-S2:H2B-tol2</v>
      </c>
      <c r="H128" s="10"/>
      <c r="I128" s="10" t="str">
        <f ca="1">IFERROR(__xludf.DUMMYFUNCTION("""COMPUTED_VALUE"""),"pDQM133")</f>
        <v>pDQM133</v>
      </c>
      <c r="J128" s="10" t="str">
        <f ca="1">IFERROR(__xludf.DUMMYFUNCTION("""COMPUTED_VALUE"""),"tol2")</f>
        <v>tol2</v>
      </c>
      <c r="K128" s="10">
        <f ca="1">IFERROR(__xludf.DUMMYFUNCTION("""COMPUTED_VALUE"""),344)</f>
        <v>344</v>
      </c>
      <c r="L128" s="10" t="str">
        <f ca="1">IFERROR(__xludf.DUMMYFUNCTION("""COMPUTED_VALUE"""),"casper")</f>
        <v>casper</v>
      </c>
      <c r="M128" s="10"/>
      <c r="N128" s="10" t="str">
        <f ca="1">IFERROR(__xludf.DUMMYFUNCTION("""COMPUTED_VALUE"""),"csp")</f>
        <v>csp</v>
      </c>
      <c r="O128" s="10" t="str">
        <f ca="1">IFERROR(__xludf.DUMMYFUNCTION("""COMPUTED_VALUE"""),"csp")</f>
        <v>csp</v>
      </c>
      <c r="P128" s="81" t="str">
        <f ca="1">IFERROR(__xludf.DUMMYFUNCTION("""COMPUTED_VALUE"""),"P0_founder")</f>
        <v>P0_founder</v>
      </c>
      <c r="Q128" s="10"/>
      <c r="R128" s="10"/>
      <c r="S128" s="10"/>
      <c r="T128" s="10"/>
      <c r="U128" s="10"/>
      <c r="V128" s="10"/>
      <c r="W128" s="10"/>
      <c r="X128" s="10"/>
    </row>
    <row r="129" spans="2:24" ht="13" x14ac:dyDescent="0.15">
      <c r="B129" s="1" t="str">
        <f ca="1">IFERROR(__xludf.DUMMYFUNCTION("IFERROR(JOIN("","", UNIQUE(filter({VLOOKUP(A129,C:X,13, FALSE); VLOOKUP(A129,C:X,15, FALSE); VLOOKUP(A129,C:X,17, FALSE); VLOOKUP(A129,C:X,19, FALSE)}, {VLOOKUP(A129,C:X,13, FALSE); VLOOKUP(A129,C:X,15, FALSE); VLOOKUP(A129,C:X,17, FALSE); VLOOKUP(A129,C:"&amp;"X,19, FALSE)}&lt;&gt;""""))), """")"),"")</f>
        <v/>
      </c>
      <c r="C129" s="77" t="str">
        <f t="shared" ca="1" si="2"/>
        <v>tdmScarlet3S2:H2B-tol2 (F1 of allele 345)</v>
      </c>
      <c r="D129" s="78" t="str">
        <f t="shared" ca="1" si="1"/>
        <v>(F1 of allele 345)</v>
      </c>
      <c r="E129" s="78" t="str">
        <f ca="1">IFERROR(__xludf.DUMMYFUNCTION("IFERROR(REGEXEXTRACT(N129, ""F\d+""), ""F1"")"),"F1")</f>
        <v>F1</v>
      </c>
      <c r="F129" s="10" t="str">
        <f ca="1">IFERROR(__xludf.DUMMYFUNCTION("""COMPUTED_VALUE"""),"tdmScarlet3S2:H2B-tol2")</f>
        <v>tdmScarlet3S2:H2B-tol2</v>
      </c>
      <c r="G129" s="10" t="str">
        <f ca="1">IFERROR(__xludf.DUMMYFUNCTION("""COMPUTED_VALUE"""),"ef1a-extended:tdmScarlet3-S2:H2B-tol2")</f>
        <v>ef1a-extended:tdmScarlet3-S2:H2B-tol2</v>
      </c>
      <c r="H129" s="10"/>
      <c r="I129" s="10" t="str">
        <f ca="1">IFERROR(__xludf.DUMMYFUNCTION("""COMPUTED_VALUE"""),"pDQM133")</f>
        <v>pDQM133</v>
      </c>
      <c r="J129" s="10" t="str">
        <f ca="1">IFERROR(__xludf.DUMMYFUNCTION("""COMPUTED_VALUE"""),"tol2")</f>
        <v>tol2</v>
      </c>
      <c r="K129" s="10">
        <f ca="1">IFERROR(__xludf.DUMMYFUNCTION("""COMPUTED_VALUE"""),345)</f>
        <v>345</v>
      </c>
      <c r="L129" s="10" t="str">
        <f ca="1">IFERROR(__xludf.DUMMYFUNCTION("""COMPUTED_VALUE"""),"casper")</f>
        <v>casper</v>
      </c>
      <c r="M129" s="10"/>
      <c r="N129" s="10" t="str">
        <f ca="1">IFERROR(__xludf.DUMMYFUNCTION("""COMPUTED_VALUE"""),"csp")</f>
        <v>csp</v>
      </c>
      <c r="O129" s="10" t="str">
        <f ca="1">IFERROR(__xludf.DUMMYFUNCTION("""COMPUTED_VALUE"""),"csp")</f>
        <v>csp</v>
      </c>
      <c r="P129" s="81" t="str">
        <f ca="1">IFERROR(__xludf.DUMMYFUNCTION("""COMPUTED_VALUE"""),"P0_founder")</f>
        <v>P0_founder</v>
      </c>
      <c r="Q129" s="10"/>
      <c r="R129" s="10"/>
      <c r="S129" s="10"/>
      <c r="T129" s="10"/>
      <c r="U129" s="10"/>
      <c r="V129" s="10"/>
      <c r="W129" s="10"/>
      <c r="X129" s="10"/>
    </row>
    <row r="130" spans="2:24" ht="13" x14ac:dyDescent="0.15">
      <c r="B130" s="1" t="str">
        <f ca="1">IFERROR(__xludf.DUMMYFUNCTION("IFERROR(JOIN("","", UNIQUE(filter({VLOOKUP(A130,C:X,13, FALSE); VLOOKUP(A130,C:X,15, FALSE); VLOOKUP(A130,C:X,17, FALSE); VLOOKUP(A130,C:X,19, FALSE)}, {VLOOKUP(A130,C:X,13, FALSE); VLOOKUP(A130,C:X,15, FALSE); VLOOKUP(A130,C:X,17, FALSE); VLOOKUP(A130,C:"&amp;"X,19, FALSE)}&lt;&gt;""""))), """")"),"")</f>
        <v/>
      </c>
      <c r="C130" s="77" t="str">
        <f t="shared" ca="1" si="2"/>
        <v>Tg(pDQM155)346 ef1a-extended:DHB:tdmSG-tol2 (cell cycle indicator) (F1 of allele 346)</v>
      </c>
      <c r="D130" s="78" t="str">
        <f t="shared" ca="1" si="1"/>
        <v>(F1 of allele 346)</v>
      </c>
      <c r="E130" s="78" t="str">
        <f ca="1">IFERROR(__xludf.DUMMYFUNCTION("IFERROR(REGEXEXTRACT(N130, ""F\d+""), ""F1"")"),"F1")</f>
        <v>F1</v>
      </c>
      <c r="F130" s="10" t="str">
        <f ca="1">IFERROR(__xludf.DUMMYFUNCTION("""COMPUTED_VALUE"""),"Tg(pDQM155)346 ef1a-extended:DHB:tdmSG-tol2 (cell cycle indicator)")</f>
        <v>Tg(pDQM155)346 ef1a-extended:DHB:tdmSG-tol2 (cell cycle indicator)</v>
      </c>
      <c r="G130" s="10" t="str">
        <f ca="1">IFERROR(__xludf.DUMMYFUNCTION("""COMPUTED_VALUE"""),"ef1a-extended:DHB:tdmSG-tol2")</f>
        <v>ef1a-extended:DHB:tdmSG-tol2</v>
      </c>
      <c r="H130" s="10"/>
      <c r="I130" s="10" t="str">
        <f ca="1">IFERROR(__xludf.DUMMYFUNCTION("""COMPUTED_VALUE"""),"pDQM155")</f>
        <v>pDQM155</v>
      </c>
      <c r="J130" s="10" t="str">
        <f ca="1">IFERROR(__xludf.DUMMYFUNCTION("""COMPUTED_VALUE"""),"tol2")</f>
        <v>tol2</v>
      </c>
      <c r="K130" s="10">
        <f ca="1">IFERROR(__xludf.DUMMYFUNCTION("""COMPUTED_VALUE"""),346)</f>
        <v>346</v>
      </c>
      <c r="L130" s="10" t="str">
        <f ca="1">IFERROR(__xludf.DUMMYFUNCTION("""COMPUTED_VALUE"""),"casper")</f>
        <v>casper</v>
      </c>
      <c r="M130" s="10"/>
      <c r="N130" s="10" t="str">
        <f ca="1">IFERROR(__xludf.DUMMYFUNCTION("""COMPUTED_VALUE"""),"csp")</f>
        <v>csp</v>
      </c>
      <c r="O130" s="10" t="str">
        <f ca="1">IFERROR(__xludf.DUMMYFUNCTION("""COMPUTED_VALUE"""),"csp")</f>
        <v>csp</v>
      </c>
      <c r="P130" s="81" t="str">
        <f ca="1">IFERROR(__xludf.DUMMYFUNCTION("""COMPUTED_VALUE"""),"P0_founder")</f>
        <v>P0_founder</v>
      </c>
      <c r="Q130" s="10" t="str">
        <f ca="1">IFERROR(__xludf.DUMMYFUNCTION("""COMPUTED_VALUE"""),"female")</f>
        <v>female</v>
      </c>
      <c r="R130" s="10"/>
      <c r="S130" s="10"/>
      <c r="T130" s="10"/>
      <c r="U130" s="10"/>
      <c r="V130" s="10"/>
      <c r="W130" s="10"/>
      <c r="X130" s="10"/>
    </row>
    <row r="131" spans="2:24" ht="13" x14ac:dyDescent="0.15">
      <c r="B131" s="1" t="str">
        <f ca="1">IFERROR(__xludf.DUMMYFUNCTION("IFERROR(JOIN("","", UNIQUE(filter({VLOOKUP(A131,C:X,13, FALSE); VLOOKUP(A131,C:X,15, FALSE); VLOOKUP(A131,C:X,17, FALSE); VLOOKUP(A131,C:X,19, FALSE)}, {VLOOKUP(A131,C:X,13, FALSE); VLOOKUP(A131,C:X,15, FALSE); VLOOKUP(A131,C:X,17, FALSE); VLOOKUP(A131,C:"&amp;"X,19, FALSE)}&lt;&gt;""""))), """")"),"")</f>
        <v/>
      </c>
      <c r="C131" s="77" t="str">
        <f t="shared" ca="1" si="2"/>
        <v>Tg(pDQM155) ef1a-extended:DHB:tdmSG-tol2 (cell cycle indicator) (F1 of allele 347)</v>
      </c>
      <c r="D131" s="78" t="str">
        <f t="shared" ca="1" si="1"/>
        <v>(F1 of allele 347)</v>
      </c>
      <c r="E131" s="78" t="str">
        <f ca="1">IFERROR(__xludf.DUMMYFUNCTION("IFERROR(REGEXEXTRACT(N131, ""F\d+""), ""F1"")"),"F1")</f>
        <v>F1</v>
      </c>
      <c r="F131" s="10" t="str">
        <f ca="1">IFERROR(__xludf.DUMMYFUNCTION("""COMPUTED_VALUE"""),"Tg(pDQM155) ef1a-extended:DHB:tdmSG-tol2 (cell cycle indicator)")</f>
        <v>Tg(pDQM155) ef1a-extended:DHB:tdmSG-tol2 (cell cycle indicator)</v>
      </c>
      <c r="G131" s="10" t="str">
        <f ca="1">IFERROR(__xludf.DUMMYFUNCTION("""COMPUTED_VALUE"""),"ef1a-extended:DHB:tdmSG-tol2")</f>
        <v>ef1a-extended:DHB:tdmSG-tol2</v>
      </c>
      <c r="H131" s="10"/>
      <c r="I131" s="10" t="str">
        <f ca="1">IFERROR(__xludf.DUMMYFUNCTION("""COMPUTED_VALUE"""),"pDQM155")</f>
        <v>pDQM155</v>
      </c>
      <c r="J131" s="10" t="str">
        <f ca="1">IFERROR(__xludf.DUMMYFUNCTION("""COMPUTED_VALUE"""),"tol2")</f>
        <v>tol2</v>
      </c>
      <c r="K131" s="10">
        <f ca="1">IFERROR(__xludf.DUMMYFUNCTION("""COMPUTED_VALUE"""),347)</f>
        <v>347</v>
      </c>
      <c r="L131" s="10" t="str">
        <f ca="1">IFERROR(__xludf.DUMMYFUNCTION("""COMPUTED_VALUE"""),"casper")</f>
        <v>casper</v>
      </c>
      <c r="M131" s="10"/>
      <c r="N131" s="10" t="str">
        <f ca="1">IFERROR(__xludf.DUMMYFUNCTION("""COMPUTED_VALUE"""),"csp")</f>
        <v>csp</v>
      </c>
      <c r="O131" s="10" t="str">
        <f ca="1">IFERROR(__xludf.DUMMYFUNCTION("""COMPUTED_VALUE"""),"csp")</f>
        <v>csp</v>
      </c>
      <c r="P131" s="81" t="str">
        <f ca="1">IFERROR(__xludf.DUMMYFUNCTION("""COMPUTED_VALUE"""),"P0_founder")</f>
        <v>P0_founder</v>
      </c>
      <c r="Q131" s="10" t="str">
        <f ca="1">IFERROR(__xludf.DUMMYFUNCTION("""COMPUTED_VALUE"""),"male 1 ")</f>
        <v xml:space="preserve">male 1 </v>
      </c>
      <c r="R131" s="10"/>
      <c r="S131" s="10"/>
      <c r="T131" s="10"/>
      <c r="U131" s="10"/>
      <c r="V131" s="10"/>
      <c r="W131" s="10"/>
      <c r="X131" s="10"/>
    </row>
    <row r="132" spans="2:24" ht="13" x14ac:dyDescent="0.15">
      <c r="B132" s="1" t="str">
        <f ca="1">IFERROR(__xludf.DUMMYFUNCTION("IFERROR(JOIN("","", UNIQUE(filter({VLOOKUP(A132,C:X,13, FALSE); VLOOKUP(A132,C:X,15, FALSE); VLOOKUP(A132,C:X,17, FALSE); VLOOKUP(A132,C:X,19, FALSE)}, {VLOOKUP(A132,C:X,13, FALSE); VLOOKUP(A132,C:X,15, FALSE); VLOOKUP(A132,C:X,17, FALSE); VLOOKUP(A132,C:"&amp;"X,19, FALSE)}&lt;&gt;""""))), """")"),"")</f>
        <v/>
      </c>
      <c r="C132" s="77" t="str">
        <f t="shared" ca="1" si="2"/>
        <v>Tg(pDQM155) ef1a-extended:DHB:tdmSG-tol2 (cell cycle indicator) (F1 of allele 348)</v>
      </c>
      <c r="D132" s="78" t="str">
        <f t="shared" ca="1" si="1"/>
        <v>(F1 of allele 348)</v>
      </c>
      <c r="E132" s="78" t="str">
        <f ca="1">IFERROR(__xludf.DUMMYFUNCTION("IFERROR(REGEXEXTRACT(N132, ""F\d+""), ""F1"")"),"F1")</f>
        <v>F1</v>
      </c>
      <c r="F132" s="10" t="str">
        <f ca="1">IFERROR(__xludf.DUMMYFUNCTION("""COMPUTED_VALUE"""),"Tg(pDQM155) ef1a-extended:DHB:tdmSG-tol2 (cell cycle indicator)")</f>
        <v>Tg(pDQM155) ef1a-extended:DHB:tdmSG-tol2 (cell cycle indicator)</v>
      </c>
      <c r="G132" s="10" t="str">
        <f ca="1">IFERROR(__xludf.DUMMYFUNCTION("""COMPUTED_VALUE"""),"ef1a-extended:DHB:tdmSG-tol2")</f>
        <v>ef1a-extended:DHB:tdmSG-tol2</v>
      </c>
      <c r="H132" s="10"/>
      <c r="I132" s="10" t="str">
        <f ca="1">IFERROR(__xludf.DUMMYFUNCTION("""COMPUTED_VALUE"""),"pDQM155")</f>
        <v>pDQM155</v>
      </c>
      <c r="J132" s="10" t="str">
        <f ca="1">IFERROR(__xludf.DUMMYFUNCTION("""COMPUTED_VALUE"""),"tol2")</f>
        <v>tol2</v>
      </c>
      <c r="K132" s="10">
        <f ca="1">IFERROR(__xludf.DUMMYFUNCTION("""COMPUTED_VALUE"""),348)</f>
        <v>348</v>
      </c>
      <c r="L132" s="10" t="str">
        <f ca="1">IFERROR(__xludf.DUMMYFUNCTION("""COMPUTED_VALUE"""),"casper")</f>
        <v>casper</v>
      </c>
      <c r="M132" s="10"/>
      <c r="N132" s="10" t="str">
        <f ca="1">IFERROR(__xludf.DUMMYFUNCTION("""COMPUTED_VALUE"""),"csp")</f>
        <v>csp</v>
      </c>
      <c r="O132" s="10" t="str">
        <f ca="1">IFERROR(__xludf.DUMMYFUNCTION("""COMPUTED_VALUE"""),"csp")</f>
        <v>csp</v>
      </c>
      <c r="P132" s="81" t="str">
        <f ca="1">IFERROR(__xludf.DUMMYFUNCTION("""COMPUTED_VALUE"""),"P0_founder")</f>
        <v>P0_founder</v>
      </c>
      <c r="Q132" s="10" t="str">
        <f ca="1">IFERROR(__xludf.DUMMYFUNCTION("""COMPUTED_VALUE"""),"male 2")</f>
        <v>male 2</v>
      </c>
      <c r="R132" s="10"/>
      <c r="S132" s="10"/>
      <c r="T132" s="10"/>
      <c r="U132" s="10"/>
      <c r="V132" s="10"/>
      <c r="W132" s="10"/>
      <c r="X132" s="10"/>
    </row>
    <row r="133" spans="2:24" ht="13" x14ac:dyDescent="0.15">
      <c r="B133" s="1" t="str">
        <f ca="1">IFERROR(__xludf.DUMMYFUNCTION("IFERROR(JOIN("","", UNIQUE(filter({VLOOKUP(A133,C:X,13, FALSE); VLOOKUP(A133,C:X,15, FALSE); VLOOKUP(A133,C:X,17, FALSE); VLOOKUP(A133,C:X,19, FALSE)}, {VLOOKUP(A133,C:X,13, FALSE); VLOOKUP(A133,C:X,15, FALSE); VLOOKUP(A133,C:X,17, FALSE); VLOOKUP(A133,C:"&amp;"X,19, FALSE)}&lt;&gt;""""))), """")"),"")</f>
        <v/>
      </c>
      <c r="C133" s="77" t="str">
        <f t="shared" ca="1" si="2"/>
        <v>tdmScarlet3S2:H2B-tol2 (F1 of allele 349)</v>
      </c>
      <c r="D133" s="78" t="str">
        <f t="shared" ca="1" si="1"/>
        <v>(F1 of allele 349)</v>
      </c>
      <c r="E133" s="78" t="str">
        <f ca="1">IFERROR(__xludf.DUMMYFUNCTION("IFERROR(REGEXEXTRACT(N133, ""F\d+""), ""F1"")"),"F1")</f>
        <v>F1</v>
      </c>
      <c r="F133" s="10" t="str">
        <f ca="1">IFERROR(__xludf.DUMMYFUNCTION("""COMPUTED_VALUE"""),"tdmScarlet3S2:H2B-tol2")</f>
        <v>tdmScarlet3S2:H2B-tol2</v>
      </c>
      <c r="G133" s="10" t="str">
        <f ca="1">IFERROR(__xludf.DUMMYFUNCTION("""COMPUTED_VALUE"""),"ef1a-extended:tdmScarlet3-S2:H2B-tol2")</f>
        <v>ef1a-extended:tdmScarlet3-S2:H2B-tol2</v>
      </c>
      <c r="H133" s="10"/>
      <c r="I133" s="10" t="str">
        <f ca="1">IFERROR(__xludf.DUMMYFUNCTION("""COMPUTED_VALUE"""),"pDQM133")</f>
        <v>pDQM133</v>
      </c>
      <c r="J133" s="10" t="str">
        <f ca="1">IFERROR(__xludf.DUMMYFUNCTION("""COMPUTED_VALUE"""),"tol2")</f>
        <v>tol2</v>
      </c>
      <c r="K133" s="10">
        <f ca="1">IFERROR(__xludf.DUMMYFUNCTION("""COMPUTED_VALUE"""),349)</f>
        <v>349</v>
      </c>
      <c r="L133" s="10" t="str">
        <f ca="1">IFERROR(__xludf.DUMMYFUNCTION("""COMPUTED_VALUE"""),"casper")</f>
        <v>casper</v>
      </c>
      <c r="M133" s="10"/>
      <c r="N133" s="10" t="str">
        <f ca="1">IFERROR(__xludf.DUMMYFUNCTION("""COMPUTED_VALUE"""),"csp")</f>
        <v>csp</v>
      </c>
      <c r="O133" s="10" t="str">
        <f ca="1">IFERROR(__xludf.DUMMYFUNCTION("""COMPUTED_VALUE"""),"csp ")</f>
        <v xml:space="preserve">csp </v>
      </c>
      <c r="P133" s="81" t="str">
        <f ca="1">IFERROR(__xludf.DUMMYFUNCTION("""COMPUTED_VALUE"""),"P0_founder")</f>
        <v>P0_founder</v>
      </c>
      <c r="Q133" s="10" t="str">
        <f ca="1">IFERROR(__xludf.DUMMYFUNCTION("""COMPUTED_VALUE"""),"male 1 ")</f>
        <v xml:space="preserve">male 1 </v>
      </c>
      <c r="R133" s="10"/>
      <c r="S133" s="10"/>
      <c r="T133" s="10"/>
      <c r="U133" s="10"/>
      <c r="V133" s="10"/>
      <c r="W133" s="10"/>
      <c r="X133" s="10"/>
    </row>
    <row r="134" spans="2:24" ht="13" x14ac:dyDescent="0.15">
      <c r="B134" s="1" t="str">
        <f ca="1">IFERROR(__xludf.DUMMYFUNCTION("IFERROR(JOIN("","", UNIQUE(filter({VLOOKUP(A134,C:X,13, FALSE); VLOOKUP(A134,C:X,15, FALSE); VLOOKUP(A134,C:X,17, FALSE); VLOOKUP(A134,C:X,19, FALSE)}, {VLOOKUP(A134,C:X,13, FALSE); VLOOKUP(A134,C:X,15, FALSE); VLOOKUP(A134,C:X,17, FALSE); VLOOKUP(A134,C:"&amp;"X,19, FALSE)}&lt;&gt;""""))), """")"),"")</f>
        <v/>
      </c>
      <c r="C134" s="77" t="str">
        <f t="shared" ca="1" si="2"/>
        <v>memSG; (F1 of allele 350)</v>
      </c>
      <c r="D134" s="78" t="str">
        <f t="shared" ca="1" si="1"/>
        <v>(F1 of allele 350)</v>
      </c>
      <c r="E134" s="78" t="str">
        <f ca="1">IFERROR(__xludf.DUMMYFUNCTION("IFERROR(REGEXEXTRACT(N134, ""F\d+""), ""F1"")"),"F1")</f>
        <v>F1</v>
      </c>
      <c r="F134" s="10" t="str">
        <f ca="1">IFERROR(__xludf.DUMMYFUNCTION("""COMPUTED_VALUE"""),"memSG;")</f>
        <v>memSG;</v>
      </c>
      <c r="G134" s="10" t="str">
        <f ca="1">IFERROR(__xludf.DUMMYFUNCTION("""COMPUTED_VALUE"""),"ef1a-extended:tdmScarlet3-S2:H2B-tol2")</f>
        <v>ef1a-extended:tdmScarlet3-S2:H2B-tol2</v>
      </c>
      <c r="H134" s="10"/>
      <c r="I134" s="10" t="str">
        <f ca="1">IFERROR(__xludf.DUMMYFUNCTION("""COMPUTED_VALUE"""),"pDQM133")</f>
        <v>pDQM133</v>
      </c>
      <c r="J134" s="10" t="str">
        <f ca="1">IFERROR(__xludf.DUMMYFUNCTION("""COMPUTED_VALUE"""),"tol2")</f>
        <v>tol2</v>
      </c>
      <c r="K134" s="10">
        <f ca="1">IFERROR(__xludf.DUMMYFUNCTION("""COMPUTED_VALUE"""),350)</f>
        <v>350</v>
      </c>
      <c r="L134" s="10" t="str">
        <f ca="1">IFERROR(__xludf.DUMMYFUNCTION("""COMPUTED_VALUE"""),"casper")</f>
        <v>casper</v>
      </c>
      <c r="M134" s="80">
        <f ca="1">IFERROR(__xludf.DUMMYFUNCTION("""COMPUTED_VALUE"""),45980)</f>
        <v>45980</v>
      </c>
      <c r="N134" s="10">
        <f ca="1">IFERROR(__xludf.DUMMYFUNCTION("""COMPUTED_VALUE"""),301)</f>
        <v>301</v>
      </c>
      <c r="O134" s="10">
        <f ca="1">IFERROR(__xludf.DUMMYFUNCTION("""COMPUTED_VALUE"""),301)</f>
        <v>301</v>
      </c>
      <c r="P134" s="81" t="str">
        <f ca="1">IFERROR(__xludf.DUMMYFUNCTION("""COMPUTED_VALUE"""),"P0_founder")</f>
        <v>P0_founder</v>
      </c>
      <c r="Q134" s="10" t="str">
        <f ca="1">IFERROR(__xludf.DUMMYFUNCTION("""COMPUTED_VALUE"""),"male in tank with other male need to find founder ")</f>
        <v xml:space="preserve">male in tank with other male need to find founder </v>
      </c>
      <c r="R134" s="10"/>
      <c r="S134" s="10"/>
      <c r="T134" s="10"/>
      <c r="U134" s="10"/>
      <c r="V134" s="10"/>
      <c r="W134" s="10"/>
      <c r="X134" s="10"/>
    </row>
    <row r="135" spans="2:24" ht="13" x14ac:dyDescent="0.15">
      <c r="B135" s="1" t="str">
        <f ca="1">IFERROR(__xludf.DUMMYFUNCTION("IFERROR(JOIN("","", UNIQUE(filter({VLOOKUP(A135,C:X,13, FALSE); VLOOKUP(A135,C:X,15, FALSE); VLOOKUP(A135,C:X,17, FALSE); VLOOKUP(A135,C:X,19, FALSE)}, {VLOOKUP(A135,C:X,13, FALSE); VLOOKUP(A135,C:X,15, FALSE); VLOOKUP(A135,C:X,17, FALSE); VLOOKUP(A135,C:"&amp;"X,19, FALSE)}&lt;&gt;""""))), """")"),"")</f>
        <v/>
      </c>
      <c r="C135" s="77" t="str">
        <f t="shared" ca="1" si="2"/>
        <v xml:space="preserve"> (F1 of allele 351)</v>
      </c>
      <c r="D135" s="78" t="str">
        <f t="shared" ca="1" si="1"/>
        <v>(F1 of allele 351)</v>
      </c>
      <c r="E135" s="78" t="str">
        <f ca="1">IFERROR(__xludf.DUMMYFUNCTION("IFERROR(REGEXEXTRACT(N135, ""F\d+""), ""F1"")"),"F1")</f>
        <v>F1</v>
      </c>
      <c r="F135" s="10"/>
      <c r="G135" s="10" t="str">
        <f ca="1">IFERROR(__xludf.DUMMYFUNCTION("""COMPUTED_VALUE"""),"A2UCOE-loxP-ef1a-extended-2xLynk:tdmSc3S2-SV40-lox2272-attB-tol2")</f>
        <v>A2UCOE-loxP-ef1a-extended-2xLynk:tdmSc3S2-SV40-lox2272-attB-tol2</v>
      </c>
      <c r="H135" s="10"/>
      <c r="I135" s="10" t="str">
        <f ca="1">IFERROR(__xludf.DUMMYFUNCTION("""COMPUTED_VALUE"""),"pDQM157")</f>
        <v>pDQM157</v>
      </c>
      <c r="J135" s="10" t="str">
        <f ca="1">IFERROR(__xludf.DUMMYFUNCTION("""COMPUTED_VALUE"""),"tol2")</f>
        <v>tol2</v>
      </c>
      <c r="K135" s="10">
        <f ca="1">IFERROR(__xludf.DUMMYFUNCTION("""COMPUTED_VALUE"""),351)</f>
        <v>351</v>
      </c>
      <c r="L135" s="10" t="str">
        <f ca="1">IFERROR(__xludf.DUMMYFUNCTION("""COMPUTED_VALUE"""),"casper")</f>
        <v>casper</v>
      </c>
      <c r="M135" s="10"/>
      <c r="N135" s="10" t="str">
        <f ca="1">IFERROR(__xludf.DUMMYFUNCTION("""COMPUTED_VALUE"""),"csp")</f>
        <v>csp</v>
      </c>
      <c r="O135" s="10" t="str">
        <f ca="1">IFERROR(__xludf.DUMMYFUNCTION("""COMPUTED_VALUE"""),"csp")</f>
        <v>csp</v>
      </c>
      <c r="P135" s="81" t="str">
        <f ca="1">IFERROR(__xludf.DUMMYFUNCTION("""COMPUTED_VALUE"""),"P0_founder")</f>
        <v>P0_founder</v>
      </c>
      <c r="Q135" s="10"/>
      <c r="R135" s="10"/>
      <c r="S135" s="10"/>
      <c r="T135" s="10"/>
      <c r="U135" s="10"/>
      <c r="V135" s="10"/>
      <c r="W135" s="10"/>
      <c r="X135" s="10"/>
    </row>
    <row r="136" spans="2:24" ht="13" x14ac:dyDescent="0.15">
      <c r="B136" s="1" t="str">
        <f ca="1">IFERROR(__xludf.DUMMYFUNCTION("IFERROR(JOIN("","", UNIQUE(filter({VLOOKUP(A136,C:X,13, FALSE); VLOOKUP(A136,C:X,15, FALSE); VLOOKUP(A136,C:X,17, FALSE); VLOOKUP(A136,C:X,19, FALSE)}, {VLOOKUP(A136,C:X,13, FALSE); VLOOKUP(A136,C:X,15, FALSE); VLOOKUP(A136,C:X,17, FALSE); VLOOKUP(A136,C:"&amp;"X,19, FALSE)}&lt;&gt;""""))), """")"),"")</f>
        <v/>
      </c>
      <c r="C136" s="77" t="str">
        <f t="shared" ca="1" si="2"/>
        <v>tdmScarlet3-S2:PCNA-tol2 (F1 of allele 352)</v>
      </c>
      <c r="D136" s="78" t="str">
        <f t="shared" ca="1" si="1"/>
        <v>(F1 of allele 352)</v>
      </c>
      <c r="E136" s="78" t="str">
        <f ca="1">IFERROR(__xludf.DUMMYFUNCTION("IFERROR(REGEXEXTRACT(N136, ""F\d+""), ""F1"")"),"F1")</f>
        <v>F1</v>
      </c>
      <c r="F136" s="10" t="str">
        <f ca="1">IFERROR(__xludf.DUMMYFUNCTION("""COMPUTED_VALUE"""),"tdmScarlet3-S2:PCNA-tol2")</f>
        <v>tdmScarlet3-S2:PCNA-tol2</v>
      </c>
      <c r="G136" s="10" t="str">
        <f ca="1">IFERROR(__xludf.DUMMYFUNCTION("""COMPUTED_VALUE"""),"ef1a-extened::tdmScarlet3-S2:PCNA-tol2")</f>
        <v>ef1a-extened::tdmScarlet3-S2:PCNA-tol2</v>
      </c>
      <c r="H136" s="80">
        <f ca="1">IFERROR(__xludf.DUMMYFUNCTION("""COMPUTED_VALUE"""),45888)</f>
        <v>45888</v>
      </c>
      <c r="I136" s="10" t="str">
        <f ca="1">IFERROR(__xludf.DUMMYFUNCTION("""COMPUTED_VALUE"""),"pDQM154")</f>
        <v>pDQM154</v>
      </c>
      <c r="J136" s="10" t="str">
        <f ca="1">IFERROR(__xludf.DUMMYFUNCTION("""COMPUTED_VALUE"""),"tol2")</f>
        <v>tol2</v>
      </c>
      <c r="K136" s="10">
        <f ca="1">IFERROR(__xludf.DUMMYFUNCTION("""COMPUTED_VALUE"""),352)</f>
        <v>352</v>
      </c>
      <c r="L136" s="10" t="str">
        <f ca="1">IFERROR(__xludf.DUMMYFUNCTION("""COMPUTED_VALUE"""),"casper")</f>
        <v>casper</v>
      </c>
      <c r="M136" s="80">
        <f ca="1">IFERROR(__xludf.DUMMYFUNCTION("""COMPUTED_VALUE"""),45980)</f>
        <v>45980</v>
      </c>
      <c r="N136" s="10" t="str">
        <f ca="1">IFERROR(__xludf.DUMMYFUNCTION("""COMPUTED_VALUE"""),"csp")</f>
        <v>csp</v>
      </c>
      <c r="O136" s="10" t="str">
        <f ca="1">IFERROR(__xludf.DUMMYFUNCTION("""COMPUTED_VALUE"""),"csp")</f>
        <v>csp</v>
      </c>
      <c r="P136" s="81" t="str">
        <f ca="1">IFERROR(__xludf.DUMMYFUNCTION("""COMPUTED_VALUE"""),"P0_founder")</f>
        <v>P0_founder</v>
      </c>
      <c r="Q136" s="10" t="str">
        <f ca="1">IFERROR(__xludf.DUMMYFUNCTION("""COMPUTED_VALUE"""),"female 1 ")</f>
        <v xml:space="preserve">female 1 </v>
      </c>
      <c r="R136" s="10"/>
      <c r="S136" s="10"/>
      <c r="T136" s="10"/>
      <c r="U136" s="10"/>
      <c r="V136" s="10"/>
      <c r="W136" s="10"/>
      <c r="X136" s="10"/>
    </row>
    <row r="137" spans="2:24" ht="13" x14ac:dyDescent="0.15">
      <c r="B137" s="1" t="str">
        <f ca="1">IFERROR(__xludf.DUMMYFUNCTION("IFERROR(JOIN("","", UNIQUE(filter({VLOOKUP(A137,C:X,13, FALSE); VLOOKUP(A137,C:X,15, FALSE); VLOOKUP(A137,C:X,17, FALSE); VLOOKUP(A137,C:X,19, FALSE)}, {VLOOKUP(A137,C:X,13, FALSE); VLOOKUP(A137,C:X,15, FALSE); VLOOKUP(A137,C:X,17, FALSE); VLOOKUP(A137,C:"&amp;"X,19, FALSE)}&lt;&gt;""""))), """")"),"")</f>
        <v/>
      </c>
      <c r="C137" s="77" t="str">
        <f t="shared" ca="1" si="2"/>
        <v>loxP-ef1a-extended-2xLynk:tdmSc3S2-SV40-lox2272 (F1 of allele 356)</v>
      </c>
      <c r="D137" s="78" t="str">
        <f t="shared" ca="1" si="1"/>
        <v>(F1 of allele 356)</v>
      </c>
      <c r="E137" s="78" t="str">
        <f ca="1">IFERROR(__xludf.DUMMYFUNCTION("IFERROR(REGEXEXTRACT(N137, ""F\d+""), ""F1"")"),"F1")</f>
        <v>F1</v>
      </c>
      <c r="F137" s="10" t="str">
        <f ca="1">IFERROR(__xludf.DUMMYFUNCTION("""COMPUTED_VALUE"""),"loxP-ef1a-extended-2xLynk:tdmSc3S2-SV40-lox2272")</f>
        <v>loxP-ef1a-extended-2xLynk:tdmSc3S2-SV40-lox2272</v>
      </c>
      <c r="G137" s="10" t="str">
        <f ca="1">IFERROR(__xludf.DUMMYFUNCTION("""COMPUTED_VALUE"""),"A2UCOE-loxP-ef1a-extended-2xLynk:tdmSc3S2-SV40-lox2272-attB-tol2")</f>
        <v>A2UCOE-loxP-ef1a-extended-2xLynk:tdmSc3S2-SV40-lox2272-attB-tol2</v>
      </c>
      <c r="H137" s="10"/>
      <c r="I137" s="10" t="str">
        <f ca="1">IFERROR(__xludf.DUMMYFUNCTION("""COMPUTED_VALUE"""),"pDQM156")</f>
        <v>pDQM156</v>
      </c>
      <c r="J137" s="10" t="str">
        <f ca="1">IFERROR(__xludf.DUMMYFUNCTION("""COMPUTED_VALUE"""),"phiC")</f>
        <v>phiC</v>
      </c>
      <c r="K137" s="10">
        <f ca="1">IFERROR(__xludf.DUMMYFUNCTION("""COMPUTED_VALUE"""),356)</f>
        <v>356</v>
      </c>
      <c r="L137" s="10" t="str">
        <f ca="1">IFERROR(__xludf.DUMMYFUNCTION("""COMPUTED_VALUE"""),"casper")</f>
        <v>casper</v>
      </c>
      <c r="M137" s="10"/>
      <c r="N137" s="10" t="str">
        <f ca="1">IFERROR(__xludf.DUMMYFUNCTION("""COMPUTED_VALUE"""),"csp/ piglet24b ")</f>
        <v xml:space="preserve">csp/ piglet24b </v>
      </c>
      <c r="O137" s="10" t="str">
        <f ca="1">IFERROR(__xludf.DUMMYFUNCTION("""COMPUTED_VALUE"""),"csp/ piglet24b ")</f>
        <v xml:space="preserve">csp/ piglet24b </v>
      </c>
      <c r="P137" s="81" t="str">
        <f ca="1">IFERROR(__xludf.DUMMYFUNCTION("""COMPUTED_VALUE"""),"P0_founder")</f>
        <v>P0_founder</v>
      </c>
      <c r="Q137" s="10" t="str">
        <f ca="1">IFERROR(__xludf.DUMMYFUNCTION("""COMPUTED_VALUE"""),"male 1 ")</f>
        <v xml:space="preserve">male 1 </v>
      </c>
      <c r="R137" s="10"/>
      <c r="S137" s="10"/>
      <c r="T137" s="10"/>
      <c r="U137" s="10"/>
      <c r="V137" s="10"/>
      <c r="W137" s="10"/>
      <c r="X137" s="10"/>
    </row>
    <row r="138" spans="2:24" ht="13" x14ac:dyDescent="0.15">
      <c r="B138" s="1" t="str">
        <f ca="1">IFERROR(__xludf.DUMMYFUNCTION("IFERROR(JOIN("","", UNIQUE(filter({VLOOKUP(A138,C:X,13, FALSE); VLOOKUP(A138,C:X,15, FALSE); VLOOKUP(A138,C:X,17, FALSE); VLOOKUP(A138,C:X,19, FALSE)}, {VLOOKUP(A138,C:X,13, FALSE); VLOOKUP(A138,C:X,15, FALSE); VLOOKUP(A138,C:X,17, FALSE); VLOOKUP(A138,C:"&amp;"X,19, FALSE)}&lt;&gt;""""))), """")"),"")</f>
        <v/>
      </c>
      <c r="C138" s="77" t="str">
        <f t="shared" ca="1" si="2"/>
        <v>ef1a-extended-linker-mStayGold-C4linker-sec61b-SV40-attb-tol2 (F1 of allele 357)</v>
      </c>
      <c r="D138" s="78" t="str">
        <f t="shared" ca="1" si="1"/>
        <v>(F1 of allele 357)</v>
      </c>
      <c r="E138" s="78" t="str">
        <f ca="1">IFERROR(__xludf.DUMMYFUNCTION("IFERROR(REGEXEXTRACT(N138, ""F\d+""), ""F1"")"),"F1")</f>
        <v>F1</v>
      </c>
      <c r="F138" s="10" t="str">
        <f ca="1">IFERROR(__xludf.DUMMYFUNCTION("""COMPUTED_VALUE"""),"ef1a-extended-linker-mStayGold-C4linker-sec61b-SV40-attb-tol2")</f>
        <v>ef1a-extended-linker-mStayGold-C4linker-sec61b-SV40-attb-tol2</v>
      </c>
      <c r="G138" s="10"/>
      <c r="H138" s="10"/>
      <c r="I138" s="10" t="str">
        <f ca="1">IFERROR(__xludf.DUMMYFUNCTION("""COMPUTED_VALUE"""),"MGCO27")</f>
        <v>MGCO27</v>
      </c>
      <c r="J138" s="10" t="str">
        <f ca="1">IFERROR(__xludf.DUMMYFUNCTION("""COMPUTED_VALUE"""),"tol2")</f>
        <v>tol2</v>
      </c>
      <c r="K138" s="10">
        <f ca="1">IFERROR(__xludf.DUMMYFUNCTION("""COMPUTED_VALUE"""),357)</f>
        <v>357</v>
      </c>
      <c r="L138" s="10" t="str">
        <f ca="1">IFERROR(__xludf.DUMMYFUNCTION("""COMPUTED_VALUE"""),"casper")</f>
        <v>casper</v>
      </c>
      <c r="M138" s="10"/>
      <c r="N138" s="10"/>
      <c r="O138" s="10"/>
      <c r="P138" s="81" t="str">
        <f ca="1">IFERROR(__xludf.DUMMYFUNCTION("""COMPUTED_VALUE"""),"P0_founder")</f>
        <v>P0_founder</v>
      </c>
      <c r="Q138" s="10"/>
      <c r="R138" s="10"/>
      <c r="S138" s="10"/>
      <c r="T138" s="10"/>
      <c r="U138" s="10"/>
      <c r="V138" s="10"/>
      <c r="W138" s="10"/>
      <c r="X138" s="10"/>
    </row>
    <row r="139" spans="2:24" ht="13" x14ac:dyDescent="0.15">
      <c r="B139" s="1" t="str">
        <f ca="1">IFERROR(__xludf.DUMMYFUNCTION("IFERROR(JOIN("","", UNIQUE(filter({VLOOKUP(A139,C:X,13, FALSE); VLOOKUP(A139,C:X,15, FALSE); VLOOKUP(A139,C:X,17, FALSE); VLOOKUP(A139,C:X,19, FALSE)}, {VLOOKUP(A139,C:X,13, FALSE); VLOOKUP(A139,C:X,15, FALSE); VLOOKUP(A139,C:X,17, FALSE); VLOOKUP(A139,C:"&amp;"X,19, FALSE)}&lt;&gt;""""))), """")"),"")</f>
        <v/>
      </c>
      <c r="C139" s="77" t="str">
        <f t="shared" ca="1" si="2"/>
        <v xml:space="preserve"> (F1 of allele 360)</v>
      </c>
      <c r="D139" s="78" t="str">
        <f t="shared" ca="1" si="1"/>
        <v>(F1 of allele 360)</v>
      </c>
      <c r="E139" s="78" t="str">
        <f ca="1">IFERROR(__xludf.DUMMYFUNCTION("IFERROR(REGEXEXTRACT(N139, ""F\d+""), ""F1"")"),"F1")</f>
        <v>F1</v>
      </c>
      <c r="F139" s="10"/>
      <c r="G139" s="10" t="str">
        <f ca="1">IFERROR(__xludf.DUMMYFUNCTION("""COMPUTED_VALUE"""),"p24b;ef1a-ext:2x:Lynk:tdmScarlet3S2")</f>
        <v>p24b;ef1a-ext:2x:Lynk:tdmScarlet3S2</v>
      </c>
      <c r="H139" s="10"/>
      <c r="I139" s="10" t="str">
        <f ca="1">IFERROR(__xludf.DUMMYFUNCTION("""COMPUTED_VALUE"""),"pJWL001")</f>
        <v>pJWL001</v>
      </c>
      <c r="J139" s="10"/>
      <c r="K139" s="10">
        <f ca="1">IFERROR(__xludf.DUMMYFUNCTION("""COMPUTED_VALUE"""),360)</f>
        <v>360</v>
      </c>
      <c r="L139" s="10" t="str">
        <f ca="1">IFERROR(__xludf.DUMMYFUNCTION("""COMPUTED_VALUE"""),"casper")</f>
        <v>casper</v>
      </c>
      <c r="M139" s="10"/>
      <c r="N139" s="10"/>
      <c r="O139" s="10"/>
      <c r="P139" s="81"/>
      <c r="Q139" s="10" t="str">
        <f ca="1">IFERROR(__xludf.DUMMYFUNCTION("""COMPUTED_VALUE"""),"piglet24b female ")</f>
        <v xml:space="preserve">piglet24b female </v>
      </c>
      <c r="R139" s="10"/>
      <c r="S139" s="10"/>
      <c r="T139" s="10"/>
      <c r="U139" s="10"/>
      <c r="V139" s="10"/>
      <c r="W139" s="10"/>
      <c r="X139" s="10"/>
    </row>
    <row r="140" spans="2:24" ht="13" x14ac:dyDescent="0.15">
      <c r="B140" s="1" t="str">
        <f ca="1">IFERROR(__xludf.DUMMYFUNCTION("IFERROR(JOIN("","", UNIQUE(filter({VLOOKUP(A140,C:X,13, FALSE); VLOOKUP(A140,C:X,15, FALSE); VLOOKUP(A140,C:X,17, FALSE); VLOOKUP(A140,C:X,19, FALSE)}, {VLOOKUP(A140,C:X,13, FALSE); VLOOKUP(A140,C:X,15, FALSE); VLOOKUP(A140,C:X,17, FALSE); VLOOKUP(A140,C:"&amp;"X,19, FALSE)}&lt;&gt;""""))), """")"),"")</f>
        <v/>
      </c>
      <c r="C140" s="77" t="str">
        <f t="shared" ca="1" si="2"/>
        <v>ef1a-extended-linker-mStayGold-C4linker-alphatubulin-SV40-attb-tol2 (F1 of allele 361)</v>
      </c>
      <c r="D140" s="78" t="str">
        <f t="shared" ca="1" si="1"/>
        <v>(F1 of allele 361)</v>
      </c>
      <c r="E140" s="78" t="str">
        <f ca="1">IFERROR(__xludf.DUMMYFUNCTION("IFERROR(REGEXEXTRACT(N140, ""F\d+""), ""F1"")"),"F1")</f>
        <v>F1</v>
      </c>
      <c r="F140" s="10" t="str">
        <f ca="1">IFERROR(__xludf.DUMMYFUNCTION("""COMPUTED_VALUE"""),"ef1a-extended-linker-mStayGold-C4linker-alphatubulin-SV40-attb-tol2")</f>
        <v>ef1a-extended-linker-mStayGold-C4linker-alphatubulin-SV40-attb-tol2</v>
      </c>
      <c r="G140" s="10" t="str">
        <f ca="1">IFERROR(__xludf.DUMMYFUNCTION("""COMPUTED_VALUE"""),"mStayGold-alphatubulin")</f>
        <v>mStayGold-alphatubulin</v>
      </c>
      <c r="H140" s="10"/>
      <c r="I140" s="10" t="str">
        <f ca="1">IFERROR(__xludf.DUMMYFUNCTION("""COMPUTED_VALUE"""),"MGCO32")</f>
        <v>MGCO32</v>
      </c>
      <c r="J140" s="10"/>
      <c r="K140" s="10">
        <f ca="1">IFERROR(__xludf.DUMMYFUNCTION("""COMPUTED_VALUE"""),361)</f>
        <v>361</v>
      </c>
      <c r="L140" s="10" t="str">
        <f ca="1">IFERROR(__xludf.DUMMYFUNCTION("""COMPUTED_VALUE"""),"casper")</f>
        <v>casper</v>
      </c>
      <c r="M140" s="10"/>
      <c r="N140" s="10"/>
      <c r="O140" s="10"/>
      <c r="P140" s="81"/>
      <c r="Q140" s="10"/>
      <c r="R140" s="10"/>
      <c r="S140" s="10"/>
      <c r="T140" s="10"/>
      <c r="U140" s="10"/>
      <c r="V140" s="10"/>
      <c r="W140" s="10"/>
      <c r="X140" s="10"/>
    </row>
    <row r="141" spans="2:24" ht="13" x14ac:dyDescent="0.15">
      <c r="B141" s="1" t="str">
        <f ca="1">IFERROR(__xludf.DUMMYFUNCTION("IFERROR(JOIN("","", UNIQUE(filter({VLOOKUP(A141,C:X,13, FALSE); VLOOKUP(A141,C:X,15, FALSE); VLOOKUP(A141,C:X,17, FALSE); VLOOKUP(A141,C:X,19, FALSE)}, {VLOOKUP(A141,C:X,13, FALSE); VLOOKUP(A141,C:X,15, FALSE); VLOOKUP(A141,C:X,17, FALSE); VLOOKUP(A141,C:"&amp;"X,19, FALSE)}&lt;&gt;""""))), """")"),"")</f>
        <v/>
      </c>
      <c r="C141" s="77" t="str">
        <f t="shared" ca="1" si="2"/>
        <v xml:space="preserve"> (F1 of allele )</v>
      </c>
      <c r="D141" s="78">
        <f t="shared" si="1"/>
        <v>0</v>
      </c>
      <c r="E141" s="78" t="str">
        <f ca="1">IFERROR(__xludf.DUMMYFUNCTION("IFERROR(REGEXEXTRACT(N141, ""F\d+""), ""F1"")"),"F1")</f>
        <v>F1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81"/>
      <c r="Q141" s="10"/>
      <c r="R141" s="10"/>
      <c r="S141" s="10"/>
      <c r="T141" s="10"/>
      <c r="U141" s="10"/>
      <c r="V141" s="10"/>
      <c r="W141" s="10"/>
      <c r="X141" s="10"/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6D7A8"/>
    <outlinePr summaryBelow="0" summaryRight="0"/>
  </sheetPr>
  <dimension ref="A1:X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6.5" customWidth="1"/>
    <col min="2" max="2" width="20.1640625" customWidth="1"/>
    <col min="3" max="3" width="19" customWidth="1"/>
    <col min="4" max="4" width="15.1640625" customWidth="1"/>
    <col min="5" max="5" width="8.33203125" customWidth="1"/>
    <col min="6" max="6" width="16.5" customWidth="1"/>
    <col min="7" max="7" width="21.83203125" customWidth="1"/>
    <col min="8" max="8" width="5.5" hidden="1" customWidth="1"/>
    <col min="9" max="9" width="11.83203125" hidden="1" customWidth="1"/>
    <col min="10" max="10" width="12.6640625" hidden="1"/>
    <col min="11" max="11" width="5.5" customWidth="1"/>
    <col min="12" max="13" width="12.6640625" hidden="1"/>
    <col min="14" max="14" width="5.6640625" customWidth="1"/>
    <col min="15" max="15" width="9" customWidth="1"/>
    <col min="16" max="16" width="18.33203125" customWidth="1"/>
    <col min="17" max="17" width="6.6640625" customWidth="1"/>
    <col min="18" max="18" width="17.83203125" customWidth="1"/>
    <col min="19" max="19" width="6.6640625" customWidth="1"/>
    <col min="20" max="20" width="18.33203125" customWidth="1"/>
    <col min="21" max="21" width="6.6640625" customWidth="1"/>
    <col min="22" max="22" width="18.33203125" customWidth="1"/>
    <col min="23" max="23" width="6.6640625" customWidth="1"/>
    <col min="24" max="24" width="18.33203125" customWidth="1"/>
  </cols>
  <sheetData>
    <row r="1" spans="1:24" ht="15.75" customHeight="1" x14ac:dyDescent="0.15">
      <c r="A1" s="2" t="s">
        <v>1054</v>
      </c>
      <c r="B1" s="3" t="s">
        <v>1055</v>
      </c>
      <c r="C1" s="83" t="s">
        <v>988</v>
      </c>
      <c r="D1" s="84" t="s">
        <v>989</v>
      </c>
      <c r="E1" s="84" t="s">
        <v>990</v>
      </c>
      <c r="F1" s="85" t="str">
        <f ca="1">IFERROR(__xludf.DUMMYFUNCTION("IMPORTRANGE(""https://docs.google.com/spreadsheets/d/1458f4-GkyML2z-1bvHCzaFbD7yQ8l37XUJsO63XH9oo/edit"",""externalfish!A:S"")"),"2xlynk")</f>
        <v>2xlynk</v>
      </c>
      <c r="G1" s="5" t="str">
        <f ca="1">IFERROR(__xludf.DUMMYFUNCTION("""COMPUTED_VALUE"""),"Plasmid description")</f>
        <v>Plasmid description</v>
      </c>
      <c r="H1" s="86" t="str">
        <f ca="1">IFERROR(__xludf.DUMMYFUNCTION("""COMPUTED_VALUE"""),"DOB")</f>
        <v>DOB</v>
      </c>
      <c r="I1" s="5" t="str">
        <f ca="1">IFERROR(__xludf.DUMMYFUNCTION("""COMPUTED_VALUE"""),"Plasmid")</f>
        <v>Plasmid</v>
      </c>
      <c r="J1" s="1" t="str">
        <f ca="1">IFERROR(__xludf.DUMMYFUNCTION("""COMPUTED_VALUE"""),"Transgenesis")</f>
        <v>Transgenesis</v>
      </c>
      <c r="K1" s="5" t="str">
        <f ca="1">IFERROR(__xludf.DUMMYFUNCTION("""COMPUTED_VALUE"""),"Allele")</f>
        <v>Allele</v>
      </c>
      <c r="L1" s="1" t="str">
        <f ca="1">IFERROR(__xludf.DUMMYFUNCTION("""COMPUTED_VALUE"""),"genetic background")</f>
        <v>genetic background</v>
      </c>
      <c r="M1" s="1" t="str">
        <f ca="1">IFERROR(__xludf.DUMMYFUNCTION("""COMPUTED_VALUE"""),"Screening Date")</f>
        <v>Screening Date</v>
      </c>
      <c r="N1" s="5" t="str">
        <f ca="1">IFERROR(__xludf.DUMMYFUNCTION("""COMPUTED_VALUE"""),"Notes")</f>
        <v>Notes</v>
      </c>
      <c r="O1" s="5" t="str">
        <f ca="1">IFERROR(__xludf.DUMMYFUNCTION("""COMPUTED_VALUE"""),"target 1")</f>
        <v>target 1</v>
      </c>
      <c r="P1" s="87" t="str">
        <f ca="1">IFERROR(__xludf.DUMMYFUNCTION("""COMPUTED_VALUE"""),"excitation wavelength 1")</f>
        <v>excitation wavelength 1</v>
      </c>
      <c r="Q1" s="5" t="str">
        <f ca="1">IFERROR(__xludf.DUMMYFUNCTION("""COMPUTED_VALUE"""),"target 2")</f>
        <v>target 2</v>
      </c>
      <c r="R1" s="87" t="str">
        <f ca="1">IFERROR(__xludf.DUMMYFUNCTION("""COMPUTED_VALUE"""),"excitation wavelength 2")</f>
        <v>excitation wavelength 2</v>
      </c>
      <c r="S1" s="5" t="str">
        <f ca="1">IFERROR(__xludf.DUMMYFUNCTION("""COMPUTED_VALUE"""),"target 3")</f>
        <v>target 3</v>
      </c>
      <c r="T1" s="87" t="str">
        <f ca="1">IFERROR(__xludf.DUMMYFUNCTION("""COMPUTED_VALUE"""),"excitation wavelength 3")</f>
        <v>excitation wavelength 3</v>
      </c>
      <c r="U1" s="5" t="str">
        <f ca="1">IFERROR(__xludf.DUMMYFUNCTION("""COMPUTED_VALUE"""),"target 4")</f>
        <v>target 4</v>
      </c>
      <c r="V1" s="87" t="str">
        <f ca="1">IFERROR(__xludf.DUMMYFUNCTION("""COMPUTED_VALUE"""),"excitation wavelength 4")</f>
        <v>excitation wavelength 4</v>
      </c>
      <c r="W1" s="5" t="str">
        <f ca="1">IFERROR(__xludf.DUMMYFUNCTION("""COMPUTED_VALUE"""),"target 5")</f>
        <v>target 5</v>
      </c>
      <c r="X1" s="88" t="str">
        <f ca="1">IFERROR(__xludf.DUMMYFUNCTION("""COMPUTED_VALUE"""),"excitation wavelength 5")</f>
        <v>excitation wavelength 5</v>
      </c>
    </row>
    <row r="2" spans="1:24" ht="15.75" customHeight="1" x14ac:dyDescent="0.15">
      <c r="A2" s="1" t="e">
        <f t="array" aca="1" ref="A2:A5" ca="1">_xludf.UNIQUE(C2:C1000)</f>
        <v>#NAME?</v>
      </c>
      <c r="B2" s="1" t="str">
        <f ca="1">IFERROR(__xludf.DUMMYFUNCTION("IFERROR(JOIN("","", UNIQUE(filter({VLOOKUP(A2,C:X,13, FALSE); VLOOKUP(A2,C:X,15, FALSE); VLOOKUP(A2,C:X,17, FALSE); VLOOKUP(A2,C:X,19, FALSE)}, {VLOOKUP(A2,C:X,13, FALSE); VLOOKUP(A2,C:X,15, FALSE); VLOOKUP(A2,C:X,17, FALSE); VLOOKUP(A2,C:X,19, FALSE)}&lt;&gt;"&amp;"""""))), """")"),"")</f>
        <v/>
      </c>
      <c r="C2" s="77" t="str">
        <f t="shared" ref="C2:C6" ca="1" si="0">IF(ISBLANK(D2), F2, CONCATENATE(G2, " (", E2, " of allele ", H2, ")" ))</f>
        <v>n/a (F1 of allele )</v>
      </c>
      <c r="D2" s="78">
        <f t="shared" ref="D2:D35" si="1">IF(ISBLANK(K2), , CONCATENATE("(", E2, " of allele ", K2, ")"))</f>
        <v>0</v>
      </c>
      <c r="E2" s="78" t="str">
        <f ca="1">IFERROR(__xludf.DUMMYFUNCTION("IFERROR(REGEXEXTRACT(N2, ""F\d+""), ""F1"")"),"F1")</f>
        <v>F1</v>
      </c>
      <c r="F2" s="79" t="str">
        <f ca="1">IFERROR(__xludf.DUMMYFUNCTION("""COMPUTED_VALUE"""),"casper")</f>
        <v>casper</v>
      </c>
      <c r="G2" s="10" t="str">
        <f ca="1">IFERROR(__xludf.DUMMYFUNCTION("""COMPUTED_VALUE"""),"n/a")</f>
        <v>n/a</v>
      </c>
      <c r="H2" s="10"/>
      <c r="I2" s="10"/>
      <c r="J2" s="1"/>
      <c r="K2" s="10"/>
      <c r="L2" s="1"/>
      <c r="M2" s="1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t="15.75" customHeight="1" x14ac:dyDescent="0.15">
      <c r="A3" s="1" t="e">
        <f ca="1"/>
        <v>#NAME?</v>
      </c>
      <c r="B3" s="1" t="str">
        <f ca="1">IFERROR(__xludf.DUMMYFUNCTION("IFERROR(JOIN("","", UNIQUE(filter({VLOOKUP(A3,C:X,13, FALSE); VLOOKUP(A3,C:X,15, FALSE); VLOOKUP(A3,C:X,17, FALSE); VLOOKUP(A3,C:X,19, FALSE)}, {VLOOKUP(A3,C:X,13, FALSE); VLOOKUP(A3,C:X,15, FALSE); VLOOKUP(A3,C:X,17, FALSE); VLOOKUP(A3,C:X,19, FALSE)}&lt;&gt;"&amp;"""""))), """")"),"membrane")</f>
        <v>membrane</v>
      </c>
      <c r="C3" s="77" t="str">
        <f t="shared" ca="1" si="0"/>
        <v xml:space="preserve"> (F1 of allele )</v>
      </c>
      <c r="D3" s="78">
        <f t="shared" si="1"/>
        <v>0</v>
      </c>
      <c r="E3" s="78" t="str">
        <f ca="1">IFERROR(__xludf.DUMMYFUNCTION("IFERROR(REGEXEXTRACT(N3, ""F\d+""), ""F1"")"),"F1")</f>
        <v>F1</v>
      </c>
      <c r="F3" s="79" t="str">
        <f ca="1">IFERROR(__xludf.DUMMYFUNCTION("""COMPUTED_VALUE"""),"ef1a:2xLynk:tdm:Halo")</f>
        <v>ef1a:2xLynk:tdm:Halo</v>
      </c>
      <c r="G3" s="10"/>
      <c r="H3" s="10"/>
      <c r="I3" s="10"/>
      <c r="J3" s="1"/>
      <c r="K3" s="10"/>
      <c r="L3" s="1"/>
      <c r="M3" s="1"/>
      <c r="N3" s="10"/>
      <c r="O3" s="80" t="str">
        <f ca="1">IFERROR(__xludf.DUMMYFUNCTION("""COMPUTED_VALUE"""),"membrane")</f>
        <v>membrane</v>
      </c>
      <c r="P3" s="82">
        <f ca="1">IFERROR(__xludf.DUMMYFUNCTION("""COMPUTED_VALUE"""),642)</f>
        <v>642</v>
      </c>
      <c r="Q3" s="10"/>
      <c r="R3" s="10"/>
      <c r="S3" s="10"/>
      <c r="T3" s="10"/>
      <c r="U3" s="10"/>
      <c r="V3" s="10"/>
      <c r="W3" s="10"/>
      <c r="X3" s="10"/>
    </row>
    <row r="4" spans="1:24" ht="15.75" customHeight="1" x14ac:dyDescent="0.15">
      <c r="A4" s="1" t="e">
        <f ca="1"/>
        <v>#NAME?</v>
      </c>
      <c r="B4" s="1" t="str">
        <f ca="1">IFERROR(__xludf.DUMMYFUNCTION("IFERROR(JOIN("","", UNIQUE(filter({VLOOKUP(A4,C:X,13, FALSE); VLOOKUP(A4,C:X,15, FALSE); VLOOKUP(A4,C:X,17, FALSE); VLOOKUP(A4,C:X,19, FALSE)}, {VLOOKUP(A4,C:X,13, FALSE); VLOOKUP(A4,C:X,15, FALSE); VLOOKUP(A4,C:X,17, FALSE); VLOOKUP(A4,C:X,19, FALSE)}&lt;&gt;"&amp;"""""))), """")"),"membrane")</f>
        <v>membrane</v>
      </c>
      <c r="C4" s="77" t="str">
        <f t="shared" ca="1" si="0"/>
        <v>from Swinburne lab - tank ID 344 (F1 of allele 45385)</v>
      </c>
      <c r="D4" s="78" t="str">
        <f t="shared" ca="1" si="1"/>
        <v>(F1 of allele 344(IS))</v>
      </c>
      <c r="E4" s="78" t="str">
        <f ca="1">IFERROR(__xludf.DUMMYFUNCTION("IFERROR(REGEXEXTRACT(N4, ""F\d+""), ""F1"")"),"F1")</f>
        <v>F1</v>
      </c>
      <c r="F4" s="79" t="str">
        <f ca="1">IFERROR(__xludf.DUMMYFUNCTION("""COMPUTED_VALUE"""),"ef1a:2xLynk:tdm:mChilada")</f>
        <v>ef1a:2xLynk:tdm:mChilada</v>
      </c>
      <c r="G4" s="10" t="str">
        <f ca="1">IFERROR(__xludf.DUMMYFUNCTION("""COMPUTED_VALUE"""),"from Swinburne lab - tank ID 344")</f>
        <v>from Swinburne lab - tank ID 344</v>
      </c>
      <c r="H4" s="80">
        <f ca="1">IFERROR(__xludf.DUMMYFUNCTION("""COMPUTED_VALUE"""),45385)</f>
        <v>45385</v>
      </c>
      <c r="I4" s="10"/>
      <c r="J4" s="1" t="str">
        <f ca="1">IFERROR(__xludf.DUMMYFUNCTION("""COMPUTED_VALUE"""),"tol2")</f>
        <v>tol2</v>
      </c>
      <c r="K4" s="10" t="str">
        <f ca="1">IFERROR(__xludf.DUMMYFUNCTION("""COMPUTED_VALUE"""),"344(IS)")</f>
        <v>344(IS)</v>
      </c>
      <c r="L4" s="1" t="str">
        <f ca="1">IFERROR(__xludf.DUMMYFUNCTION("""COMPUTED_VALUE"""),"casper / AB")</f>
        <v>casper / AB</v>
      </c>
      <c r="M4" s="1"/>
      <c r="N4" s="10"/>
      <c r="O4" s="80" t="str">
        <f ca="1">IFERROR(__xludf.DUMMYFUNCTION("""COMPUTED_VALUE"""),"membrane")</f>
        <v>membrane</v>
      </c>
      <c r="P4" s="82">
        <f ca="1">IFERROR(__xludf.DUMMYFUNCTION("""COMPUTED_VALUE"""),560)</f>
        <v>560</v>
      </c>
      <c r="Q4" s="10"/>
      <c r="R4" s="10"/>
      <c r="S4" s="10"/>
      <c r="T4" s="10"/>
      <c r="U4" s="10"/>
      <c r="V4" s="10"/>
      <c r="W4" s="10"/>
      <c r="X4" s="10"/>
    </row>
    <row r="5" spans="1:24" ht="15.75" customHeight="1" x14ac:dyDescent="0.15">
      <c r="A5" s="1" t="e">
        <f ca="1"/>
        <v>#NAME?</v>
      </c>
      <c r="B5" s="1" t="str">
        <f ca="1">IFERROR(__xludf.DUMMYFUNCTION("IFERROR(JOIN("","", UNIQUE(filter({VLOOKUP(A5,C:X,13, FALSE); VLOOKUP(A5,C:X,15, FALSE); VLOOKUP(A5,C:X,17, FALSE); VLOOKUP(A5,C:X,19, FALSE)}, {VLOOKUP(A5,C:X,13, FALSE); VLOOKUP(A5,C:X,15, FALSE); VLOOKUP(A5,C:X,17, FALSE); VLOOKUP(A5,C:X,19, FALSE)}&lt;&gt;"&amp;"""""))), """")"),"")</f>
        <v/>
      </c>
      <c r="C5" s="77" t="str">
        <f t="shared" ca="1" si="0"/>
        <v xml:space="preserve"> (F1 of allele )</v>
      </c>
      <c r="D5" s="78">
        <f t="shared" si="1"/>
        <v>0</v>
      </c>
      <c r="E5" s="78" t="str">
        <f ca="1">IFERROR(__xludf.DUMMYFUNCTION("IFERROR(REGEXEXTRACT(N5, ""F\d+""), ""F1"")"),"F1")</f>
        <v>F1</v>
      </c>
      <c r="F5" s="79"/>
      <c r="G5" s="10"/>
      <c r="H5" s="10"/>
      <c r="I5" s="10"/>
      <c r="J5" s="1"/>
      <c r="K5" s="10"/>
      <c r="L5" s="1"/>
      <c r="M5" s="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5.75" customHeight="1" x14ac:dyDescent="0.15">
      <c r="B6" s="1" t="str">
        <f ca="1">IFERROR(__xludf.DUMMYFUNCTION("IFERROR(JOIN("","", UNIQUE(filter({VLOOKUP(A6,C:X,13, FALSE); VLOOKUP(A6,C:X,15, FALSE); VLOOKUP(A6,C:X,17, FALSE); VLOOKUP(A6,C:X,19, FALSE)}, {VLOOKUP(A6,C:X,13, FALSE); VLOOKUP(A6,C:X,15, FALSE); VLOOKUP(A6,C:X,17, FALSE); VLOOKUP(A6,C:X,19, FALSE)}&lt;&gt;"&amp;"""""))), """")"),"")</f>
        <v/>
      </c>
      <c r="C6" s="77" t="str">
        <f t="shared" ca="1" si="0"/>
        <v xml:space="preserve"> (F1 of allele )</v>
      </c>
      <c r="D6" s="78">
        <f t="shared" si="1"/>
        <v>0</v>
      </c>
      <c r="E6" s="78" t="str">
        <f ca="1">IFERROR(__xludf.DUMMYFUNCTION("IFERROR(REGEXEXTRACT(N6, ""F\d+""), ""F1"")"),"F1")</f>
        <v>F1</v>
      </c>
      <c r="F6" s="79"/>
      <c r="G6" s="10"/>
      <c r="H6" s="10"/>
      <c r="I6" s="10"/>
      <c r="J6" s="1"/>
      <c r="K6" s="10"/>
      <c r="L6" s="1"/>
      <c r="M6" s="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5.75" customHeight="1" x14ac:dyDescent="0.15">
      <c r="B7" s="1" t="str">
        <f ca="1">IFERROR(__xludf.DUMMYFUNCTION("IFERROR(JOIN("","", UNIQUE(filter({VLOOKUP(A7,C:X,13, FALSE); VLOOKUP(A7,C:X,15, FALSE); VLOOKUP(A7,C:X,17, FALSE); VLOOKUP(A7,C:X,19, FALSE)}, {VLOOKUP(A7,C:X,13, FALSE); VLOOKUP(A7,C:X,15, FALSE); VLOOKUP(A7,C:X,17, FALSE); VLOOKUP(A7,C:X,19, FALSE)}&lt;&gt;"&amp;"""""))), """")"),"")</f>
        <v/>
      </c>
      <c r="C7" s="77" t="str">
        <f t="shared" ref="C7:C35" ca="1" si="2">IF(ISBLANK(D7), , CONCATENATE(G7, " (", E7, " of allele ", H7, ")" ))</f>
        <v xml:space="preserve"> (F1 of allele )</v>
      </c>
      <c r="D7" s="78">
        <f t="shared" si="1"/>
        <v>0</v>
      </c>
      <c r="E7" s="78" t="str">
        <f ca="1">IFERROR(__xludf.DUMMYFUNCTION("IFERROR(REGEXEXTRACT(N7, ""F\d+""), ""F1"")"),"F1")</f>
        <v>F1</v>
      </c>
      <c r="F7" s="79"/>
      <c r="G7" s="10"/>
      <c r="H7" s="10"/>
      <c r="I7" s="10"/>
      <c r="J7" s="1"/>
      <c r="K7" s="10"/>
      <c r="L7" s="1"/>
      <c r="M7" s="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5.75" customHeight="1" x14ac:dyDescent="0.15">
      <c r="B8" s="1" t="str">
        <f ca="1">IFERROR(__xludf.DUMMYFUNCTION("IFERROR(JOIN("","", UNIQUE(filter({VLOOKUP(A8,C:X,13, FALSE); VLOOKUP(A8,C:X,15, FALSE); VLOOKUP(A8,C:X,17, FALSE); VLOOKUP(A8,C:X,19, FALSE)}, {VLOOKUP(A8,C:X,13, FALSE); VLOOKUP(A8,C:X,15, FALSE); VLOOKUP(A8,C:X,17, FALSE); VLOOKUP(A8,C:X,19, FALSE)}&lt;&gt;"&amp;"""""))), """")"),"")</f>
        <v/>
      </c>
      <c r="C8" s="77" t="str">
        <f t="shared" ca="1" si="2"/>
        <v xml:space="preserve"> (F1 of allele )</v>
      </c>
      <c r="D8" s="78">
        <f t="shared" si="1"/>
        <v>0</v>
      </c>
      <c r="E8" s="78" t="str">
        <f ca="1">IFERROR(__xludf.DUMMYFUNCTION("IFERROR(REGEXEXTRACT(N8, ""F\d+""), ""F1"")"),"F1")</f>
        <v>F1</v>
      </c>
      <c r="F8" s="79"/>
      <c r="G8" s="10"/>
      <c r="H8" s="10"/>
      <c r="I8" s="10"/>
      <c r="J8" s="1"/>
      <c r="K8" s="10"/>
      <c r="L8" s="1"/>
      <c r="M8" s="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ht="15.75" customHeight="1" x14ac:dyDescent="0.15">
      <c r="B9" s="1" t="str">
        <f ca="1">IFERROR(__xludf.DUMMYFUNCTION("IFERROR(JOIN("","", UNIQUE(filter({VLOOKUP(A9,C:X,13, FALSE); VLOOKUP(A9,C:X,15, FALSE); VLOOKUP(A9,C:X,17, FALSE); VLOOKUP(A9,C:X,19, FALSE)}, {VLOOKUP(A9,C:X,13, FALSE); VLOOKUP(A9,C:X,15, FALSE); VLOOKUP(A9,C:X,17, FALSE); VLOOKUP(A9,C:X,19, FALSE)}&lt;&gt;"&amp;"""""))), """")"),"")</f>
        <v/>
      </c>
      <c r="C9" s="77" t="str">
        <f t="shared" ca="1" si="2"/>
        <v xml:space="preserve"> (F1 of allele )</v>
      </c>
      <c r="D9" s="78">
        <f t="shared" si="1"/>
        <v>0</v>
      </c>
      <c r="E9" s="78" t="str">
        <f ca="1">IFERROR(__xludf.DUMMYFUNCTION("IFERROR(REGEXEXTRACT(N9, ""F\d+""), ""F1"")"),"F1")</f>
        <v>F1</v>
      </c>
      <c r="F9" s="79"/>
      <c r="G9" s="10"/>
      <c r="H9" s="10"/>
      <c r="I9" s="10"/>
      <c r="J9" s="1"/>
      <c r="K9" s="10"/>
      <c r="L9" s="1"/>
      <c r="M9" s="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5.75" customHeight="1" x14ac:dyDescent="0.15">
      <c r="B10" s="1" t="str">
        <f ca="1">IFERROR(__xludf.DUMMYFUNCTION("IFERROR(JOIN("","", UNIQUE(filter({VLOOKUP(A10,C:X,13, FALSE); VLOOKUP(A10,C:X,15, FALSE); VLOOKUP(A10,C:X,17, FALSE); VLOOKUP(A10,C:X,19, FALSE)}, {VLOOKUP(A10,C:X,13, FALSE); VLOOKUP(A10,C:X,15, FALSE); VLOOKUP(A10,C:X,17, FALSE); VLOOKUP(A10,C:X,19, FA"&amp;"LSE)}&lt;&gt;""""))), """")"),"")</f>
        <v/>
      </c>
      <c r="C10" s="77" t="str">
        <f t="shared" ca="1" si="2"/>
        <v xml:space="preserve"> (F1 of allele )</v>
      </c>
      <c r="D10" s="78">
        <f t="shared" si="1"/>
        <v>0</v>
      </c>
      <c r="E10" s="78" t="str">
        <f ca="1">IFERROR(__xludf.DUMMYFUNCTION("IFERROR(REGEXEXTRACT(N10, ""F\d+""), ""F1"")"),"F1")</f>
        <v>F1</v>
      </c>
      <c r="F10" s="79"/>
      <c r="G10" s="10"/>
      <c r="H10" s="10"/>
      <c r="I10" s="10"/>
      <c r="J10" s="1"/>
      <c r="K10" s="10"/>
      <c r="L10" s="1"/>
      <c r="M10" s="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5.75" customHeight="1" x14ac:dyDescent="0.15">
      <c r="B11" s="1" t="str">
        <f ca="1">IFERROR(__xludf.DUMMYFUNCTION("IFERROR(JOIN("","", UNIQUE(filter({VLOOKUP(A11,C:X,13, FALSE); VLOOKUP(A11,C:X,15, FALSE); VLOOKUP(A11,C:X,17, FALSE); VLOOKUP(A11,C:X,19, FALSE)}, {VLOOKUP(A11,C:X,13, FALSE); VLOOKUP(A11,C:X,15, FALSE); VLOOKUP(A11,C:X,17, FALSE); VLOOKUP(A11,C:X,19, FA"&amp;"LSE)}&lt;&gt;""""))), """")"),"")</f>
        <v/>
      </c>
      <c r="C11" s="77" t="str">
        <f t="shared" ca="1" si="2"/>
        <v xml:space="preserve"> (F1 of allele )</v>
      </c>
      <c r="D11" s="78">
        <f t="shared" si="1"/>
        <v>0</v>
      </c>
      <c r="E11" s="78" t="str">
        <f ca="1">IFERROR(__xludf.DUMMYFUNCTION("IFERROR(REGEXEXTRACT(N11, ""F\d+""), ""F1"")"),"F1")</f>
        <v>F1</v>
      </c>
      <c r="F11" s="79"/>
      <c r="G11" s="10"/>
      <c r="H11" s="10"/>
      <c r="I11" s="10"/>
      <c r="J11" s="1"/>
      <c r="K11" s="10"/>
      <c r="L11" s="1"/>
      <c r="M11" s="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15.75" customHeight="1" x14ac:dyDescent="0.15">
      <c r="B12" s="1" t="str">
        <f ca="1">IFERROR(__xludf.DUMMYFUNCTION("IFERROR(JOIN("","", UNIQUE(filter({VLOOKUP(A12,C:X,13, FALSE); VLOOKUP(A12,C:X,15, FALSE); VLOOKUP(A12,C:X,17, FALSE); VLOOKUP(A12,C:X,19, FALSE)}, {VLOOKUP(A12,C:X,13, FALSE); VLOOKUP(A12,C:X,15, FALSE); VLOOKUP(A12,C:X,17, FALSE); VLOOKUP(A12,C:X,19, FA"&amp;"LSE)}&lt;&gt;""""))), """")"),"")</f>
        <v/>
      </c>
      <c r="C12" s="77" t="str">
        <f t="shared" ca="1" si="2"/>
        <v xml:space="preserve"> (F1 of allele )</v>
      </c>
      <c r="D12" s="78">
        <f t="shared" si="1"/>
        <v>0</v>
      </c>
      <c r="E12" s="78" t="str">
        <f ca="1">IFERROR(__xludf.DUMMYFUNCTION("IFERROR(REGEXEXTRACT(N12, ""F\d+""), ""F1"")"),"F1")</f>
        <v>F1</v>
      </c>
      <c r="F12" s="79"/>
      <c r="G12" s="10"/>
      <c r="H12" s="10"/>
      <c r="I12" s="10"/>
      <c r="J12" s="1"/>
      <c r="K12" s="10"/>
      <c r="L12" s="1"/>
      <c r="M12" s="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5.75" customHeight="1" x14ac:dyDescent="0.15">
      <c r="B13" s="1" t="str">
        <f ca="1">IFERROR(__xludf.DUMMYFUNCTION("IFERROR(JOIN("","", UNIQUE(filter({VLOOKUP(A13,C:X,13, FALSE); VLOOKUP(A13,C:X,15, FALSE); VLOOKUP(A13,C:X,17, FALSE); VLOOKUP(A13,C:X,19, FALSE)}, {VLOOKUP(A13,C:X,13, FALSE); VLOOKUP(A13,C:X,15, FALSE); VLOOKUP(A13,C:X,17, FALSE); VLOOKUP(A13,C:X,19, FA"&amp;"LSE)}&lt;&gt;""""))), """")"),"")</f>
        <v/>
      </c>
      <c r="C13" s="77" t="str">
        <f t="shared" ca="1" si="2"/>
        <v xml:space="preserve"> (F1 of allele )</v>
      </c>
      <c r="D13" s="78">
        <f t="shared" si="1"/>
        <v>0</v>
      </c>
      <c r="E13" s="78" t="str">
        <f ca="1">IFERROR(__xludf.DUMMYFUNCTION("IFERROR(REGEXEXTRACT(N13, ""F\d+""), ""F1"")"),"F1")</f>
        <v>F1</v>
      </c>
      <c r="F13" s="79"/>
      <c r="G13" s="10"/>
      <c r="H13" s="10"/>
      <c r="I13" s="10"/>
      <c r="J13" s="1"/>
      <c r="K13" s="10"/>
      <c r="L13" s="1"/>
      <c r="M13" s="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5.75" customHeight="1" x14ac:dyDescent="0.15">
      <c r="B14" s="1" t="str">
        <f ca="1">IFERROR(__xludf.DUMMYFUNCTION("IFERROR(JOIN("","", UNIQUE(filter({VLOOKUP(A14,C:X,13, FALSE); VLOOKUP(A14,C:X,15, FALSE); VLOOKUP(A14,C:X,17, FALSE); VLOOKUP(A14,C:X,19, FALSE)}, {VLOOKUP(A14,C:X,13, FALSE); VLOOKUP(A14,C:X,15, FALSE); VLOOKUP(A14,C:X,17, FALSE); VLOOKUP(A14,C:X,19, FA"&amp;"LSE)}&lt;&gt;""""))), """")"),"")</f>
        <v/>
      </c>
      <c r="C14" s="77" t="str">
        <f t="shared" ca="1" si="2"/>
        <v xml:space="preserve"> (F1 of allele )</v>
      </c>
      <c r="D14" s="78">
        <f t="shared" si="1"/>
        <v>0</v>
      </c>
      <c r="E14" s="78" t="str">
        <f ca="1">IFERROR(__xludf.DUMMYFUNCTION("IFERROR(REGEXEXTRACT(N14, ""F\d+""), ""F1"")"),"F1")</f>
        <v>F1</v>
      </c>
      <c r="F14" s="79"/>
      <c r="G14" s="10"/>
      <c r="H14" s="10"/>
      <c r="I14" s="10"/>
      <c r="J14" s="1"/>
      <c r="K14" s="10"/>
      <c r="L14" s="1"/>
      <c r="M14" s="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5.75" customHeight="1" x14ac:dyDescent="0.15">
      <c r="B15" s="1" t="str">
        <f ca="1">IFERROR(__xludf.DUMMYFUNCTION("IFERROR(JOIN("","", UNIQUE(filter({VLOOKUP(A15,C:X,13, FALSE); VLOOKUP(A15,C:X,15, FALSE); VLOOKUP(A15,C:X,17, FALSE); VLOOKUP(A15,C:X,19, FALSE)}, {VLOOKUP(A15,C:X,13, FALSE); VLOOKUP(A15,C:X,15, FALSE); VLOOKUP(A15,C:X,17, FALSE); VLOOKUP(A15,C:X,19, FA"&amp;"LSE)}&lt;&gt;""""))), """")"),"")</f>
        <v/>
      </c>
      <c r="C15" s="77" t="str">
        <f t="shared" ca="1" si="2"/>
        <v xml:space="preserve"> (F1 of allele )</v>
      </c>
      <c r="D15" s="78">
        <f t="shared" si="1"/>
        <v>0</v>
      </c>
      <c r="E15" s="78" t="str">
        <f ca="1">IFERROR(__xludf.DUMMYFUNCTION("IFERROR(REGEXEXTRACT(N15, ""F\d+""), ""F1"")"),"F1")</f>
        <v>F1</v>
      </c>
      <c r="F15" s="79"/>
      <c r="G15" s="10"/>
      <c r="H15" s="10"/>
      <c r="I15" s="10"/>
      <c r="J15" s="1"/>
      <c r="K15" s="10"/>
      <c r="L15" s="1"/>
      <c r="M15" s="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5.75" customHeight="1" x14ac:dyDescent="0.15">
      <c r="B16" s="1" t="str">
        <f ca="1">IFERROR(__xludf.DUMMYFUNCTION("IFERROR(JOIN("","", UNIQUE(filter({VLOOKUP(A16,C:X,13, FALSE); VLOOKUP(A16,C:X,15, FALSE); VLOOKUP(A16,C:X,17, FALSE); VLOOKUP(A16,C:X,19, FALSE)}, {VLOOKUP(A16,C:X,13, FALSE); VLOOKUP(A16,C:X,15, FALSE); VLOOKUP(A16,C:X,17, FALSE); VLOOKUP(A16,C:X,19, FA"&amp;"LSE)}&lt;&gt;""""))), """")"),"")</f>
        <v/>
      </c>
      <c r="C16" s="77" t="str">
        <f t="shared" ca="1" si="2"/>
        <v xml:space="preserve"> (F1 of allele )</v>
      </c>
      <c r="D16" s="78">
        <f t="shared" si="1"/>
        <v>0</v>
      </c>
      <c r="E16" s="78" t="str">
        <f ca="1">IFERROR(__xludf.DUMMYFUNCTION("IFERROR(REGEXEXTRACT(N16, ""F\d+""), ""F1"")"),"F1")</f>
        <v>F1</v>
      </c>
      <c r="F16" s="79"/>
      <c r="G16" s="10"/>
      <c r="H16" s="10"/>
      <c r="I16" s="10"/>
      <c r="J16" s="1"/>
      <c r="K16" s="10"/>
      <c r="L16" s="1"/>
      <c r="M16" s="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2:24" ht="15.75" customHeight="1" x14ac:dyDescent="0.15">
      <c r="B17" s="1" t="str">
        <f ca="1">IFERROR(__xludf.DUMMYFUNCTION("IFERROR(JOIN("","", UNIQUE(filter({VLOOKUP(A17,C:X,13, FALSE); VLOOKUP(A17,C:X,15, FALSE); VLOOKUP(A17,C:X,17, FALSE); VLOOKUP(A17,C:X,19, FALSE)}, {VLOOKUP(A17,C:X,13, FALSE); VLOOKUP(A17,C:X,15, FALSE); VLOOKUP(A17,C:X,17, FALSE); VLOOKUP(A17,C:X,19, FA"&amp;"LSE)}&lt;&gt;""""))), """")"),"")</f>
        <v/>
      </c>
      <c r="C17" s="77" t="str">
        <f t="shared" ca="1" si="2"/>
        <v xml:space="preserve"> (F1 of allele )</v>
      </c>
      <c r="D17" s="78">
        <f t="shared" si="1"/>
        <v>0</v>
      </c>
      <c r="E17" s="78" t="str">
        <f ca="1">IFERROR(__xludf.DUMMYFUNCTION("IFERROR(REGEXEXTRACT(N17, ""F\d+""), ""F1"")"),"F1")</f>
        <v>F1</v>
      </c>
      <c r="F17" s="79"/>
      <c r="G17" s="10"/>
      <c r="H17" s="10"/>
      <c r="I17" s="10"/>
      <c r="J17" s="1"/>
      <c r="K17" s="10"/>
      <c r="L17" s="1"/>
      <c r="M17" s="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2:24" ht="15.75" customHeight="1" x14ac:dyDescent="0.15">
      <c r="B18" s="1" t="str">
        <f ca="1">IFERROR(__xludf.DUMMYFUNCTION("IFERROR(JOIN("","", UNIQUE(filter({VLOOKUP(A18,C:X,13, FALSE); VLOOKUP(A18,C:X,15, FALSE); VLOOKUP(A18,C:X,17, FALSE); VLOOKUP(A18,C:X,19, FALSE)}, {VLOOKUP(A18,C:X,13, FALSE); VLOOKUP(A18,C:X,15, FALSE); VLOOKUP(A18,C:X,17, FALSE); VLOOKUP(A18,C:X,19, FA"&amp;"LSE)}&lt;&gt;""""))), """")"),"")</f>
        <v/>
      </c>
      <c r="C18" s="77" t="str">
        <f t="shared" ca="1" si="2"/>
        <v xml:space="preserve"> (F1 of allele )</v>
      </c>
      <c r="D18" s="78">
        <f t="shared" si="1"/>
        <v>0</v>
      </c>
      <c r="E18" s="78" t="str">
        <f ca="1">IFERROR(__xludf.DUMMYFUNCTION("IFERROR(REGEXEXTRACT(N18, ""F\d+""), ""F1"")"),"F1")</f>
        <v>F1</v>
      </c>
      <c r="F18" s="79"/>
      <c r="G18" s="10"/>
      <c r="H18" s="10"/>
      <c r="I18" s="10"/>
      <c r="J18" s="1"/>
      <c r="K18" s="10"/>
      <c r="L18" s="1"/>
      <c r="M18" s="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2:24" ht="15.75" customHeight="1" x14ac:dyDescent="0.15">
      <c r="B19" s="1" t="str">
        <f ca="1">IFERROR(__xludf.DUMMYFUNCTION("IFERROR(JOIN("","", UNIQUE(filter({VLOOKUP(A19,C:X,13, FALSE); VLOOKUP(A19,C:X,15, FALSE); VLOOKUP(A19,C:X,17, FALSE); VLOOKUP(A19,C:X,19, FALSE)}, {VLOOKUP(A19,C:X,13, FALSE); VLOOKUP(A19,C:X,15, FALSE); VLOOKUP(A19,C:X,17, FALSE); VLOOKUP(A19,C:X,19, FA"&amp;"LSE)}&lt;&gt;""""))), """")"),"")</f>
        <v/>
      </c>
      <c r="C19" s="77" t="str">
        <f t="shared" ca="1" si="2"/>
        <v xml:space="preserve"> (F1 of allele )</v>
      </c>
      <c r="D19" s="78">
        <f t="shared" si="1"/>
        <v>0</v>
      </c>
      <c r="E19" s="78" t="str">
        <f ca="1">IFERROR(__xludf.DUMMYFUNCTION("IFERROR(REGEXEXTRACT(N19, ""F\d+""), ""F1"")"),"F1")</f>
        <v>F1</v>
      </c>
      <c r="F19" s="79"/>
      <c r="G19" s="10"/>
      <c r="H19" s="10"/>
      <c r="I19" s="10"/>
      <c r="J19" s="1"/>
      <c r="K19" s="10"/>
      <c r="L19" s="1"/>
      <c r="M19" s="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2:24" ht="15.75" customHeight="1" x14ac:dyDescent="0.15">
      <c r="B20" s="1" t="str">
        <f ca="1">IFERROR(__xludf.DUMMYFUNCTION("IFERROR(JOIN("","", UNIQUE(filter({VLOOKUP(A20,C:X,13, FALSE); VLOOKUP(A20,C:X,15, FALSE); VLOOKUP(A20,C:X,17, FALSE); VLOOKUP(A20,C:X,19, FALSE)}, {VLOOKUP(A20,C:X,13, FALSE); VLOOKUP(A20,C:X,15, FALSE); VLOOKUP(A20,C:X,17, FALSE); VLOOKUP(A20,C:X,19, FA"&amp;"LSE)}&lt;&gt;""""))), """")"),"")</f>
        <v/>
      </c>
      <c r="C20" s="77" t="str">
        <f t="shared" ca="1" si="2"/>
        <v xml:space="preserve"> (F1 of allele )</v>
      </c>
      <c r="D20" s="78">
        <f t="shared" si="1"/>
        <v>0</v>
      </c>
      <c r="E20" s="78" t="str">
        <f ca="1">IFERROR(__xludf.DUMMYFUNCTION("IFERROR(REGEXEXTRACT(N20, ""F\d+""), ""F1"")"),"F1")</f>
        <v>F1</v>
      </c>
      <c r="F20" s="79"/>
      <c r="G20" s="10"/>
      <c r="H20" s="10"/>
      <c r="I20" s="10"/>
      <c r="J20" s="1"/>
      <c r="K20" s="10"/>
      <c r="L20" s="1"/>
      <c r="M20" s="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2:24" ht="15.75" customHeight="1" x14ac:dyDescent="0.15">
      <c r="B21" s="1" t="str">
        <f ca="1">IFERROR(__xludf.DUMMYFUNCTION("IFERROR(JOIN("","", UNIQUE(filter({VLOOKUP(A21,C:X,13, FALSE); VLOOKUP(A21,C:X,15, FALSE); VLOOKUP(A21,C:X,17, FALSE); VLOOKUP(A21,C:X,19, FALSE)}, {VLOOKUP(A21,C:X,13, FALSE); VLOOKUP(A21,C:X,15, FALSE); VLOOKUP(A21,C:X,17, FALSE); VLOOKUP(A21,C:X,19, FA"&amp;"LSE)}&lt;&gt;""""))), """")"),"")</f>
        <v/>
      </c>
      <c r="C21" s="77" t="str">
        <f t="shared" ca="1" si="2"/>
        <v xml:space="preserve"> (F1 of allele )</v>
      </c>
      <c r="D21" s="78">
        <f t="shared" si="1"/>
        <v>0</v>
      </c>
      <c r="E21" s="78" t="str">
        <f ca="1">IFERROR(__xludf.DUMMYFUNCTION("IFERROR(REGEXEXTRACT(N21, ""F\d+""), ""F1"")"),"F1")</f>
        <v>F1</v>
      </c>
      <c r="F21" s="79"/>
      <c r="G21" s="10"/>
      <c r="H21" s="10"/>
      <c r="I21" s="10"/>
      <c r="J21" s="1"/>
      <c r="K21" s="10"/>
      <c r="L21" s="1"/>
      <c r="M21" s="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2:24" ht="15.75" customHeight="1" x14ac:dyDescent="0.15">
      <c r="B22" s="1" t="str">
        <f ca="1">IFERROR(__xludf.DUMMYFUNCTION("IFERROR(JOIN("","", UNIQUE(filter({VLOOKUP(A22,C:X,13, FALSE); VLOOKUP(A22,C:X,15, FALSE); VLOOKUP(A22,C:X,17, FALSE); VLOOKUP(A22,C:X,19, FALSE)}, {VLOOKUP(A22,C:X,13, FALSE); VLOOKUP(A22,C:X,15, FALSE); VLOOKUP(A22,C:X,17, FALSE); VLOOKUP(A22,C:X,19, FA"&amp;"LSE)}&lt;&gt;""""))), """")"),"")</f>
        <v/>
      </c>
      <c r="C22" s="77" t="str">
        <f t="shared" ca="1" si="2"/>
        <v xml:space="preserve"> (F1 of allele )</v>
      </c>
      <c r="D22" s="78">
        <f t="shared" si="1"/>
        <v>0</v>
      </c>
      <c r="E22" s="78" t="str">
        <f ca="1">IFERROR(__xludf.DUMMYFUNCTION("IFERROR(REGEXEXTRACT(N22, ""F\d+""), ""F1"")"),"F1")</f>
        <v>F1</v>
      </c>
      <c r="F22" s="79"/>
      <c r="G22" s="10"/>
      <c r="H22" s="10"/>
      <c r="I22" s="10"/>
      <c r="J22" s="1"/>
      <c r="K22" s="10"/>
      <c r="L22" s="1"/>
      <c r="M22" s="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2:24" ht="15.75" customHeight="1" x14ac:dyDescent="0.15">
      <c r="B23" s="1" t="str">
        <f ca="1">IFERROR(__xludf.DUMMYFUNCTION("IFERROR(JOIN("","", UNIQUE(filter({VLOOKUP(A23,C:X,13, FALSE); VLOOKUP(A23,C:X,15, FALSE); VLOOKUP(A23,C:X,17, FALSE); VLOOKUP(A23,C:X,19, FALSE)}, {VLOOKUP(A23,C:X,13, FALSE); VLOOKUP(A23,C:X,15, FALSE); VLOOKUP(A23,C:X,17, FALSE); VLOOKUP(A23,C:X,19, FA"&amp;"LSE)}&lt;&gt;""""))), """")"),"")</f>
        <v/>
      </c>
      <c r="C23" s="77" t="str">
        <f t="shared" ca="1" si="2"/>
        <v xml:space="preserve"> (F1 of allele )</v>
      </c>
      <c r="D23" s="78">
        <f t="shared" si="1"/>
        <v>0</v>
      </c>
      <c r="E23" s="78" t="str">
        <f ca="1">IFERROR(__xludf.DUMMYFUNCTION("IFERROR(REGEXEXTRACT(N23, ""F\d+""), ""F1"")"),"F1")</f>
        <v>F1</v>
      </c>
      <c r="F23" s="79"/>
      <c r="G23" s="10"/>
      <c r="H23" s="10"/>
      <c r="I23" s="10"/>
      <c r="J23" s="1"/>
      <c r="K23" s="10"/>
      <c r="L23" s="1"/>
      <c r="M23" s="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2:24" ht="15.75" customHeight="1" x14ac:dyDescent="0.15">
      <c r="B24" s="1" t="str">
        <f ca="1">IFERROR(__xludf.DUMMYFUNCTION("IFERROR(JOIN("","", UNIQUE(filter({VLOOKUP(A24,C:X,13, FALSE); VLOOKUP(A24,C:X,15, FALSE); VLOOKUP(A24,C:X,17, FALSE); VLOOKUP(A24,C:X,19, FALSE)}, {VLOOKUP(A24,C:X,13, FALSE); VLOOKUP(A24,C:X,15, FALSE); VLOOKUP(A24,C:X,17, FALSE); VLOOKUP(A24,C:X,19, FA"&amp;"LSE)}&lt;&gt;""""))), """")"),"")</f>
        <v/>
      </c>
      <c r="C24" s="77" t="str">
        <f t="shared" ca="1" si="2"/>
        <v xml:space="preserve"> (F1 of allele )</v>
      </c>
      <c r="D24" s="78">
        <f t="shared" si="1"/>
        <v>0</v>
      </c>
      <c r="E24" s="78" t="str">
        <f ca="1">IFERROR(__xludf.DUMMYFUNCTION("IFERROR(REGEXEXTRACT(N24, ""F\d+""), ""F1"")"),"F1")</f>
        <v>F1</v>
      </c>
      <c r="F24" s="79"/>
      <c r="G24" s="10"/>
      <c r="H24" s="10"/>
      <c r="I24" s="10"/>
      <c r="J24" s="1"/>
      <c r="K24" s="10"/>
      <c r="L24" s="1"/>
      <c r="M24" s="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2:24" ht="15.75" customHeight="1" x14ac:dyDescent="0.15">
      <c r="B25" s="1" t="str">
        <f ca="1">IFERROR(__xludf.DUMMYFUNCTION("IFERROR(JOIN("","", UNIQUE(filter({VLOOKUP(A25,C:X,13, FALSE); VLOOKUP(A25,C:X,15, FALSE); VLOOKUP(A25,C:X,17, FALSE); VLOOKUP(A25,C:X,19, FALSE)}, {VLOOKUP(A25,C:X,13, FALSE); VLOOKUP(A25,C:X,15, FALSE); VLOOKUP(A25,C:X,17, FALSE); VLOOKUP(A25,C:X,19, FA"&amp;"LSE)}&lt;&gt;""""))), """")"),"")</f>
        <v/>
      </c>
      <c r="C25" s="77" t="str">
        <f t="shared" ca="1" si="2"/>
        <v xml:space="preserve"> (F1 of allele )</v>
      </c>
      <c r="D25" s="78">
        <f t="shared" si="1"/>
        <v>0</v>
      </c>
      <c r="E25" s="78" t="str">
        <f ca="1">IFERROR(__xludf.DUMMYFUNCTION("IFERROR(REGEXEXTRACT(N25, ""F\d+""), ""F1"")"),"F1")</f>
        <v>F1</v>
      </c>
      <c r="F25" s="79"/>
      <c r="G25" s="10"/>
      <c r="H25" s="10"/>
      <c r="I25" s="10"/>
      <c r="J25" s="1"/>
      <c r="K25" s="10"/>
      <c r="L25" s="1"/>
      <c r="M25" s="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2:24" ht="15.75" customHeight="1" x14ac:dyDescent="0.15">
      <c r="B26" s="1" t="str">
        <f ca="1">IFERROR(__xludf.DUMMYFUNCTION("IFERROR(JOIN("","", UNIQUE(filter({VLOOKUP(A26,C:X,13, FALSE); VLOOKUP(A26,C:X,15, FALSE); VLOOKUP(A26,C:X,17, FALSE); VLOOKUP(A26,C:X,19, FALSE)}, {VLOOKUP(A26,C:X,13, FALSE); VLOOKUP(A26,C:X,15, FALSE); VLOOKUP(A26,C:X,17, FALSE); VLOOKUP(A26,C:X,19, FA"&amp;"LSE)}&lt;&gt;""""))), """")"),"")</f>
        <v/>
      </c>
      <c r="C26" s="77" t="str">
        <f t="shared" ca="1" si="2"/>
        <v xml:space="preserve"> (F1 of allele )</v>
      </c>
      <c r="D26" s="78">
        <f t="shared" si="1"/>
        <v>0</v>
      </c>
      <c r="E26" s="78" t="str">
        <f ca="1">IFERROR(__xludf.DUMMYFUNCTION("IFERROR(REGEXEXTRACT(N26, ""F\d+""), ""F1"")"),"F1")</f>
        <v>F1</v>
      </c>
      <c r="F26" s="79"/>
      <c r="G26" s="10"/>
      <c r="H26" s="10"/>
      <c r="I26" s="10"/>
      <c r="J26" s="1"/>
      <c r="K26" s="10"/>
      <c r="L26" s="1"/>
      <c r="M26" s="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2:24" ht="15.75" customHeight="1" x14ac:dyDescent="0.15">
      <c r="B27" s="1" t="str">
        <f ca="1">IFERROR(__xludf.DUMMYFUNCTION("IFERROR(JOIN("","", UNIQUE(filter({VLOOKUP(A27,C:X,13, FALSE); VLOOKUP(A27,C:X,15, FALSE); VLOOKUP(A27,C:X,17, FALSE); VLOOKUP(A27,C:X,19, FALSE)}, {VLOOKUP(A27,C:X,13, FALSE); VLOOKUP(A27,C:X,15, FALSE); VLOOKUP(A27,C:X,17, FALSE); VLOOKUP(A27,C:X,19, FA"&amp;"LSE)}&lt;&gt;""""))), """")"),"")</f>
        <v/>
      </c>
      <c r="C27" s="77" t="str">
        <f t="shared" ca="1" si="2"/>
        <v xml:space="preserve"> (F1 of allele )</v>
      </c>
      <c r="D27" s="78">
        <f t="shared" si="1"/>
        <v>0</v>
      </c>
      <c r="E27" s="78" t="str">
        <f ca="1">IFERROR(__xludf.DUMMYFUNCTION("IFERROR(REGEXEXTRACT(N27, ""F\d+""), ""F1"")"),"F1")</f>
        <v>F1</v>
      </c>
      <c r="F27" s="79"/>
      <c r="G27" s="10"/>
      <c r="H27" s="10"/>
      <c r="I27" s="10"/>
      <c r="J27" s="1"/>
      <c r="K27" s="10"/>
      <c r="L27" s="1"/>
      <c r="M27" s="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2:24" ht="15.75" customHeight="1" x14ac:dyDescent="0.15">
      <c r="B28" s="1" t="str">
        <f ca="1">IFERROR(__xludf.DUMMYFUNCTION("IFERROR(JOIN("","", UNIQUE(filter({VLOOKUP(A28,C:X,13, FALSE); VLOOKUP(A28,C:X,15, FALSE); VLOOKUP(A28,C:X,17, FALSE); VLOOKUP(A28,C:X,19, FALSE)}, {VLOOKUP(A28,C:X,13, FALSE); VLOOKUP(A28,C:X,15, FALSE); VLOOKUP(A28,C:X,17, FALSE); VLOOKUP(A28,C:X,19, FA"&amp;"LSE)}&lt;&gt;""""))), """")"),"")</f>
        <v/>
      </c>
      <c r="C28" s="77" t="str">
        <f t="shared" ca="1" si="2"/>
        <v xml:space="preserve"> (F1 of allele )</v>
      </c>
      <c r="D28" s="78">
        <f t="shared" si="1"/>
        <v>0</v>
      </c>
      <c r="E28" s="78" t="str">
        <f ca="1">IFERROR(__xludf.DUMMYFUNCTION("IFERROR(REGEXEXTRACT(N28, ""F\d+""), ""F1"")"),"F1")</f>
        <v>F1</v>
      </c>
      <c r="F28" s="79"/>
      <c r="G28" s="10"/>
      <c r="H28" s="10"/>
      <c r="I28" s="10"/>
      <c r="J28" s="1"/>
      <c r="K28" s="10"/>
      <c r="L28" s="1"/>
      <c r="M28" s="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2:24" ht="15.75" customHeight="1" x14ac:dyDescent="0.15">
      <c r="B29" s="1" t="str">
        <f ca="1">IFERROR(__xludf.DUMMYFUNCTION("IFERROR(JOIN("","", UNIQUE(filter({VLOOKUP(A29,C:X,13, FALSE); VLOOKUP(A29,C:X,15, FALSE); VLOOKUP(A29,C:X,17, FALSE); VLOOKUP(A29,C:X,19, FALSE)}, {VLOOKUP(A29,C:X,13, FALSE); VLOOKUP(A29,C:X,15, FALSE); VLOOKUP(A29,C:X,17, FALSE); VLOOKUP(A29,C:X,19, FA"&amp;"LSE)}&lt;&gt;""""))), """")"),"")</f>
        <v/>
      </c>
      <c r="C29" s="77" t="str">
        <f t="shared" ca="1" si="2"/>
        <v xml:space="preserve"> (F1 of allele )</v>
      </c>
      <c r="D29" s="78">
        <f t="shared" si="1"/>
        <v>0</v>
      </c>
      <c r="E29" s="78" t="str">
        <f ca="1">IFERROR(__xludf.DUMMYFUNCTION("IFERROR(REGEXEXTRACT(N29, ""F\d+""), ""F1"")"),"F1")</f>
        <v>F1</v>
      </c>
      <c r="F29" s="79"/>
      <c r="G29" s="10"/>
      <c r="H29" s="10"/>
      <c r="I29" s="10"/>
      <c r="J29" s="1"/>
      <c r="K29" s="10"/>
      <c r="L29" s="1"/>
      <c r="M29" s="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2:24" ht="15.75" customHeight="1" x14ac:dyDescent="0.15">
      <c r="B30" s="1" t="str">
        <f ca="1">IFERROR(__xludf.DUMMYFUNCTION("IFERROR(JOIN("","", UNIQUE(filter({VLOOKUP(A30,C:X,13, FALSE); VLOOKUP(A30,C:X,15, FALSE); VLOOKUP(A30,C:X,17, FALSE); VLOOKUP(A30,C:X,19, FALSE)}, {VLOOKUP(A30,C:X,13, FALSE); VLOOKUP(A30,C:X,15, FALSE); VLOOKUP(A30,C:X,17, FALSE); VLOOKUP(A30,C:X,19, FA"&amp;"LSE)}&lt;&gt;""""))), """")"),"")</f>
        <v/>
      </c>
      <c r="C30" s="77" t="str">
        <f t="shared" ca="1" si="2"/>
        <v xml:space="preserve"> (F1 of allele )</v>
      </c>
      <c r="D30" s="78">
        <f t="shared" si="1"/>
        <v>0</v>
      </c>
      <c r="E30" s="78" t="str">
        <f ca="1">IFERROR(__xludf.DUMMYFUNCTION("IFERROR(REGEXEXTRACT(N30, ""F\d+""), ""F1"")"),"F1")</f>
        <v>F1</v>
      </c>
      <c r="F30" s="79"/>
      <c r="G30" s="10"/>
      <c r="H30" s="10"/>
      <c r="I30" s="10"/>
      <c r="J30" s="1"/>
      <c r="K30" s="10"/>
      <c r="L30" s="1"/>
      <c r="M30" s="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2:24" ht="15.75" customHeight="1" x14ac:dyDescent="0.15">
      <c r="B31" s="1" t="str">
        <f ca="1">IFERROR(__xludf.DUMMYFUNCTION("IFERROR(JOIN("","", UNIQUE(filter({VLOOKUP(A31,C:X,13, FALSE); VLOOKUP(A31,C:X,15, FALSE); VLOOKUP(A31,C:X,17, FALSE); VLOOKUP(A31,C:X,19, FALSE)}, {VLOOKUP(A31,C:X,13, FALSE); VLOOKUP(A31,C:X,15, FALSE); VLOOKUP(A31,C:X,17, FALSE); VLOOKUP(A31,C:X,19, FA"&amp;"LSE)}&lt;&gt;""""))), """")"),"")</f>
        <v/>
      </c>
      <c r="C31" s="77" t="str">
        <f t="shared" ca="1" si="2"/>
        <v xml:space="preserve"> (F1 of allele )</v>
      </c>
      <c r="D31" s="78">
        <f t="shared" si="1"/>
        <v>0</v>
      </c>
      <c r="E31" s="78" t="str">
        <f ca="1">IFERROR(__xludf.DUMMYFUNCTION("IFERROR(REGEXEXTRACT(N31, ""F\d+""), ""F1"")"),"F1")</f>
        <v>F1</v>
      </c>
      <c r="F31" s="79"/>
      <c r="G31" s="10"/>
      <c r="H31" s="10"/>
      <c r="I31" s="10"/>
      <c r="J31" s="1"/>
      <c r="K31" s="10"/>
      <c r="L31" s="1"/>
      <c r="M31" s="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2:24" ht="15.75" customHeight="1" x14ac:dyDescent="0.15">
      <c r="B32" s="1" t="str">
        <f ca="1">IFERROR(__xludf.DUMMYFUNCTION("IFERROR(JOIN("","", UNIQUE(filter({VLOOKUP(A32,C:X,13, FALSE); VLOOKUP(A32,C:X,15, FALSE); VLOOKUP(A32,C:X,17, FALSE); VLOOKUP(A32,C:X,19, FALSE)}, {VLOOKUP(A32,C:X,13, FALSE); VLOOKUP(A32,C:X,15, FALSE); VLOOKUP(A32,C:X,17, FALSE); VLOOKUP(A32,C:X,19, FA"&amp;"LSE)}&lt;&gt;""""))), """")"),"")</f>
        <v/>
      </c>
      <c r="C32" s="77" t="str">
        <f t="shared" ca="1" si="2"/>
        <v xml:space="preserve"> (F1 of allele )</v>
      </c>
      <c r="D32" s="78">
        <f t="shared" si="1"/>
        <v>0</v>
      </c>
      <c r="E32" s="78" t="str">
        <f ca="1">IFERROR(__xludf.DUMMYFUNCTION("IFERROR(REGEXEXTRACT(N32, ""F\d+""), ""F1"")"),"F1")</f>
        <v>F1</v>
      </c>
      <c r="F32" s="79"/>
      <c r="G32" s="10"/>
      <c r="H32" s="10"/>
      <c r="I32" s="10"/>
      <c r="J32" s="1"/>
      <c r="K32" s="10"/>
      <c r="L32" s="1"/>
      <c r="M32" s="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2:24" ht="15.75" customHeight="1" x14ac:dyDescent="0.15">
      <c r="B33" s="1" t="str">
        <f ca="1">IFERROR(__xludf.DUMMYFUNCTION("IFERROR(JOIN("","", UNIQUE(filter({VLOOKUP(A33,C:X,13, FALSE); VLOOKUP(A33,C:X,15, FALSE); VLOOKUP(A33,C:X,17, FALSE); VLOOKUP(A33,C:X,19, FALSE)}, {VLOOKUP(A33,C:X,13, FALSE); VLOOKUP(A33,C:X,15, FALSE); VLOOKUP(A33,C:X,17, FALSE); VLOOKUP(A33,C:X,19, FA"&amp;"LSE)}&lt;&gt;""""))), """")"),"")</f>
        <v/>
      </c>
      <c r="C33" s="77" t="str">
        <f t="shared" ca="1" si="2"/>
        <v xml:space="preserve"> (F1 of allele )</v>
      </c>
      <c r="D33" s="78">
        <f t="shared" si="1"/>
        <v>0</v>
      </c>
      <c r="E33" s="78" t="str">
        <f ca="1">IFERROR(__xludf.DUMMYFUNCTION("IFERROR(REGEXEXTRACT(N33, ""F\d+""), ""F1"")"),"F1")</f>
        <v>F1</v>
      </c>
      <c r="F33" s="79"/>
      <c r="G33" s="10"/>
      <c r="H33" s="10"/>
      <c r="I33" s="10"/>
      <c r="J33" s="1"/>
      <c r="K33" s="10"/>
      <c r="L33" s="1"/>
      <c r="M33" s="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2:24" ht="15.75" customHeight="1" x14ac:dyDescent="0.15">
      <c r="B34" s="1" t="str">
        <f ca="1">IFERROR(__xludf.DUMMYFUNCTION("IFERROR(JOIN("","", UNIQUE(filter({VLOOKUP(A34,C:X,13, FALSE); VLOOKUP(A34,C:X,15, FALSE); VLOOKUP(A34,C:X,17, FALSE); VLOOKUP(A34,C:X,19, FALSE)}, {VLOOKUP(A34,C:X,13, FALSE); VLOOKUP(A34,C:X,15, FALSE); VLOOKUP(A34,C:X,17, FALSE); VLOOKUP(A34,C:X,19, FA"&amp;"LSE)}&lt;&gt;""""))), """")"),"")</f>
        <v/>
      </c>
      <c r="C34" s="77" t="str">
        <f t="shared" ca="1" si="2"/>
        <v xml:space="preserve"> (F1 of allele )</v>
      </c>
      <c r="D34" s="78">
        <f t="shared" si="1"/>
        <v>0</v>
      </c>
      <c r="E34" s="78" t="str">
        <f ca="1">IFERROR(__xludf.DUMMYFUNCTION("IFERROR(REGEXEXTRACT(N34, ""F\d+""), ""F1"")"),"F1")</f>
        <v>F1</v>
      </c>
      <c r="F34" s="79"/>
      <c r="G34" s="10"/>
      <c r="H34" s="10"/>
      <c r="I34" s="10"/>
      <c r="J34" s="1"/>
      <c r="K34" s="10"/>
      <c r="L34" s="1"/>
      <c r="M34" s="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2:24" ht="15.75" customHeight="1" x14ac:dyDescent="0.15">
      <c r="B35" s="1" t="str">
        <f ca="1">IFERROR(__xludf.DUMMYFUNCTION("IFERROR(JOIN("","", UNIQUE(filter({VLOOKUP(A35,C:X,13, FALSE); VLOOKUP(A35,C:X,15, FALSE); VLOOKUP(A35,C:X,17, FALSE); VLOOKUP(A35,C:X,19, FALSE)}, {VLOOKUP(A35,C:X,13, FALSE); VLOOKUP(A35,C:X,15, FALSE); VLOOKUP(A35,C:X,17, FALSE); VLOOKUP(A35,C:X,19, FA"&amp;"LSE)}&lt;&gt;""""))), """")"),"")</f>
        <v/>
      </c>
      <c r="C35" s="77" t="str">
        <f t="shared" ca="1" si="2"/>
        <v xml:space="preserve"> (F1 of allele )</v>
      </c>
      <c r="D35" s="78">
        <f t="shared" si="1"/>
        <v>0</v>
      </c>
      <c r="E35" s="78" t="str">
        <f ca="1">IFERROR(__xludf.DUMMYFUNCTION("IFERROR(REGEXEXTRACT(N35, ""F\d+""), ""F1"")"),"F1")</f>
        <v>F1</v>
      </c>
      <c r="F35" s="79"/>
      <c r="G35" s="10"/>
      <c r="H35" s="10"/>
      <c r="I35" s="10"/>
      <c r="J35" s="1"/>
      <c r="K35" s="10"/>
      <c r="L35" s="1"/>
      <c r="M35" s="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2:24" ht="15.75" customHeight="1" x14ac:dyDescent="0.15">
      <c r="B36" s="1" t="str">
        <f ca="1">IFERROR(__xludf.DUMMYFUNCTION("IFERROR(JOIN("","", UNIQUE(filter({VLOOKUP(A36,C:X,13, FALSE); VLOOKUP(A36,C:X,15, FALSE); VLOOKUP(A36,C:X,17, FALSE); VLOOKUP(A36,C:X,19, FALSE)}, {VLOOKUP(A36,C:X,13, FALSE); VLOOKUP(A36,C:X,15, FALSE); VLOOKUP(A36,C:X,17, FALSE); VLOOKUP(A36,C:X,19, FA"&amp;"LSE)}&lt;&gt;""""))), """")"),"")</f>
        <v/>
      </c>
      <c r="C36" s="77"/>
      <c r="D36" s="78"/>
      <c r="E36" s="78"/>
      <c r="F36" s="79"/>
      <c r="G36" s="10"/>
      <c r="H36" s="10"/>
      <c r="I36" s="10"/>
      <c r="J36" s="1"/>
      <c r="K36" s="10"/>
      <c r="L36" s="1"/>
      <c r="M36" s="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2:24" ht="15.75" customHeight="1" x14ac:dyDescent="0.15">
      <c r="B37" s="1" t="str">
        <f ca="1">IFERROR(__xludf.DUMMYFUNCTION("IFERROR(JOIN("","", UNIQUE(filter({VLOOKUP(A37,C:X,13, FALSE); VLOOKUP(A37,C:X,15, FALSE); VLOOKUP(A37,C:X,17, FALSE); VLOOKUP(A37,C:X,19, FALSE)}, {VLOOKUP(A37,C:X,13, FALSE); VLOOKUP(A37,C:X,15, FALSE); VLOOKUP(A37,C:X,17, FALSE); VLOOKUP(A37,C:X,19, FA"&amp;"LSE)}&lt;&gt;""""))), """")"),"")</f>
        <v/>
      </c>
      <c r="C37" s="77"/>
      <c r="D37" s="78"/>
      <c r="E37" s="78"/>
      <c r="F37" s="79"/>
      <c r="G37" s="10"/>
      <c r="H37" s="10"/>
      <c r="I37" s="10"/>
      <c r="J37" s="1"/>
      <c r="K37" s="10"/>
      <c r="L37" s="1"/>
      <c r="M37" s="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2:24" ht="15.75" customHeight="1" x14ac:dyDescent="0.15">
      <c r="B38" s="1" t="str">
        <f ca="1">IFERROR(__xludf.DUMMYFUNCTION("IFERROR(JOIN("","", UNIQUE(filter({VLOOKUP(A38,C:X,13, FALSE); VLOOKUP(A38,C:X,15, FALSE); VLOOKUP(A38,C:X,17, FALSE); VLOOKUP(A38,C:X,19, FALSE)}, {VLOOKUP(A38,C:X,13, FALSE); VLOOKUP(A38,C:X,15, FALSE); VLOOKUP(A38,C:X,17, FALSE); VLOOKUP(A38,C:X,19, FA"&amp;"LSE)}&lt;&gt;""""))), """")"),"")</f>
        <v/>
      </c>
      <c r="C38" s="77"/>
      <c r="D38" s="78"/>
      <c r="E38" s="78"/>
      <c r="F38" s="79"/>
      <c r="G38" s="10"/>
      <c r="H38" s="10"/>
      <c r="I38" s="10"/>
      <c r="J38" s="1"/>
      <c r="K38" s="10"/>
      <c r="L38" s="1"/>
      <c r="M38" s="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2:24" ht="15.75" customHeight="1" x14ac:dyDescent="0.15">
      <c r="B39" s="1" t="str">
        <f ca="1">IFERROR(__xludf.DUMMYFUNCTION("IFERROR(JOIN("","", UNIQUE(filter({VLOOKUP(A39,C:X,13, FALSE); VLOOKUP(A39,C:X,15, FALSE); VLOOKUP(A39,C:X,17, FALSE); VLOOKUP(A39,C:X,19, FALSE)}, {VLOOKUP(A39,C:X,13, FALSE); VLOOKUP(A39,C:X,15, FALSE); VLOOKUP(A39,C:X,17, FALSE); VLOOKUP(A39,C:X,19, FA"&amp;"LSE)}&lt;&gt;""""))), """")"),"")</f>
        <v/>
      </c>
      <c r="C39" s="77"/>
      <c r="D39" s="78"/>
      <c r="E39" s="78"/>
      <c r="F39" s="79"/>
      <c r="G39" s="10"/>
      <c r="H39" s="10"/>
      <c r="I39" s="10"/>
      <c r="J39" s="1"/>
      <c r="K39" s="10"/>
      <c r="L39" s="1"/>
      <c r="M39" s="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2:24" ht="15.75" customHeight="1" x14ac:dyDescent="0.15">
      <c r="B40" s="1" t="str">
        <f ca="1">IFERROR(__xludf.DUMMYFUNCTION("IFERROR(JOIN("","", UNIQUE(filter({VLOOKUP(A40,C:X,13, FALSE); VLOOKUP(A40,C:X,15, FALSE); VLOOKUP(A40,C:X,17, FALSE); VLOOKUP(A40,C:X,19, FALSE)}, {VLOOKUP(A40,C:X,13, FALSE); VLOOKUP(A40,C:X,15, FALSE); VLOOKUP(A40,C:X,17, FALSE); VLOOKUP(A40,C:X,19, FA"&amp;"LSE)}&lt;&gt;""""))), """")"),"")</f>
        <v/>
      </c>
      <c r="C40" s="77"/>
      <c r="D40" s="78"/>
      <c r="E40" s="78"/>
      <c r="F40" s="79"/>
      <c r="G40" s="10"/>
      <c r="H40" s="10"/>
      <c r="I40" s="10"/>
      <c r="J40" s="1"/>
      <c r="K40" s="10"/>
      <c r="L40" s="1"/>
      <c r="M40" s="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2:24" ht="15.75" customHeight="1" x14ac:dyDescent="0.15">
      <c r="B41" s="1" t="str">
        <f ca="1">IFERROR(__xludf.DUMMYFUNCTION("IFERROR(JOIN("","", UNIQUE(filter({VLOOKUP(A41,C:X,13, FALSE); VLOOKUP(A41,C:X,15, FALSE); VLOOKUP(A41,C:X,17, FALSE); VLOOKUP(A41,C:X,19, FALSE)}, {VLOOKUP(A41,C:X,13, FALSE); VLOOKUP(A41,C:X,15, FALSE); VLOOKUP(A41,C:X,17, FALSE); VLOOKUP(A41,C:X,19, FA"&amp;"LSE)}&lt;&gt;""""))), """")"),"")</f>
        <v/>
      </c>
      <c r="C41" s="77"/>
      <c r="D41" s="78"/>
      <c r="E41" s="78"/>
      <c r="F41" s="79"/>
      <c r="G41" s="10"/>
      <c r="H41" s="10"/>
      <c r="I41" s="10"/>
      <c r="J41" s="1"/>
      <c r="K41" s="10"/>
      <c r="L41" s="1"/>
      <c r="M41" s="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2:24" ht="15.75" customHeight="1" x14ac:dyDescent="0.15">
      <c r="B42" s="1" t="str">
        <f ca="1">IFERROR(__xludf.DUMMYFUNCTION("IFERROR(JOIN("","", UNIQUE(filter({VLOOKUP(A42,C:X,13, FALSE); VLOOKUP(A42,C:X,15, FALSE); VLOOKUP(A42,C:X,17, FALSE); VLOOKUP(A42,C:X,19, FALSE)}, {VLOOKUP(A42,C:X,13, FALSE); VLOOKUP(A42,C:X,15, FALSE); VLOOKUP(A42,C:X,17, FALSE); VLOOKUP(A42,C:X,19, FA"&amp;"LSE)}&lt;&gt;""""))), """")"),"")</f>
        <v/>
      </c>
      <c r="C42" s="77"/>
      <c r="D42" s="78"/>
      <c r="E42" s="78"/>
      <c r="F42" s="79"/>
      <c r="G42" s="10"/>
      <c r="H42" s="10"/>
      <c r="I42" s="10"/>
      <c r="J42" s="1"/>
      <c r="K42" s="10"/>
      <c r="L42" s="1"/>
      <c r="M42" s="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2:24" ht="15.75" customHeight="1" x14ac:dyDescent="0.15">
      <c r="B43" s="1" t="str">
        <f ca="1">IFERROR(__xludf.DUMMYFUNCTION("IFERROR(JOIN("","", UNIQUE(filter({VLOOKUP(A43,C:X,13, FALSE); VLOOKUP(A43,C:X,15, FALSE); VLOOKUP(A43,C:X,17, FALSE); VLOOKUP(A43,C:X,19, FALSE)}, {VLOOKUP(A43,C:X,13, FALSE); VLOOKUP(A43,C:X,15, FALSE); VLOOKUP(A43,C:X,17, FALSE); VLOOKUP(A43,C:X,19, FA"&amp;"LSE)}&lt;&gt;""""))), """")"),"")</f>
        <v/>
      </c>
      <c r="C43" s="77"/>
      <c r="D43" s="78"/>
      <c r="E43" s="78"/>
      <c r="F43" s="79"/>
      <c r="G43" s="10"/>
      <c r="H43" s="10"/>
      <c r="I43" s="10"/>
      <c r="J43" s="1"/>
      <c r="K43" s="10"/>
      <c r="L43" s="1"/>
      <c r="M43" s="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2:24" ht="15.75" customHeight="1" x14ac:dyDescent="0.15">
      <c r="B44" s="1" t="str">
        <f ca="1">IFERROR(__xludf.DUMMYFUNCTION("IFERROR(JOIN("","", UNIQUE(filter({VLOOKUP(A44,C:X,13, FALSE); VLOOKUP(A44,C:X,15, FALSE); VLOOKUP(A44,C:X,17, FALSE); VLOOKUP(A44,C:X,19, FALSE)}, {VLOOKUP(A44,C:X,13, FALSE); VLOOKUP(A44,C:X,15, FALSE); VLOOKUP(A44,C:X,17, FALSE); VLOOKUP(A44,C:X,19, FA"&amp;"LSE)}&lt;&gt;""""))), """")"),"")</f>
        <v/>
      </c>
      <c r="C44" s="77"/>
      <c r="D44" s="78"/>
      <c r="E44" s="78"/>
      <c r="F44" s="79"/>
      <c r="G44" s="10"/>
      <c r="H44" s="10"/>
      <c r="I44" s="10"/>
      <c r="J44" s="1"/>
      <c r="K44" s="10"/>
      <c r="L44" s="1"/>
      <c r="M44" s="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2:24" ht="15.75" customHeight="1" x14ac:dyDescent="0.15">
      <c r="C45" s="77"/>
      <c r="D45" s="78"/>
      <c r="E45" s="78"/>
      <c r="F45" s="79"/>
      <c r="G45" s="10"/>
      <c r="H45" s="10"/>
      <c r="I45" s="10"/>
      <c r="J45" s="1"/>
      <c r="K45" s="10"/>
      <c r="L45" s="1"/>
      <c r="M45" s="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2:24" ht="15.75" customHeight="1" x14ac:dyDescent="0.15">
      <c r="C46" s="77"/>
      <c r="D46" s="78"/>
      <c r="E46" s="78"/>
      <c r="F46" s="79"/>
      <c r="G46" s="10"/>
      <c r="H46" s="10"/>
      <c r="I46" s="10"/>
      <c r="J46" s="1"/>
      <c r="K46" s="10"/>
      <c r="L46" s="1"/>
      <c r="M46" s="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2:24" ht="15.75" customHeight="1" x14ac:dyDescent="0.15">
      <c r="C47" s="77"/>
      <c r="D47" s="78"/>
      <c r="E47" s="78"/>
      <c r="F47" s="79"/>
      <c r="G47" s="10"/>
      <c r="H47" s="10"/>
      <c r="I47" s="10"/>
      <c r="J47" s="1"/>
      <c r="K47" s="10"/>
      <c r="L47" s="1"/>
      <c r="M47" s="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2:24" ht="15.75" customHeight="1" x14ac:dyDescent="0.15">
      <c r="C48" s="77"/>
      <c r="D48" s="78"/>
      <c r="E48" s="78"/>
      <c r="F48" s="79"/>
      <c r="G48" s="10"/>
      <c r="H48" s="10"/>
      <c r="I48" s="10"/>
      <c r="J48" s="1"/>
      <c r="K48" s="10"/>
      <c r="L48" s="1"/>
      <c r="M48" s="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3:24" ht="15.75" customHeight="1" x14ac:dyDescent="0.15">
      <c r="C49" s="77"/>
      <c r="D49" s="78"/>
      <c r="E49" s="78"/>
      <c r="F49" s="79"/>
      <c r="G49" s="10"/>
      <c r="H49" s="10"/>
      <c r="I49" s="10"/>
      <c r="J49" s="1"/>
      <c r="K49" s="10"/>
      <c r="L49" s="1"/>
      <c r="M49" s="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3:24" ht="15.75" customHeight="1" x14ac:dyDescent="0.15">
      <c r="C50" s="77"/>
      <c r="D50" s="78"/>
      <c r="E50" s="78"/>
      <c r="F50" s="79"/>
      <c r="G50" s="10"/>
      <c r="H50" s="10"/>
      <c r="I50" s="10"/>
      <c r="J50" s="1"/>
      <c r="K50" s="10"/>
      <c r="L50" s="1"/>
      <c r="M50" s="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3:24" ht="15.75" customHeight="1" x14ac:dyDescent="0.15">
      <c r="C51" s="77"/>
      <c r="D51" s="78"/>
      <c r="E51" s="78"/>
      <c r="F51" s="79"/>
      <c r="G51" s="10"/>
      <c r="H51" s="10"/>
      <c r="I51" s="10"/>
      <c r="J51" s="1"/>
      <c r="K51" s="10"/>
      <c r="L51" s="1"/>
      <c r="M51" s="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3:24" ht="15.75" customHeight="1" x14ac:dyDescent="0.15">
      <c r="C52" s="77"/>
      <c r="D52" s="78"/>
      <c r="E52" s="78"/>
      <c r="F52" s="79"/>
      <c r="G52" s="10"/>
      <c r="H52" s="10"/>
      <c r="I52" s="10"/>
      <c r="J52" s="1"/>
      <c r="K52" s="10"/>
      <c r="L52" s="1"/>
      <c r="M52" s="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3:24" ht="15.75" customHeight="1" x14ac:dyDescent="0.15">
      <c r="C53" s="77"/>
      <c r="D53" s="78"/>
      <c r="E53" s="78"/>
      <c r="F53" s="79"/>
      <c r="G53" s="10"/>
      <c r="H53" s="10"/>
      <c r="I53" s="10"/>
      <c r="J53" s="1"/>
      <c r="K53" s="10"/>
      <c r="L53" s="1"/>
      <c r="M53" s="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3:24" ht="15.75" customHeight="1" x14ac:dyDescent="0.15">
      <c r="C54" s="77"/>
      <c r="D54" s="78"/>
      <c r="E54" s="78"/>
      <c r="F54" s="79"/>
      <c r="G54" s="10"/>
      <c r="H54" s="10"/>
      <c r="I54" s="10"/>
      <c r="J54" s="1"/>
      <c r="K54" s="10"/>
      <c r="L54" s="1"/>
      <c r="M54" s="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3:24" ht="15.75" customHeight="1" x14ac:dyDescent="0.15">
      <c r="C55" s="77"/>
      <c r="D55" s="78"/>
      <c r="E55" s="78"/>
      <c r="F55" s="79"/>
      <c r="G55" s="10"/>
      <c r="H55" s="10"/>
      <c r="I55" s="10"/>
      <c r="J55" s="1"/>
      <c r="K55" s="10"/>
      <c r="L55" s="1"/>
      <c r="M55" s="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3:24" ht="15.75" customHeight="1" x14ac:dyDescent="0.15">
      <c r="C56" s="77"/>
      <c r="D56" s="78"/>
      <c r="E56" s="78"/>
      <c r="F56" s="79"/>
      <c r="G56" s="10"/>
      <c r="H56" s="10"/>
      <c r="I56" s="10"/>
      <c r="J56" s="1"/>
      <c r="K56" s="10"/>
      <c r="L56" s="1"/>
      <c r="M56" s="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3:24" ht="15.75" customHeight="1" x14ac:dyDescent="0.15">
      <c r="C57" s="77"/>
      <c r="D57" s="78"/>
      <c r="E57" s="78"/>
      <c r="F57" s="79"/>
      <c r="G57" s="10"/>
      <c r="H57" s="10"/>
      <c r="I57" s="10"/>
      <c r="J57" s="1"/>
      <c r="K57" s="10"/>
      <c r="L57" s="1"/>
      <c r="M57" s="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3:24" ht="15.75" customHeight="1" x14ac:dyDescent="0.15">
      <c r="C58" s="77"/>
      <c r="D58" s="78"/>
      <c r="E58" s="78"/>
      <c r="F58" s="79"/>
      <c r="G58" s="10"/>
      <c r="H58" s="10"/>
      <c r="I58" s="10"/>
      <c r="J58" s="1"/>
      <c r="K58" s="10"/>
      <c r="L58" s="1"/>
      <c r="M58" s="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3:24" ht="15.75" customHeight="1" x14ac:dyDescent="0.15">
      <c r="C59" s="77"/>
      <c r="D59" s="78"/>
      <c r="E59" s="78"/>
      <c r="F59" s="79"/>
      <c r="G59" s="10"/>
      <c r="H59" s="10"/>
      <c r="I59" s="10"/>
      <c r="J59" s="1"/>
      <c r="K59" s="10"/>
      <c r="L59" s="1"/>
      <c r="M59" s="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3:24" ht="15.75" customHeight="1" x14ac:dyDescent="0.15">
      <c r="C60" s="77"/>
      <c r="D60" s="78"/>
      <c r="E60" s="78"/>
      <c r="F60" s="79"/>
      <c r="G60" s="10"/>
      <c r="H60" s="10"/>
      <c r="I60" s="10"/>
      <c r="J60" s="1"/>
      <c r="K60" s="10"/>
      <c r="L60" s="1"/>
      <c r="M60" s="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3:24" ht="15.75" customHeight="1" x14ac:dyDescent="0.15">
      <c r="C61" s="77"/>
      <c r="D61" s="78"/>
      <c r="E61" s="78"/>
      <c r="F61" s="79"/>
      <c r="G61" s="10"/>
      <c r="H61" s="10"/>
      <c r="I61" s="10"/>
      <c r="J61" s="1"/>
      <c r="K61" s="10"/>
      <c r="L61" s="1"/>
      <c r="M61" s="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3:24" ht="15.75" customHeight="1" x14ac:dyDescent="0.15">
      <c r="C62" s="77"/>
      <c r="D62" s="78"/>
      <c r="E62" s="78"/>
      <c r="F62" s="79"/>
      <c r="G62" s="10"/>
      <c r="H62" s="10"/>
      <c r="I62" s="10"/>
      <c r="J62" s="1"/>
      <c r="K62" s="10"/>
      <c r="L62" s="1"/>
      <c r="M62" s="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3:24" ht="15.75" customHeight="1" x14ac:dyDescent="0.15">
      <c r="C63" s="77"/>
      <c r="D63" s="78"/>
      <c r="E63" s="78"/>
      <c r="F63" s="79"/>
      <c r="G63" s="10"/>
      <c r="H63" s="10"/>
      <c r="I63" s="10"/>
      <c r="J63" s="1"/>
      <c r="K63" s="10"/>
      <c r="L63" s="1"/>
      <c r="M63" s="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3:24" ht="15.75" customHeight="1" x14ac:dyDescent="0.15">
      <c r="C64" s="77"/>
      <c r="D64" s="78"/>
      <c r="E64" s="78"/>
      <c r="F64" s="79"/>
      <c r="G64" s="10"/>
      <c r="H64" s="10"/>
      <c r="I64" s="10"/>
      <c r="J64" s="1"/>
      <c r="K64" s="10"/>
      <c r="L64" s="1"/>
      <c r="M64" s="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3:24" ht="15.75" customHeight="1" x14ac:dyDescent="0.15">
      <c r="C65" s="77"/>
      <c r="D65" s="78"/>
      <c r="E65" s="78"/>
      <c r="F65" s="79"/>
      <c r="G65" s="10"/>
      <c r="H65" s="10"/>
      <c r="I65" s="10"/>
      <c r="J65" s="1"/>
      <c r="K65" s="10"/>
      <c r="L65" s="1"/>
      <c r="M65" s="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3:24" ht="15.75" customHeight="1" x14ac:dyDescent="0.15">
      <c r="C66" s="77"/>
      <c r="D66" s="78"/>
      <c r="E66" s="78"/>
      <c r="F66" s="79"/>
      <c r="G66" s="10"/>
      <c r="H66" s="10"/>
      <c r="I66" s="10"/>
      <c r="J66" s="1"/>
      <c r="K66" s="10"/>
      <c r="L66" s="1"/>
      <c r="M66" s="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3:24" ht="15.75" customHeight="1" x14ac:dyDescent="0.15">
      <c r="C67" s="77"/>
      <c r="D67" s="78"/>
      <c r="E67" s="78"/>
      <c r="F67" s="79"/>
      <c r="G67" s="10"/>
      <c r="H67" s="10"/>
      <c r="I67" s="10"/>
      <c r="J67" s="1"/>
      <c r="K67" s="10"/>
      <c r="L67" s="1"/>
      <c r="M67" s="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3:24" ht="15.75" customHeight="1" x14ac:dyDescent="0.15">
      <c r="C68" s="77"/>
      <c r="D68" s="78"/>
      <c r="E68" s="78"/>
      <c r="F68" s="79"/>
      <c r="G68" s="10"/>
      <c r="H68" s="10"/>
      <c r="I68" s="10"/>
      <c r="J68" s="1"/>
      <c r="K68" s="10"/>
      <c r="L68" s="1"/>
      <c r="M68" s="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3:24" ht="15.75" customHeight="1" x14ac:dyDescent="0.15">
      <c r="C69" s="77"/>
      <c r="D69" s="78"/>
      <c r="E69" s="78"/>
      <c r="F69" s="79"/>
      <c r="G69" s="10"/>
      <c r="H69" s="10"/>
      <c r="I69" s="10"/>
      <c r="J69" s="1"/>
      <c r="K69" s="10"/>
      <c r="L69" s="1"/>
      <c r="M69" s="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3:24" ht="15.75" customHeight="1" x14ac:dyDescent="0.15">
      <c r="C70" s="77"/>
      <c r="D70" s="78"/>
      <c r="E70" s="78"/>
      <c r="F70" s="79"/>
      <c r="G70" s="10"/>
      <c r="H70" s="10"/>
      <c r="I70" s="10"/>
      <c r="J70" s="1"/>
      <c r="K70" s="10"/>
      <c r="L70" s="1"/>
      <c r="M70" s="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3:24" ht="15.75" customHeight="1" x14ac:dyDescent="0.15">
      <c r="C71" s="77"/>
      <c r="D71" s="78"/>
      <c r="E71" s="78"/>
      <c r="F71" s="79"/>
      <c r="G71" s="10"/>
      <c r="H71" s="10"/>
      <c r="I71" s="10"/>
      <c r="J71" s="1"/>
      <c r="K71" s="10"/>
      <c r="L71" s="1"/>
      <c r="M71" s="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3:24" ht="15.75" customHeight="1" x14ac:dyDescent="0.15">
      <c r="C72" s="77"/>
      <c r="D72" s="78"/>
      <c r="E72" s="78"/>
      <c r="F72" s="79"/>
      <c r="G72" s="10"/>
      <c r="H72" s="10"/>
      <c r="I72" s="10"/>
      <c r="J72" s="1"/>
      <c r="K72" s="10"/>
      <c r="L72" s="1"/>
      <c r="M72" s="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3:24" ht="15.75" customHeight="1" x14ac:dyDescent="0.15">
      <c r="C73" s="77"/>
      <c r="D73" s="78"/>
      <c r="E73" s="78"/>
      <c r="F73" s="79"/>
      <c r="G73" s="10"/>
      <c r="H73" s="10"/>
      <c r="I73" s="10"/>
      <c r="J73" s="1"/>
      <c r="K73" s="10"/>
      <c r="L73" s="1"/>
      <c r="M73" s="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3:24" ht="15.75" customHeight="1" x14ac:dyDescent="0.15">
      <c r="C74" s="77"/>
      <c r="D74" s="78"/>
      <c r="E74" s="78"/>
      <c r="F74" s="79"/>
      <c r="G74" s="10"/>
      <c r="H74" s="10"/>
      <c r="I74" s="10"/>
      <c r="J74" s="1"/>
      <c r="K74" s="10"/>
      <c r="L74" s="1"/>
      <c r="M74" s="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3:24" ht="15.75" customHeight="1" x14ac:dyDescent="0.15">
      <c r="C75" s="77"/>
      <c r="D75" s="78"/>
      <c r="E75" s="78"/>
      <c r="F75" s="79"/>
      <c r="G75" s="10"/>
      <c r="H75" s="10"/>
      <c r="I75" s="10"/>
      <c r="J75" s="1"/>
      <c r="K75" s="10"/>
      <c r="L75" s="1"/>
      <c r="M75" s="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spans="3:24" ht="15.75" customHeight="1" x14ac:dyDescent="0.15">
      <c r="C76" s="77"/>
      <c r="D76" s="78"/>
      <c r="E76" s="78"/>
      <c r="F76" s="79"/>
      <c r="G76" s="10"/>
      <c r="H76" s="10"/>
      <c r="I76" s="10"/>
      <c r="J76" s="1"/>
      <c r="K76" s="10"/>
      <c r="L76" s="1"/>
      <c r="M76" s="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spans="3:24" ht="15.75" customHeight="1" x14ac:dyDescent="0.15">
      <c r="C77" s="77"/>
      <c r="D77" s="78"/>
      <c r="E77" s="78"/>
      <c r="F77" s="79"/>
      <c r="G77" s="10"/>
      <c r="H77" s="10"/>
      <c r="I77" s="10"/>
      <c r="J77" s="1"/>
      <c r="K77" s="10"/>
      <c r="L77" s="1"/>
      <c r="M77" s="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3:24" ht="15.75" customHeight="1" x14ac:dyDescent="0.15">
      <c r="C78" s="77"/>
      <c r="D78" s="78"/>
      <c r="E78" s="78"/>
      <c r="F78" s="79"/>
      <c r="G78" s="10"/>
      <c r="H78" s="10"/>
      <c r="I78" s="10"/>
      <c r="J78" s="1"/>
      <c r="K78" s="10"/>
      <c r="L78" s="1"/>
      <c r="M78" s="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spans="3:24" ht="15.75" customHeight="1" x14ac:dyDescent="0.15">
      <c r="C79" s="77"/>
      <c r="D79" s="78"/>
      <c r="E79" s="78"/>
      <c r="F79" s="79"/>
      <c r="G79" s="10"/>
      <c r="H79" s="10"/>
      <c r="I79" s="10"/>
      <c r="J79" s="1"/>
      <c r="K79" s="10"/>
      <c r="L79" s="1"/>
      <c r="M79" s="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3:24" ht="15.75" customHeight="1" x14ac:dyDescent="0.15">
      <c r="C80" s="77"/>
      <c r="D80" s="78"/>
      <c r="E80" s="78"/>
      <c r="F80" s="79"/>
      <c r="G80" s="10"/>
      <c r="H80" s="10"/>
      <c r="I80" s="10"/>
      <c r="J80" s="1"/>
      <c r="K80" s="10"/>
      <c r="L80" s="1"/>
      <c r="M80" s="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spans="3:24" ht="15.75" customHeight="1" x14ac:dyDescent="0.15">
      <c r="C81" s="77"/>
      <c r="D81" s="78"/>
      <c r="E81" s="78"/>
      <c r="F81" s="79"/>
      <c r="G81" s="10"/>
      <c r="H81" s="10"/>
      <c r="I81" s="10"/>
      <c r="J81" s="1"/>
      <c r="K81" s="10"/>
      <c r="L81" s="1"/>
      <c r="M81" s="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spans="3:24" ht="15.75" customHeight="1" x14ac:dyDescent="0.15">
      <c r="C82" s="77"/>
      <c r="D82" s="78"/>
      <c r="E82" s="78"/>
      <c r="F82" s="79"/>
      <c r="G82" s="10"/>
      <c r="H82" s="10"/>
      <c r="I82" s="10"/>
      <c r="J82" s="1"/>
      <c r="K82" s="10"/>
      <c r="L82" s="1"/>
      <c r="M82" s="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spans="3:24" ht="15.75" customHeight="1" x14ac:dyDescent="0.15">
      <c r="C83" s="77"/>
      <c r="D83" s="78"/>
      <c r="E83" s="78"/>
      <c r="F83" s="79"/>
      <c r="G83" s="10"/>
      <c r="H83" s="10"/>
      <c r="I83" s="10"/>
      <c r="J83" s="1"/>
      <c r="K83" s="10"/>
      <c r="L83" s="1"/>
      <c r="M83" s="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spans="3:24" ht="15.75" customHeight="1" x14ac:dyDescent="0.15">
      <c r="C84" s="77"/>
      <c r="D84" s="78"/>
      <c r="E84" s="78"/>
      <c r="F84" s="79"/>
      <c r="G84" s="10"/>
      <c r="H84" s="10"/>
      <c r="I84" s="10"/>
      <c r="J84" s="1"/>
      <c r="K84" s="10"/>
      <c r="L84" s="1"/>
      <c r="M84" s="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spans="3:24" ht="15.75" customHeight="1" x14ac:dyDescent="0.15">
      <c r="C85" s="77"/>
      <c r="D85" s="78"/>
      <c r="E85" s="78"/>
      <c r="F85" s="79"/>
      <c r="G85" s="10"/>
      <c r="H85" s="10"/>
      <c r="I85" s="10"/>
      <c r="J85" s="1"/>
      <c r="K85" s="10"/>
      <c r="L85" s="1"/>
      <c r="M85" s="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spans="3:24" ht="15.75" customHeight="1" x14ac:dyDescent="0.15">
      <c r="C86" s="77"/>
      <c r="D86" s="78"/>
      <c r="E86" s="78"/>
      <c r="F86" s="79"/>
      <c r="G86" s="10"/>
      <c r="H86" s="10"/>
      <c r="I86" s="10"/>
      <c r="J86" s="1"/>
      <c r="K86" s="10"/>
      <c r="L86" s="1"/>
      <c r="M86" s="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spans="3:24" ht="15.75" customHeight="1" x14ac:dyDescent="0.15">
      <c r="C87" s="77"/>
      <c r="D87" s="78"/>
      <c r="E87" s="78"/>
      <c r="F87" s="79"/>
      <c r="G87" s="10"/>
      <c r="H87" s="10"/>
      <c r="I87" s="10"/>
      <c r="J87" s="1"/>
      <c r="K87" s="10"/>
      <c r="L87" s="1"/>
      <c r="M87" s="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spans="3:24" ht="15.75" customHeight="1" x14ac:dyDescent="0.15">
      <c r="C88" s="77"/>
      <c r="D88" s="78"/>
      <c r="E88" s="78"/>
      <c r="F88" s="79"/>
      <c r="G88" s="10"/>
      <c r="H88" s="10"/>
      <c r="I88" s="10"/>
      <c r="J88" s="1"/>
      <c r="K88" s="10"/>
      <c r="L88" s="1"/>
      <c r="M88" s="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spans="3:24" ht="15.75" customHeight="1" x14ac:dyDescent="0.15">
      <c r="C89" s="77"/>
      <c r="D89" s="78"/>
      <c r="E89" s="78"/>
      <c r="F89" s="79"/>
      <c r="G89" s="10"/>
      <c r="H89" s="10"/>
      <c r="I89" s="10"/>
      <c r="J89" s="1"/>
      <c r="K89" s="10"/>
      <c r="L89" s="1"/>
      <c r="M89" s="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spans="3:24" ht="15.75" customHeight="1" x14ac:dyDescent="0.15">
      <c r="C90" s="77"/>
      <c r="D90" s="78"/>
      <c r="E90" s="78"/>
      <c r="F90" s="79"/>
      <c r="G90" s="10"/>
      <c r="H90" s="10"/>
      <c r="I90" s="10"/>
      <c r="J90" s="1"/>
      <c r="K90" s="10"/>
      <c r="L90" s="1"/>
      <c r="M90" s="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3:24" ht="15.75" customHeight="1" x14ac:dyDescent="0.15">
      <c r="C91" s="77"/>
      <c r="D91" s="78"/>
      <c r="E91" s="78"/>
      <c r="F91" s="79"/>
      <c r="G91" s="10"/>
      <c r="H91" s="10"/>
      <c r="I91" s="10"/>
      <c r="J91" s="1"/>
      <c r="K91" s="10"/>
      <c r="L91" s="1"/>
      <c r="M91" s="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spans="3:24" ht="15.75" customHeight="1" x14ac:dyDescent="0.15">
      <c r="C92" s="77"/>
      <c r="D92" s="78"/>
      <c r="E92" s="78"/>
      <c r="F92" s="79"/>
      <c r="G92" s="10"/>
      <c r="H92" s="10"/>
      <c r="I92" s="10"/>
      <c r="J92" s="1"/>
      <c r="K92" s="10"/>
      <c r="L92" s="1"/>
      <c r="M92" s="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3:24" ht="15.75" customHeight="1" x14ac:dyDescent="0.15">
      <c r="C93" s="77"/>
      <c r="D93" s="78"/>
      <c r="E93" s="78"/>
      <c r="F93" s="79"/>
      <c r="G93" s="10"/>
      <c r="H93" s="10"/>
      <c r="I93" s="10"/>
      <c r="J93" s="1"/>
      <c r="K93" s="10"/>
      <c r="L93" s="1"/>
      <c r="M93" s="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spans="3:24" ht="15.75" customHeight="1" x14ac:dyDescent="0.15">
      <c r="C94" s="77"/>
      <c r="D94" s="78"/>
      <c r="E94" s="78"/>
      <c r="F94" s="79"/>
      <c r="G94" s="10"/>
      <c r="H94" s="10"/>
      <c r="I94" s="10"/>
      <c r="J94" s="1"/>
      <c r="K94" s="10"/>
      <c r="L94" s="1"/>
      <c r="M94" s="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spans="3:24" ht="15.75" customHeight="1" x14ac:dyDescent="0.15">
      <c r="C95" s="77"/>
      <c r="D95" s="78"/>
      <c r="E95" s="78"/>
      <c r="F95" s="79"/>
      <c r="G95" s="10"/>
      <c r="H95" s="10"/>
      <c r="I95" s="10"/>
      <c r="J95" s="1"/>
      <c r="K95" s="10"/>
      <c r="L95" s="1"/>
      <c r="M95" s="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spans="3:24" ht="15.75" customHeight="1" x14ac:dyDescent="0.15">
      <c r="C96" s="77"/>
      <c r="D96" s="78"/>
      <c r="E96" s="78"/>
      <c r="F96" s="79"/>
      <c r="G96" s="10"/>
      <c r="H96" s="10"/>
      <c r="I96" s="10"/>
      <c r="J96" s="1"/>
      <c r="K96" s="10"/>
      <c r="L96" s="1"/>
      <c r="M96" s="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3:24" ht="15.75" customHeight="1" x14ac:dyDescent="0.15">
      <c r="C97" s="77"/>
      <c r="D97" s="78"/>
      <c r="E97" s="78"/>
      <c r="F97" s="79"/>
      <c r="G97" s="10"/>
      <c r="H97" s="10"/>
      <c r="I97" s="10"/>
      <c r="J97" s="1"/>
      <c r="K97" s="10"/>
      <c r="L97" s="1"/>
      <c r="M97" s="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spans="3:24" ht="15.75" customHeight="1" x14ac:dyDescent="0.15">
      <c r="C98" s="77"/>
      <c r="D98" s="78"/>
      <c r="E98" s="78"/>
      <c r="F98" s="79"/>
      <c r="G98" s="10"/>
      <c r="H98" s="10"/>
      <c r="I98" s="10"/>
      <c r="J98" s="1"/>
      <c r="K98" s="10"/>
      <c r="L98" s="1"/>
      <c r="M98" s="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spans="3:24" ht="15.75" customHeight="1" x14ac:dyDescent="0.15">
      <c r="C99" s="77"/>
      <c r="D99" s="78"/>
      <c r="E99" s="78"/>
      <c r="F99" s="79"/>
      <c r="G99" s="10"/>
      <c r="H99" s="10"/>
      <c r="I99" s="10"/>
      <c r="J99" s="1"/>
      <c r="K99" s="10"/>
      <c r="L99" s="1"/>
      <c r="M99" s="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spans="3:24" ht="15.75" customHeight="1" x14ac:dyDescent="0.15">
      <c r="C100" s="77"/>
      <c r="D100" s="78"/>
      <c r="E100" s="78"/>
      <c r="F100" s="79"/>
      <c r="G100" s="10"/>
      <c r="H100" s="10"/>
      <c r="I100" s="10"/>
      <c r="J100" s="1"/>
      <c r="K100" s="10"/>
      <c r="L100" s="1"/>
      <c r="M100" s="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spans="3:24" ht="15.75" customHeight="1" x14ac:dyDescent="0.15">
      <c r="C101" s="77"/>
      <c r="D101" s="78"/>
      <c r="E101" s="78"/>
      <c r="F101" s="79"/>
      <c r="G101" s="10"/>
      <c r="H101" s="10"/>
      <c r="I101" s="10"/>
      <c r="J101" s="1"/>
      <c r="K101" s="10"/>
      <c r="L101" s="1"/>
      <c r="M101" s="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spans="3:24" ht="15.75" customHeight="1" x14ac:dyDescent="0.15">
      <c r="C102" s="77"/>
      <c r="D102" s="78"/>
      <c r="E102" s="78"/>
      <c r="F102" s="79"/>
      <c r="G102" s="10"/>
      <c r="H102" s="10"/>
      <c r="I102" s="10"/>
      <c r="J102" s="1"/>
      <c r="K102" s="10"/>
      <c r="L102" s="1"/>
      <c r="M102" s="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spans="3:24" ht="15.75" customHeight="1" x14ac:dyDescent="0.15">
      <c r="C103" s="77"/>
      <c r="D103" s="78"/>
      <c r="E103" s="78"/>
      <c r="F103" s="79"/>
      <c r="G103" s="10"/>
      <c r="H103" s="10"/>
      <c r="I103" s="10"/>
      <c r="J103" s="1"/>
      <c r="K103" s="10"/>
      <c r="L103" s="1"/>
      <c r="M103" s="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spans="3:24" ht="15.75" customHeight="1" x14ac:dyDescent="0.15">
      <c r="C104" s="77"/>
      <c r="D104" s="78"/>
      <c r="E104" s="78"/>
      <c r="F104" s="79"/>
      <c r="G104" s="10"/>
      <c r="H104" s="10"/>
      <c r="I104" s="10"/>
      <c r="J104" s="1"/>
      <c r="K104" s="10"/>
      <c r="L104" s="1"/>
      <c r="M104" s="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spans="3:24" ht="15.75" customHeight="1" x14ac:dyDescent="0.15">
      <c r="C105" s="77"/>
      <c r="D105" s="78"/>
      <c r="E105" s="78"/>
      <c r="F105" s="79"/>
      <c r="G105" s="10"/>
      <c r="H105" s="10"/>
      <c r="I105" s="10"/>
      <c r="J105" s="1"/>
      <c r="K105" s="10"/>
      <c r="L105" s="1"/>
      <c r="M105" s="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spans="3:24" ht="15.75" customHeight="1" x14ac:dyDescent="0.15">
      <c r="C106" s="77"/>
      <c r="D106" s="78"/>
      <c r="E106" s="78"/>
      <c r="F106" s="79"/>
      <c r="G106" s="10"/>
      <c r="H106" s="10"/>
      <c r="I106" s="10"/>
      <c r="J106" s="1"/>
      <c r="K106" s="10"/>
      <c r="L106" s="1"/>
      <c r="M106" s="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spans="3:24" ht="15.75" customHeight="1" x14ac:dyDescent="0.15">
      <c r="C107" s="77"/>
      <c r="D107" s="78"/>
      <c r="E107" s="78"/>
      <c r="F107" s="79"/>
      <c r="G107" s="10"/>
      <c r="H107" s="10"/>
      <c r="I107" s="10"/>
      <c r="J107" s="1"/>
      <c r="K107" s="10"/>
      <c r="L107" s="1"/>
      <c r="M107" s="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spans="3:24" ht="15.75" customHeight="1" x14ac:dyDescent="0.15">
      <c r="C108" s="77"/>
      <c r="D108" s="78"/>
      <c r="E108" s="78"/>
      <c r="F108" s="79"/>
      <c r="G108" s="10"/>
      <c r="H108" s="10"/>
      <c r="I108" s="10"/>
      <c r="J108" s="1"/>
      <c r="K108" s="10"/>
      <c r="L108" s="1"/>
      <c r="M108" s="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spans="3:24" ht="15.75" customHeight="1" x14ac:dyDescent="0.15">
      <c r="C109" s="77"/>
      <c r="D109" s="78"/>
      <c r="E109" s="78"/>
      <c r="F109" s="79"/>
      <c r="G109" s="10"/>
      <c r="H109" s="10"/>
      <c r="I109" s="10"/>
      <c r="J109" s="1"/>
      <c r="K109" s="10"/>
      <c r="L109" s="1"/>
      <c r="M109" s="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spans="3:24" ht="15.75" customHeight="1" x14ac:dyDescent="0.15">
      <c r="C110" s="77"/>
      <c r="D110" s="78"/>
      <c r="E110" s="78"/>
      <c r="F110" s="79"/>
      <c r="G110" s="10"/>
      <c r="H110" s="10"/>
      <c r="I110" s="10"/>
      <c r="J110" s="1"/>
      <c r="K110" s="10"/>
      <c r="L110" s="1"/>
      <c r="M110" s="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spans="3:24" ht="15.75" customHeight="1" x14ac:dyDescent="0.15">
      <c r="C111" s="77"/>
      <c r="D111" s="78"/>
      <c r="E111" s="78"/>
      <c r="F111" s="79"/>
      <c r="G111" s="10"/>
      <c r="H111" s="10"/>
      <c r="I111" s="10"/>
      <c r="J111" s="1"/>
      <c r="K111" s="10"/>
      <c r="L111" s="1"/>
      <c r="M111" s="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spans="3:24" ht="15.75" customHeight="1" x14ac:dyDescent="0.15">
      <c r="C112" s="77"/>
      <c r="D112" s="78"/>
      <c r="E112" s="78"/>
      <c r="F112" s="79"/>
      <c r="G112" s="10"/>
      <c r="H112" s="10"/>
      <c r="I112" s="10"/>
      <c r="J112" s="1"/>
      <c r="K112" s="10"/>
      <c r="L112" s="1"/>
      <c r="M112" s="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spans="3:24" ht="13" x14ac:dyDescent="0.15">
      <c r="C113" s="77"/>
      <c r="D113" s="78"/>
      <c r="E113" s="78"/>
      <c r="F113" s="79"/>
      <c r="G113" s="10"/>
      <c r="H113" s="10"/>
      <c r="I113" s="10"/>
      <c r="J113" s="1"/>
      <c r="K113" s="10"/>
      <c r="L113" s="1"/>
      <c r="M113" s="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spans="3:24" ht="13" x14ac:dyDescent="0.15">
      <c r="C114" s="77"/>
      <c r="D114" s="78"/>
      <c r="E114" s="78"/>
      <c r="F114" s="79"/>
      <c r="G114" s="10"/>
      <c r="H114" s="10"/>
      <c r="I114" s="10"/>
      <c r="J114" s="1"/>
      <c r="K114" s="10"/>
      <c r="L114" s="1"/>
      <c r="M114" s="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spans="3:24" ht="13" x14ac:dyDescent="0.15">
      <c r="C115" s="77"/>
      <c r="D115" s="78"/>
      <c r="E115" s="78"/>
      <c r="F115" s="79"/>
      <c r="G115" s="10"/>
      <c r="H115" s="10"/>
      <c r="I115" s="10"/>
      <c r="J115" s="1"/>
      <c r="K115" s="10"/>
      <c r="L115" s="1"/>
      <c r="M115" s="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spans="3:24" ht="13" x14ac:dyDescent="0.15">
      <c r="C116" s="77"/>
      <c r="D116" s="78"/>
      <c r="E116" s="78"/>
      <c r="F116" s="79"/>
      <c r="G116" s="10"/>
      <c r="H116" s="10"/>
      <c r="I116" s="10"/>
      <c r="J116" s="1"/>
      <c r="K116" s="10"/>
      <c r="L116" s="1"/>
      <c r="M116" s="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spans="3:24" ht="13" x14ac:dyDescent="0.15">
      <c r="C117" s="77"/>
      <c r="D117" s="78"/>
      <c r="E117" s="78"/>
      <c r="F117" s="79"/>
      <c r="G117" s="10"/>
      <c r="H117" s="10"/>
      <c r="I117" s="10"/>
      <c r="J117" s="1"/>
      <c r="K117" s="10"/>
      <c r="L117" s="1"/>
      <c r="M117" s="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spans="3:24" ht="13" x14ac:dyDescent="0.15">
      <c r="C118" s="77"/>
      <c r="D118" s="78"/>
      <c r="E118" s="78"/>
      <c r="F118" s="79"/>
      <c r="G118" s="10"/>
      <c r="H118" s="10"/>
      <c r="I118" s="10"/>
      <c r="J118" s="1"/>
      <c r="K118" s="10"/>
      <c r="L118" s="1"/>
      <c r="M118" s="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spans="3:24" ht="13" x14ac:dyDescent="0.15">
      <c r="C119" s="77"/>
      <c r="D119" s="78"/>
      <c r="E119" s="78"/>
      <c r="F119" s="79"/>
      <c r="G119" s="10"/>
      <c r="H119" s="10"/>
      <c r="I119" s="10"/>
      <c r="J119" s="1"/>
      <c r="K119" s="10"/>
      <c r="L119" s="1"/>
      <c r="M119" s="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spans="3:24" ht="13" x14ac:dyDescent="0.15">
      <c r="C120" s="77"/>
      <c r="D120" s="78"/>
      <c r="E120" s="78"/>
      <c r="F120" s="79"/>
      <c r="G120" s="10"/>
      <c r="H120" s="10"/>
      <c r="I120" s="10"/>
      <c r="J120" s="1"/>
      <c r="K120" s="10"/>
      <c r="L120" s="1"/>
      <c r="M120" s="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spans="3:24" ht="13" x14ac:dyDescent="0.15">
      <c r="C121" s="77"/>
      <c r="D121" s="78"/>
      <c r="E121" s="78"/>
      <c r="F121" s="79"/>
      <c r="G121" s="10"/>
      <c r="H121" s="10"/>
      <c r="I121" s="10"/>
      <c r="J121" s="1"/>
      <c r="K121" s="10"/>
      <c r="L121" s="1"/>
      <c r="M121" s="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spans="3:24" ht="13" x14ac:dyDescent="0.15">
      <c r="C122" s="77"/>
      <c r="D122" s="78"/>
      <c r="E122" s="78"/>
      <c r="F122" s="79"/>
      <c r="G122" s="10"/>
      <c r="H122" s="10"/>
      <c r="I122" s="10"/>
      <c r="J122" s="1"/>
      <c r="K122" s="10"/>
      <c r="L122" s="1"/>
      <c r="M122" s="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spans="3:24" ht="13" x14ac:dyDescent="0.15">
      <c r="C123" s="77"/>
      <c r="D123" s="78"/>
      <c r="E123" s="78"/>
      <c r="F123" s="79"/>
      <c r="G123" s="10"/>
      <c r="H123" s="10"/>
      <c r="I123" s="10"/>
      <c r="J123" s="1"/>
      <c r="K123" s="10"/>
      <c r="L123" s="1"/>
      <c r="M123" s="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spans="3:24" ht="13" x14ac:dyDescent="0.15">
      <c r="C124" s="77"/>
      <c r="D124" s="78"/>
      <c r="E124" s="78"/>
      <c r="F124" s="79"/>
      <c r="G124" s="10"/>
      <c r="H124" s="10"/>
      <c r="I124" s="10"/>
      <c r="J124" s="1"/>
      <c r="K124" s="10"/>
      <c r="L124" s="1"/>
      <c r="M124" s="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spans="3:24" ht="13" x14ac:dyDescent="0.15">
      <c r="C125" s="77"/>
      <c r="D125" s="78"/>
      <c r="E125" s="78"/>
      <c r="F125" s="79"/>
      <c r="G125" s="10"/>
      <c r="H125" s="10"/>
      <c r="I125" s="10"/>
      <c r="J125" s="1"/>
      <c r="K125" s="10"/>
      <c r="L125" s="1"/>
      <c r="M125" s="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spans="3:24" ht="13" x14ac:dyDescent="0.15">
      <c r="C126" s="77"/>
      <c r="D126" s="78"/>
      <c r="E126" s="78"/>
      <c r="F126" s="79"/>
      <c r="G126" s="10"/>
      <c r="H126" s="10"/>
      <c r="I126" s="10"/>
      <c r="J126" s="1"/>
      <c r="K126" s="10"/>
      <c r="L126" s="1"/>
      <c r="M126" s="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spans="3:24" ht="13" x14ac:dyDescent="0.15">
      <c r="C127" s="77"/>
      <c r="D127" s="78"/>
      <c r="E127" s="78"/>
      <c r="F127" s="79"/>
      <c r="G127" s="10"/>
      <c r="H127" s="10"/>
      <c r="I127" s="10"/>
      <c r="J127" s="1"/>
      <c r="K127" s="10"/>
      <c r="L127" s="1"/>
      <c r="M127" s="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spans="3:24" ht="13" x14ac:dyDescent="0.15">
      <c r="C128" s="77"/>
      <c r="D128" s="78"/>
      <c r="E128" s="78"/>
      <c r="F128" s="79"/>
      <c r="G128" s="10"/>
      <c r="H128" s="10"/>
      <c r="I128" s="10"/>
      <c r="J128" s="1"/>
      <c r="K128" s="10"/>
      <c r="L128" s="1"/>
      <c r="M128" s="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spans="3:24" ht="13" x14ac:dyDescent="0.15">
      <c r="C129" s="77"/>
      <c r="D129" s="78"/>
      <c r="E129" s="78"/>
      <c r="F129" s="79"/>
      <c r="G129" s="10"/>
      <c r="H129" s="10"/>
      <c r="I129" s="10"/>
      <c r="J129" s="1"/>
      <c r="K129" s="10"/>
      <c r="L129" s="1"/>
      <c r="M129" s="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spans="3:24" ht="13" x14ac:dyDescent="0.15">
      <c r="C130" s="77"/>
      <c r="D130" s="78"/>
      <c r="E130" s="78"/>
      <c r="F130" s="79"/>
      <c r="G130" s="10"/>
      <c r="H130" s="10"/>
      <c r="I130" s="10"/>
      <c r="J130" s="1"/>
      <c r="K130" s="10"/>
      <c r="L130" s="1"/>
      <c r="M130" s="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spans="3:24" ht="13" x14ac:dyDescent="0.15">
      <c r="C131" s="77"/>
      <c r="D131" s="78"/>
      <c r="E131" s="78"/>
      <c r="F131" s="79"/>
      <c r="G131" s="10"/>
      <c r="H131" s="10"/>
      <c r="I131" s="10"/>
      <c r="J131" s="1"/>
      <c r="K131" s="10"/>
      <c r="L131" s="1"/>
      <c r="M131" s="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spans="3:24" ht="13" x14ac:dyDescent="0.15">
      <c r="C132" s="77"/>
      <c r="D132" s="78"/>
      <c r="E132" s="78"/>
      <c r="F132" s="79"/>
      <c r="G132" s="10"/>
      <c r="H132" s="10"/>
      <c r="I132" s="10"/>
      <c r="J132" s="1"/>
      <c r="K132" s="10"/>
      <c r="L132" s="1"/>
      <c r="M132" s="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spans="3:24" ht="13" x14ac:dyDescent="0.15">
      <c r="C133" s="77"/>
      <c r="D133" s="78"/>
      <c r="E133" s="78"/>
      <c r="F133" s="79"/>
      <c r="G133" s="10"/>
      <c r="H133" s="10"/>
      <c r="I133" s="10"/>
      <c r="J133" s="1"/>
      <c r="K133" s="10"/>
      <c r="L133" s="1"/>
      <c r="M133" s="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spans="3:24" ht="13" x14ac:dyDescent="0.15">
      <c r="C134" s="77"/>
      <c r="D134" s="78"/>
      <c r="E134" s="78"/>
      <c r="F134" s="79"/>
      <c r="G134" s="10"/>
      <c r="H134" s="10"/>
      <c r="I134" s="10"/>
      <c r="J134" s="1"/>
      <c r="K134" s="10"/>
      <c r="L134" s="1"/>
      <c r="M134" s="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spans="3:24" ht="13" x14ac:dyDescent="0.15">
      <c r="C135" s="77"/>
      <c r="D135" s="78"/>
      <c r="E135" s="78"/>
      <c r="F135" s="79"/>
      <c r="G135" s="10"/>
      <c r="H135" s="10"/>
      <c r="I135" s="10"/>
      <c r="J135" s="1"/>
      <c r="K135" s="10"/>
      <c r="L135" s="1"/>
      <c r="M135" s="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spans="3:24" ht="13" x14ac:dyDescent="0.15">
      <c r="C136" s="77"/>
      <c r="D136" s="78"/>
      <c r="E136" s="78"/>
      <c r="F136" s="79"/>
      <c r="G136" s="10"/>
      <c r="H136" s="10"/>
      <c r="I136" s="10"/>
      <c r="J136" s="1"/>
      <c r="K136" s="10"/>
      <c r="L136" s="1"/>
      <c r="M136" s="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spans="3:24" ht="13" x14ac:dyDescent="0.15">
      <c r="C137" s="77"/>
      <c r="D137" s="78"/>
      <c r="E137" s="78"/>
      <c r="F137" s="79"/>
      <c r="G137" s="10"/>
      <c r="H137" s="10"/>
      <c r="I137" s="10"/>
      <c r="J137" s="1"/>
      <c r="K137" s="10"/>
      <c r="L137" s="1"/>
      <c r="M137" s="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spans="3:24" ht="13" x14ac:dyDescent="0.15">
      <c r="C138" s="77"/>
      <c r="D138" s="78"/>
      <c r="E138" s="78"/>
      <c r="F138" s="79"/>
      <c r="G138" s="10"/>
      <c r="H138" s="10"/>
      <c r="I138" s="10"/>
      <c r="J138" s="1"/>
      <c r="K138" s="10"/>
      <c r="L138" s="1"/>
      <c r="M138" s="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spans="3:24" ht="13" x14ac:dyDescent="0.15">
      <c r="C139" s="77"/>
      <c r="D139" s="78"/>
      <c r="E139" s="78"/>
      <c r="F139" s="79"/>
      <c r="G139" s="10"/>
      <c r="H139" s="10"/>
      <c r="I139" s="10"/>
      <c r="J139" s="1"/>
      <c r="K139" s="10"/>
      <c r="L139" s="1"/>
      <c r="M139" s="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spans="3:24" ht="13" x14ac:dyDescent="0.15">
      <c r="C140" s="77"/>
      <c r="D140" s="78"/>
      <c r="E140" s="78"/>
      <c r="F140" s="79"/>
      <c r="G140" s="10"/>
      <c r="H140" s="10"/>
      <c r="I140" s="10"/>
      <c r="J140" s="1"/>
      <c r="K140" s="10"/>
      <c r="L140" s="1"/>
      <c r="M140" s="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spans="3:24" ht="13" x14ac:dyDescent="0.15">
      <c r="C141" s="77"/>
      <c r="D141" s="78"/>
      <c r="E141" s="78"/>
      <c r="F141" s="79"/>
      <c r="G141" s="10"/>
      <c r="H141" s="10"/>
      <c r="I141" s="10"/>
      <c r="J141" s="1"/>
      <c r="K141" s="10"/>
      <c r="L141" s="1"/>
      <c r="M141" s="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spans="3:24" ht="13" x14ac:dyDescent="0.15">
      <c r="C142" s="77"/>
      <c r="D142" s="78"/>
      <c r="E142" s="78"/>
      <c r="F142" s="79"/>
      <c r="G142" s="10"/>
      <c r="H142" s="10"/>
      <c r="I142" s="10"/>
      <c r="J142" s="1"/>
      <c r="K142" s="10"/>
      <c r="L142" s="1"/>
      <c r="M142" s="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spans="3:24" ht="13" x14ac:dyDescent="0.15">
      <c r="C143" s="77"/>
      <c r="D143" s="78"/>
      <c r="E143" s="78"/>
      <c r="F143" s="79"/>
      <c r="G143" s="10"/>
      <c r="H143" s="10"/>
      <c r="I143" s="10"/>
      <c r="J143" s="1"/>
      <c r="K143" s="10"/>
      <c r="L143" s="1"/>
      <c r="M143" s="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spans="3:24" ht="13" x14ac:dyDescent="0.15">
      <c r="C144" s="77"/>
      <c r="D144" s="78"/>
      <c r="E144" s="78"/>
      <c r="F144" s="79"/>
      <c r="G144" s="10"/>
      <c r="H144" s="10"/>
      <c r="I144" s="10"/>
      <c r="J144" s="1"/>
      <c r="K144" s="10"/>
      <c r="L144" s="1"/>
      <c r="M144" s="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spans="3:24" ht="13" x14ac:dyDescent="0.15">
      <c r="C145" s="77"/>
      <c r="D145" s="78"/>
      <c r="E145" s="78"/>
      <c r="F145" s="79"/>
      <c r="G145" s="10"/>
      <c r="H145" s="10"/>
      <c r="I145" s="10"/>
      <c r="J145" s="1"/>
      <c r="K145" s="10"/>
      <c r="L145" s="1"/>
      <c r="M145" s="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spans="3:24" ht="13" x14ac:dyDescent="0.15">
      <c r="C146" s="77"/>
      <c r="D146" s="78"/>
      <c r="E146" s="78"/>
      <c r="F146" s="79"/>
      <c r="G146" s="10"/>
      <c r="H146" s="10"/>
      <c r="I146" s="10"/>
      <c r="J146" s="1"/>
      <c r="K146" s="10"/>
      <c r="L146" s="1"/>
      <c r="M146" s="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spans="3:24" ht="13" x14ac:dyDescent="0.15">
      <c r="C147" s="77"/>
      <c r="D147" s="78"/>
      <c r="E147" s="78"/>
      <c r="F147" s="79"/>
      <c r="G147" s="10"/>
      <c r="H147" s="10"/>
      <c r="I147" s="10"/>
      <c r="J147" s="1"/>
      <c r="K147" s="10"/>
      <c r="L147" s="1"/>
      <c r="M147" s="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spans="3:24" ht="13" x14ac:dyDescent="0.15">
      <c r="C148" s="77"/>
      <c r="D148" s="78"/>
      <c r="E148" s="78"/>
      <c r="F148" s="79"/>
      <c r="G148" s="10"/>
      <c r="H148" s="10"/>
      <c r="I148" s="10"/>
      <c r="J148" s="1"/>
      <c r="K148" s="10"/>
      <c r="L148" s="1"/>
      <c r="M148" s="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spans="3:24" ht="13" x14ac:dyDescent="0.15">
      <c r="C149" s="77"/>
      <c r="D149" s="78"/>
      <c r="E149" s="78"/>
      <c r="F149" s="79"/>
      <c r="G149" s="10"/>
      <c r="H149" s="10"/>
      <c r="I149" s="10"/>
      <c r="J149" s="1"/>
      <c r="K149" s="10"/>
      <c r="L149" s="1"/>
      <c r="M149" s="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spans="3:24" ht="13" x14ac:dyDescent="0.15">
      <c r="C150" s="77"/>
      <c r="D150" s="78"/>
      <c r="E150" s="78"/>
      <c r="F150" s="79"/>
      <c r="G150" s="10"/>
      <c r="H150" s="10"/>
      <c r="I150" s="10"/>
      <c r="J150" s="1"/>
      <c r="K150" s="10"/>
      <c r="L150" s="1"/>
      <c r="M150" s="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spans="3:24" ht="13" x14ac:dyDescent="0.15">
      <c r="C151" s="77"/>
      <c r="D151" s="78"/>
      <c r="E151" s="78"/>
      <c r="F151" s="79"/>
      <c r="G151" s="10"/>
      <c r="H151" s="10"/>
      <c r="I151" s="10"/>
      <c r="J151" s="1"/>
      <c r="K151" s="10"/>
      <c r="L151" s="1"/>
      <c r="M151" s="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spans="3:24" ht="13" x14ac:dyDescent="0.15">
      <c r="C152" s="77"/>
      <c r="D152" s="78"/>
      <c r="E152" s="78"/>
      <c r="F152" s="79"/>
      <c r="G152" s="10"/>
      <c r="H152" s="10"/>
      <c r="I152" s="10"/>
      <c r="J152" s="1"/>
      <c r="K152" s="10"/>
      <c r="L152" s="1"/>
      <c r="M152" s="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spans="3:24" ht="13" x14ac:dyDescent="0.15">
      <c r="C153" s="77"/>
      <c r="D153" s="78"/>
      <c r="E153" s="78"/>
      <c r="F153" s="79"/>
      <c r="G153" s="10"/>
      <c r="H153" s="10"/>
      <c r="I153" s="10"/>
      <c r="J153" s="1"/>
      <c r="K153" s="10"/>
      <c r="L153" s="1"/>
      <c r="M153" s="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spans="3:24" ht="13" x14ac:dyDescent="0.15">
      <c r="C154" s="77"/>
      <c r="D154" s="78"/>
      <c r="E154" s="78"/>
      <c r="F154" s="79"/>
      <c r="G154" s="10"/>
      <c r="H154" s="10"/>
      <c r="I154" s="10"/>
      <c r="J154" s="1"/>
      <c r="K154" s="10"/>
      <c r="L154" s="1"/>
      <c r="M154" s="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spans="3:24" ht="13" x14ac:dyDescent="0.15">
      <c r="C155" s="77"/>
      <c r="D155" s="78"/>
      <c r="E155" s="78"/>
      <c r="F155" s="79"/>
      <c r="G155" s="10"/>
      <c r="H155" s="10"/>
      <c r="I155" s="10"/>
      <c r="J155" s="1"/>
      <c r="K155" s="10"/>
      <c r="L155" s="1"/>
      <c r="M155" s="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spans="3:24" ht="13" x14ac:dyDescent="0.15">
      <c r="C156" s="77"/>
      <c r="D156" s="78"/>
      <c r="E156" s="78"/>
      <c r="F156" s="79"/>
      <c r="G156" s="10"/>
      <c r="H156" s="10"/>
      <c r="I156" s="10"/>
      <c r="J156" s="1"/>
      <c r="K156" s="10"/>
      <c r="L156" s="1"/>
      <c r="M156" s="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spans="3:24" ht="13" x14ac:dyDescent="0.15">
      <c r="C157" s="77"/>
      <c r="D157" s="78"/>
      <c r="E157" s="78"/>
      <c r="F157" s="79"/>
      <c r="G157" s="10"/>
      <c r="H157" s="10"/>
      <c r="I157" s="10"/>
      <c r="J157" s="1"/>
      <c r="K157" s="10"/>
      <c r="L157" s="1"/>
      <c r="M157" s="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spans="3:24" ht="13" x14ac:dyDescent="0.15">
      <c r="C158" s="77"/>
      <c r="D158" s="78"/>
      <c r="E158" s="78"/>
      <c r="F158" s="79"/>
      <c r="G158" s="10"/>
      <c r="H158" s="10"/>
      <c r="I158" s="10"/>
      <c r="J158" s="1"/>
      <c r="K158" s="10"/>
      <c r="L158" s="1"/>
      <c r="M158" s="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spans="3:24" ht="13" x14ac:dyDescent="0.15">
      <c r="C159" s="77"/>
      <c r="D159" s="78"/>
      <c r="E159" s="78"/>
      <c r="F159" s="79"/>
      <c r="G159" s="10"/>
      <c r="H159" s="10"/>
      <c r="I159" s="10"/>
      <c r="J159" s="1"/>
      <c r="K159" s="10"/>
      <c r="L159" s="1"/>
      <c r="M159" s="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3:24" ht="13" x14ac:dyDescent="0.15">
      <c r="C160" s="77"/>
      <c r="D160" s="78"/>
      <c r="E160" s="78"/>
      <c r="F160" s="79"/>
      <c r="G160" s="10"/>
      <c r="H160" s="10"/>
      <c r="I160" s="10"/>
      <c r="J160" s="1"/>
      <c r="K160" s="10"/>
      <c r="L160" s="1"/>
      <c r="M160" s="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spans="3:24" ht="13" x14ac:dyDescent="0.15">
      <c r="C161" s="77"/>
      <c r="D161" s="78"/>
      <c r="E161" s="78"/>
      <c r="F161" s="79"/>
      <c r="G161" s="10"/>
      <c r="H161" s="10"/>
      <c r="I161" s="10"/>
      <c r="J161" s="1"/>
      <c r="K161" s="10"/>
      <c r="L161" s="1"/>
      <c r="M161" s="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spans="3:24" ht="13" x14ac:dyDescent="0.15">
      <c r="C162" s="77"/>
      <c r="D162" s="78"/>
      <c r="E162" s="78"/>
      <c r="F162" s="79"/>
      <c r="G162" s="10"/>
      <c r="H162" s="10"/>
      <c r="I162" s="10"/>
      <c r="J162" s="1"/>
      <c r="K162" s="10"/>
      <c r="L162" s="1"/>
      <c r="M162" s="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spans="3:24" ht="13" x14ac:dyDescent="0.15">
      <c r="C163" s="77"/>
      <c r="D163" s="78"/>
      <c r="E163" s="78"/>
      <c r="F163" s="79"/>
      <c r="G163" s="10"/>
      <c r="H163" s="10"/>
      <c r="I163" s="10"/>
      <c r="J163" s="1"/>
      <c r="K163" s="10"/>
      <c r="L163" s="1"/>
      <c r="M163" s="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spans="3:24" ht="13" x14ac:dyDescent="0.15">
      <c r="C164" s="77"/>
      <c r="D164" s="78"/>
      <c r="E164" s="78"/>
      <c r="F164" s="79"/>
      <c r="G164" s="10"/>
      <c r="H164" s="10"/>
      <c r="I164" s="10"/>
      <c r="J164" s="1"/>
      <c r="K164" s="10"/>
      <c r="L164" s="1"/>
      <c r="M164" s="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spans="3:24" ht="13" x14ac:dyDescent="0.15">
      <c r="C165" s="77"/>
      <c r="D165" s="78"/>
      <c r="E165" s="78"/>
      <c r="F165" s="79"/>
      <c r="G165" s="10"/>
      <c r="H165" s="10"/>
      <c r="I165" s="10"/>
      <c r="J165" s="1"/>
      <c r="K165" s="10"/>
      <c r="L165" s="1"/>
      <c r="M165" s="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spans="3:24" ht="13" x14ac:dyDescent="0.15">
      <c r="C166" s="77"/>
      <c r="D166" s="78"/>
      <c r="E166" s="78"/>
      <c r="F166" s="79"/>
      <c r="G166" s="10"/>
      <c r="H166" s="10"/>
      <c r="I166" s="10"/>
      <c r="J166" s="1"/>
      <c r="K166" s="10"/>
      <c r="L166" s="1"/>
      <c r="M166" s="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spans="3:24" ht="13" x14ac:dyDescent="0.15">
      <c r="C167" s="77"/>
      <c r="D167" s="78"/>
      <c r="E167" s="78"/>
      <c r="F167" s="79"/>
      <c r="G167" s="10"/>
      <c r="H167" s="10"/>
      <c r="I167" s="10"/>
      <c r="J167" s="1"/>
      <c r="K167" s="10"/>
      <c r="L167" s="1"/>
      <c r="M167" s="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spans="3:24" ht="13" x14ac:dyDescent="0.15">
      <c r="C168" s="77"/>
      <c r="D168" s="78"/>
      <c r="E168" s="78"/>
      <c r="F168" s="79"/>
      <c r="G168" s="10"/>
      <c r="H168" s="10"/>
      <c r="I168" s="10"/>
      <c r="J168" s="1"/>
      <c r="K168" s="10"/>
      <c r="L168" s="1"/>
      <c r="M168" s="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spans="3:24" ht="13" x14ac:dyDescent="0.15">
      <c r="C169" s="77"/>
      <c r="D169" s="78"/>
      <c r="E169" s="78"/>
      <c r="F169" s="79"/>
      <c r="G169" s="10"/>
      <c r="H169" s="10"/>
      <c r="I169" s="10"/>
      <c r="J169" s="1"/>
      <c r="K169" s="10"/>
      <c r="L169" s="1"/>
      <c r="M169" s="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spans="3:24" ht="13" x14ac:dyDescent="0.15">
      <c r="C170" s="77"/>
      <c r="D170" s="78"/>
      <c r="E170" s="78"/>
      <c r="F170" s="79"/>
      <c r="G170" s="10"/>
      <c r="H170" s="10"/>
      <c r="I170" s="10"/>
      <c r="J170" s="1"/>
      <c r="K170" s="10"/>
      <c r="L170" s="1"/>
      <c r="M170" s="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spans="3:24" ht="13" x14ac:dyDescent="0.15">
      <c r="C171" s="77"/>
      <c r="D171" s="78"/>
      <c r="E171" s="78"/>
      <c r="F171" s="79"/>
      <c r="G171" s="10"/>
      <c r="H171" s="10"/>
      <c r="I171" s="10"/>
      <c r="J171" s="1"/>
      <c r="K171" s="10"/>
      <c r="L171" s="1"/>
      <c r="M171" s="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spans="3:24" ht="13" x14ac:dyDescent="0.15">
      <c r="C172" s="77"/>
      <c r="D172" s="78"/>
      <c r="E172" s="78"/>
      <c r="F172" s="79"/>
      <c r="G172" s="10"/>
      <c r="H172" s="10"/>
      <c r="I172" s="10"/>
      <c r="J172" s="1"/>
      <c r="K172" s="10"/>
      <c r="L172" s="1"/>
      <c r="M172" s="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spans="3:24" ht="13" x14ac:dyDescent="0.15">
      <c r="C173" s="77"/>
      <c r="D173" s="78"/>
      <c r="E173" s="78"/>
      <c r="F173" s="79"/>
      <c r="G173" s="10"/>
      <c r="H173" s="10"/>
      <c r="I173" s="10"/>
      <c r="J173" s="1"/>
      <c r="K173" s="10"/>
      <c r="L173" s="1"/>
      <c r="M173" s="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spans="3:24" ht="13" x14ac:dyDescent="0.15">
      <c r="C174" s="77"/>
      <c r="D174" s="78"/>
      <c r="E174" s="78"/>
      <c r="F174" s="79"/>
      <c r="G174" s="10"/>
      <c r="H174" s="10"/>
      <c r="I174" s="10"/>
      <c r="J174" s="1"/>
      <c r="K174" s="10"/>
      <c r="L174" s="1"/>
      <c r="M174" s="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spans="3:24" ht="13" x14ac:dyDescent="0.15">
      <c r="C175" s="77"/>
      <c r="D175" s="78"/>
      <c r="E175" s="78"/>
      <c r="F175" s="79"/>
      <c r="G175" s="10"/>
      <c r="H175" s="10"/>
      <c r="I175" s="10"/>
      <c r="J175" s="1"/>
      <c r="K175" s="10"/>
      <c r="L175" s="1"/>
      <c r="M175" s="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spans="3:24" ht="13" x14ac:dyDescent="0.15">
      <c r="C176" s="77"/>
      <c r="D176" s="78"/>
      <c r="E176" s="78"/>
      <c r="F176" s="79"/>
      <c r="G176" s="10"/>
      <c r="H176" s="10"/>
      <c r="I176" s="10"/>
      <c r="J176" s="1"/>
      <c r="K176" s="10"/>
      <c r="L176" s="1"/>
      <c r="M176" s="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spans="3:24" ht="13" x14ac:dyDescent="0.15">
      <c r="C177" s="77"/>
      <c r="D177" s="78"/>
      <c r="E177" s="78"/>
      <c r="F177" s="79"/>
      <c r="G177" s="10"/>
      <c r="H177" s="10"/>
      <c r="I177" s="10"/>
      <c r="J177" s="1"/>
      <c r="K177" s="10"/>
      <c r="L177" s="1"/>
      <c r="M177" s="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spans="3:24" ht="13" x14ac:dyDescent="0.15">
      <c r="C178" s="77"/>
      <c r="D178" s="78"/>
      <c r="E178" s="78"/>
      <c r="F178" s="79"/>
      <c r="G178" s="10"/>
      <c r="H178" s="10"/>
      <c r="I178" s="10"/>
      <c r="J178" s="1"/>
      <c r="K178" s="10"/>
      <c r="L178" s="1"/>
      <c r="M178" s="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spans="3:24" ht="13" x14ac:dyDescent="0.15">
      <c r="C179" s="77"/>
      <c r="D179" s="78"/>
      <c r="E179" s="78"/>
      <c r="F179" s="79"/>
      <c r="G179" s="10"/>
      <c r="H179" s="10"/>
      <c r="I179" s="10"/>
      <c r="J179" s="1"/>
      <c r="K179" s="10"/>
      <c r="L179" s="1"/>
      <c r="M179" s="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spans="3:24" ht="13" x14ac:dyDescent="0.15">
      <c r="C180" s="77"/>
      <c r="D180" s="78"/>
      <c r="E180" s="78"/>
      <c r="F180" s="79"/>
      <c r="G180" s="10"/>
      <c r="H180" s="10"/>
      <c r="I180" s="10"/>
      <c r="J180" s="1"/>
      <c r="K180" s="10"/>
      <c r="L180" s="1"/>
      <c r="M180" s="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spans="3:24" ht="13" x14ac:dyDescent="0.15">
      <c r="C181" s="77"/>
      <c r="D181" s="78"/>
      <c r="E181" s="78"/>
      <c r="F181" s="79"/>
      <c r="G181" s="10"/>
      <c r="H181" s="10"/>
      <c r="I181" s="10"/>
      <c r="J181" s="1"/>
      <c r="K181" s="10"/>
      <c r="L181" s="1"/>
      <c r="M181" s="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spans="3:24" ht="13" x14ac:dyDescent="0.15">
      <c r="C182" s="77"/>
      <c r="D182" s="78"/>
      <c r="E182" s="78"/>
      <c r="F182" s="79"/>
      <c r="G182" s="10"/>
      <c r="H182" s="10"/>
      <c r="I182" s="10"/>
      <c r="J182" s="1"/>
      <c r="K182" s="10"/>
      <c r="L182" s="1"/>
      <c r="M182" s="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spans="3:24" ht="13" x14ac:dyDescent="0.15">
      <c r="C183" s="77"/>
      <c r="D183" s="78"/>
      <c r="E183" s="78"/>
      <c r="F183" s="79"/>
      <c r="G183" s="10"/>
      <c r="H183" s="10"/>
      <c r="I183" s="10"/>
      <c r="J183" s="1"/>
      <c r="K183" s="10"/>
      <c r="L183" s="1"/>
      <c r="M183" s="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spans="3:24" ht="13" x14ac:dyDescent="0.15">
      <c r="C184" s="77"/>
      <c r="D184" s="78"/>
      <c r="E184" s="78"/>
      <c r="F184" s="79"/>
      <c r="G184" s="10"/>
      <c r="H184" s="10"/>
      <c r="I184" s="10"/>
      <c r="J184" s="1"/>
      <c r="K184" s="10"/>
      <c r="L184" s="1"/>
      <c r="M184" s="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spans="3:24" ht="13" x14ac:dyDescent="0.15">
      <c r="C185" s="77"/>
      <c r="D185" s="78"/>
      <c r="E185" s="78"/>
      <c r="F185" s="79"/>
      <c r="G185" s="10"/>
      <c r="H185" s="10"/>
      <c r="I185" s="10"/>
      <c r="J185" s="1"/>
      <c r="K185" s="10"/>
      <c r="L185" s="1"/>
      <c r="M185" s="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spans="3:24" ht="13" x14ac:dyDescent="0.15">
      <c r="C186" s="77"/>
      <c r="D186" s="78"/>
      <c r="E186" s="78"/>
      <c r="F186" s="79"/>
      <c r="G186" s="10"/>
      <c r="H186" s="10"/>
      <c r="I186" s="10"/>
      <c r="J186" s="1"/>
      <c r="K186" s="10"/>
      <c r="L186" s="1"/>
      <c r="M186" s="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spans="3:24" ht="13" x14ac:dyDescent="0.15">
      <c r="C187" s="77"/>
      <c r="D187" s="78"/>
      <c r="E187" s="78"/>
      <c r="F187" s="79"/>
      <c r="G187" s="10"/>
      <c r="H187" s="10"/>
      <c r="I187" s="10"/>
      <c r="J187" s="1"/>
      <c r="K187" s="10"/>
      <c r="L187" s="1"/>
      <c r="M187" s="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spans="3:24" ht="13" x14ac:dyDescent="0.15">
      <c r="C188" s="77"/>
      <c r="D188" s="78"/>
      <c r="E188" s="78"/>
      <c r="F188" s="79"/>
      <c r="G188" s="10"/>
      <c r="H188" s="10"/>
      <c r="I188" s="10"/>
      <c r="J188" s="1"/>
      <c r="K188" s="10"/>
      <c r="L188" s="1"/>
      <c r="M188" s="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spans="3:24" ht="13" x14ac:dyDescent="0.15">
      <c r="C189" s="77"/>
      <c r="D189" s="78"/>
      <c r="E189" s="78"/>
      <c r="F189" s="79"/>
      <c r="G189" s="10"/>
      <c r="H189" s="10"/>
      <c r="I189" s="10"/>
      <c r="J189" s="1"/>
      <c r="K189" s="10"/>
      <c r="L189" s="1"/>
      <c r="M189" s="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spans="3:24" ht="13" x14ac:dyDescent="0.15">
      <c r="C190" s="77"/>
      <c r="D190" s="78"/>
      <c r="E190" s="78"/>
      <c r="F190" s="79"/>
      <c r="G190" s="10"/>
      <c r="H190" s="10"/>
      <c r="I190" s="10"/>
      <c r="J190" s="1"/>
      <c r="K190" s="10"/>
      <c r="L190" s="1"/>
      <c r="M190" s="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spans="3:24" ht="13" x14ac:dyDescent="0.15">
      <c r="C191" s="77"/>
      <c r="D191" s="78"/>
      <c r="E191" s="78"/>
      <c r="F191" s="79"/>
      <c r="G191" s="10"/>
      <c r="H191" s="10"/>
      <c r="I191" s="10"/>
      <c r="J191" s="1"/>
      <c r="K191" s="10"/>
      <c r="L191" s="1"/>
      <c r="M191" s="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spans="3:24" ht="13" x14ac:dyDescent="0.15">
      <c r="C192" s="77"/>
      <c r="D192" s="78"/>
      <c r="E192" s="78"/>
      <c r="F192" s="79"/>
      <c r="G192" s="10"/>
      <c r="H192" s="10"/>
      <c r="I192" s="10"/>
      <c r="J192" s="1"/>
      <c r="K192" s="10"/>
      <c r="L192" s="1"/>
      <c r="M192" s="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spans="3:24" ht="13" x14ac:dyDescent="0.15">
      <c r="C193" s="77"/>
      <c r="D193" s="78"/>
      <c r="E193" s="78"/>
      <c r="F193" s="79"/>
      <c r="G193" s="10"/>
      <c r="H193" s="10"/>
      <c r="I193" s="10"/>
      <c r="J193" s="1"/>
      <c r="K193" s="10"/>
      <c r="L193" s="1"/>
      <c r="M193" s="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spans="3:24" ht="13" x14ac:dyDescent="0.15">
      <c r="C194" s="77"/>
      <c r="D194" s="78"/>
      <c r="E194" s="78"/>
      <c r="F194" s="79"/>
      <c r="G194" s="10"/>
      <c r="H194" s="10"/>
      <c r="I194" s="10"/>
      <c r="J194" s="1"/>
      <c r="K194" s="10"/>
      <c r="L194" s="1"/>
      <c r="M194" s="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spans="3:24" ht="13" x14ac:dyDescent="0.15">
      <c r="C195" s="77"/>
      <c r="D195" s="78"/>
      <c r="E195" s="78"/>
      <c r="F195" s="79"/>
      <c r="G195" s="10"/>
      <c r="H195" s="10"/>
      <c r="I195" s="10"/>
      <c r="J195" s="1"/>
      <c r="K195" s="10"/>
      <c r="L195" s="1"/>
      <c r="M195" s="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spans="3:24" ht="13" x14ac:dyDescent="0.15">
      <c r="C196" s="77"/>
      <c r="D196" s="78"/>
      <c r="E196" s="78"/>
      <c r="F196" s="79"/>
      <c r="G196" s="10"/>
      <c r="H196" s="10"/>
      <c r="I196" s="10"/>
      <c r="J196" s="1"/>
      <c r="K196" s="10"/>
      <c r="L196" s="1"/>
      <c r="M196" s="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spans="3:24" ht="13" x14ac:dyDescent="0.15">
      <c r="C197" s="77"/>
      <c r="D197" s="78"/>
      <c r="E197" s="78"/>
      <c r="F197" s="79"/>
      <c r="G197" s="10"/>
      <c r="H197" s="10"/>
      <c r="I197" s="10"/>
      <c r="J197" s="1"/>
      <c r="K197" s="10"/>
      <c r="L197" s="1"/>
      <c r="M197" s="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spans="3:24" ht="13" x14ac:dyDescent="0.15">
      <c r="C198" s="77"/>
      <c r="D198" s="78"/>
      <c r="E198" s="78"/>
      <c r="F198" s="79"/>
      <c r="G198" s="10"/>
      <c r="H198" s="10"/>
      <c r="I198" s="10"/>
      <c r="J198" s="1"/>
      <c r="K198" s="10"/>
      <c r="L198" s="1"/>
      <c r="M198" s="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spans="3:24" ht="13" x14ac:dyDescent="0.15">
      <c r="C199" s="77"/>
      <c r="D199" s="78"/>
      <c r="E199" s="78"/>
      <c r="F199" s="79"/>
      <c r="G199" s="10"/>
      <c r="H199" s="10"/>
      <c r="I199" s="10"/>
      <c r="J199" s="1"/>
      <c r="K199" s="10"/>
      <c r="L199" s="1"/>
      <c r="M199" s="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spans="3:24" ht="13" x14ac:dyDescent="0.15">
      <c r="C200" s="77"/>
      <c r="D200" s="78"/>
      <c r="E200" s="78"/>
      <c r="F200" s="79"/>
      <c r="G200" s="10"/>
      <c r="H200" s="10"/>
      <c r="I200" s="10"/>
      <c r="J200" s="1"/>
      <c r="K200" s="10"/>
      <c r="L200" s="1"/>
      <c r="M200" s="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spans="3:24" ht="13" x14ac:dyDescent="0.15">
      <c r="C201" s="77"/>
      <c r="D201" s="78"/>
      <c r="E201" s="78"/>
      <c r="F201" s="79"/>
      <c r="G201" s="10"/>
      <c r="H201" s="10"/>
      <c r="I201" s="10"/>
      <c r="J201" s="1"/>
      <c r="K201" s="10"/>
      <c r="L201" s="1"/>
      <c r="M201" s="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spans="3:24" ht="13" x14ac:dyDescent="0.15">
      <c r="C202" s="77"/>
      <c r="D202" s="78"/>
      <c r="E202" s="78"/>
      <c r="F202" s="79"/>
      <c r="G202" s="10"/>
      <c r="H202" s="10"/>
      <c r="I202" s="10"/>
      <c r="J202" s="1"/>
      <c r="K202" s="10"/>
      <c r="L202" s="1"/>
      <c r="M202" s="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spans="3:24" ht="13" x14ac:dyDescent="0.15">
      <c r="C203" s="77"/>
      <c r="D203" s="78"/>
      <c r="E203" s="78"/>
      <c r="F203" s="79"/>
      <c r="G203" s="10"/>
      <c r="H203" s="10"/>
      <c r="I203" s="10"/>
      <c r="J203" s="1"/>
      <c r="K203" s="10"/>
      <c r="L203" s="1"/>
      <c r="M203" s="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spans="3:24" ht="13" x14ac:dyDescent="0.15">
      <c r="C204" s="77"/>
      <c r="D204" s="78"/>
      <c r="E204" s="78"/>
      <c r="F204" s="79"/>
      <c r="G204" s="10"/>
      <c r="H204" s="10"/>
      <c r="I204" s="10"/>
      <c r="J204" s="1"/>
      <c r="K204" s="10"/>
      <c r="L204" s="1"/>
      <c r="M204" s="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spans="3:24" ht="13" x14ac:dyDescent="0.15">
      <c r="C205" s="77"/>
      <c r="D205" s="78"/>
      <c r="E205" s="78"/>
      <c r="F205" s="79"/>
      <c r="G205" s="10"/>
      <c r="H205" s="10"/>
      <c r="I205" s="10"/>
      <c r="J205" s="1"/>
      <c r="K205" s="10"/>
      <c r="L205" s="1"/>
      <c r="M205" s="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spans="3:24" ht="13" x14ac:dyDescent="0.15">
      <c r="C206" s="77"/>
      <c r="D206" s="78"/>
      <c r="E206" s="78"/>
      <c r="F206" s="79"/>
      <c r="G206" s="10"/>
      <c r="H206" s="10"/>
      <c r="I206" s="10"/>
      <c r="J206" s="1"/>
      <c r="K206" s="10"/>
      <c r="L206" s="1"/>
      <c r="M206" s="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spans="3:24" ht="13" x14ac:dyDescent="0.15">
      <c r="C207" s="77"/>
      <c r="D207" s="78"/>
      <c r="E207" s="78"/>
      <c r="F207" s="79"/>
      <c r="G207" s="10"/>
      <c r="H207" s="10"/>
      <c r="I207" s="10"/>
      <c r="J207" s="1"/>
      <c r="K207" s="10"/>
      <c r="L207" s="1"/>
      <c r="M207" s="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spans="3:24" ht="13" x14ac:dyDescent="0.15">
      <c r="C208" s="77"/>
      <c r="D208" s="78"/>
      <c r="E208" s="78"/>
      <c r="F208" s="79"/>
      <c r="G208" s="10"/>
      <c r="H208" s="10"/>
      <c r="I208" s="10"/>
      <c r="J208" s="1"/>
      <c r="K208" s="10"/>
      <c r="L208" s="1"/>
      <c r="M208" s="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spans="3:24" ht="13" x14ac:dyDescent="0.15">
      <c r="C209" s="77"/>
      <c r="D209" s="78"/>
      <c r="E209" s="78"/>
      <c r="F209" s="79"/>
      <c r="G209" s="10"/>
      <c r="H209" s="10"/>
      <c r="I209" s="10"/>
      <c r="J209" s="1"/>
      <c r="K209" s="10"/>
      <c r="L209" s="1"/>
      <c r="M209" s="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spans="3:24" ht="13" x14ac:dyDescent="0.15">
      <c r="C210" s="77"/>
      <c r="D210" s="78"/>
      <c r="E210" s="78"/>
      <c r="F210" s="79"/>
      <c r="G210" s="10"/>
      <c r="H210" s="10"/>
      <c r="I210" s="10"/>
      <c r="J210" s="1"/>
      <c r="K210" s="10"/>
      <c r="L210" s="1"/>
      <c r="M210" s="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spans="3:24" ht="13" x14ac:dyDescent="0.15">
      <c r="C211" s="77"/>
      <c r="D211" s="78"/>
      <c r="E211" s="78"/>
      <c r="F211" s="79"/>
      <c r="G211" s="10"/>
      <c r="H211" s="10"/>
      <c r="I211" s="10"/>
      <c r="J211" s="1"/>
      <c r="K211" s="10"/>
      <c r="L211" s="1"/>
      <c r="M211" s="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spans="3:24" ht="13" x14ac:dyDescent="0.15">
      <c r="C212" s="77"/>
      <c r="D212" s="78"/>
      <c r="E212" s="78"/>
      <c r="F212" s="79"/>
      <c r="G212" s="10"/>
      <c r="H212" s="10"/>
      <c r="I212" s="10"/>
      <c r="J212" s="1"/>
      <c r="K212" s="10"/>
      <c r="L212" s="1"/>
      <c r="M212" s="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spans="3:24" ht="13" x14ac:dyDescent="0.15">
      <c r="C213" s="77"/>
      <c r="D213" s="78"/>
      <c r="E213" s="78"/>
      <c r="F213" s="79"/>
      <c r="G213" s="10"/>
      <c r="H213" s="10"/>
      <c r="I213" s="10"/>
      <c r="J213" s="1"/>
      <c r="K213" s="10"/>
      <c r="L213" s="1"/>
      <c r="M213" s="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spans="3:24" ht="13" x14ac:dyDescent="0.15">
      <c r="C214" s="77"/>
      <c r="D214" s="78"/>
      <c r="E214" s="78"/>
      <c r="F214" s="79"/>
      <c r="G214" s="10"/>
      <c r="H214" s="10"/>
      <c r="I214" s="10"/>
      <c r="J214" s="1"/>
      <c r="K214" s="10"/>
      <c r="L214" s="1"/>
      <c r="M214" s="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spans="3:24" ht="13" x14ac:dyDescent="0.15">
      <c r="C215" s="77"/>
      <c r="D215" s="78"/>
      <c r="E215" s="78"/>
      <c r="F215" s="79"/>
      <c r="G215" s="10"/>
      <c r="H215" s="10"/>
      <c r="I215" s="10"/>
      <c r="J215" s="1"/>
      <c r="K215" s="10"/>
      <c r="L215" s="1"/>
      <c r="M215" s="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spans="3:24" ht="13" x14ac:dyDescent="0.15">
      <c r="C216" s="77"/>
      <c r="D216" s="78"/>
      <c r="E216" s="78"/>
      <c r="F216" s="79"/>
      <c r="G216" s="10"/>
      <c r="H216" s="10"/>
      <c r="I216" s="10"/>
      <c r="J216" s="1"/>
      <c r="K216" s="10"/>
      <c r="L216" s="1"/>
      <c r="M216" s="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spans="3:24" ht="13" x14ac:dyDescent="0.15">
      <c r="C217" s="77"/>
      <c r="D217" s="78"/>
      <c r="E217" s="78"/>
      <c r="F217" s="79"/>
      <c r="G217" s="10"/>
      <c r="H217" s="10"/>
      <c r="I217" s="10"/>
      <c r="J217" s="1"/>
      <c r="K217" s="10"/>
      <c r="L217" s="1"/>
      <c r="M217" s="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spans="3:24" ht="13" x14ac:dyDescent="0.15">
      <c r="C218" s="77"/>
      <c r="D218" s="78"/>
      <c r="E218" s="78"/>
      <c r="F218" s="79"/>
      <c r="G218" s="10"/>
      <c r="H218" s="10"/>
      <c r="I218" s="10"/>
      <c r="J218" s="1"/>
      <c r="K218" s="10"/>
      <c r="L218" s="1"/>
      <c r="M218" s="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spans="3:24" ht="13" x14ac:dyDescent="0.15">
      <c r="C219" s="77"/>
      <c r="D219" s="78"/>
      <c r="E219" s="78"/>
      <c r="F219" s="79"/>
      <c r="G219" s="10"/>
      <c r="H219" s="10"/>
      <c r="I219" s="10"/>
      <c r="J219" s="1"/>
      <c r="K219" s="10"/>
      <c r="L219" s="1"/>
      <c r="M219" s="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spans="3:24" ht="13" x14ac:dyDescent="0.15">
      <c r="C220" s="77"/>
      <c r="D220" s="78"/>
      <c r="E220" s="78"/>
      <c r="F220" s="79"/>
      <c r="G220" s="10"/>
      <c r="H220" s="10"/>
      <c r="I220" s="10"/>
      <c r="J220" s="1"/>
      <c r="K220" s="10"/>
      <c r="L220" s="1"/>
      <c r="M220" s="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spans="3:24" ht="13" x14ac:dyDescent="0.15">
      <c r="C221" s="77"/>
      <c r="D221" s="78"/>
      <c r="E221" s="78"/>
      <c r="F221" s="79"/>
      <c r="G221" s="10"/>
      <c r="H221" s="10"/>
      <c r="I221" s="10"/>
      <c r="J221" s="1"/>
      <c r="K221" s="10"/>
      <c r="L221" s="1"/>
      <c r="M221" s="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spans="3:24" ht="13" x14ac:dyDescent="0.15">
      <c r="C222" s="77"/>
      <c r="D222" s="78"/>
      <c r="E222" s="78"/>
      <c r="F222" s="79"/>
      <c r="G222" s="10"/>
      <c r="H222" s="10"/>
      <c r="I222" s="10"/>
      <c r="J222" s="1"/>
      <c r="K222" s="10"/>
      <c r="L222" s="1"/>
      <c r="M222" s="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spans="3:24" ht="13" x14ac:dyDescent="0.15">
      <c r="C223" s="77"/>
      <c r="D223" s="78"/>
      <c r="E223" s="78"/>
      <c r="F223" s="79"/>
      <c r="G223" s="10"/>
      <c r="H223" s="10"/>
      <c r="I223" s="10"/>
      <c r="J223" s="1"/>
      <c r="K223" s="10"/>
      <c r="L223" s="1"/>
      <c r="M223" s="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spans="3:24" ht="13" x14ac:dyDescent="0.15">
      <c r="C224" s="77"/>
      <c r="D224" s="78"/>
      <c r="E224" s="78"/>
      <c r="F224" s="79"/>
      <c r="G224" s="10"/>
      <c r="H224" s="10"/>
      <c r="I224" s="10"/>
      <c r="J224" s="1"/>
      <c r="K224" s="10"/>
      <c r="L224" s="1"/>
      <c r="M224" s="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spans="3:24" ht="13" x14ac:dyDescent="0.15">
      <c r="C225" s="77"/>
      <c r="D225" s="78"/>
      <c r="E225" s="78"/>
      <c r="F225" s="79"/>
      <c r="G225" s="10"/>
      <c r="H225" s="10"/>
      <c r="I225" s="10"/>
      <c r="J225" s="1"/>
      <c r="K225" s="10"/>
      <c r="L225" s="1"/>
      <c r="M225" s="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spans="3:24" ht="13" x14ac:dyDescent="0.15">
      <c r="C226" s="77"/>
      <c r="D226" s="78"/>
      <c r="E226" s="78"/>
      <c r="F226" s="79"/>
      <c r="G226" s="10"/>
      <c r="H226" s="10"/>
      <c r="I226" s="10"/>
      <c r="J226" s="1"/>
      <c r="K226" s="10"/>
      <c r="L226" s="1"/>
      <c r="M226" s="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spans="3:24" ht="13" x14ac:dyDescent="0.15">
      <c r="C227" s="77"/>
      <c r="D227" s="78"/>
      <c r="E227" s="78"/>
      <c r="F227" s="79"/>
      <c r="G227" s="10"/>
      <c r="H227" s="10"/>
      <c r="I227" s="10"/>
      <c r="J227" s="1"/>
      <c r="K227" s="10"/>
      <c r="L227" s="1"/>
      <c r="M227" s="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spans="3:24" ht="13" x14ac:dyDescent="0.15">
      <c r="C228" s="77"/>
      <c r="D228" s="78"/>
      <c r="E228" s="78"/>
      <c r="F228" s="79"/>
      <c r="G228" s="10"/>
      <c r="H228" s="10"/>
      <c r="I228" s="10"/>
      <c r="J228" s="1"/>
      <c r="K228" s="10"/>
      <c r="L228" s="1"/>
      <c r="M228" s="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spans="3:24" ht="13" x14ac:dyDescent="0.15">
      <c r="C229" s="77"/>
      <c r="D229" s="78"/>
      <c r="E229" s="78"/>
      <c r="F229" s="79"/>
      <c r="G229" s="10"/>
      <c r="H229" s="10"/>
      <c r="I229" s="10"/>
      <c r="J229" s="1"/>
      <c r="K229" s="10"/>
      <c r="L229" s="1"/>
      <c r="M229" s="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spans="3:24" ht="13" x14ac:dyDescent="0.15">
      <c r="C230" s="77"/>
      <c r="D230" s="78"/>
      <c r="E230" s="78"/>
      <c r="F230" s="79"/>
      <c r="G230" s="10"/>
      <c r="H230" s="10"/>
      <c r="I230" s="10"/>
      <c r="J230" s="1"/>
      <c r="K230" s="10"/>
      <c r="L230" s="1"/>
      <c r="M230" s="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spans="3:24" ht="13" x14ac:dyDescent="0.15">
      <c r="C231" s="77"/>
      <c r="D231" s="78"/>
      <c r="E231" s="78"/>
      <c r="F231" s="79"/>
      <c r="G231" s="10"/>
      <c r="H231" s="10"/>
      <c r="I231" s="10"/>
      <c r="J231" s="1"/>
      <c r="K231" s="10"/>
      <c r="L231" s="1"/>
      <c r="M231" s="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spans="3:24" ht="13" x14ac:dyDescent="0.15">
      <c r="C232" s="77"/>
      <c r="D232" s="78"/>
      <c r="E232" s="78"/>
      <c r="F232" s="79"/>
      <c r="G232" s="10"/>
      <c r="H232" s="10"/>
      <c r="I232" s="10"/>
      <c r="J232" s="1"/>
      <c r="K232" s="10"/>
      <c r="L232" s="1"/>
      <c r="M232" s="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spans="3:24" ht="13" x14ac:dyDescent="0.15">
      <c r="C233" s="77"/>
      <c r="D233" s="78"/>
      <c r="E233" s="78"/>
      <c r="F233" s="79"/>
      <c r="G233" s="10"/>
      <c r="H233" s="10"/>
      <c r="I233" s="10"/>
      <c r="J233" s="1"/>
      <c r="K233" s="10"/>
      <c r="L233" s="1"/>
      <c r="M233" s="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spans="3:24" ht="13" x14ac:dyDescent="0.15">
      <c r="C234" s="77"/>
      <c r="D234" s="78"/>
      <c r="E234" s="78"/>
      <c r="F234" s="79"/>
      <c r="G234" s="10"/>
      <c r="H234" s="10"/>
      <c r="I234" s="10"/>
      <c r="J234" s="1"/>
      <c r="K234" s="10"/>
      <c r="L234" s="1"/>
      <c r="M234" s="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spans="3:24" ht="13" x14ac:dyDescent="0.15">
      <c r="C235" s="77"/>
      <c r="D235" s="78"/>
      <c r="E235" s="78"/>
      <c r="F235" s="79"/>
      <c r="G235" s="10"/>
      <c r="H235" s="10"/>
      <c r="I235" s="10"/>
      <c r="J235" s="1"/>
      <c r="K235" s="10"/>
      <c r="L235" s="1"/>
      <c r="M235" s="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spans="3:24" ht="13" x14ac:dyDescent="0.15">
      <c r="C236" s="77"/>
      <c r="D236" s="78"/>
      <c r="E236" s="78"/>
      <c r="F236" s="79"/>
      <c r="G236" s="10"/>
      <c r="H236" s="10"/>
      <c r="I236" s="10"/>
      <c r="J236" s="1"/>
      <c r="K236" s="10"/>
      <c r="L236" s="1"/>
      <c r="M236" s="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spans="3:24" ht="13" x14ac:dyDescent="0.15">
      <c r="C237" s="77"/>
      <c r="D237" s="78"/>
      <c r="E237" s="78"/>
      <c r="F237" s="79"/>
      <c r="G237" s="10"/>
      <c r="H237" s="10"/>
      <c r="I237" s="10"/>
      <c r="J237" s="1"/>
      <c r="K237" s="10"/>
      <c r="L237" s="1"/>
      <c r="M237" s="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spans="3:24" ht="13" x14ac:dyDescent="0.15">
      <c r="C238" s="77"/>
      <c r="D238" s="78"/>
      <c r="E238" s="78"/>
      <c r="F238" s="79"/>
      <c r="G238" s="10"/>
      <c r="H238" s="10"/>
      <c r="I238" s="10"/>
      <c r="J238" s="1"/>
      <c r="K238" s="10"/>
      <c r="L238" s="1"/>
      <c r="M238" s="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spans="3:24" ht="13" x14ac:dyDescent="0.15">
      <c r="C239" s="77"/>
      <c r="D239" s="78"/>
      <c r="E239" s="78"/>
      <c r="F239" s="79"/>
      <c r="G239" s="10"/>
      <c r="H239" s="10"/>
      <c r="I239" s="10"/>
      <c r="J239" s="1"/>
      <c r="K239" s="10"/>
      <c r="L239" s="1"/>
      <c r="M239" s="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spans="3:24" ht="13" x14ac:dyDescent="0.15">
      <c r="C240" s="77"/>
      <c r="D240" s="78"/>
      <c r="E240" s="78"/>
      <c r="F240" s="79"/>
      <c r="G240" s="10"/>
      <c r="H240" s="10"/>
      <c r="I240" s="10"/>
      <c r="J240" s="1"/>
      <c r="K240" s="10"/>
      <c r="L240" s="1"/>
      <c r="M240" s="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spans="3:24" ht="13" x14ac:dyDescent="0.15">
      <c r="C241" s="77"/>
      <c r="D241" s="78"/>
      <c r="E241" s="78"/>
      <c r="F241" s="79"/>
      <c r="G241" s="10"/>
      <c r="H241" s="10"/>
      <c r="I241" s="10"/>
      <c r="J241" s="1"/>
      <c r="K241" s="10"/>
      <c r="L241" s="1"/>
      <c r="M241" s="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spans="3:24" ht="13" x14ac:dyDescent="0.15">
      <c r="C242" s="77"/>
      <c r="D242" s="78"/>
      <c r="E242" s="78"/>
      <c r="F242" s="79"/>
      <c r="G242" s="10"/>
      <c r="H242" s="10"/>
      <c r="I242" s="10"/>
      <c r="J242" s="1"/>
      <c r="K242" s="10"/>
      <c r="L242" s="1"/>
      <c r="M242" s="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spans="3:24" ht="13" x14ac:dyDescent="0.15">
      <c r="C243" s="77"/>
      <c r="D243" s="78"/>
      <c r="E243" s="78"/>
      <c r="F243" s="79"/>
      <c r="G243" s="10"/>
      <c r="H243" s="10"/>
      <c r="I243" s="10"/>
      <c r="J243" s="1"/>
      <c r="K243" s="10"/>
      <c r="L243" s="1"/>
      <c r="M243" s="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spans="3:24" ht="13" x14ac:dyDescent="0.15">
      <c r="C244" s="77"/>
      <c r="D244" s="78"/>
      <c r="E244" s="78"/>
      <c r="F244" s="79"/>
      <c r="G244" s="10"/>
      <c r="H244" s="10"/>
      <c r="I244" s="10"/>
      <c r="J244" s="1"/>
      <c r="K244" s="10"/>
      <c r="L244" s="1"/>
      <c r="M244" s="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spans="3:24" ht="13" x14ac:dyDescent="0.15">
      <c r="C245" s="77"/>
      <c r="D245" s="78"/>
      <c r="E245" s="78"/>
      <c r="F245" s="79"/>
      <c r="G245" s="10"/>
      <c r="H245" s="10"/>
      <c r="I245" s="10"/>
      <c r="J245" s="1"/>
      <c r="K245" s="10"/>
      <c r="L245" s="1"/>
      <c r="M245" s="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spans="3:24" ht="13" x14ac:dyDescent="0.15">
      <c r="C246" s="77"/>
      <c r="D246" s="78"/>
      <c r="E246" s="78"/>
      <c r="F246" s="79"/>
      <c r="G246" s="10"/>
      <c r="H246" s="10"/>
      <c r="I246" s="10"/>
      <c r="J246" s="1"/>
      <c r="K246" s="10"/>
      <c r="L246" s="1"/>
      <c r="M246" s="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spans="3:24" ht="13" x14ac:dyDescent="0.15">
      <c r="C247" s="77"/>
      <c r="D247" s="78"/>
      <c r="E247" s="78"/>
      <c r="F247" s="79"/>
      <c r="G247" s="10"/>
      <c r="H247" s="10"/>
      <c r="I247" s="10"/>
      <c r="J247" s="1"/>
      <c r="K247" s="10"/>
      <c r="L247" s="1"/>
      <c r="M247" s="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spans="3:24" ht="13" x14ac:dyDescent="0.15">
      <c r="C248" s="77"/>
      <c r="D248" s="78"/>
      <c r="E248" s="78"/>
      <c r="F248" s="79"/>
      <c r="G248" s="10"/>
      <c r="H248" s="10"/>
      <c r="I248" s="10"/>
      <c r="J248" s="1"/>
      <c r="K248" s="10"/>
      <c r="L248" s="1"/>
      <c r="M248" s="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spans="3:24" ht="13" x14ac:dyDescent="0.15">
      <c r="C249" s="77"/>
      <c r="D249" s="78"/>
      <c r="E249" s="78"/>
      <c r="F249" s="79"/>
      <c r="G249" s="10"/>
      <c r="H249" s="10"/>
      <c r="I249" s="10"/>
      <c r="J249" s="1"/>
      <c r="K249" s="10"/>
      <c r="L249" s="1"/>
      <c r="M249" s="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spans="3:24" ht="13" x14ac:dyDescent="0.15">
      <c r="C250" s="77"/>
      <c r="D250" s="78"/>
      <c r="E250" s="78"/>
      <c r="F250" s="79"/>
      <c r="G250" s="10"/>
      <c r="H250" s="10"/>
      <c r="I250" s="10"/>
      <c r="J250" s="1"/>
      <c r="K250" s="10"/>
      <c r="L250" s="1"/>
      <c r="M250" s="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spans="3:24" ht="13" x14ac:dyDescent="0.15">
      <c r="C251" s="77"/>
      <c r="D251" s="78"/>
      <c r="E251" s="78"/>
      <c r="F251" s="79"/>
      <c r="G251" s="10"/>
      <c r="H251" s="10"/>
      <c r="I251" s="10"/>
      <c r="J251" s="1"/>
      <c r="K251" s="10"/>
      <c r="L251" s="1"/>
      <c r="M251" s="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spans="3:24" ht="13" x14ac:dyDescent="0.15">
      <c r="C252" s="77"/>
      <c r="D252" s="78"/>
      <c r="E252" s="78"/>
      <c r="F252" s="79"/>
      <c r="G252" s="10"/>
      <c r="H252" s="10"/>
      <c r="I252" s="10"/>
      <c r="J252" s="1"/>
      <c r="K252" s="10"/>
      <c r="L252" s="1"/>
      <c r="M252" s="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spans="3:24" ht="13" x14ac:dyDescent="0.15">
      <c r="C253" s="77"/>
      <c r="D253" s="78"/>
      <c r="E253" s="78"/>
      <c r="F253" s="79"/>
      <c r="G253" s="10"/>
      <c r="H253" s="10"/>
      <c r="I253" s="10"/>
      <c r="J253" s="1"/>
      <c r="K253" s="10"/>
      <c r="L253" s="1"/>
      <c r="M253" s="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spans="3:24" ht="13" x14ac:dyDescent="0.15">
      <c r="C254" s="77"/>
      <c r="D254" s="78"/>
      <c r="E254" s="78"/>
      <c r="F254" s="79"/>
      <c r="G254" s="10"/>
      <c r="H254" s="10"/>
      <c r="I254" s="10"/>
      <c r="J254" s="1"/>
      <c r="K254" s="10"/>
      <c r="L254" s="1"/>
      <c r="M254" s="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spans="3:24" ht="13" x14ac:dyDescent="0.15">
      <c r="C255" s="77"/>
      <c r="D255" s="78"/>
      <c r="E255" s="78"/>
      <c r="F255" s="79"/>
      <c r="G255" s="10"/>
      <c r="H255" s="10"/>
      <c r="I255" s="10"/>
      <c r="J255" s="1"/>
      <c r="K255" s="10"/>
      <c r="L255" s="1"/>
      <c r="M255" s="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spans="3:24" ht="13" x14ac:dyDescent="0.15">
      <c r="C256" s="77"/>
      <c r="D256" s="78"/>
      <c r="E256" s="78"/>
      <c r="F256" s="79"/>
      <c r="G256" s="10"/>
      <c r="H256" s="10"/>
      <c r="I256" s="10"/>
      <c r="J256" s="1"/>
      <c r="K256" s="10"/>
      <c r="L256" s="1"/>
      <c r="M256" s="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spans="3:24" ht="13" x14ac:dyDescent="0.15">
      <c r="C257" s="77"/>
      <c r="D257" s="78"/>
      <c r="E257" s="78"/>
      <c r="F257" s="79"/>
      <c r="G257" s="10"/>
      <c r="H257" s="10"/>
      <c r="I257" s="10"/>
      <c r="J257" s="1"/>
      <c r="K257" s="10"/>
      <c r="L257" s="1"/>
      <c r="M257" s="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spans="3:24" ht="13" x14ac:dyDescent="0.15">
      <c r="C258" s="77"/>
      <c r="D258" s="78"/>
      <c r="E258" s="78"/>
      <c r="F258" s="79"/>
      <c r="G258" s="10"/>
      <c r="H258" s="10"/>
      <c r="I258" s="10"/>
      <c r="J258" s="1"/>
      <c r="K258" s="10"/>
      <c r="L258" s="1"/>
      <c r="M258" s="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spans="3:24" ht="13" x14ac:dyDescent="0.15">
      <c r="C259" s="77"/>
      <c r="D259" s="78"/>
      <c r="E259" s="78"/>
      <c r="F259" s="79"/>
      <c r="G259" s="10"/>
      <c r="H259" s="10"/>
      <c r="I259" s="10"/>
      <c r="J259" s="1"/>
      <c r="K259" s="10"/>
      <c r="L259" s="1"/>
      <c r="M259" s="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spans="3:24" ht="13" x14ac:dyDescent="0.15">
      <c r="C260" s="77"/>
      <c r="D260" s="78"/>
      <c r="E260" s="78"/>
      <c r="F260" s="79"/>
      <c r="G260" s="10"/>
      <c r="H260" s="10"/>
      <c r="I260" s="10"/>
      <c r="J260" s="1"/>
      <c r="K260" s="10"/>
      <c r="L260" s="1"/>
      <c r="M260" s="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spans="3:24" ht="13" x14ac:dyDescent="0.15">
      <c r="C261" s="77"/>
      <c r="D261" s="78"/>
      <c r="E261" s="78"/>
      <c r="F261" s="79"/>
      <c r="G261" s="10"/>
      <c r="H261" s="10"/>
      <c r="I261" s="10"/>
      <c r="J261" s="1"/>
      <c r="K261" s="10"/>
      <c r="L261" s="1"/>
      <c r="M261" s="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spans="3:24" ht="13" x14ac:dyDescent="0.15">
      <c r="C262" s="77"/>
      <c r="D262" s="78"/>
      <c r="E262" s="78"/>
      <c r="F262" s="79"/>
      <c r="G262" s="10"/>
      <c r="H262" s="10"/>
      <c r="I262" s="10"/>
      <c r="J262" s="1"/>
      <c r="K262" s="10"/>
      <c r="L262" s="1"/>
      <c r="M262" s="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spans="3:24" ht="13" x14ac:dyDescent="0.15">
      <c r="C263" s="77"/>
      <c r="D263" s="78"/>
      <c r="E263" s="78"/>
      <c r="F263" s="79"/>
      <c r="G263" s="10"/>
      <c r="H263" s="10"/>
      <c r="I263" s="10"/>
      <c r="J263" s="1"/>
      <c r="K263" s="10"/>
      <c r="L263" s="1"/>
      <c r="M263" s="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spans="3:24" ht="13" x14ac:dyDescent="0.15">
      <c r="C264" s="77"/>
      <c r="D264" s="78"/>
      <c r="E264" s="78"/>
      <c r="F264" s="79"/>
      <c r="G264" s="10"/>
      <c r="H264" s="10"/>
      <c r="I264" s="10"/>
      <c r="J264" s="1"/>
      <c r="K264" s="10"/>
      <c r="L264" s="1"/>
      <c r="M264" s="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spans="3:24" ht="13" x14ac:dyDescent="0.15">
      <c r="C265" s="77"/>
      <c r="D265" s="78"/>
      <c r="E265" s="78"/>
      <c r="F265" s="79"/>
      <c r="G265" s="10"/>
      <c r="H265" s="10"/>
      <c r="I265" s="10"/>
      <c r="J265" s="1"/>
      <c r="K265" s="10"/>
      <c r="L265" s="1"/>
      <c r="M265" s="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spans="3:24" ht="13" x14ac:dyDescent="0.15">
      <c r="C266" s="77"/>
      <c r="D266" s="78"/>
      <c r="E266" s="78"/>
      <c r="F266" s="79"/>
      <c r="G266" s="10"/>
      <c r="H266" s="10"/>
      <c r="I266" s="10"/>
      <c r="J266" s="1"/>
      <c r="K266" s="10"/>
      <c r="L266" s="1"/>
      <c r="M266" s="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spans="3:24" ht="13" x14ac:dyDescent="0.15">
      <c r="C267" s="77"/>
      <c r="D267" s="78"/>
      <c r="E267" s="78"/>
      <c r="F267" s="79"/>
      <c r="G267" s="10"/>
      <c r="H267" s="10"/>
      <c r="I267" s="10"/>
      <c r="J267" s="1"/>
      <c r="K267" s="10"/>
      <c r="L267" s="1"/>
      <c r="M267" s="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spans="3:24" ht="13" x14ac:dyDescent="0.15">
      <c r="C268" s="77"/>
      <c r="D268" s="78"/>
      <c r="E268" s="78"/>
      <c r="F268" s="79"/>
      <c r="G268" s="10"/>
      <c r="H268" s="10"/>
      <c r="I268" s="10"/>
      <c r="J268" s="1"/>
      <c r="K268" s="10"/>
      <c r="L268" s="1"/>
      <c r="M268" s="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spans="3:24" ht="13" x14ac:dyDescent="0.15">
      <c r="C269" s="77"/>
      <c r="D269" s="78"/>
      <c r="E269" s="78"/>
      <c r="F269" s="79"/>
      <c r="G269" s="10"/>
      <c r="H269" s="10"/>
      <c r="I269" s="10"/>
      <c r="J269" s="1"/>
      <c r="K269" s="10"/>
      <c r="L269" s="1"/>
      <c r="M269" s="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spans="3:24" ht="13" x14ac:dyDescent="0.15">
      <c r="C270" s="77"/>
      <c r="D270" s="78"/>
      <c r="E270" s="78"/>
      <c r="F270" s="79"/>
      <c r="G270" s="10"/>
      <c r="H270" s="10"/>
      <c r="I270" s="10"/>
      <c r="J270" s="1"/>
      <c r="K270" s="10"/>
      <c r="L270" s="1"/>
      <c r="M270" s="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spans="3:24" ht="13" x14ac:dyDescent="0.15">
      <c r="C271" s="77"/>
      <c r="D271" s="78"/>
      <c r="E271" s="78"/>
      <c r="F271" s="79"/>
      <c r="G271" s="10"/>
      <c r="H271" s="10"/>
      <c r="I271" s="10"/>
      <c r="J271" s="1"/>
      <c r="K271" s="10"/>
      <c r="L271" s="1"/>
      <c r="M271" s="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spans="3:24" ht="13" x14ac:dyDescent="0.15">
      <c r="C272" s="77"/>
      <c r="D272" s="78"/>
      <c r="E272" s="78"/>
      <c r="F272" s="79"/>
      <c r="G272" s="10"/>
      <c r="H272" s="10"/>
      <c r="I272" s="10"/>
      <c r="J272" s="1"/>
      <c r="K272" s="10"/>
      <c r="L272" s="1"/>
      <c r="M272" s="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spans="3:24" ht="13" x14ac:dyDescent="0.15">
      <c r="C273" s="77"/>
      <c r="D273" s="78"/>
      <c r="E273" s="78"/>
      <c r="F273" s="79"/>
      <c r="G273" s="10"/>
      <c r="H273" s="10"/>
      <c r="I273" s="10"/>
      <c r="J273" s="1"/>
      <c r="K273" s="10"/>
      <c r="L273" s="1"/>
      <c r="M273" s="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spans="3:24" ht="13" x14ac:dyDescent="0.15">
      <c r="C274" s="77"/>
      <c r="D274" s="78"/>
      <c r="E274" s="78"/>
      <c r="F274" s="79"/>
      <c r="G274" s="10"/>
      <c r="H274" s="10"/>
      <c r="I274" s="10"/>
      <c r="J274" s="1"/>
      <c r="K274" s="10"/>
      <c r="L274" s="1"/>
      <c r="M274" s="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spans="3:24" ht="13" x14ac:dyDescent="0.15">
      <c r="C275" s="77"/>
      <c r="D275" s="78"/>
      <c r="E275" s="78"/>
      <c r="F275" s="79"/>
      <c r="G275" s="10"/>
      <c r="H275" s="10"/>
      <c r="I275" s="10"/>
      <c r="J275" s="1"/>
      <c r="K275" s="10"/>
      <c r="L275" s="1"/>
      <c r="M275" s="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spans="3:24" ht="13" x14ac:dyDescent="0.15">
      <c r="C276" s="77"/>
      <c r="D276" s="78"/>
      <c r="E276" s="78"/>
      <c r="F276" s="79"/>
      <c r="G276" s="10"/>
      <c r="H276" s="10"/>
      <c r="I276" s="10"/>
      <c r="J276" s="1"/>
      <c r="K276" s="10"/>
      <c r="L276" s="1"/>
      <c r="M276" s="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spans="3:24" ht="13" x14ac:dyDescent="0.15">
      <c r="C277" s="77"/>
      <c r="D277" s="78"/>
      <c r="E277" s="78"/>
      <c r="F277" s="79"/>
      <c r="G277" s="10"/>
      <c r="H277" s="10"/>
      <c r="I277" s="10"/>
      <c r="J277" s="1"/>
      <c r="K277" s="10"/>
      <c r="L277" s="1"/>
      <c r="M277" s="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spans="3:24" ht="13" x14ac:dyDescent="0.15">
      <c r="C278" s="77"/>
      <c r="D278" s="78"/>
      <c r="E278" s="78"/>
      <c r="F278" s="79"/>
      <c r="G278" s="10"/>
      <c r="H278" s="10"/>
      <c r="I278" s="10"/>
      <c r="J278" s="1"/>
      <c r="K278" s="10"/>
      <c r="L278" s="1"/>
      <c r="M278" s="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spans="3:24" ht="13" x14ac:dyDescent="0.15">
      <c r="C279" s="77"/>
      <c r="D279" s="78"/>
      <c r="E279" s="78"/>
      <c r="F279" s="79"/>
      <c r="G279" s="10"/>
      <c r="H279" s="10"/>
      <c r="I279" s="10"/>
      <c r="J279" s="1"/>
      <c r="K279" s="10"/>
      <c r="L279" s="1"/>
      <c r="M279" s="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spans="3:24" ht="13" x14ac:dyDescent="0.15">
      <c r="C280" s="77"/>
      <c r="D280" s="78"/>
      <c r="E280" s="78"/>
      <c r="F280" s="79"/>
      <c r="G280" s="10"/>
      <c r="H280" s="10"/>
      <c r="I280" s="10"/>
      <c r="J280" s="1"/>
      <c r="K280" s="10"/>
      <c r="L280" s="1"/>
      <c r="M280" s="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spans="3:24" ht="13" x14ac:dyDescent="0.15">
      <c r="C281" s="77"/>
      <c r="D281" s="78"/>
      <c r="E281" s="78"/>
      <c r="F281" s="79"/>
      <c r="G281" s="10"/>
      <c r="H281" s="10"/>
      <c r="I281" s="10"/>
      <c r="J281" s="1"/>
      <c r="K281" s="10"/>
      <c r="L281" s="1"/>
      <c r="M281" s="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spans="3:24" ht="13" x14ac:dyDescent="0.15">
      <c r="C282" s="77"/>
      <c r="D282" s="78"/>
      <c r="E282" s="78"/>
      <c r="F282" s="79"/>
      <c r="G282" s="10"/>
      <c r="H282" s="10"/>
      <c r="I282" s="10"/>
      <c r="J282" s="1"/>
      <c r="K282" s="10"/>
      <c r="L282" s="1"/>
      <c r="M282" s="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spans="3:24" ht="13" x14ac:dyDescent="0.15">
      <c r="C283" s="77"/>
      <c r="D283" s="78"/>
      <c r="E283" s="78"/>
      <c r="F283" s="79"/>
      <c r="G283" s="10"/>
      <c r="H283" s="10"/>
      <c r="I283" s="10"/>
      <c r="J283" s="1"/>
      <c r="K283" s="10"/>
      <c r="L283" s="1"/>
      <c r="M283" s="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spans="3:24" ht="13" x14ac:dyDescent="0.15">
      <c r="C284" s="77"/>
      <c r="D284" s="78"/>
      <c r="E284" s="78"/>
      <c r="F284" s="79"/>
      <c r="G284" s="10"/>
      <c r="H284" s="10"/>
      <c r="I284" s="10"/>
      <c r="J284" s="1"/>
      <c r="K284" s="10"/>
      <c r="L284" s="1"/>
      <c r="M284" s="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spans="3:24" ht="13" x14ac:dyDescent="0.15">
      <c r="C285" s="77"/>
      <c r="D285" s="78"/>
      <c r="E285" s="78"/>
      <c r="F285" s="79"/>
      <c r="G285" s="10"/>
      <c r="H285" s="10"/>
      <c r="I285" s="10"/>
      <c r="J285" s="1"/>
      <c r="K285" s="10"/>
      <c r="L285" s="1"/>
      <c r="M285" s="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spans="3:24" ht="13" x14ac:dyDescent="0.15">
      <c r="C286" s="77"/>
      <c r="D286" s="78"/>
      <c r="E286" s="78"/>
      <c r="F286" s="79"/>
      <c r="G286" s="10"/>
      <c r="H286" s="10"/>
      <c r="I286" s="10"/>
      <c r="J286" s="1"/>
      <c r="K286" s="10"/>
      <c r="L286" s="1"/>
      <c r="M286" s="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spans="3:24" ht="13" x14ac:dyDescent="0.15">
      <c r="C287" s="77"/>
      <c r="D287" s="78"/>
      <c r="E287" s="78"/>
      <c r="F287" s="79"/>
      <c r="G287" s="10"/>
      <c r="H287" s="10"/>
      <c r="I287" s="10"/>
      <c r="J287" s="1"/>
      <c r="K287" s="10"/>
      <c r="L287" s="1"/>
      <c r="M287" s="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spans="3:24" ht="13" x14ac:dyDescent="0.15">
      <c r="C288" s="77"/>
      <c r="D288" s="78"/>
      <c r="E288" s="78"/>
      <c r="F288" s="79"/>
      <c r="G288" s="10"/>
      <c r="H288" s="10"/>
      <c r="I288" s="10"/>
      <c r="J288" s="1"/>
      <c r="K288" s="10"/>
      <c r="L288" s="1"/>
      <c r="M288" s="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spans="3:24" ht="13" x14ac:dyDescent="0.15">
      <c r="C289" s="77"/>
      <c r="D289" s="78"/>
      <c r="E289" s="78"/>
      <c r="F289" s="79"/>
      <c r="G289" s="10"/>
      <c r="H289" s="10"/>
      <c r="I289" s="10"/>
      <c r="J289" s="1"/>
      <c r="K289" s="10"/>
      <c r="L289" s="1"/>
      <c r="M289" s="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spans="3:24" ht="13" x14ac:dyDescent="0.15">
      <c r="C290" s="77"/>
      <c r="D290" s="78"/>
      <c r="E290" s="78"/>
      <c r="F290" s="79"/>
      <c r="G290" s="10"/>
      <c r="H290" s="10"/>
      <c r="I290" s="10"/>
      <c r="J290" s="1"/>
      <c r="K290" s="10"/>
      <c r="L290" s="1"/>
      <c r="M290" s="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spans="3:24" ht="13" x14ac:dyDescent="0.15">
      <c r="C291" s="77"/>
      <c r="D291" s="78"/>
      <c r="E291" s="78"/>
      <c r="F291" s="79"/>
      <c r="G291" s="10"/>
      <c r="H291" s="10"/>
      <c r="I291" s="10"/>
      <c r="J291" s="1"/>
      <c r="K291" s="10"/>
      <c r="L291" s="1"/>
      <c r="M291" s="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spans="3:24" ht="13" x14ac:dyDescent="0.15">
      <c r="C292" s="77"/>
      <c r="D292" s="78"/>
      <c r="E292" s="78"/>
      <c r="F292" s="79"/>
      <c r="G292" s="10"/>
      <c r="H292" s="10"/>
      <c r="I292" s="10"/>
      <c r="J292" s="1"/>
      <c r="K292" s="10"/>
      <c r="L292" s="1"/>
      <c r="M292" s="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spans="3:24" ht="13" x14ac:dyDescent="0.15">
      <c r="C293" s="77"/>
      <c r="D293" s="78"/>
      <c r="E293" s="78"/>
      <c r="F293" s="79"/>
      <c r="G293" s="10"/>
      <c r="H293" s="10"/>
      <c r="I293" s="10"/>
      <c r="J293" s="1"/>
      <c r="K293" s="10"/>
      <c r="L293" s="1"/>
      <c r="M293" s="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spans="3:24" ht="13" x14ac:dyDescent="0.15">
      <c r="C294" s="77"/>
      <c r="D294" s="78"/>
      <c r="E294" s="78"/>
      <c r="F294" s="79"/>
      <c r="G294" s="10"/>
      <c r="H294" s="10"/>
      <c r="I294" s="10"/>
      <c r="J294" s="1"/>
      <c r="K294" s="10"/>
      <c r="L294" s="1"/>
      <c r="M294" s="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spans="3:24" ht="13" x14ac:dyDescent="0.15">
      <c r="C295" s="77"/>
      <c r="D295" s="78"/>
      <c r="E295" s="78"/>
      <c r="F295" s="79"/>
      <c r="G295" s="10"/>
      <c r="H295" s="10"/>
      <c r="I295" s="10"/>
      <c r="J295" s="1"/>
      <c r="K295" s="10"/>
      <c r="L295" s="1"/>
      <c r="M295" s="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spans="3:24" ht="13" x14ac:dyDescent="0.15">
      <c r="C296" s="77"/>
      <c r="D296" s="78"/>
      <c r="E296" s="78"/>
      <c r="F296" s="79"/>
      <c r="G296" s="10"/>
      <c r="H296" s="10"/>
      <c r="I296" s="10"/>
      <c r="J296" s="1"/>
      <c r="K296" s="10"/>
      <c r="L296" s="1"/>
      <c r="M296" s="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spans="3:24" ht="13" x14ac:dyDescent="0.15">
      <c r="C297" s="77"/>
      <c r="D297" s="78"/>
      <c r="E297" s="78"/>
      <c r="F297" s="79"/>
      <c r="G297" s="10"/>
      <c r="H297" s="10"/>
      <c r="I297" s="10"/>
      <c r="J297" s="1"/>
      <c r="K297" s="10"/>
      <c r="L297" s="1"/>
      <c r="M297" s="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spans="3:24" ht="13" x14ac:dyDescent="0.15">
      <c r="C298" s="77"/>
      <c r="D298" s="78"/>
      <c r="E298" s="78"/>
      <c r="F298" s="79"/>
      <c r="G298" s="10"/>
      <c r="H298" s="10"/>
      <c r="I298" s="10"/>
      <c r="J298" s="1"/>
      <c r="K298" s="10"/>
      <c r="L298" s="1"/>
      <c r="M298" s="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spans="3:24" ht="13" x14ac:dyDescent="0.15">
      <c r="C299" s="77"/>
      <c r="D299" s="78"/>
      <c r="E299" s="78"/>
      <c r="F299" s="79"/>
      <c r="G299" s="10"/>
      <c r="H299" s="10"/>
      <c r="I299" s="10"/>
      <c r="J299" s="1"/>
      <c r="K299" s="10"/>
      <c r="L299" s="1"/>
      <c r="M299" s="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spans="3:24" ht="13" x14ac:dyDescent="0.15">
      <c r="C300" s="77"/>
      <c r="D300" s="78"/>
      <c r="E300" s="78"/>
      <c r="F300" s="79"/>
      <c r="G300" s="10"/>
      <c r="H300" s="10"/>
      <c r="I300" s="10"/>
      <c r="J300" s="1"/>
      <c r="K300" s="10"/>
      <c r="L300" s="1"/>
      <c r="M300" s="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spans="3:24" ht="13" x14ac:dyDescent="0.15">
      <c r="C301" s="77"/>
      <c r="D301" s="78"/>
      <c r="E301" s="78"/>
      <c r="F301" s="79"/>
      <c r="G301" s="10"/>
      <c r="H301" s="10"/>
      <c r="I301" s="10"/>
      <c r="J301" s="1"/>
      <c r="K301" s="10"/>
      <c r="L301" s="1"/>
      <c r="M301" s="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spans="3:24" ht="13" x14ac:dyDescent="0.15">
      <c r="C302" s="77"/>
      <c r="D302" s="78"/>
      <c r="E302" s="78"/>
      <c r="F302" s="79"/>
      <c r="G302" s="10"/>
      <c r="H302" s="10"/>
      <c r="I302" s="10"/>
      <c r="J302" s="1"/>
      <c r="K302" s="10"/>
      <c r="L302" s="1"/>
      <c r="M302" s="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spans="3:24" ht="13" x14ac:dyDescent="0.15">
      <c r="C303" s="77"/>
      <c r="D303" s="78"/>
      <c r="E303" s="78"/>
      <c r="F303" s="79"/>
      <c r="G303" s="10"/>
      <c r="H303" s="10"/>
      <c r="I303" s="10"/>
      <c r="J303" s="1"/>
      <c r="K303" s="10"/>
      <c r="L303" s="1"/>
      <c r="M303" s="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spans="3:24" ht="13" x14ac:dyDescent="0.15">
      <c r="C304" s="77"/>
      <c r="D304" s="78"/>
      <c r="E304" s="78"/>
      <c r="F304" s="79"/>
      <c r="G304" s="10"/>
      <c r="H304" s="10"/>
      <c r="I304" s="10"/>
      <c r="J304" s="1"/>
      <c r="K304" s="10"/>
      <c r="L304" s="1"/>
      <c r="M304" s="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spans="3:24" ht="13" x14ac:dyDescent="0.15">
      <c r="C305" s="77"/>
      <c r="D305" s="78"/>
      <c r="E305" s="78"/>
      <c r="F305" s="79"/>
      <c r="G305" s="10"/>
      <c r="H305" s="10"/>
      <c r="I305" s="10"/>
      <c r="J305" s="1"/>
      <c r="K305" s="10"/>
      <c r="L305" s="1"/>
      <c r="M305" s="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spans="3:24" ht="13" x14ac:dyDescent="0.15">
      <c r="C306" s="77"/>
      <c r="D306" s="78"/>
      <c r="E306" s="78"/>
      <c r="F306" s="79"/>
      <c r="G306" s="10"/>
      <c r="H306" s="10"/>
      <c r="I306" s="10"/>
      <c r="J306" s="1"/>
      <c r="K306" s="10"/>
      <c r="L306" s="1"/>
      <c r="M306" s="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spans="3:24" ht="13" x14ac:dyDescent="0.15">
      <c r="C307" s="77"/>
      <c r="D307" s="78"/>
      <c r="E307" s="78"/>
      <c r="F307" s="79"/>
      <c r="G307" s="10"/>
      <c r="H307" s="10"/>
      <c r="I307" s="10"/>
      <c r="J307" s="1"/>
      <c r="K307" s="10"/>
      <c r="L307" s="1"/>
      <c r="M307" s="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spans="3:24" ht="13" x14ac:dyDescent="0.15">
      <c r="C308" s="77"/>
      <c r="D308" s="78"/>
      <c r="E308" s="78"/>
      <c r="F308" s="79"/>
      <c r="G308" s="10"/>
      <c r="H308" s="10"/>
      <c r="I308" s="10"/>
      <c r="J308" s="1"/>
      <c r="K308" s="10"/>
      <c r="L308" s="1"/>
      <c r="M308" s="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spans="3:24" ht="13" x14ac:dyDescent="0.15">
      <c r="C309" s="77"/>
      <c r="D309" s="78"/>
      <c r="E309" s="78"/>
      <c r="F309" s="79"/>
      <c r="G309" s="10"/>
      <c r="H309" s="10"/>
      <c r="I309" s="10"/>
      <c r="J309" s="1"/>
      <c r="K309" s="10"/>
      <c r="L309" s="1"/>
      <c r="M309" s="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spans="3:24" ht="13" x14ac:dyDescent="0.15">
      <c r="C310" s="77"/>
      <c r="D310" s="78"/>
      <c r="E310" s="78"/>
      <c r="F310" s="79"/>
      <c r="G310" s="10"/>
      <c r="H310" s="10"/>
      <c r="I310" s="10"/>
      <c r="J310" s="1"/>
      <c r="K310" s="10"/>
      <c r="L310" s="1"/>
      <c r="M310" s="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spans="3:24" ht="13" x14ac:dyDescent="0.15">
      <c r="C311" s="77"/>
      <c r="D311" s="78"/>
      <c r="E311" s="78"/>
      <c r="F311" s="79"/>
      <c r="G311" s="10"/>
      <c r="H311" s="10"/>
      <c r="I311" s="10"/>
      <c r="J311" s="1"/>
      <c r="K311" s="10"/>
      <c r="L311" s="1"/>
      <c r="M311" s="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spans="3:24" ht="13" x14ac:dyDescent="0.15">
      <c r="C312" s="77"/>
      <c r="D312" s="78"/>
      <c r="E312" s="78"/>
      <c r="F312" s="79"/>
      <c r="G312" s="10"/>
      <c r="H312" s="10"/>
      <c r="I312" s="10"/>
      <c r="J312" s="1"/>
      <c r="K312" s="10"/>
      <c r="L312" s="1"/>
      <c r="M312" s="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spans="3:24" ht="13" x14ac:dyDescent="0.15">
      <c r="C313" s="77"/>
      <c r="D313" s="78"/>
      <c r="E313" s="78"/>
      <c r="F313" s="79"/>
      <c r="G313" s="10"/>
      <c r="H313" s="10"/>
      <c r="I313" s="10"/>
      <c r="J313" s="1"/>
      <c r="K313" s="10"/>
      <c r="L313" s="1"/>
      <c r="M313" s="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spans="3:24" ht="13" x14ac:dyDescent="0.15">
      <c r="C314" s="77"/>
      <c r="D314" s="78"/>
      <c r="E314" s="78"/>
      <c r="F314" s="79"/>
      <c r="G314" s="10"/>
      <c r="H314" s="10"/>
      <c r="I314" s="10"/>
      <c r="J314" s="1"/>
      <c r="K314" s="10"/>
      <c r="L314" s="1"/>
      <c r="M314" s="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spans="3:24" ht="13" x14ac:dyDescent="0.15">
      <c r="C315" s="77"/>
      <c r="D315" s="78"/>
      <c r="E315" s="78"/>
      <c r="F315" s="79"/>
      <c r="G315" s="10"/>
      <c r="H315" s="10"/>
      <c r="I315" s="10"/>
      <c r="J315" s="1"/>
      <c r="K315" s="10"/>
      <c r="L315" s="1"/>
      <c r="M315" s="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spans="3:24" ht="13" x14ac:dyDescent="0.15">
      <c r="C316" s="77"/>
      <c r="D316" s="78"/>
      <c r="E316" s="78"/>
      <c r="F316" s="79"/>
      <c r="G316" s="10"/>
      <c r="H316" s="10"/>
      <c r="I316" s="10"/>
      <c r="J316" s="1"/>
      <c r="K316" s="10"/>
      <c r="L316" s="1"/>
      <c r="M316" s="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spans="3:24" ht="13" x14ac:dyDescent="0.15">
      <c r="C317" s="77"/>
      <c r="D317" s="78"/>
      <c r="E317" s="78"/>
      <c r="F317" s="79"/>
      <c r="G317" s="10"/>
      <c r="H317" s="10"/>
      <c r="I317" s="10"/>
      <c r="J317" s="1"/>
      <c r="K317" s="10"/>
      <c r="L317" s="1"/>
      <c r="M317" s="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spans="3:24" ht="13" x14ac:dyDescent="0.15">
      <c r="C318" s="77"/>
      <c r="D318" s="78"/>
      <c r="E318" s="78"/>
      <c r="F318" s="79"/>
      <c r="G318" s="10"/>
      <c r="H318" s="10"/>
      <c r="I318" s="10"/>
      <c r="J318" s="1"/>
      <c r="K318" s="10"/>
      <c r="L318" s="1"/>
      <c r="M318" s="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spans="3:24" ht="13" x14ac:dyDescent="0.15">
      <c r="C319" s="77"/>
      <c r="D319" s="78"/>
      <c r="E319" s="78"/>
      <c r="F319" s="79"/>
      <c r="G319" s="10"/>
      <c r="H319" s="10"/>
      <c r="I319" s="10"/>
      <c r="J319" s="1"/>
      <c r="K319" s="10"/>
      <c r="L319" s="1"/>
      <c r="M319" s="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spans="3:24" ht="13" x14ac:dyDescent="0.15">
      <c r="C320" s="77"/>
      <c r="D320" s="78"/>
      <c r="E320" s="78"/>
      <c r="F320" s="79"/>
      <c r="G320" s="10"/>
      <c r="H320" s="10"/>
      <c r="I320" s="10"/>
      <c r="J320" s="1"/>
      <c r="K320" s="10"/>
      <c r="L320" s="1"/>
      <c r="M320" s="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spans="3:24" ht="13" x14ac:dyDescent="0.15">
      <c r="C321" s="77"/>
      <c r="D321" s="78"/>
      <c r="E321" s="78"/>
      <c r="F321" s="79"/>
      <c r="G321" s="10"/>
      <c r="H321" s="10"/>
      <c r="I321" s="10"/>
      <c r="J321" s="1"/>
      <c r="K321" s="10"/>
      <c r="L321" s="1"/>
      <c r="M321" s="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spans="3:24" ht="13" x14ac:dyDescent="0.15">
      <c r="C322" s="77"/>
      <c r="D322" s="78"/>
      <c r="E322" s="78"/>
      <c r="F322" s="79"/>
      <c r="G322" s="10"/>
      <c r="H322" s="10"/>
      <c r="I322" s="10"/>
      <c r="J322" s="1"/>
      <c r="K322" s="10"/>
      <c r="L322" s="1"/>
      <c r="M322" s="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spans="3:24" ht="13" x14ac:dyDescent="0.15">
      <c r="C323" s="77"/>
      <c r="D323" s="78"/>
      <c r="E323" s="78"/>
      <c r="F323" s="79"/>
      <c r="G323" s="10"/>
      <c r="H323" s="10"/>
      <c r="I323" s="10"/>
      <c r="J323" s="1"/>
      <c r="K323" s="10"/>
      <c r="L323" s="1"/>
      <c r="M323" s="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spans="3:24" ht="13" x14ac:dyDescent="0.15">
      <c r="C324" s="77"/>
      <c r="D324" s="78"/>
      <c r="E324" s="78"/>
      <c r="F324" s="79"/>
      <c r="G324" s="10"/>
      <c r="H324" s="10"/>
      <c r="I324" s="10"/>
      <c r="J324" s="1"/>
      <c r="K324" s="10"/>
      <c r="L324" s="1"/>
      <c r="M324" s="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spans="3:24" ht="13" x14ac:dyDescent="0.15">
      <c r="C325" s="77"/>
      <c r="D325" s="78"/>
      <c r="E325" s="78"/>
      <c r="F325" s="79"/>
      <c r="G325" s="10"/>
      <c r="H325" s="10"/>
      <c r="I325" s="10"/>
      <c r="J325" s="1"/>
      <c r="K325" s="10"/>
      <c r="L325" s="1"/>
      <c r="M325" s="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spans="3:24" ht="13" x14ac:dyDescent="0.15">
      <c r="C326" s="77"/>
      <c r="D326" s="78"/>
      <c r="E326" s="78"/>
      <c r="F326" s="79"/>
      <c r="G326" s="10"/>
      <c r="H326" s="10"/>
      <c r="I326" s="10"/>
      <c r="J326" s="1"/>
      <c r="K326" s="10"/>
      <c r="L326" s="1"/>
      <c r="M326" s="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spans="3:24" ht="13" x14ac:dyDescent="0.15">
      <c r="C327" s="77"/>
      <c r="D327" s="78"/>
      <c r="E327" s="78"/>
      <c r="F327" s="79"/>
      <c r="G327" s="10"/>
      <c r="H327" s="10"/>
      <c r="I327" s="10"/>
      <c r="J327" s="1"/>
      <c r="K327" s="10"/>
      <c r="L327" s="1"/>
      <c r="M327" s="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spans="3:24" ht="13" x14ac:dyDescent="0.15">
      <c r="C328" s="77"/>
      <c r="D328" s="78"/>
      <c r="E328" s="78"/>
      <c r="F328" s="79"/>
      <c r="G328" s="10"/>
      <c r="H328" s="10"/>
      <c r="I328" s="10"/>
      <c r="J328" s="1"/>
      <c r="K328" s="10"/>
      <c r="L328" s="1"/>
      <c r="M328" s="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spans="3:24" ht="13" x14ac:dyDescent="0.15">
      <c r="C329" s="77"/>
      <c r="D329" s="78"/>
      <c r="E329" s="78"/>
      <c r="F329" s="79"/>
      <c r="G329" s="10"/>
      <c r="H329" s="10"/>
      <c r="I329" s="10"/>
      <c r="J329" s="1"/>
      <c r="K329" s="10"/>
      <c r="L329" s="1"/>
      <c r="M329" s="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spans="3:24" ht="13" x14ac:dyDescent="0.15">
      <c r="C330" s="77"/>
      <c r="D330" s="78"/>
      <c r="E330" s="78"/>
      <c r="F330" s="79"/>
      <c r="G330" s="10"/>
      <c r="H330" s="10"/>
      <c r="I330" s="10"/>
      <c r="J330" s="1"/>
      <c r="K330" s="10"/>
      <c r="L330" s="1"/>
      <c r="M330" s="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spans="3:24" ht="13" x14ac:dyDescent="0.15">
      <c r="C331" s="77"/>
      <c r="D331" s="78"/>
      <c r="E331" s="78"/>
      <c r="F331" s="79"/>
      <c r="G331" s="10"/>
      <c r="H331" s="10"/>
      <c r="I331" s="10"/>
      <c r="J331" s="1"/>
      <c r="K331" s="10"/>
      <c r="L331" s="1"/>
      <c r="M331" s="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spans="3:24" ht="13" x14ac:dyDescent="0.15">
      <c r="C332" s="77"/>
      <c r="D332" s="78"/>
      <c r="E332" s="78"/>
      <c r="F332" s="79"/>
      <c r="G332" s="10"/>
      <c r="H332" s="10"/>
      <c r="I332" s="10"/>
      <c r="J332" s="1"/>
      <c r="K332" s="10"/>
      <c r="L332" s="1"/>
      <c r="M332" s="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spans="3:24" ht="13" x14ac:dyDescent="0.15">
      <c r="C333" s="77"/>
      <c r="D333" s="78"/>
      <c r="E333" s="78"/>
      <c r="F333" s="79"/>
      <c r="G333" s="10"/>
      <c r="H333" s="10"/>
      <c r="I333" s="10"/>
      <c r="J333" s="1"/>
      <c r="K333" s="10"/>
      <c r="L333" s="1"/>
      <c r="M333" s="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spans="3:24" ht="13" x14ac:dyDescent="0.15">
      <c r="C334" s="77"/>
      <c r="D334" s="78"/>
      <c r="E334" s="78"/>
      <c r="F334" s="79"/>
      <c r="G334" s="10"/>
      <c r="H334" s="10"/>
      <c r="I334" s="10"/>
      <c r="J334" s="1"/>
      <c r="K334" s="10"/>
      <c r="L334" s="1"/>
      <c r="M334" s="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spans="3:24" ht="13" x14ac:dyDescent="0.15">
      <c r="C335" s="77"/>
      <c r="D335" s="78"/>
      <c r="E335" s="78"/>
      <c r="F335" s="79"/>
      <c r="G335" s="10"/>
      <c r="H335" s="10"/>
      <c r="I335" s="10"/>
      <c r="J335" s="1"/>
      <c r="K335" s="10"/>
      <c r="L335" s="1"/>
      <c r="M335" s="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spans="3:24" ht="13" x14ac:dyDescent="0.15">
      <c r="C336" s="77"/>
      <c r="D336" s="78"/>
      <c r="E336" s="78"/>
      <c r="F336" s="79"/>
      <c r="G336" s="10"/>
      <c r="H336" s="10"/>
      <c r="I336" s="10"/>
      <c r="J336" s="1"/>
      <c r="K336" s="10"/>
      <c r="L336" s="1"/>
      <c r="M336" s="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spans="3:24" ht="13" x14ac:dyDescent="0.15">
      <c r="C337" s="77"/>
      <c r="D337" s="78"/>
      <c r="E337" s="78"/>
      <c r="F337" s="79"/>
      <c r="G337" s="10"/>
      <c r="H337" s="10"/>
      <c r="I337" s="10"/>
      <c r="J337" s="1"/>
      <c r="K337" s="10"/>
      <c r="L337" s="1"/>
      <c r="M337" s="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spans="3:24" ht="13" x14ac:dyDescent="0.15">
      <c r="C338" s="77"/>
      <c r="D338" s="78"/>
      <c r="E338" s="78"/>
      <c r="F338" s="79"/>
      <c r="G338" s="10"/>
      <c r="H338" s="10"/>
      <c r="I338" s="10"/>
      <c r="J338" s="1"/>
      <c r="K338" s="10"/>
      <c r="L338" s="1"/>
      <c r="M338" s="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spans="3:24" ht="13" x14ac:dyDescent="0.15">
      <c r="C339" s="77"/>
      <c r="D339" s="78"/>
      <c r="E339" s="78"/>
      <c r="F339" s="79"/>
      <c r="G339" s="10"/>
      <c r="H339" s="10"/>
      <c r="I339" s="10"/>
      <c r="J339" s="1"/>
      <c r="K339" s="10"/>
      <c r="L339" s="1"/>
      <c r="M339" s="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spans="3:24" ht="13" x14ac:dyDescent="0.15">
      <c r="C340" s="77"/>
      <c r="D340" s="78"/>
      <c r="E340" s="78"/>
      <c r="F340" s="79"/>
      <c r="G340" s="10"/>
      <c r="H340" s="10"/>
      <c r="I340" s="10"/>
      <c r="J340" s="1"/>
      <c r="K340" s="10"/>
      <c r="L340" s="1"/>
      <c r="M340" s="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spans="3:24" ht="13" x14ac:dyDescent="0.15">
      <c r="C341" s="77"/>
      <c r="D341" s="78"/>
      <c r="E341" s="78"/>
      <c r="F341" s="79"/>
      <c r="G341" s="10"/>
      <c r="H341" s="10"/>
      <c r="I341" s="10"/>
      <c r="J341" s="1"/>
      <c r="K341" s="10"/>
      <c r="L341" s="1"/>
      <c r="M341" s="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spans="3:24" ht="13" x14ac:dyDescent="0.15">
      <c r="C342" s="77"/>
      <c r="D342" s="78"/>
      <c r="E342" s="78"/>
      <c r="F342" s="79"/>
      <c r="G342" s="10"/>
      <c r="H342" s="10"/>
      <c r="I342" s="10"/>
      <c r="J342" s="1"/>
      <c r="K342" s="10"/>
      <c r="L342" s="1"/>
      <c r="M342" s="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spans="3:24" ht="13" x14ac:dyDescent="0.15">
      <c r="C343" s="77"/>
      <c r="D343" s="78"/>
      <c r="E343" s="78"/>
      <c r="F343" s="79"/>
      <c r="G343" s="10"/>
      <c r="H343" s="10"/>
      <c r="I343" s="10"/>
      <c r="J343" s="1"/>
      <c r="K343" s="10"/>
      <c r="L343" s="1"/>
      <c r="M343" s="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spans="3:24" ht="13" x14ac:dyDescent="0.15">
      <c r="C344" s="77"/>
      <c r="D344" s="78"/>
      <c r="E344" s="78"/>
      <c r="F344" s="79"/>
      <c r="G344" s="10"/>
      <c r="H344" s="10"/>
      <c r="I344" s="10"/>
      <c r="J344" s="1"/>
      <c r="K344" s="10"/>
      <c r="L344" s="1"/>
      <c r="M344" s="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spans="3:24" ht="13" x14ac:dyDescent="0.15">
      <c r="C345" s="77"/>
      <c r="D345" s="78"/>
      <c r="E345" s="78"/>
      <c r="F345" s="79"/>
      <c r="G345" s="10"/>
      <c r="H345" s="10"/>
      <c r="I345" s="10"/>
      <c r="J345" s="1"/>
      <c r="K345" s="10"/>
      <c r="L345" s="1"/>
      <c r="M345" s="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spans="3:24" ht="13" x14ac:dyDescent="0.15">
      <c r="C346" s="77"/>
      <c r="D346" s="78"/>
      <c r="E346" s="78"/>
      <c r="F346" s="79"/>
      <c r="G346" s="10"/>
      <c r="H346" s="10"/>
      <c r="I346" s="10"/>
      <c r="J346" s="1"/>
      <c r="K346" s="10"/>
      <c r="L346" s="1"/>
      <c r="M346" s="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spans="3:24" ht="13" x14ac:dyDescent="0.15">
      <c r="C347" s="77"/>
      <c r="D347" s="78"/>
      <c r="E347" s="78"/>
      <c r="F347" s="79"/>
      <c r="G347" s="10"/>
      <c r="H347" s="10"/>
      <c r="I347" s="10"/>
      <c r="J347" s="1"/>
      <c r="K347" s="10"/>
      <c r="L347" s="1"/>
      <c r="M347" s="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spans="3:24" ht="13" x14ac:dyDescent="0.15">
      <c r="C348" s="77"/>
      <c r="D348" s="78"/>
      <c r="E348" s="78"/>
      <c r="F348" s="79"/>
      <c r="G348" s="10"/>
      <c r="H348" s="10"/>
      <c r="I348" s="10"/>
      <c r="J348" s="1"/>
      <c r="K348" s="10"/>
      <c r="L348" s="1"/>
      <c r="M348" s="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spans="3:24" ht="13" x14ac:dyDescent="0.15">
      <c r="C349" s="77"/>
      <c r="D349" s="78"/>
      <c r="E349" s="78"/>
      <c r="F349" s="79"/>
      <c r="G349" s="10"/>
      <c r="H349" s="10"/>
      <c r="I349" s="10"/>
      <c r="J349" s="1"/>
      <c r="K349" s="10"/>
      <c r="L349" s="1"/>
      <c r="M349" s="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spans="3:24" ht="13" x14ac:dyDescent="0.15">
      <c r="C350" s="77"/>
      <c r="D350" s="78"/>
      <c r="E350" s="78"/>
      <c r="F350" s="79"/>
      <c r="G350" s="10"/>
      <c r="H350" s="10"/>
      <c r="I350" s="10"/>
      <c r="J350" s="1"/>
      <c r="K350" s="10"/>
      <c r="L350" s="1"/>
      <c r="M350" s="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spans="3:24" ht="13" x14ac:dyDescent="0.15">
      <c r="C351" s="77"/>
      <c r="D351" s="78"/>
      <c r="E351" s="78"/>
      <c r="F351" s="79"/>
      <c r="G351" s="10"/>
      <c r="H351" s="10"/>
      <c r="I351" s="10"/>
      <c r="J351" s="1"/>
      <c r="K351" s="10"/>
      <c r="L351" s="1"/>
      <c r="M351" s="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spans="3:24" ht="13" x14ac:dyDescent="0.15">
      <c r="C352" s="77"/>
      <c r="D352" s="78"/>
      <c r="E352" s="78"/>
      <c r="F352" s="79"/>
      <c r="G352" s="10"/>
      <c r="H352" s="10"/>
      <c r="I352" s="10"/>
      <c r="J352" s="1"/>
      <c r="K352" s="10"/>
      <c r="L352" s="1"/>
      <c r="M352" s="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spans="3:24" ht="13" x14ac:dyDescent="0.15">
      <c r="C353" s="77"/>
      <c r="D353" s="78"/>
      <c r="E353" s="78"/>
      <c r="F353" s="79"/>
      <c r="G353" s="10"/>
      <c r="H353" s="10"/>
      <c r="I353" s="10"/>
      <c r="J353" s="1"/>
      <c r="K353" s="10"/>
      <c r="L353" s="1"/>
      <c r="M353" s="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spans="3:24" ht="13" x14ac:dyDescent="0.15">
      <c r="C354" s="77"/>
      <c r="D354" s="78"/>
      <c r="E354" s="78"/>
      <c r="F354" s="79"/>
      <c r="G354" s="10"/>
      <c r="H354" s="10"/>
      <c r="I354" s="10"/>
      <c r="J354" s="1"/>
      <c r="K354" s="10"/>
      <c r="L354" s="1"/>
      <c r="M354" s="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spans="3:24" ht="13" x14ac:dyDescent="0.15">
      <c r="C355" s="77"/>
      <c r="D355" s="78"/>
      <c r="E355" s="78"/>
      <c r="F355" s="79"/>
      <c r="G355" s="10"/>
      <c r="H355" s="10"/>
      <c r="I355" s="10"/>
      <c r="J355" s="1"/>
      <c r="K355" s="10"/>
      <c r="L355" s="1"/>
      <c r="M355" s="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spans="3:24" ht="13" x14ac:dyDescent="0.15">
      <c r="C356" s="77"/>
      <c r="D356" s="78"/>
      <c r="E356" s="78"/>
      <c r="F356" s="79"/>
      <c r="G356" s="10"/>
      <c r="H356" s="10"/>
      <c r="I356" s="10"/>
      <c r="J356" s="1"/>
      <c r="K356" s="10"/>
      <c r="L356" s="1"/>
      <c r="M356" s="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spans="3:24" ht="13" x14ac:dyDescent="0.15">
      <c r="C357" s="77"/>
      <c r="D357" s="78"/>
      <c r="E357" s="78"/>
      <c r="F357" s="79"/>
      <c r="G357" s="10"/>
      <c r="H357" s="10"/>
      <c r="I357" s="10"/>
      <c r="J357" s="1"/>
      <c r="K357" s="10"/>
      <c r="L357" s="1"/>
      <c r="M357" s="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spans="3:24" ht="13" x14ac:dyDescent="0.15">
      <c r="C358" s="77"/>
      <c r="D358" s="78"/>
      <c r="E358" s="78"/>
      <c r="F358" s="79"/>
      <c r="G358" s="10"/>
      <c r="H358" s="10"/>
      <c r="I358" s="10"/>
      <c r="J358" s="1"/>
      <c r="K358" s="10"/>
      <c r="L358" s="1"/>
      <c r="M358" s="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spans="3:24" ht="13" x14ac:dyDescent="0.15">
      <c r="C359" s="77"/>
      <c r="D359" s="78"/>
      <c r="E359" s="78"/>
      <c r="F359" s="79"/>
      <c r="G359" s="10"/>
      <c r="H359" s="10"/>
      <c r="I359" s="10"/>
      <c r="J359" s="1"/>
      <c r="K359" s="10"/>
      <c r="L359" s="1"/>
      <c r="M359" s="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spans="3:24" ht="13" x14ac:dyDescent="0.15">
      <c r="C360" s="77"/>
      <c r="D360" s="78"/>
      <c r="E360" s="78"/>
      <c r="F360" s="79"/>
      <c r="G360" s="10"/>
      <c r="H360" s="10"/>
      <c r="I360" s="10"/>
      <c r="J360" s="1"/>
      <c r="K360" s="10"/>
      <c r="L360" s="1"/>
      <c r="M360" s="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spans="3:24" ht="13" x14ac:dyDescent="0.15">
      <c r="C361" s="77"/>
      <c r="D361" s="78"/>
      <c r="E361" s="78"/>
      <c r="F361" s="79"/>
      <c r="G361" s="10"/>
      <c r="H361" s="10"/>
      <c r="I361" s="10"/>
      <c r="J361" s="1"/>
      <c r="K361" s="10"/>
      <c r="L361" s="1"/>
      <c r="M361" s="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spans="3:24" ht="13" x14ac:dyDescent="0.15">
      <c r="C362" s="77"/>
      <c r="D362" s="78"/>
      <c r="E362" s="78"/>
      <c r="F362" s="79"/>
      <c r="G362" s="10"/>
      <c r="H362" s="10"/>
      <c r="I362" s="10"/>
      <c r="J362" s="1"/>
      <c r="K362" s="10"/>
      <c r="L362" s="1"/>
      <c r="M362" s="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spans="3:24" ht="13" x14ac:dyDescent="0.15">
      <c r="C363" s="77"/>
      <c r="D363" s="78"/>
      <c r="E363" s="78"/>
      <c r="F363" s="79"/>
      <c r="G363" s="10"/>
      <c r="H363" s="10"/>
      <c r="I363" s="10"/>
      <c r="J363" s="1"/>
      <c r="K363" s="10"/>
      <c r="L363" s="1"/>
      <c r="M363" s="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spans="3:24" ht="13" x14ac:dyDescent="0.15">
      <c r="C364" s="77"/>
      <c r="D364" s="78"/>
      <c r="E364" s="78"/>
      <c r="F364" s="79"/>
      <c r="G364" s="10"/>
      <c r="H364" s="10"/>
      <c r="I364" s="10"/>
      <c r="J364" s="1"/>
      <c r="K364" s="10"/>
      <c r="L364" s="1"/>
      <c r="M364" s="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spans="3:24" ht="13" x14ac:dyDescent="0.15">
      <c r="C365" s="77"/>
      <c r="D365" s="78"/>
      <c r="E365" s="78"/>
      <c r="F365" s="79"/>
      <c r="G365" s="10"/>
      <c r="H365" s="10"/>
      <c r="I365" s="10"/>
      <c r="J365" s="1"/>
      <c r="K365" s="10"/>
      <c r="L365" s="1"/>
      <c r="M365" s="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spans="3:24" ht="13" x14ac:dyDescent="0.15">
      <c r="C366" s="77"/>
      <c r="D366" s="78"/>
      <c r="E366" s="78"/>
      <c r="F366" s="79"/>
      <c r="G366" s="10"/>
      <c r="H366" s="10"/>
      <c r="I366" s="10"/>
      <c r="J366" s="1"/>
      <c r="K366" s="10"/>
      <c r="L366" s="1"/>
      <c r="M366" s="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spans="3:24" ht="13" x14ac:dyDescent="0.15">
      <c r="C367" s="77"/>
      <c r="D367" s="78"/>
      <c r="E367" s="78"/>
      <c r="F367" s="79"/>
      <c r="G367" s="10"/>
      <c r="H367" s="10"/>
      <c r="I367" s="10"/>
      <c r="J367" s="1"/>
      <c r="K367" s="10"/>
      <c r="L367" s="1"/>
      <c r="M367" s="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spans="3:24" ht="13" x14ac:dyDescent="0.15">
      <c r="C368" s="77"/>
      <c r="D368" s="78"/>
      <c r="E368" s="78"/>
      <c r="F368" s="79"/>
      <c r="G368" s="10"/>
      <c r="H368" s="10"/>
      <c r="I368" s="10"/>
      <c r="J368" s="1"/>
      <c r="K368" s="10"/>
      <c r="L368" s="1"/>
      <c r="M368" s="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spans="3:24" ht="13" x14ac:dyDescent="0.15">
      <c r="C369" s="77"/>
      <c r="D369" s="78"/>
      <c r="E369" s="78"/>
      <c r="F369" s="79"/>
      <c r="G369" s="10"/>
      <c r="H369" s="10"/>
      <c r="I369" s="10"/>
      <c r="J369" s="1"/>
      <c r="K369" s="10"/>
      <c r="L369" s="1"/>
      <c r="M369" s="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spans="3:24" ht="13" x14ac:dyDescent="0.15">
      <c r="C370" s="77"/>
      <c r="D370" s="78"/>
      <c r="E370" s="78"/>
      <c r="F370" s="79"/>
      <c r="G370" s="10"/>
      <c r="H370" s="10"/>
      <c r="I370" s="10"/>
      <c r="J370" s="1"/>
      <c r="K370" s="10"/>
      <c r="L370" s="1"/>
      <c r="M370" s="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spans="3:24" ht="13" x14ac:dyDescent="0.15">
      <c r="C371" s="77"/>
      <c r="D371" s="78"/>
      <c r="E371" s="78"/>
      <c r="F371" s="79"/>
      <c r="G371" s="10"/>
      <c r="H371" s="10"/>
      <c r="I371" s="10"/>
      <c r="J371" s="1"/>
      <c r="K371" s="10"/>
      <c r="L371" s="1"/>
      <c r="M371" s="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spans="3:24" ht="13" x14ac:dyDescent="0.15">
      <c r="C372" s="77"/>
      <c r="D372" s="78"/>
      <c r="E372" s="78"/>
      <c r="F372" s="79"/>
      <c r="G372" s="10"/>
      <c r="H372" s="10"/>
      <c r="I372" s="10"/>
      <c r="J372" s="1"/>
      <c r="K372" s="10"/>
      <c r="L372" s="1"/>
      <c r="M372" s="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spans="3:24" ht="13" x14ac:dyDescent="0.15">
      <c r="C373" s="77"/>
      <c r="D373" s="78"/>
      <c r="E373" s="78"/>
      <c r="F373" s="79"/>
      <c r="G373" s="10"/>
      <c r="H373" s="10"/>
      <c r="I373" s="10"/>
      <c r="J373" s="1"/>
      <c r="K373" s="10"/>
      <c r="L373" s="1"/>
      <c r="M373" s="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spans="3:24" ht="13" x14ac:dyDescent="0.15">
      <c r="C374" s="77"/>
      <c r="D374" s="78"/>
      <c r="E374" s="78"/>
      <c r="F374" s="79"/>
      <c r="G374" s="10"/>
      <c r="H374" s="10"/>
      <c r="I374" s="10"/>
      <c r="J374" s="1"/>
      <c r="K374" s="10"/>
      <c r="L374" s="1"/>
      <c r="M374" s="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spans="3:24" ht="13" x14ac:dyDescent="0.15">
      <c r="C375" s="77"/>
      <c r="D375" s="78"/>
      <c r="E375" s="78"/>
      <c r="F375" s="79"/>
      <c r="G375" s="10"/>
      <c r="H375" s="10"/>
      <c r="I375" s="10"/>
      <c r="J375" s="1"/>
      <c r="K375" s="10"/>
      <c r="L375" s="1"/>
      <c r="M375" s="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spans="3:24" ht="13" x14ac:dyDescent="0.15">
      <c r="C376" s="77"/>
      <c r="D376" s="78"/>
      <c r="E376" s="78"/>
      <c r="F376" s="79"/>
      <c r="G376" s="10"/>
      <c r="H376" s="10"/>
      <c r="I376" s="10"/>
      <c r="J376" s="1"/>
      <c r="K376" s="10"/>
      <c r="L376" s="1"/>
      <c r="M376" s="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spans="3:24" ht="13" x14ac:dyDescent="0.15">
      <c r="C377" s="77"/>
      <c r="D377" s="78"/>
      <c r="E377" s="78"/>
      <c r="F377" s="79"/>
      <c r="G377" s="10"/>
      <c r="H377" s="10"/>
      <c r="I377" s="10"/>
      <c r="J377" s="1"/>
      <c r="K377" s="10"/>
      <c r="L377" s="1"/>
      <c r="M377" s="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spans="3:24" ht="13" x14ac:dyDescent="0.15">
      <c r="C378" s="77"/>
      <c r="D378" s="78"/>
      <c r="E378" s="78"/>
      <c r="F378" s="79"/>
      <c r="G378" s="10"/>
      <c r="H378" s="10"/>
      <c r="I378" s="10"/>
      <c r="J378" s="1"/>
      <c r="K378" s="10"/>
      <c r="L378" s="1"/>
      <c r="M378" s="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spans="3:24" ht="13" x14ac:dyDescent="0.15">
      <c r="C379" s="77"/>
      <c r="D379" s="78"/>
      <c r="E379" s="78"/>
      <c r="F379" s="79"/>
      <c r="G379" s="10"/>
      <c r="H379" s="10"/>
      <c r="I379" s="10"/>
      <c r="J379" s="1"/>
      <c r="K379" s="10"/>
      <c r="L379" s="1"/>
      <c r="M379" s="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spans="3:24" ht="13" x14ac:dyDescent="0.15">
      <c r="C380" s="77"/>
      <c r="D380" s="78"/>
      <c r="E380" s="78"/>
      <c r="F380" s="79"/>
      <c r="G380" s="10"/>
      <c r="H380" s="10"/>
      <c r="I380" s="10"/>
      <c r="J380" s="1"/>
      <c r="K380" s="10"/>
      <c r="L380" s="1"/>
      <c r="M380" s="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spans="3:24" ht="13" x14ac:dyDescent="0.15">
      <c r="C381" s="77"/>
      <c r="D381" s="78"/>
      <c r="E381" s="78"/>
      <c r="F381" s="79"/>
      <c r="G381" s="10"/>
      <c r="H381" s="10"/>
      <c r="I381" s="10"/>
      <c r="J381" s="1"/>
      <c r="K381" s="10"/>
      <c r="L381" s="1"/>
      <c r="M381" s="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spans="3:24" ht="13" x14ac:dyDescent="0.15">
      <c r="C382" s="77"/>
      <c r="D382" s="78"/>
      <c r="E382" s="78"/>
      <c r="F382" s="79"/>
      <c r="G382" s="10"/>
      <c r="H382" s="10"/>
      <c r="I382" s="10"/>
      <c r="J382" s="1"/>
      <c r="K382" s="10"/>
      <c r="L382" s="1"/>
      <c r="M382" s="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spans="3:24" ht="13" x14ac:dyDescent="0.15">
      <c r="C383" s="77"/>
      <c r="D383" s="78"/>
      <c r="E383" s="78"/>
      <c r="F383" s="79"/>
      <c r="G383" s="10"/>
      <c r="H383" s="10"/>
      <c r="I383" s="10"/>
      <c r="J383" s="1"/>
      <c r="K383" s="10"/>
      <c r="L383" s="1"/>
      <c r="M383" s="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spans="3:24" ht="13" x14ac:dyDescent="0.15">
      <c r="C384" s="77"/>
      <c r="D384" s="78"/>
      <c r="E384" s="78"/>
      <c r="F384" s="79"/>
      <c r="G384" s="10"/>
      <c r="H384" s="10"/>
      <c r="I384" s="10"/>
      <c r="J384" s="1"/>
      <c r="K384" s="10"/>
      <c r="L384" s="1"/>
      <c r="M384" s="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spans="3:24" ht="13" x14ac:dyDescent="0.15">
      <c r="C385" s="77"/>
      <c r="D385" s="78"/>
      <c r="E385" s="78"/>
      <c r="F385" s="79"/>
      <c r="G385" s="10"/>
      <c r="H385" s="10"/>
      <c r="I385" s="10"/>
      <c r="J385" s="1"/>
      <c r="K385" s="10"/>
      <c r="L385" s="1"/>
      <c r="M385" s="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spans="3:24" ht="13" x14ac:dyDescent="0.15">
      <c r="C386" s="77"/>
      <c r="D386" s="78"/>
      <c r="E386" s="78"/>
      <c r="F386" s="79"/>
      <c r="G386" s="10"/>
      <c r="H386" s="10"/>
      <c r="I386" s="10"/>
      <c r="J386" s="1"/>
      <c r="K386" s="10"/>
      <c r="L386" s="1"/>
      <c r="M386" s="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spans="3:24" ht="13" x14ac:dyDescent="0.15">
      <c r="C387" s="77"/>
      <c r="D387" s="78"/>
      <c r="E387" s="78"/>
      <c r="F387" s="79"/>
      <c r="G387" s="10"/>
      <c r="H387" s="10"/>
      <c r="I387" s="10"/>
      <c r="J387" s="1"/>
      <c r="K387" s="10"/>
      <c r="L387" s="1"/>
      <c r="M387" s="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spans="3:24" ht="13" x14ac:dyDescent="0.15">
      <c r="C388" s="77"/>
      <c r="D388" s="78"/>
      <c r="E388" s="78"/>
      <c r="F388" s="79"/>
      <c r="G388" s="10"/>
      <c r="H388" s="10"/>
      <c r="I388" s="10"/>
      <c r="J388" s="1"/>
      <c r="K388" s="10"/>
      <c r="L388" s="1"/>
      <c r="M388" s="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spans="3:24" ht="13" x14ac:dyDescent="0.15">
      <c r="C389" s="77"/>
      <c r="D389" s="78"/>
      <c r="E389" s="78"/>
      <c r="F389" s="79"/>
      <c r="G389" s="10"/>
      <c r="H389" s="10"/>
      <c r="I389" s="10"/>
      <c r="J389" s="1"/>
      <c r="K389" s="10"/>
      <c r="L389" s="1"/>
      <c r="M389" s="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spans="3:24" ht="13" x14ac:dyDescent="0.15">
      <c r="C390" s="77"/>
      <c r="D390" s="78"/>
      <c r="E390" s="78"/>
      <c r="F390" s="79"/>
      <c r="G390" s="10"/>
      <c r="H390" s="10"/>
      <c r="I390" s="10"/>
      <c r="J390" s="1"/>
      <c r="K390" s="10"/>
      <c r="L390" s="1"/>
      <c r="M390" s="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spans="3:24" ht="13" x14ac:dyDescent="0.15">
      <c r="C391" s="77"/>
      <c r="D391" s="78"/>
      <c r="E391" s="78"/>
      <c r="F391" s="79"/>
      <c r="G391" s="10"/>
      <c r="H391" s="10"/>
      <c r="I391" s="10"/>
      <c r="J391" s="1"/>
      <c r="K391" s="10"/>
      <c r="L391" s="1"/>
      <c r="M391" s="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spans="3:24" ht="13" x14ac:dyDescent="0.15">
      <c r="C392" s="77"/>
      <c r="D392" s="78"/>
      <c r="E392" s="78"/>
      <c r="F392" s="79"/>
      <c r="G392" s="10"/>
      <c r="H392" s="10"/>
      <c r="I392" s="10"/>
      <c r="J392" s="1"/>
      <c r="K392" s="10"/>
      <c r="L392" s="1"/>
      <c r="M392" s="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spans="3:24" ht="13" x14ac:dyDescent="0.15">
      <c r="C393" s="77"/>
      <c r="D393" s="78"/>
      <c r="E393" s="78"/>
      <c r="F393" s="79"/>
      <c r="G393" s="10"/>
      <c r="H393" s="10"/>
      <c r="I393" s="10"/>
      <c r="J393" s="1"/>
      <c r="K393" s="10"/>
      <c r="L393" s="1"/>
      <c r="M393" s="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spans="3:24" ht="13" x14ac:dyDescent="0.15">
      <c r="C394" s="77"/>
      <c r="D394" s="78"/>
      <c r="E394" s="78"/>
      <c r="F394" s="79"/>
      <c r="G394" s="10"/>
      <c r="H394" s="10"/>
      <c r="I394" s="10"/>
      <c r="J394" s="1"/>
      <c r="K394" s="10"/>
      <c r="L394" s="1"/>
      <c r="M394" s="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spans="3:24" ht="13" x14ac:dyDescent="0.15">
      <c r="C395" s="77"/>
      <c r="D395" s="78"/>
      <c r="E395" s="78"/>
      <c r="F395" s="79"/>
      <c r="G395" s="10"/>
      <c r="H395" s="10"/>
      <c r="I395" s="10"/>
      <c r="J395" s="1"/>
      <c r="K395" s="10"/>
      <c r="L395" s="1"/>
      <c r="M395" s="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spans="3:24" ht="13" x14ac:dyDescent="0.15">
      <c r="C396" s="77"/>
      <c r="D396" s="78"/>
      <c r="E396" s="78"/>
      <c r="F396" s="79"/>
      <c r="G396" s="10"/>
      <c r="H396" s="10"/>
      <c r="I396" s="10"/>
      <c r="J396" s="1"/>
      <c r="K396" s="10"/>
      <c r="L396" s="1"/>
      <c r="M396" s="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spans="3:24" ht="13" x14ac:dyDescent="0.15">
      <c r="C397" s="77"/>
      <c r="D397" s="78"/>
      <c r="E397" s="78"/>
      <c r="F397" s="79"/>
      <c r="G397" s="10"/>
      <c r="H397" s="10"/>
      <c r="I397" s="10"/>
      <c r="J397" s="1"/>
      <c r="K397" s="10"/>
      <c r="L397" s="1"/>
      <c r="M397" s="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spans="3:24" ht="13" x14ac:dyDescent="0.15">
      <c r="C398" s="77"/>
      <c r="D398" s="78"/>
      <c r="E398" s="78"/>
      <c r="F398" s="79"/>
      <c r="G398" s="10"/>
      <c r="H398" s="10"/>
      <c r="I398" s="10"/>
      <c r="J398" s="1"/>
      <c r="K398" s="10"/>
      <c r="L398" s="1"/>
      <c r="M398" s="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spans="3:24" ht="13" x14ac:dyDescent="0.15">
      <c r="C399" s="77"/>
      <c r="D399" s="78"/>
      <c r="E399" s="78"/>
      <c r="F399" s="79"/>
      <c r="G399" s="10"/>
      <c r="H399" s="10"/>
      <c r="I399" s="10"/>
      <c r="J399" s="1"/>
      <c r="K399" s="10"/>
      <c r="L399" s="1"/>
      <c r="M399" s="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spans="3:24" ht="13" x14ac:dyDescent="0.15">
      <c r="C400" s="77"/>
      <c r="D400" s="78"/>
      <c r="E400" s="78"/>
      <c r="F400" s="79"/>
      <c r="G400" s="10"/>
      <c r="H400" s="10"/>
      <c r="I400" s="10"/>
      <c r="J400" s="1"/>
      <c r="K400" s="10"/>
      <c r="L400" s="1"/>
      <c r="M400" s="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spans="3:24" ht="13" x14ac:dyDescent="0.15">
      <c r="C401" s="77"/>
      <c r="D401" s="78"/>
      <c r="E401" s="78"/>
      <c r="F401" s="79"/>
      <c r="G401" s="10"/>
      <c r="H401" s="10"/>
      <c r="I401" s="10"/>
      <c r="J401" s="1"/>
      <c r="K401" s="10"/>
      <c r="L401" s="1"/>
      <c r="M401" s="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spans="3:24" ht="13" x14ac:dyDescent="0.15">
      <c r="C402" s="77"/>
      <c r="D402" s="78"/>
      <c r="E402" s="78"/>
      <c r="F402" s="79"/>
      <c r="G402" s="10"/>
      <c r="H402" s="10"/>
      <c r="I402" s="10"/>
      <c r="J402" s="1"/>
      <c r="K402" s="10"/>
      <c r="L402" s="1"/>
      <c r="M402" s="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spans="3:24" ht="13" x14ac:dyDescent="0.15">
      <c r="C403" s="77"/>
      <c r="D403" s="78"/>
      <c r="E403" s="78"/>
      <c r="F403" s="79"/>
      <c r="G403" s="10"/>
      <c r="H403" s="10"/>
      <c r="I403" s="10"/>
      <c r="J403" s="1"/>
      <c r="K403" s="10"/>
      <c r="L403" s="1"/>
      <c r="M403" s="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spans="3:24" ht="13" x14ac:dyDescent="0.15">
      <c r="C404" s="77"/>
      <c r="D404" s="78"/>
      <c r="E404" s="78"/>
      <c r="F404" s="79"/>
      <c r="G404" s="10"/>
      <c r="H404" s="10"/>
      <c r="I404" s="10"/>
      <c r="J404" s="1"/>
      <c r="K404" s="10"/>
      <c r="L404" s="1"/>
      <c r="M404" s="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spans="3:24" ht="13" x14ac:dyDescent="0.15">
      <c r="C405" s="77"/>
      <c r="D405" s="78"/>
      <c r="E405" s="78"/>
      <c r="F405" s="79"/>
      <c r="G405" s="10"/>
      <c r="H405" s="10"/>
      <c r="I405" s="10"/>
      <c r="J405" s="1"/>
      <c r="K405" s="10"/>
      <c r="L405" s="1"/>
      <c r="M405" s="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spans="3:24" ht="13" x14ac:dyDescent="0.15">
      <c r="C406" s="77"/>
      <c r="D406" s="78"/>
      <c r="E406" s="78"/>
      <c r="F406" s="79"/>
      <c r="G406" s="10"/>
      <c r="H406" s="10"/>
      <c r="I406" s="10"/>
      <c r="J406" s="1"/>
      <c r="K406" s="10"/>
      <c r="L406" s="1"/>
      <c r="M406" s="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spans="3:24" ht="13" x14ac:dyDescent="0.15">
      <c r="C407" s="77"/>
      <c r="D407" s="78"/>
      <c r="E407" s="78"/>
      <c r="F407" s="79"/>
      <c r="G407" s="10"/>
      <c r="H407" s="10"/>
      <c r="I407" s="10"/>
      <c r="J407" s="1"/>
      <c r="K407" s="10"/>
      <c r="L407" s="1"/>
      <c r="M407" s="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spans="3:24" ht="13" x14ac:dyDescent="0.15">
      <c r="C408" s="77"/>
      <c r="D408" s="78"/>
      <c r="E408" s="78"/>
      <c r="F408" s="79"/>
      <c r="G408" s="10"/>
      <c r="H408" s="10"/>
      <c r="I408" s="10"/>
      <c r="J408" s="1"/>
      <c r="K408" s="10"/>
      <c r="L408" s="1"/>
      <c r="M408" s="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spans="3:24" ht="13" x14ac:dyDescent="0.15">
      <c r="C409" s="77"/>
      <c r="D409" s="78"/>
      <c r="E409" s="78"/>
      <c r="F409" s="79"/>
      <c r="G409" s="10"/>
      <c r="H409" s="10"/>
      <c r="I409" s="10"/>
      <c r="J409" s="1"/>
      <c r="K409" s="10"/>
      <c r="L409" s="1"/>
      <c r="M409" s="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spans="3:24" ht="13" x14ac:dyDescent="0.15">
      <c r="C410" s="77"/>
      <c r="D410" s="78"/>
      <c r="E410" s="78"/>
      <c r="F410" s="79"/>
      <c r="G410" s="10"/>
      <c r="H410" s="10"/>
      <c r="I410" s="10"/>
      <c r="J410" s="1"/>
      <c r="K410" s="10"/>
      <c r="L410" s="1"/>
      <c r="M410" s="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spans="3:24" ht="13" x14ac:dyDescent="0.15">
      <c r="C411" s="77"/>
      <c r="D411" s="78"/>
      <c r="E411" s="78"/>
      <c r="F411" s="79"/>
      <c r="G411" s="10"/>
      <c r="H411" s="10"/>
      <c r="I411" s="10"/>
      <c r="J411" s="1"/>
      <c r="K411" s="10"/>
      <c r="L411" s="1"/>
      <c r="M411" s="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spans="3:24" ht="13" x14ac:dyDescent="0.15">
      <c r="C412" s="77"/>
      <c r="D412" s="78"/>
      <c r="E412" s="78"/>
      <c r="F412" s="79"/>
      <c r="G412" s="10"/>
      <c r="H412" s="10"/>
      <c r="I412" s="10"/>
      <c r="J412" s="1"/>
      <c r="K412" s="10"/>
      <c r="L412" s="1"/>
      <c r="M412" s="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spans="3:24" ht="13" x14ac:dyDescent="0.15">
      <c r="C413" s="77"/>
      <c r="D413" s="78"/>
      <c r="E413" s="78"/>
      <c r="F413" s="79"/>
      <c r="G413" s="10"/>
      <c r="H413" s="10"/>
      <c r="I413" s="10"/>
      <c r="J413" s="1"/>
      <c r="K413" s="10"/>
      <c r="L413" s="1"/>
      <c r="M413" s="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spans="3:24" ht="13" x14ac:dyDescent="0.15">
      <c r="C414" s="77"/>
      <c r="D414" s="78"/>
      <c r="E414" s="78"/>
      <c r="F414" s="79"/>
      <c r="G414" s="10"/>
      <c r="H414" s="10"/>
      <c r="I414" s="10"/>
      <c r="J414" s="1"/>
      <c r="K414" s="10"/>
      <c r="L414" s="1"/>
      <c r="M414" s="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spans="3:24" ht="13" x14ac:dyDescent="0.15">
      <c r="C415" s="77"/>
      <c r="D415" s="78"/>
      <c r="E415" s="78"/>
      <c r="F415" s="79"/>
      <c r="G415" s="10"/>
      <c r="H415" s="10"/>
      <c r="I415" s="10"/>
      <c r="J415" s="1"/>
      <c r="K415" s="10"/>
      <c r="L415" s="1"/>
      <c r="M415" s="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spans="3:24" ht="13" x14ac:dyDescent="0.15">
      <c r="C416" s="77"/>
      <c r="D416" s="78"/>
      <c r="E416" s="78"/>
      <c r="F416" s="79"/>
      <c r="G416" s="10"/>
      <c r="H416" s="10"/>
      <c r="I416" s="10"/>
      <c r="J416" s="1"/>
      <c r="K416" s="10"/>
      <c r="L416" s="1"/>
      <c r="M416" s="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spans="3:24" ht="13" x14ac:dyDescent="0.15">
      <c r="C417" s="77"/>
      <c r="D417" s="78"/>
      <c r="E417" s="78"/>
      <c r="F417" s="79"/>
      <c r="G417" s="10"/>
      <c r="H417" s="10"/>
      <c r="I417" s="10"/>
      <c r="J417" s="1"/>
      <c r="K417" s="10"/>
      <c r="L417" s="1"/>
      <c r="M417" s="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spans="3:24" ht="13" x14ac:dyDescent="0.15">
      <c r="C418" s="77"/>
      <c r="D418" s="78"/>
      <c r="E418" s="78"/>
      <c r="F418" s="79"/>
      <c r="G418" s="10"/>
      <c r="H418" s="10"/>
      <c r="I418" s="10"/>
      <c r="J418" s="1"/>
      <c r="K418" s="10"/>
      <c r="L418" s="1"/>
      <c r="M418" s="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spans="3:24" ht="13" x14ac:dyDescent="0.15">
      <c r="C419" s="77"/>
      <c r="D419" s="78"/>
      <c r="E419" s="78"/>
      <c r="F419" s="79"/>
      <c r="G419" s="10"/>
      <c r="H419" s="10"/>
      <c r="I419" s="10"/>
      <c r="J419" s="1"/>
      <c r="K419" s="10"/>
      <c r="L419" s="1"/>
      <c r="M419" s="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spans="3:24" ht="13" x14ac:dyDescent="0.15">
      <c r="C420" s="77"/>
      <c r="D420" s="78"/>
      <c r="E420" s="78"/>
      <c r="F420" s="79"/>
      <c r="G420" s="10"/>
      <c r="H420" s="10"/>
      <c r="I420" s="10"/>
      <c r="J420" s="1"/>
      <c r="K420" s="10"/>
      <c r="L420" s="1"/>
      <c r="M420" s="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spans="3:24" ht="13" x14ac:dyDescent="0.15">
      <c r="C421" s="77"/>
      <c r="D421" s="78"/>
      <c r="E421" s="78"/>
      <c r="F421" s="79"/>
      <c r="G421" s="10"/>
      <c r="H421" s="10"/>
      <c r="I421" s="10"/>
      <c r="J421" s="1"/>
      <c r="K421" s="10"/>
      <c r="L421" s="1"/>
      <c r="M421" s="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spans="3:24" ht="13" x14ac:dyDescent="0.15">
      <c r="C422" s="77"/>
      <c r="D422" s="78"/>
      <c r="E422" s="78"/>
      <c r="F422" s="79"/>
      <c r="G422" s="10"/>
      <c r="H422" s="10"/>
      <c r="I422" s="10"/>
      <c r="J422" s="1"/>
      <c r="K422" s="10"/>
      <c r="L422" s="1"/>
      <c r="M422" s="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spans="3:24" ht="13" x14ac:dyDescent="0.15">
      <c r="C423" s="77"/>
      <c r="D423" s="78"/>
      <c r="E423" s="78"/>
      <c r="F423" s="79"/>
      <c r="G423" s="10"/>
      <c r="H423" s="10"/>
      <c r="I423" s="10"/>
      <c r="J423" s="1"/>
      <c r="K423" s="10"/>
      <c r="L423" s="1"/>
      <c r="M423" s="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spans="3:24" ht="13" x14ac:dyDescent="0.15">
      <c r="C424" s="77"/>
      <c r="D424" s="78"/>
      <c r="E424" s="78"/>
      <c r="F424" s="79"/>
      <c r="G424" s="10"/>
      <c r="H424" s="10"/>
      <c r="I424" s="10"/>
      <c r="J424" s="1"/>
      <c r="K424" s="10"/>
      <c r="L424" s="1"/>
      <c r="M424" s="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spans="3:24" ht="13" x14ac:dyDescent="0.15">
      <c r="C425" s="77"/>
      <c r="D425" s="78"/>
      <c r="E425" s="78"/>
      <c r="F425" s="79"/>
      <c r="G425" s="10"/>
      <c r="H425" s="10"/>
      <c r="I425" s="10"/>
      <c r="J425" s="1"/>
      <c r="K425" s="10"/>
      <c r="L425" s="1"/>
      <c r="M425" s="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spans="3:24" ht="13" x14ac:dyDescent="0.15">
      <c r="C426" s="77"/>
      <c r="D426" s="78"/>
      <c r="E426" s="78"/>
      <c r="F426" s="79"/>
      <c r="G426" s="10"/>
      <c r="H426" s="10"/>
      <c r="I426" s="10"/>
      <c r="J426" s="1"/>
      <c r="K426" s="10"/>
      <c r="L426" s="1"/>
      <c r="M426" s="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spans="3:24" ht="13" x14ac:dyDescent="0.15">
      <c r="C427" s="77"/>
      <c r="D427" s="78"/>
      <c r="E427" s="78"/>
      <c r="F427" s="79"/>
      <c r="G427" s="10"/>
      <c r="H427" s="10"/>
      <c r="I427" s="10"/>
      <c r="J427" s="1"/>
      <c r="K427" s="10"/>
      <c r="L427" s="1"/>
      <c r="M427" s="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spans="3:24" ht="13" x14ac:dyDescent="0.15">
      <c r="C428" s="77"/>
      <c r="D428" s="78"/>
      <c r="E428" s="78"/>
      <c r="F428" s="79"/>
      <c r="G428" s="10"/>
      <c r="H428" s="10"/>
      <c r="I428" s="10"/>
      <c r="J428" s="1"/>
      <c r="K428" s="10"/>
      <c r="L428" s="1"/>
      <c r="M428" s="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spans="3:24" ht="13" x14ac:dyDescent="0.15">
      <c r="C429" s="77"/>
      <c r="D429" s="78"/>
      <c r="E429" s="78"/>
      <c r="F429" s="79"/>
      <c r="G429" s="10"/>
      <c r="H429" s="10"/>
      <c r="I429" s="10"/>
      <c r="J429" s="1"/>
      <c r="K429" s="10"/>
      <c r="L429" s="1"/>
      <c r="M429" s="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spans="3:24" ht="13" x14ac:dyDescent="0.15">
      <c r="C430" s="77"/>
      <c r="D430" s="78"/>
      <c r="E430" s="78"/>
      <c r="F430" s="79"/>
      <c r="G430" s="10"/>
      <c r="H430" s="10"/>
      <c r="I430" s="10"/>
      <c r="J430" s="1"/>
      <c r="K430" s="10"/>
      <c r="L430" s="1"/>
      <c r="M430" s="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spans="3:24" ht="13" x14ac:dyDescent="0.15">
      <c r="C431" s="77"/>
      <c r="D431" s="78"/>
      <c r="E431" s="78"/>
      <c r="F431" s="79"/>
      <c r="G431" s="10"/>
      <c r="H431" s="10"/>
      <c r="I431" s="10"/>
      <c r="J431" s="1"/>
      <c r="K431" s="10"/>
      <c r="L431" s="1"/>
      <c r="M431" s="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spans="3:24" ht="13" x14ac:dyDescent="0.15">
      <c r="C432" s="77"/>
      <c r="D432" s="78"/>
      <c r="E432" s="78"/>
      <c r="F432" s="79"/>
      <c r="G432" s="10"/>
      <c r="H432" s="10"/>
      <c r="I432" s="10"/>
      <c r="J432" s="1"/>
      <c r="K432" s="10"/>
      <c r="L432" s="1"/>
      <c r="M432" s="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spans="3:24" ht="13" x14ac:dyDescent="0.15">
      <c r="C433" s="77"/>
      <c r="D433" s="78"/>
      <c r="E433" s="78"/>
      <c r="F433" s="79"/>
      <c r="G433" s="10"/>
      <c r="H433" s="10"/>
      <c r="I433" s="10"/>
      <c r="J433" s="1"/>
      <c r="K433" s="10"/>
      <c r="L433" s="1"/>
      <c r="M433" s="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spans="3:24" ht="13" x14ac:dyDescent="0.15">
      <c r="C434" s="77"/>
      <c r="D434" s="78"/>
      <c r="E434" s="78"/>
      <c r="F434" s="79"/>
      <c r="G434" s="10"/>
      <c r="H434" s="10"/>
      <c r="I434" s="10"/>
      <c r="J434" s="1"/>
      <c r="K434" s="10"/>
      <c r="L434" s="1"/>
      <c r="M434" s="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spans="3:24" ht="13" x14ac:dyDescent="0.15">
      <c r="C435" s="77"/>
      <c r="D435" s="78"/>
      <c r="E435" s="78"/>
      <c r="F435" s="79"/>
      <c r="G435" s="10"/>
      <c r="H435" s="10"/>
      <c r="I435" s="10"/>
      <c r="J435" s="1"/>
      <c r="K435" s="10"/>
      <c r="L435" s="1"/>
      <c r="M435" s="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spans="3:24" ht="13" x14ac:dyDescent="0.15">
      <c r="C436" s="77"/>
      <c r="D436" s="78"/>
      <c r="E436" s="78"/>
      <c r="F436" s="79"/>
      <c r="G436" s="10"/>
      <c r="H436" s="10"/>
      <c r="I436" s="10"/>
      <c r="J436" s="1"/>
      <c r="K436" s="10"/>
      <c r="L436" s="1"/>
      <c r="M436" s="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spans="3:24" ht="13" x14ac:dyDescent="0.15">
      <c r="C437" s="77"/>
      <c r="D437" s="78"/>
      <c r="E437" s="78"/>
      <c r="F437" s="79"/>
      <c r="G437" s="10"/>
      <c r="H437" s="10"/>
      <c r="I437" s="10"/>
      <c r="J437" s="1"/>
      <c r="K437" s="10"/>
      <c r="L437" s="1"/>
      <c r="M437" s="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spans="3:24" ht="13" x14ac:dyDescent="0.15">
      <c r="C438" s="77"/>
      <c r="D438" s="78"/>
      <c r="E438" s="78"/>
      <c r="F438" s="79"/>
      <c r="G438" s="10"/>
      <c r="H438" s="10"/>
      <c r="I438" s="10"/>
      <c r="J438" s="1"/>
      <c r="K438" s="10"/>
      <c r="L438" s="1"/>
      <c r="M438" s="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spans="3:24" ht="13" x14ac:dyDescent="0.15">
      <c r="C439" s="77"/>
      <c r="D439" s="78"/>
      <c r="E439" s="78"/>
      <c r="F439" s="79"/>
      <c r="G439" s="10"/>
      <c r="H439" s="10"/>
      <c r="I439" s="10"/>
      <c r="J439" s="1"/>
      <c r="K439" s="10"/>
      <c r="L439" s="1"/>
      <c r="M439" s="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spans="3:24" ht="13" x14ac:dyDescent="0.15">
      <c r="C440" s="77"/>
      <c r="D440" s="78"/>
      <c r="E440" s="78"/>
      <c r="F440" s="79"/>
      <c r="G440" s="10"/>
      <c r="H440" s="10"/>
      <c r="I440" s="10"/>
      <c r="J440" s="1"/>
      <c r="K440" s="10"/>
      <c r="L440" s="1"/>
      <c r="M440" s="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spans="3:24" ht="13" x14ac:dyDescent="0.15">
      <c r="C441" s="77"/>
      <c r="D441" s="78"/>
      <c r="E441" s="78"/>
      <c r="F441" s="79"/>
      <c r="G441" s="10"/>
      <c r="H441" s="10"/>
      <c r="I441" s="10"/>
      <c r="J441" s="1"/>
      <c r="K441" s="10"/>
      <c r="L441" s="1"/>
      <c r="M441" s="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spans="3:24" ht="13" x14ac:dyDescent="0.15">
      <c r="C442" s="77"/>
      <c r="D442" s="78"/>
      <c r="E442" s="78"/>
      <c r="F442" s="79"/>
      <c r="G442" s="10"/>
      <c r="H442" s="10"/>
      <c r="I442" s="10"/>
      <c r="J442" s="1"/>
      <c r="K442" s="10"/>
      <c r="L442" s="1"/>
      <c r="M442" s="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spans="3:24" ht="13" x14ac:dyDescent="0.15">
      <c r="C443" s="77"/>
      <c r="D443" s="78"/>
      <c r="E443" s="78"/>
      <c r="F443" s="79"/>
      <c r="G443" s="10"/>
      <c r="H443" s="10"/>
      <c r="I443" s="10"/>
      <c r="J443" s="1"/>
      <c r="K443" s="10"/>
      <c r="L443" s="1"/>
      <c r="M443" s="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spans="3:24" ht="13" x14ac:dyDescent="0.15">
      <c r="C444" s="77"/>
      <c r="D444" s="78"/>
      <c r="E444" s="78"/>
      <c r="F444" s="79"/>
      <c r="G444" s="10"/>
      <c r="H444" s="10"/>
      <c r="I444" s="10"/>
      <c r="J444" s="1"/>
      <c r="K444" s="10"/>
      <c r="L444" s="1"/>
      <c r="M444" s="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spans="3:24" ht="13" x14ac:dyDescent="0.15">
      <c r="C445" s="77"/>
      <c r="D445" s="78"/>
      <c r="E445" s="78"/>
      <c r="F445" s="79"/>
      <c r="G445" s="10"/>
      <c r="H445" s="10"/>
      <c r="I445" s="10"/>
      <c r="J445" s="1"/>
      <c r="K445" s="10"/>
      <c r="L445" s="1"/>
      <c r="M445" s="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spans="3:24" ht="13" x14ac:dyDescent="0.15">
      <c r="C446" s="77"/>
      <c r="D446" s="78"/>
      <c r="E446" s="78"/>
      <c r="F446" s="79"/>
      <c r="G446" s="10"/>
      <c r="H446" s="10"/>
      <c r="I446" s="10"/>
      <c r="J446" s="1"/>
      <c r="K446" s="10"/>
      <c r="L446" s="1"/>
      <c r="M446" s="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spans="3:24" ht="13" x14ac:dyDescent="0.15">
      <c r="C447" s="77"/>
      <c r="D447" s="78"/>
      <c r="E447" s="78"/>
      <c r="F447" s="79"/>
      <c r="G447" s="10"/>
      <c r="H447" s="10"/>
      <c r="I447" s="10"/>
      <c r="J447" s="1"/>
      <c r="K447" s="10"/>
      <c r="L447" s="1"/>
      <c r="M447" s="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spans="3:24" ht="13" x14ac:dyDescent="0.15">
      <c r="C448" s="77"/>
      <c r="D448" s="78"/>
      <c r="E448" s="78"/>
      <c r="F448" s="79"/>
      <c r="G448" s="10"/>
      <c r="H448" s="10"/>
      <c r="I448" s="10"/>
      <c r="J448" s="1"/>
      <c r="K448" s="10"/>
      <c r="L448" s="1"/>
      <c r="M448" s="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spans="3:24" ht="13" x14ac:dyDescent="0.15">
      <c r="C449" s="77"/>
      <c r="D449" s="78"/>
      <c r="E449" s="78"/>
      <c r="F449" s="79"/>
      <c r="G449" s="10"/>
      <c r="H449" s="10"/>
      <c r="I449" s="10"/>
      <c r="J449" s="1"/>
      <c r="K449" s="10"/>
      <c r="L449" s="1"/>
      <c r="M449" s="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spans="3:24" ht="13" x14ac:dyDescent="0.15">
      <c r="C450" s="77"/>
      <c r="D450" s="78"/>
      <c r="E450" s="78"/>
      <c r="F450" s="79"/>
      <c r="G450" s="10"/>
      <c r="H450" s="10"/>
      <c r="I450" s="10"/>
      <c r="J450" s="1"/>
      <c r="K450" s="10"/>
      <c r="L450" s="1"/>
      <c r="M450" s="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spans="3:24" ht="13" x14ac:dyDescent="0.15">
      <c r="C451" s="77"/>
      <c r="D451" s="78"/>
      <c r="E451" s="78"/>
      <c r="F451" s="79"/>
      <c r="G451" s="10"/>
      <c r="H451" s="10"/>
      <c r="I451" s="10"/>
      <c r="J451" s="1"/>
      <c r="K451" s="10"/>
      <c r="L451" s="1"/>
      <c r="M451" s="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spans="3:24" ht="13" x14ac:dyDescent="0.15">
      <c r="C452" s="77"/>
      <c r="D452" s="78"/>
      <c r="E452" s="78"/>
      <c r="F452" s="79"/>
      <c r="G452" s="10"/>
      <c r="H452" s="10"/>
      <c r="I452" s="10"/>
      <c r="J452" s="1"/>
      <c r="K452" s="10"/>
      <c r="L452" s="1"/>
      <c r="M452" s="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spans="3:24" ht="13" x14ac:dyDescent="0.15">
      <c r="C453" s="77"/>
      <c r="D453" s="78"/>
      <c r="E453" s="78"/>
      <c r="F453" s="79"/>
      <c r="G453" s="10"/>
      <c r="H453" s="10"/>
      <c r="I453" s="10"/>
      <c r="J453" s="1"/>
      <c r="K453" s="10"/>
      <c r="L453" s="1"/>
      <c r="M453" s="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spans="3:24" ht="13" x14ac:dyDescent="0.15">
      <c r="C454" s="77"/>
      <c r="D454" s="78"/>
      <c r="E454" s="78"/>
      <c r="F454" s="79"/>
      <c r="G454" s="10"/>
      <c r="H454" s="10"/>
      <c r="I454" s="10"/>
      <c r="J454" s="1"/>
      <c r="K454" s="10"/>
      <c r="L454" s="1"/>
      <c r="M454" s="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spans="3:24" ht="13" x14ac:dyDescent="0.15">
      <c r="C455" s="77"/>
      <c r="D455" s="78"/>
      <c r="E455" s="78"/>
      <c r="F455" s="79"/>
      <c r="G455" s="10"/>
      <c r="H455" s="10"/>
      <c r="I455" s="10"/>
      <c r="J455" s="1"/>
      <c r="K455" s="10"/>
      <c r="L455" s="1"/>
      <c r="M455" s="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spans="3:24" ht="13" x14ac:dyDescent="0.15">
      <c r="C456" s="77"/>
      <c r="D456" s="78"/>
      <c r="E456" s="78"/>
      <c r="F456" s="79"/>
      <c r="G456" s="10"/>
      <c r="H456" s="10"/>
      <c r="I456" s="10"/>
      <c r="J456" s="1"/>
      <c r="K456" s="10"/>
      <c r="L456" s="1"/>
      <c r="M456" s="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spans="3:24" ht="13" x14ac:dyDescent="0.15">
      <c r="C457" s="77"/>
      <c r="D457" s="78"/>
      <c r="E457" s="78"/>
      <c r="F457" s="79"/>
      <c r="G457" s="10"/>
      <c r="H457" s="10"/>
      <c r="I457" s="10"/>
      <c r="J457" s="1"/>
      <c r="K457" s="10"/>
      <c r="L457" s="1"/>
      <c r="M457" s="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spans="3:24" ht="13" x14ac:dyDescent="0.15">
      <c r="C458" s="77"/>
      <c r="D458" s="78"/>
      <c r="E458" s="78"/>
      <c r="F458" s="79"/>
      <c r="G458" s="10"/>
      <c r="H458" s="10"/>
      <c r="I458" s="10"/>
      <c r="J458" s="1"/>
      <c r="K458" s="10"/>
      <c r="L458" s="1"/>
      <c r="M458" s="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spans="3:24" ht="13" x14ac:dyDescent="0.15">
      <c r="C459" s="77"/>
      <c r="D459" s="78"/>
      <c r="E459" s="78"/>
      <c r="F459" s="79"/>
      <c r="G459" s="10"/>
      <c r="H459" s="10"/>
      <c r="I459" s="10"/>
      <c r="J459" s="1"/>
      <c r="K459" s="10"/>
      <c r="L459" s="1"/>
      <c r="M459" s="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spans="3:24" ht="13" x14ac:dyDescent="0.15">
      <c r="C460" s="77"/>
      <c r="D460" s="78"/>
      <c r="E460" s="78"/>
      <c r="F460" s="79"/>
      <c r="G460" s="10"/>
      <c r="H460" s="10"/>
      <c r="I460" s="10"/>
      <c r="J460" s="1"/>
      <c r="K460" s="10"/>
      <c r="L460" s="1"/>
      <c r="M460" s="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spans="3:24" ht="13" x14ac:dyDescent="0.15">
      <c r="C461" s="77"/>
      <c r="D461" s="78"/>
      <c r="E461" s="78"/>
      <c r="F461" s="79"/>
      <c r="G461" s="10"/>
      <c r="H461" s="10"/>
      <c r="I461" s="10"/>
      <c r="J461" s="1"/>
      <c r="K461" s="10"/>
      <c r="L461" s="1"/>
      <c r="M461" s="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spans="3:24" ht="13" x14ac:dyDescent="0.15">
      <c r="C462" s="77"/>
      <c r="D462" s="78"/>
      <c r="E462" s="78"/>
      <c r="F462" s="79"/>
      <c r="G462" s="10"/>
      <c r="H462" s="10"/>
      <c r="I462" s="10"/>
      <c r="J462" s="1"/>
      <c r="K462" s="10"/>
      <c r="L462" s="1"/>
      <c r="M462" s="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spans="3:24" ht="13" x14ac:dyDescent="0.15">
      <c r="C463" s="77"/>
      <c r="D463" s="78"/>
      <c r="E463" s="78"/>
      <c r="F463" s="79"/>
      <c r="G463" s="10"/>
      <c r="H463" s="10"/>
      <c r="I463" s="10"/>
      <c r="J463" s="1"/>
      <c r="K463" s="10"/>
      <c r="L463" s="1"/>
      <c r="M463" s="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spans="3:24" ht="13" x14ac:dyDescent="0.15">
      <c r="C464" s="77"/>
      <c r="D464" s="78"/>
      <c r="E464" s="78"/>
      <c r="F464" s="79"/>
      <c r="G464" s="10"/>
      <c r="H464" s="10"/>
      <c r="I464" s="10"/>
      <c r="J464" s="1"/>
      <c r="K464" s="10"/>
      <c r="L464" s="1"/>
      <c r="M464" s="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spans="3:24" ht="13" x14ac:dyDescent="0.15">
      <c r="C465" s="77"/>
      <c r="D465" s="78"/>
      <c r="E465" s="78"/>
      <c r="F465" s="79"/>
      <c r="G465" s="10"/>
      <c r="H465" s="10"/>
      <c r="I465" s="10"/>
      <c r="J465" s="1"/>
      <c r="K465" s="10"/>
      <c r="L465" s="1"/>
      <c r="M465" s="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spans="3:24" ht="13" x14ac:dyDescent="0.15">
      <c r="C466" s="77"/>
      <c r="D466" s="78"/>
      <c r="E466" s="78"/>
      <c r="F466" s="79"/>
      <c r="G466" s="10"/>
      <c r="H466" s="10"/>
      <c r="I466" s="10"/>
      <c r="J466" s="1"/>
      <c r="K466" s="10"/>
      <c r="L466" s="1"/>
      <c r="M466" s="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spans="3:24" ht="13" x14ac:dyDescent="0.15">
      <c r="C467" s="77"/>
      <c r="D467" s="78"/>
      <c r="E467" s="78"/>
      <c r="F467" s="79"/>
      <c r="G467" s="10"/>
      <c r="H467" s="10"/>
      <c r="I467" s="10"/>
      <c r="J467" s="1"/>
      <c r="K467" s="10"/>
      <c r="L467" s="1"/>
      <c r="M467" s="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spans="3:24" ht="13" x14ac:dyDescent="0.15">
      <c r="C468" s="77"/>
      <c r="D468" s="78"/>
      <c r="E468" s="78"/>
      <c r="F468" s="79"/>
      <c r="G468" s="10"/>
      <c r="H468" s="10"/>
      <c r="I468" s="10"/>
      <c r="J468" s="1"/>
      <c r="K468" s="10"/>
      <c r="L468" s="1"/>
      <c r="M468" s="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spans="3:24" ht="13" x14ac:dyDescent="0.15">
      <c r="C469" s="77"/>
      <c r="D469" s="78"/>
      <c r="E469" s="78"/>
      <c r="F469" s="79"/>
      <c r="G469" s="10"/>
      <c r="H469" s="10"/>
      <c r="I469" s="10"/>
      <c r="J469" s="1"/>
      <c r="K469" s="10"/>
      <c r="L469" s="1"/>
      <c r="M469" s="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spans="3:24" ht="13" x14ac:dyDescent="0.15">
      <c r="C470" s="77"/>
      <c r="D470" s="78"/>
      <c r="E470" s="78"/>
      <c r="F470" s="79"/>
      <c r="G470" s="10"/>
      <c r="H470" s="10"/>
      <c r="I470" s="10"/>
      <c r="J470" s="1"/>
      <c r="K470" s="10"/>
      <c r="L470" s="1"/>
      <c r="M470" s="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spans="3:24" ht="13" x14ac:dyDescent="0.15">
      <c r="C471" s="77"/>
      <c r="D471" s="78"/>
      <c r="E471" s="78"/>
      <c r="F471" s="79"/>
      <c r="G471" s="10"/>
      <c r="H471" s="10"/>
      <c r="I471" s="10"/>
      <c r="J471" s="1"/>
      <c r="K471" s="10"/>
      <c r="L471" s="1"/>
      <c r="M471" s="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spans="3:24" ht="13" x14ac:dyDescent="0.15">
      <c r="C472" s="77"/>
      <c r="D472" s="78"/>
      <c r="E472" s="78"/>
      <c r="F472" s="79"/>
      <c r="G472" s="10"/>
      <c r="H472" s="10"/>
      <c r="I472" s="10"/>
      <c r="J472" s="1"/>
      <c r="K472" s="10"/>
      <c r="L472" s="1"/>
      <c r="M472" s="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spans="3:24" ht="13" x14ac:dyDescent="0.15">
      <c r="C473" s="77"/>
      <c r="D473" s="78"/>
      <c r="E473" s="78"/>
      <c r="F473" s="79"/>
      <c r="G473" s="10"/>
      <c r="H473" s="10"/>
      <c r="I473" s="10"/>
      <c r="J473" s="1"/>
      <c r="K473" s="10"/>
      <c r="L473" s="1"/>
      <c r="M473" s="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spans="3:24" ht="13" x14ac:dyDescent="0.15">
      <c r="C474" s="77"/>
      <c r="D474" s="78"/>
      <c r="E474" s="78"/>
      <c r="F474" s="79"/>
      <c r="G474" s="10"/>
      <c r="H474" s="10"/>
      <c r="I474" s="10"/>
      <c r="J474" s="1"/>
      <c r="K474" s="10"/>
      <c r="L474" s="1"/>
      <c r="M474" s="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spans="3:24" ht="13" x14ac:dyDescent="0.15">
      <c r="C475" s="77"/>
      <c r="D475" s="78"/>
      <c r="E475" s="78"/>
      <c r="F475" s="79"/>
      <c r="G475" s="10"/>
      <c r="H475" s="10"/>
      <c r="I475" s="10"/>
      <c r="J475" s="1"/>
      <c r="K475" s="10"/>
      <c r="L475" s="1"/>
      <c r="M475" s="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spans="3:24" ht="13" x14ac:dyDescent="0.15">
      <c r="C476" s="77"/>
      <c r="D476" s="78"/>
      <c r="E476" s="78"/>
      <c r="F476" s="79"/>
      <c r="G476" s="10"/>
      <c r="H476" s="10"/>
      <c r="I476" s="10"/>
      <c r="J476" s="1"/>
      <c r="K476" s="10"/>
      <c r="L476" s="1"/>
      <c r="M476" s="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spans="3:24" ht="13" x14ac:dyDescent="0.15">
      <c r="C477" s="77"/>
      <c r="D477" s="78"/>
      <c r="E477" s="78"/>
      <c r="F477" s="79"/>
      <c r="G477" s="10"/>
      <c r="H477" s="10"/>
      <c r="I477" s="10"/>
      <c r="J477" s="1"/>
      <c r="K477" s="10"/>
      <c r="L477" s="1"/>
      <c r="M477" s="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spans="3:24" ht="13" x14ac:dyDescent="0.15">
      <c r="C478" s="77"/>
      <c r="D478" s="78"/>
      <c r="E478" s="78"/>
      <c r="F478" s="79"/>
      <c r="G478" s="10"/>
      <c r="H478" s="10"/>
      <c r="I478" s="10"/>
      <c r="J478" s="1"/>
      <c r="K478" s="10"/>
      <c r="L478" s="1"/>
      <c r="M478" s="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spans="3:24" ht="13" x14ac:dyDescent="0.15">
      <c r="C479" s="77"/>
      <c r="D479" s="78"/>
      <c r="E479" s="78"/>
      <c r="F479" s="79"/>
      <c r="G479" s="10"/>
      <c r="H479" s="10"/>
      <c r="I479" s="10"/>
      <c r="J479" s="1"/>
      <c r="K479" s="10"/>
      <c r="L479" s="1"/>
      <c r="M479" s="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spans="3:24" ht="13" x14ac:dyDescent="0.15">
      <c r="C480" s="77"/>
      <c r="D480" s="78"/>
      <c r="E480" s="78"/>
      <c r="F480" s="79"/>
      <c r="G480" s="10"/>
      <c r="H480" s="10"/>
      <c r="I480" s="10"/>
      <c r="J480" s="1"/>
      <c r="K480" s="10"/>
      <c r="L480" s="1"/>
      <c r="M480" s="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spans="3:24" ht="13" x14ac:dyDescent="0.15">
      <c r="C481" s="77"/>
      <c r="D481" s="78"/>
      <c r="E481" s="78"/>
      <c r="F481" s="79"/>
      <c r="G481" s="10"/>
      <c r="H481" s="10"/>
      <c r="I481" s="10"/>
      <c r="J481" s="1"/>
      <c r="K481" s="10"/>
      <c r="L481" s="1"/>
      <c r="M481" s="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spans="3:24" ht="13" x14ac:dyDescent="0.15">
      <c r="C482" s="77"/>
      <c r="D482" s="78"/>
      <c r="E482" s="78"/>
      <c r="F482" s="79"/>
      <c r="G482" s="10"/>
      <c r="H482" s="10"/>
      <c r="I482" s="10"/>
      <c r="J482" s="1"/>
      <c r="K482" s="10"/>
      <c r="L482" s="1"/>
      <c r="M482" s="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spans="3:24" ht="13" x14ac:dyDescent="0.15">
      <c r="C483" s="77"/>
      <c r="D483" s="78"/>
      <c r="E483" s="78"/>
      <c r="F483" s="79"/>
      <c r="G483" s="10"/>
      <c r="H483" s="10"/>
      <c r="I483" s="10"/>
      <c r="J483" s="1"/>
      <c r="K483" s="10"/>
      <c r="L483" s="1"/>
      <c r="M483" s="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spans="3:24" ht="13" x14ac:dyDescent="0.15">
      <c r="C484" s="77"/>
      <c r="D484" s="78"/>
      <c r="E484" s="78"/>
      <c r="F484" s="79"/>
      <c r="G484" s="10"/>
      <c r="H484" s="10"/>
      <c r="I484" s="10"/>
      <c r="J484" s="1"/>
      <c r="K484" s="10"/>
      <c r="L484" s="1"/>
      <c r="M484" s="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spans="3:24" ht="13" x14ac:dyDescent="0.15">
      <c r="C485" s="77"/>
      <c r="D485" s="78"/>
      <c r="E485" s="78"/>
      <c r="F485" s="79"/>
      <c r="G485" s="10"/>
      <c r="H485" s="10"/>
      <c r="I485" s="10"/>
      <c r="J485" s="1"/>
      <c r="K485" s="10"/>
      <c r="L485" s="1"/>
      <c r="M485" s="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spans="3:24" ht="13" x14ac:dyDescent="0.15">
      <c r="C486" s="77"/>
      <c r="D486" s="78"/>
      <c r="E486" s="78"/>
      <c r="F486" s="79"/>
      <c r="G486" s="10"/>
      <c r="H486" s="10"/>
      <c r="I486" s="10"/>
      <c r="J486" s="1"/>
      <c r="K486" s="10"/>
      <c r="L486" s="1"/>
      <c r="M486" s="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spans="3:24" ht="13" x14ac:dyDescent="0.15">
      <c r="C487" s="77"/>
      <c r="D487" s="78"/>
      <c r="E487" s="78"/>
      <c r="F487" s="79"/>
      <c r="G487" s="10"/>
      <c r="H487" s="10"/>
      <c r="I487" s="10"/>
      <c r="J487" s="1"/>
      <c r="K487" s="10"/>
      <c r="L487" s="1"/>
      <c r="M487" s="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spans="3:24" ht="13" x14ac:dyDescent="0.15">
      <c r="C488" s="77"/>
      <c r="D488" s="78"/>
      <c r="E488" s="78"/>
      <c r="F488" s="79"/>
      <c r="G488" s="10"/>
      <c r="H488" s="10"/>
      <c r="I488" s="10"/>
      <c r="J488" s="1"/>
      <c r="K488" s="10"/>
      <c r="L488" s="1"/>
      <c r="M488" s="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spans="3:24" ht="13" x14ac:dyDescent="0.15">
      <c r="C489" s="77"/>
      <c r="D489" s="78"/>
      <c r="E489" s="78"/>
      <c r="F489" s="79"/>
      <c r="G489" s="10"/>
      <c r="H489" s="10"/>
      <c r="I489" s="10"/>
      <c r="J489" s="1"/>
      <c r="K489" s="10"/>
      <c r="L489" s="1"/>
      <c r="M489" s="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spans="3:24" ht="13" x14ac:dyDescent="0.15">
      <c r="C490" s="77"/>
      <c r="D490" s="78"/>
      <c r="E490" s="78"/>
      <c r="F490" s="79"/>
      <c r="G490" s="10"/>
      <c r="H490" s="10"/>
      <c r="I490" s="10"/>
      <c r="J490" s="1"/>
      <c r="K490" s="10"/>
      <c r="L490" s="1"/>
      <c r="M490" s="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spans="3:24" ht="13" x14ac:dyDescent="0.15">
      <c r="C491" s="77"/>
      <c r="D491" s="78"/>
      <c r="E491" s="78"/>
      <c r="F491" s="79"/>
      <c r="G491" s="10"/>
      <c r="H491" s="10"/>
      <c r="I491" s="10"/>
      <c r="J491" s="1"/>
      <c r="K491" s="10"/>
      <c r="L491" s="1"/>
      <c r="M491" s="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spans="3:24" ht="13" x14ac:dyDescent="0.15">
      <c r="C492" s="77"/>
      <c r="D492" s="78"/>
      <c r="E492" s="78"/>
      <c r="F492" s="79"/>
      <c r="G492" s="10"/>
      <c r="H492" s="10"/>
      <c r="I492" s="10"/>
      <c r="J492" s="1"/>
      <c r="K492" s="10"/>
      <c r="L492" s="1"/>
      <c r="M492" s="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spans="3:24" ht="13" x14ac:dyDescent="0.15">
      <c r="C493" s="77"/>
      <c r="D493" s="78"/>
      <c r="E493" s="78"/>
      <c r="F493" s="79"/>
      <c r="G493" s="10"/>
      <c r="H493" s="10"/>
      <c r="I493" s="10"/>
      <c r="J493" s="1"/>
      <c r="K493" s="10"/>
      <c r="L493" s="1"/>
      <c r="M493" s="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spans="3:24" ht="13" x14ac:dyDescent="0.15">
      <c r="C494" s="77"/>
      <c r="D494" s="78"/>
      <c r="E494" s="78"/>
      <c r="F494" s="79"/>
      <c r="G494" s="10"/>
      <c r="H494" s="10"/>
      <c r="I494" s="10"/>
      <c r="J494" s="1"/>
      <c r="K494" s="10"/>
      <c r="L494" s="1"/>
      <c r="M494" s="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spans="3:24" ht="13" x14ac:dyDescent="0.15">
      <c r="C495" s="77"/>
      <c r="D495" s="78"/>
      <c r="E495" s="78"/>
      <c r="F495" s="79"/>
      <c r="G495" s="10"/>
      <c r="H495" s="10"/>
      <c r="I495" s="10"/>
      <c r="J495" s="1"/>
      <c r="K495" s="10"/>
      <c r="L495" s="1"/>
      <c r="M495" s="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spans="3:24" ht="13" x14ac:dyDescent="0.15">
      <c r="C496" s="77"/>
      <c r="D496" s="78"/>
      <c r="E496" s="78"/>
      <c r="F496" s="79"/>
      <c r="G496" s="10"/>
      <c r="H496" s="10"/>
      <c r="I496" s="10"/>
      <c r="J496" s="1"/>
      <c r="K496" s="10"/>
      <c r="L496" s="1"/>
      <c r="M496" s="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spans="3:24" ht="13" x14ac:dyDescent="0.15">
      <c r="C497" s="77"/>
      <c r="D497" s="78"/>
      <c r="E497" s="78"/>
      <c r="F497" s="79"/>
      <c r="G497" s="10"/>
      <c r="H497" s="10"/>
      <c r="I497" s="10"/>
      <c r="J497" s="1"/>
      <c r="K497" s="10"/>
      <c r="L497" s="1"/>
      <c r="M497" s="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spans="3:24" ht="13" x14ac:dyDescent="0.15">
      <c r="C498" s="77"/>
      <c r="D498" s="78"/>
      <c r="E498" s="78"/>
      <c r="F498" s="79"/>
      <c r="G498" s="10"/>
      <c r="H498" s="10"/>
      <c r="I498" s="10"/>
      <c r="J498" s="1"/>
      <c r="K498" s="10"/>
      <c r="L498" s="1"/>
      <c r="M498" s="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spans="3:24" ht="13" x14ac:dyDescent="0.15">
      <c r="C499" s="77"/>
      <c r="D499" s="78"/>
      <c r="E499" s="78"/>
      <c r="F499" s="79"/>
      <c r="G499" s="10"/>
      <c r="H499" s="10"/>
      <c r="I499" s="10"/>
      <c r="J499" s="1"/>
      <c r="K499" s="10"/>
      <c r="L499" s="1"/>
      <c r="M499" s="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spans="3:24" ht="13" x14ac:dyDescent="0.15">
      <c r="C500" s="77"/>
      <c r="D500" s="78"/>
      <c r="E500" s="78"/>
      <c r="F500" s="79"/>
      <c r="G500" s="10"/>
      <c r="H500" s="10"/>
      <c r="I500" s="10"/>
      <c r="J500" s="1"/>
      <c r="K500" s="10"/>
      <c r="L500" s="1"/>
      <c r="M500" s="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spans="3:24" ht="13" x14ac:dyDescent="0.15">
      <c r="C501" s="77"/>
      <c r="D501" s="78"/>
      <c r="E501" s="78"/>
      <c r="F501" s="79"/>
      <c r="G501" s="10"/>
      <c r="H501" s="10"/>
      <c r="I501" s="10"/>
      <c r="J501" s="1"/>
      <c r="K501" s="10"/>
      <c r="L501" s="1"/>
      <c r="M501" s="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spans="3:24" ht="13" x14ac:dyDescent="0.15">
      <c r="C502" s="77"/>
      <c r="D502" s="78"/>
      <c r="E502" s="78"/>
      <c r="F502" s="79"/>
      <c r="G502" s="10"/>
      <c r="H502" s="10"/>
      <c r="I502" s="10"/>
      <c r="J502" s="1"/>
      <c r="K502" s="10"/>
      <c r="L502" s="1"/>
      <c r="M502" s="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spans="3:24" ht="13" x14ac:dyDescent="0.15">
      <c r="C503" s="77"/>
      <c r="D503" s="78"/>
      <c r="E503" s="78"/>
      <c r="F503" s="79"/>
      <c r="G503" s="10"/>
      <c r="H503" s="10"/>
      <c r="I503" s="10"/>
      <c r="J503" s="1"/>
      <c r="K503" s="10"/>
      <c r="L503" s="1"/>
      <c r="M503" s="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spans="3:24" ht="13" x14ac:dyDescent="0.15">
      <c r="C504" s="77"/>
      <c r="D504" s="78"/>
      <c r="E504" s="78"/>
      <c r="F504" s="79"/>
      <c r="G504" s="10"/>
      <c r="H504" s="10"/>
      <c r="I504" s="10"/>
      <c r="J504" s="1"/>
      <c r="K504" s="10"/>
      <c r="L504" s="1"/>
      <c r="M504" s="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spans="3:24" ht="13" x14ac:dyDescent="0.15">
      <c r="C505" s="77"/>
      <c r="D505" s="78"/>
      <c r="E505" s="78"/>
      <c r="F505" s="79"/>
      <c r="G505" s="10"/>
      <c r="H505" s="10"/>
      <c r="I505" s="10"/>
      <c r="J505" s="1"/>
      <c r="K505" s="10"/>
      <c r="L505" s="1"/>
      <c r="M505" s="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spans="3:24" ht="13" x14ac:dyDescent="0.15">
      <c r="C506" s="77"/>
      <c r="D506" s="78"/>
      <c r="E506" s="78"/>
      <c r="F506" s="79"/>
      <c r="G506" s="10"/>
      <c r="H506" s="10"/>
      <c r="I506" s="10"/>
      <c r="J506" s="1"/>
      <c r="K506" s="10"/>
      <c r="L506" s="1"/>
      <c r="M506" s="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spans="3:24" ht="13" x14ac:dyDescent="0.15">
      <c r="C507" s="77"/>
      <c r="D507" s="78"/>
      <c r="E507" s="78"/>
      <c r="F507" s="79"/>
      <c r="G507" s="10"/>
      <c r="H507" s="10"/>
      <c r="I507" s="10"/>
      <c r="J507" s="1"/>
      <c r="K507" s="10"/>
      <c r="L507" s="1"/>
      <c r="M507" s="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spans="3:24" ht="13" x14ac:dyDescent="0.15">
      <c r="C508" s="77"/>
      <c r="D508" s="78"/>
      <c r="E508" s="78"/>
      <c r="F508" s="79"/>
      <c r="G508" s="10"/>
      <c r="H508" s="10"/>
      <c r="I508" s="10"/>
      <c r="J508" s="1"/>
      <c r="K508" s="10"/>
      <c r="L508" s="1"/>
      <c r="M508" s="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spans="3:24" ht="13" x14ac:dyDescent="0.15">
      <c r="C509" s="77"/>
      <c r="D509" s="78"/>
      <c r="E509" s="78"/>
      <c r="F509" s="79"/>
      <c r="G509" s="10"/>
      <c r="H509" s="10"/>
      <c r="I509" s="10"/>
      <c r="J509" s="1"/>
      <c r="K509" s="10"/>
      <c r="L509" s="1"/>
      <c r="M509" s="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spans="3:24" ht="13" x14ac:dyDescent="0.15">
      <c r="C510" s="77"/>
      <c r="D510" s="78"/>
      <c r="E510" s="78"/>
      <c r="F510" s="79"/>
      <c r="G510" s="10"/>
      <c r="H510" s="10"/>
      <c r="I510" s="10"/>
      <c r="J510" s="1"/>
      <c r="K510" s="10"/>
      <c r="L510" s="1"/>
      <c r="M510" s="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spans="3:24" ht="13" x14ac:dyDescent="0.15">
      <c r="C511" s="77"/>
      <c r="D511" s="78"/>
      <c r="E511" s="78"/>
      <c r="F511" s="79"/>
      <c r="G511" s="10"/>
      <c r="H511" s="10"/>
      <c r="I511" s="10"/>
      <c r="J511" s="1"/>
      <c r="K511" s="10"/>
      <c r="L511" s="1"/>
      <c r="M511" s="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spans="3:24" ht="13" x14ac:dyDescent="0.15">
      <c r="C512" s="77"/>
      <c r="D512" s="78"/>
      <c r="E512" s="78"/>
      <c r="F512" s="79"/>
      <c r="G512" s="10"/>
      <c r="H512" s="10"/>
      <c r="I512" s="10"/>
      <c r="J512" s="1"/>
      <c r="K512" s="10"/>
      <c r="L512" s="1"/>
      <c r="M512" s="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spans="3:24" ht="13" x14ac:dyDescent="0.15">
      <c r="C513" s="77"/>
      <c r="D513" s="78"/>
      <c r="E513" s="78"/>
      <c r="F513" s="79"/>
      <c r="G513" s="10"/>
      <c r="H513" s="10"/>
      <c r="I513" s="10"/>
      <c r="J513" s="1"/>
      <c r="K513" s="10"/>
      <c r="L513" s="1"/>
      <c r="M513" s="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spans="3:24" ht="13" x14ac:dyDescent="0.15">
      <c r="C514" s="77"/>
      <c r="D514" s="78"/>
      <c r="E514" s="78"/>
      <c r="F514" s="79"/>
      <c r="G514" s="10"/>
      <c r="H514" s="10"/>
      <c r="I514" s="10"/>
      <c r="J514" s="1"/>
      <c r="K514" s="10"/>
      <c r="L514" s="1"/>
      <c r="M514" s="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spans="3:24" ht="13" x14ac:dyDescent="0.15">
      <c r="C515" s="77"/>
      <c r="D515" s="78"/>
      <c r="E515" s="78"/>
      <c r="F515" s="79"/>
      <c r="G515" s="10"/>
      <c r="H515" s="10"/>
      <c r="I515" s="10"/>
      <c r="J515" s="1"/>
      <c r="K515" s="10"/>
      <c r="L515" s="1"/>
      <c r="M515" s="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spans="3:24" ht="13" x14ac:dyDescent="0.15">
      <c r="C516" s="77"/>
      <c r="D516" s="78"/>
      <c r="E516" s="78"/>
      <c r="F516" s="79"/>
      <c r="G516" s="10"/>
      <c r="H516" s="10"/>
      <c r="I516" s="10"/>
      <c r="J516" s="1"/>
      <c r="K516" s="10"/>
      <c r="L516" s="1"/>
      <c r="M516" s="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spans="3:24" ht="13" x14ac:dyDescent="0.15">
      <c r="C517" s="77"/>
      <c r="D517" s="78"/>
      <c r="E517" s="78"/>
      <c r="F517" s="79"/>
      <c r="G517" s="10"/>
      <c r="H517" s="10"/>
      <c r="I517" s="10"/>
      <c r="J517" s="1"/>
      <c r="K517" s="10"/>
      <c r="L517" s="1"/>
      <c r="M517" s="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spans="3:24" ht="13" x14ac:dyDescent="0.15">
      <c r="C518" s="77"/>
      <c r="D518" s="78"/>
      <c r="E518" s="78"/>
      <c r="F518" s="79"/>
      <c r="G518" s="10"/>
      <c r="H518" s="10"/>
      <c r="I518" s="10"/>
      <c r="J518" s="1"/>
      <c r="K518" s="10"/>
      <c r="L518" s="1"/>
      <c r="M518" s="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spans="3:24" ht="13" x14ac:dyDescent="0.15">
      <c r="C519" s="77"/>
      <c r="D519" s="78"/>
      <c r="E519" s="78"/>
      <c r="F519" s="79"/>
      <c r="G519" s="10"/>
      <c r="H519" s="10"/>
      <c r="I519" s="10"/>
      <c r="J519" s="1"/>
      <c r="K519" s="10"/>
      <c r="L519" s="1"/>
      <c r="M519" s="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spans="3:24" ht="13" x14ac:dyDescent="0.15">
      <c r="C520" s="77"/>
      <c r="D520" s="78"/>
      <c r="E520" s="78"/>
      <c r="F520" s="79"/>
      <c r="G520" s="10"/>
      <c r="H520" s="10"/>
      <c r="I520" s="10"/>
      <c r="J520" s="1"/>
      <c r="K520" s="10"/>
      <c r="L520" s="1"/>
      <c r="M520" s="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spans="3:24" ht="13" x14ac:dyDescent="0.15">
      <c r="C521" s="77"/>
      <c r="D521" s="78"/>
      <c r="E521" s="78"/>
      <c r="F521" s="79"/>
      <c r="G521" s="10"/>
      <c r="H521" s="10"/>
      <c r="I521" s="10"/>
      <c r="J521" s="1"/>
      <c r="K521" s="10"/>
      <c r="L521" s="1"/>
      <c r="M521" s="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spans="3:24" ht="13" x14ac:dyDescent="0.15">
      <c r="C522" s="77"/>
      <c r="D522" s="78"/>
      <c r="E522" s="78"/>
      <c r="F522" s="79"/>
      <c r="G522" s="10"/>
      <c r="H522" s="10"/>
      <c r="I522" s="10"/>
      <c r="J522" s="1"/>
      <c r="K522" s="10"/>
      <c r="L522" s="1"/>
      <c r="M522" s="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spans="3:24" ht="13" x14ac:dyDescent="0.15">
      <c r="C523" s="77"/>
      <c r="D523" s="78"/>
      <c r="E523" s="78"/>
      <c r="F523" s="79"/>
      <c r="G523" s="10"/>
      <c r="H523" s="10"/>
      <c r="I523" s="10"/>
      <c r="J523" s="1"/>
      <c r="K523" s="10"/>
      <c r="L523" s="1"/>
      <c r="M523" s="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spans="3:24" ht="13" x14ac:dyDescent="0.15">
      <c r="C524" s="77"/>
      <c r="D524" s="78"/>
      <c r="E524" s="78"/>
      <c r="F524" s="79"/>
      <c r="G524" s="10"/>
      <c r="H524" s="10"/>
      <c r="I524" s="10"/>
      <c r="J524" s="1"/>
      <c r="K524" s="10"/>
      <c r="L524" s="1"/>
      <c r="M524" s="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spans="3:24" ht="13" x14ac:dyDescent="0.15">
      <c r="C525" s="77"/>
      <c r="D525" s="78"/>
      <c r="E525" s="78"/>
      <c r="F525" s="79"/>
      <c r="G525" s="10"/>
      <c r="H525" s="10"/>
      <c r="I525" s="10"/>
      <c r="J525" s="1"/>
      <c r="K525" s="10"/>
      <c r="L525" s="1"/>
      <c r="M525" s="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spans="3:24" ht="13" x14ac:dyDescent="0.15">
      <c r="C526" s="77"/>
      <c r="D526" s="78"/>
      <c r="E526" s="78"/>
      <c r="F526" s="79"/>
      <c r="G526" s="10"/>
      <c r="H526" s="10"/>
      <c r="I526" s="10"/>
      <c r="J526" s="1"/>
      <c r="K526" s="10"/>
      <c r="L526" s="1"/>
      <c r="M526" s="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spans="3:24" ht="13" x14ac:dyDescent="0.15">
      <c r="C527" s="77"/>
      <c r="D527" s="78"/>
      <c r="E527" s="78"/>
      <c r="F527" s="79"/>
      <c r="G527" s="10"/>
      <c r="H527" s="10"/>
      <c r="I527" s="10"/>
      <c r="J527" s="1"/>
      <c r="K527" s="10"/>
      <c r="L527" s="1"/>
      <c r="M527" s="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spans="3:24" ht="13" x14ac:dyDescent="0.15">
      <c r="C528" s="77"/>
      <c r="D528" s="78"/>
      <c r="E528" s="78"/>
      <c r="F528" s="79"/>
      <c r="G528" s="10"/>
      <c r="H528" s="10"/>
      <c r="I528" s="10"/>
      <c r="J528" s="1"/>
      <c r="K528" s="10"/>
      <c r="L528" s="1"/>
      <c r="M528" s="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spans="3:24" ht="13" x14ac:dyDescent="0.15">
      <c r="C529" s="77"/>
      <c r="D529" s="78"/>
      <c r="E529" s="78"/>
      <c r="F529" s="79"/>
      <c r="G529" s="10"/>
      <c r="H529" s="10"/>
      <c r="I529" s="10"/>
      <c r="J529" s="1"/>
      <c r="K529" s="10"/>
      <c r="L529" s="1"/>
      <c r="M529" s="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spans="3:24" ht="13" x14ac:dyDescent="0.15">
      <c r="C530" s="77"/>
      <c r="D530" s="78"/>
      <c r="E530" s="78"/>
      <c r="F530" s="79"/>
      <c r="G530" s="10"/>
      <c r="H530" s="10"/>
      <c r="I530" s="10"/>
      <c r="J530" s="1"/>
      <c r="K530" s="10"/>
      <c r="L530" s="1"/>
      <c r="M530" s="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spans="3:24" ht="13" x14ac:dyDescent="0.15">
      <c r="C531" s="77"/>
      <c r="D531" s="78"/>
      <c r="E531" s="78"/>
      <c r="F531" s="79"/>
      <c r="G531" s="10"/>
      <c r="H531" s="10"/>
      <c r="I531" s="10"/>
      <c r="J531" s="1"/>
      <c r="K531" s="10"/>
      <c r="L531" s="1"/>
      <c r="M531" s="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spans="3:24" ht="13" x14ac:dyDescent="0.15">
      <c r="C532" s="77"/>
      <c r="D532" s="78"/>
      <c r="E532" s="78"/>
      <c r="F532" s="79"/>
      <c r="G532" s="10"/>
      <c r="H532" s="10"/>
      <c r="I532" s="10"/>
      <c r="J532" s="1"/>
      <c r="K532" s="10"/>
      <c r="L532" s="1"/>
      <c r="M532" s="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spans="3:24" ht="13" x14ac:dyDescent="0.15">
      <c r="C533" s="77"/>
      <c r="D533" s="78"/>
      <c r="E533" s="78"/>
      <c r="F533" s="79"/>
      <c r="G533" s="10"/>
      <c r="H533" s="10"/>
      <c r="I533" s="10"/>
      <c r="J533" s="1"/>
      <c r="K533" s="10"/>
      <c r="L533" s="1"/>
      <c r="M533" s="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spans="3:24" ht="13" x14ac:dyDescent="0.15">
      <c r="C534" s="77"/>
      <c r="D534" s="78"/>
      <c r="E534" s="78"/>
      <c r="F534" s="79"/>
      <c r="G534" s="10"/>
      <c r="H534" s="10"/>
      <c r="I534" s="10"/>
      <c r="J534" s="1"/>
      <c r="K534" s="10"/>
      <c r="L534" s="1"/>
      <c r="M534" s="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spans="3:24" ht="13" x14ac:dyDescent="0.15">
      <c r="C535" s="77"/>
      <c r="D535" s="78"/>
      <c r="E535" s="78"/>
      <c r="F535" s="79"/>
      <c r="G535" s="10"/>
      <c r="H535" s="10"/>
      <c r="I535" s="10"/>
      <c r="J535" s="1"/>
      <c r="K535" s="10"/>
      <c r="L535" s="1"/>
      <c r="M535" s="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spans="3:24" ht="13" x14ac:dyDescent="0.15">
      <c r="C536" s="77"/>
      <c r="D536" s="78"/>
      <c r="E536" s="78"/>
      <c r="F536" s="79"/>
      <c r="G536" s="10"/>
      <c r="H536" s="10"/>
      <c r="I536" s="10"/>
      <c r="J536" s="1"/>
      <c r="K536" s="10"/>
      <c r="L536" s="1"/>
      <c r="M536" s="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spans="3:24" ht="13" x14ac:dyDescent="0.15">
      <c r="C537" s="77"/>
      <c r="D537" s="78"/>
      <c r="E537" s="78"/>
      <c r="F537" s="79"/>
      <c r="G537" s="10"/>
      <c r="H537" s="10"/>
      <c r="I537" s="10"/>
      <c r="J537" s="1"/>
      <c r="K537" s="10"/>
      <c r="L537" s="1"/>
      <c r="M537" s="1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spans="3:24" ht="13" x14ac:dyDescent="0.15">
      <c r="C538" s="77"/>
      <c r="D538" s="78"/>
      <c r="E538" s="78"/>
      <c r="F538" s="79"/>
      <c r="G538" s="10"/>
      <c r="H538" s="10"/>
      <c r="I538" s="10"/>
      <c r="J538" s="1"/>
      <c r="K538" s="10"/>
      <c r="L538" s="1"/>
      <c r="M538" s="1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spans="3:24" ht="13" x14ac:dyDescent="0.15">
      <c r="C539" s="77"/>
      <c r="D539" s="78"/>
      <c r="E539" s="78"/>
      <c r="F539" s="79"/>
      <c r="G539" s="10"/>
      <c r="H539" s="10"/>
      <c r="I539" s="10"/>
      <c r="J539" s="1"/>
      <c r="K539" s="10"/>
      <c r="L539" s="1"/>
      <c r="M539" s="1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spans="3:24" ht="13" x14ac:dyDescent="0.15">
      <c r="C540" s="77"/>
      <c r="D540" s="78"/>
      <c r="E540" s="78"/>
      <c r="F540" s="79"/>
      <c r="G540" s="10"/>
      <c r="H540" s="10"/>
      <c r="I540" s="10"/>
      <c r="J540" s="1"/>
      <c r="K540" s="10"/>
      <c r="L540" s="1"/>
      <c r="M540" s="1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spans="3:24" ht="13" x14ac:dyDescent="0.15">
      <c r="C541" s="77"/>
      <c r="D541" s="78"/>
      <c r="E541" s="78"/>
      <c r="F541" s="79"/>
      <c r="G541" s="10"/>
      <c r="H541" s="10"/>
      <c r="I541" s="10"/>
      <c r="J541" s="1"/>
      <c r="K541" s="10"/>
      <c r="L541" s="1"/>
      <c r="M541" s="1"/>
      <c r="N541" s="10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3:24" ht="13" x14ac:dyDescent="0.15">
      <c r="C542" s="77"/>
      <c r="D542" s="78"/>
      <c r="E542" s="78"/>
      <c r="F542" s="79"/>
      <c r="G542" s="10"/>
      <c r="H542" s="10"/>
      <c r="I542" s="10"/>
      <c r="J542" s="1"/>
      <c r="K542" s="10"/>
      <c r="L542" s="1"/>
      <c r="M542" s="1"/>
      <c r="N542" s="10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3:24" ht="13" x14ac:dyDescent="0.15">
      <c r="C543" s="77"/>
      <c r="D543" s="78"/>
      <c r="E543" s="78"/>
      <c r="F543" s="79"/>
      <c r="G543" s="10"/>
      <c r="H543" s="10"/>
      <c r="I543" s="10"/>
      <c r="J543" s="1"/>
      <c r="K543" s="10"/>
      <c r="L543" s="1"/>
      <c r="M543" s="1"/>
      <c r="N543" s="10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3:24" ht="13" x14ac:dyDescent="0.15">
      <c r="C544" s="77"/>
      <c r="D544" s="78"/>
      <c r="E544" s="78"/>
      <c r="F544" s="79"/>
      <c r="G544" s="10"/>
      <c r="H544" s="10"/>
      <c r="I544" s="10"/>
      <c r="J544" s="1"/>
      <c r="K544" s="10"/>
      <c r="L544" s="1"/>
      <c r="M544" s="1"/>
      <c r="N544" s="10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3:24" ht="13" x14ac:dyDescent="0.15">
      <c r="C545" s="77"/>
      <c r="D545" s="78"/>
      <c r="E545" s="78"/>
      <c r="F545" s="79"/>
      <c r="G545" s="10"/>
      <c r="H545" s="10"/>
      <c r="I545" s="10"/>
      <c r="J545" s="1"/>
      <c r="K545" s="10"/>
      <c r="L545" s="1"/>
      <c r="M545" s="1"/>
      <c r="N545" s="10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3:24" ht="13" x14ac:dyDescent="0.15">
      <c r="C546" s="77"/>
      <c r="D546" s="78"/>
      <c r="E546" s="78"/>
      <c r="F546" s="79"/>
      <c r="G546" s="10"/>
      <c r="H546" s="10"/>
      <c r="I546" s="10"/>
      <c r="J546" s="1"/>
      <c r="K546" s="10"/>
      <c r="L546" s="1"/>
      <c r="M546" s="1"/>
      <c r="N546" s="10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3:24" ht="13" x14ac:dyDescent="0.15">
      <c r="C547" s="77"/>
      <c r="D547" s="78"/>
      <c r="E547" s="78"/>
      <c r="F547" s="79"/>
      <c r="G547" s="10"/>
      <c r="H547" s="10"/>
      <c r="I547" s="10"/>
      <c r="J547" s="1"/>
      <c r="K547" s="10"/>
      <c r="L547" s="1"/>
      <c r="M547" s="1"/>
      <c r="N547" s="10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3:24" ht="13" x14ac:dyDescent="0.15">
      <c r="C548" s="77"/>
      <c r="D548" s="78"/>
      <c r="E548" s="78"/>
      <c r="F548" s="79"/>
      <c r="G548" s="10"/>
      <c r="H548" s="10"/>
      <c r="I548" s="10"/>
      <c r="J548" s="1"/>
      <c r="K548" s="10"/>
      <c r="L548" s="1"/>
      <c r="M548" s="1"/>
      <c r="N548" s="10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3:24" ht="13" x14ac:dyDescent="0.15">
      <c r="C549" s="77"/>
      <c r="D549" s="78"/>
      <c r="E549" s="78"/>
      <c r="F549" s="79"/>
      <c r="G549" s="10"/>
      <c r="H549" s="10"/>
      <c r="I549" s="10"/>
      <c r="J549" s="1"/>
      <c r="K549" s="10"/>
      <c r="L549" s="1"/>
      <c r="M549" s="1"/>
      <c r="N549" s="10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3:24" ht="13" x14ac:dyDescent="0.15">
      <c r="C550" s="77"/>
      <c r="D550" s="78"/>
      <c r="E550" s="78"/>
      <c r="F550" s="79"/>
      <c r="G550" s="10"/>
      <c r="H550" s="10"/>
      <c r="I550" s="10"/>
      <c r="J550" s="1"/>
      <c r="K550" s="10"/>
      <c r="L550" s="1"/>
      <c r="M550" s="1"/>
      <c r="N550" s="10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3:24" ht="13" x14ac:dyDescent="0.15">
      <c r="C551" s="77"/>
      <c r="D551" s="78"/>
      <c r="E551" s="78"/>
      <c r="F551" s="79"/>
      <c r="G551" s="10"/>
      <c r="H551" s="10"/>
      <c r="I551" s="10"/>
      <c r="J551" s="1"/>
      <c r="K551" s="10"/>
      <c r="L551" s="1"/>
      <c r="M551" s="1"/>
      <c r="N551" s="10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3:24" ht="13" x14ac:dyDescent="0.15">
      <c r="C552" s="77"/>
      <c r="D552" s="78"/>
      <c r="E552" s="78"/>
      <c r="F552" s="79"/>
      <c r="G552" s="10"/>
      <c r="H552" s="10"/>
      <c r="I552" s="10"/>
      <c r="J552" s="1"/>
      <c r="K552" s="10"/>
      <c r="L552" s="1"/>
      <c r="M552" s="1"/>
      <c r="N552" s="10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3:24" ht="13" x14ac:dyDescent="0.15">
      <c r="C553" s="77"/>
      <c r="D553" s="78"/>
      <c r="E553" s="78"/>
      <c r="F553" s="79"/>
      <c r="G553" s="10"/>
      <c r="H553" s="10"/>
      <c r="I553" s="10"/>
      <c r="J553" s="1"/>
      <c r="K553" s="10"/>
      <c r="L553" s="1"/>
      <c r="M553" s="1"/>
      <c r="N553" s="10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3:24" ht="13" x14ac:dyDescent="0.15">
      <c r="C554" s="77"/>
      <c r="D554" s="78"/>
      <c r="E554" s="78"/>
      <c r="F554" s="79"/>
      <c r="G554" s="10"/>
      <c r="H554" s="10"/>
      <c r="I554" s="10"/>
      <c r="J554" s="1"/>
      <c r="K554" s="10"/>
      <c r="L554" s="1"/>
      <c r="M554" s="1"/>
      <c r="N554" s="10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3:24" ht="13" x14ac:dyDescent="0.15">
      <c r="C555" s="77"/>
      <c r="D555" s="78"/>
      <c r="E555" s="78"/>
      <c r="F555" s="79"/>
      <c r="G555" s="10"/>
      <c r="H555" s="10"/>
      <c r="I555" s="10"/>
      <c r="J555" s="1"/>
      <c r="K555" s="10"/>
      <c r="L555" s="1"/>
      <c r="M555" s="1"/>
      <c r="N555" s="10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3:24" ht="13" x14ac:dyDescent="0.15">
      <c r="C556" s="77"/>
      <c r="D556" s="78"/>
      <c r="E556" s="78"/>
      <c r="F556" s="79"/>
      <c r="G556" s="10"/>
      <c r="H556" s="10"/>
      <c r="I556" s="10"/>
      <c r="J556" s="1"/>
      <c r="K556" s="10"/>
      <c r="L556" s="1"/>
      <c r="M556" s="1"/>
      <c r="N556" s="10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3:24" ht="13" x14ac:dyDescent="0.15">
      <c r="C557" s="77"/>
      <c r="D557" s="78"/>
      <c r="E557" s="78"/>
      <c r="F557" s="79"/>
      <c r="G557" s="10"/>
      <c r="H557" s="10"/>
      <c r="I557" s="10"/>
      <c r="J557" s="1"/>
      <c r="K557" s="10"/>
      <c r="L557" s="1"/>
      <c r="M557" s="1"/>
      <c r="N557" s="10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3:24" ht="13" x14ac:dyDescent="0.15">
      <c r="C558" s="77"/>
      <c r="D558" s="78"/>
      <c r="E558" s="78"/>
      <c r="F558" s="79"/>
      <c r="G558" s="10"/>
      <c r="H558" s="10"/>
      <c r="I558" s="10"/>
      <c r="J558" s="1"/>
      <c r="K558" s="10"/>
      <c r="L558" s="1"/>
      <c r="M558" s="1"/>
      <c r="N558" s="10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3:24" ht="13" x14ac:dyDescent="0.15">
      <c r="C559" s="77"/>
      <c r="D559" s="78"/>
      <c r="E559" s="78"/>
      <c r="F559" s="79"/>
      <c r="G559" s="10"/>
      <c r="H559" s="10"/>
      <c r="I559" s="10"/>
      <c r="J559" s="1"/>
      <c r="K559" s="10"/>
      <c r="L559" s="1"/>
      <c r="M559" s="1"/>
      <c r="N559" s="10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3:24" ht="13" x14ac:dyDescent="0.15">
      <c r="C560" s="77"/>
      <c r="D560" s="78"/>
      <c r="E560" s="78"/>
      <c r="F560" s="79"/>
      <c r="G560" s="10"/>
      <c r="H560" s="10"/>
      <c r="I560" s="10"/>
      <c r="J560" s="1"/>
      <c r="K560" s="10"/>
      <c r="L560" s="1"/>
      <c r="M560" s="1"/>
      <c r="N560" s="10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3:24" ht="13" x14ac:dyDescent="0.15">
      <c r="C561" s="77"/>
      <c r="D561" s="78"/>
      <c r="E561" s="78"/>
      <c r="F561" s="79"/>
      <c r="G561" s="10"/>
      <c r="H561" s="10"/>
      <c r="I561" s="10"/>
      <c r="J561" s="1"/>
      <c r="K561" s="10"/>
      <c r="L561" s="1"/>
      <c r="M561" s="1"/>
      <c r="N561" s="10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3:24" ht="13" x14ac:dyDescent="0.15">
      <c r="C562" s="77"/>
      <c r="D562" s="78"/>
      <c r="E562" s="78"/>
      <c r="F562" s="79"/>
      <c r="G562" s="10"/>
      <c r="H562" s="10"/>
      <c r="I562" s="10"/>
      <c r="J562" s="1"/>
      <c r="K562" s="10"/>
      <c r="L562" s="1"/>
      <c r="M562" s="1"/>
      <c r="N562" s="10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3:24" ht="13" x14ac:dyDescent="0.15">
      <c r="C563" s="77"/>
      <c r="D563" s="78"/>
      <c r="E563" s="78"/>
      <c r="F563" s="79"/>
      <c r="G563" s="10"/>
      <c r="H563" s="10"/>
      <c r="I563" s="10"/>
      <c r="J563" s="1"/>
      <c r="K563" s="10"/>
      <c r="L563" s="1"/>
      <c r="M563" s="1"/>
      <c r="N563" s="10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3:24" ht="13" x14ac:dyDescent="0.15">
      <c r="C564" s="77"/>
      <c r="D564" s="78"/>
      <c r="E564" s="78"/>
      <c r="F564" s="79"/>
      <c r="G564" s="10"/>
      <c r="H564" s="10"/>
      <c r="I564" s="10"/>
      <c r="J564" s="1"/>
      <c r="K564" s="10"/>
      <c r="L564" s="1"/>
      <c r="M564" s="1"/>
      <c r="N564" s="10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3:24" ht="13" x14ac:dyDescent="0.15">
      <c r="C565" s="77"/>
      <c r="D565" s="78"/>
      <c r="E565" s="78"/>
      <c r="F565" s="79"/>
      <c r="G565" s="10"/>
      <c r="H565" s="10"/>
      <c r="I565" s="10"/>
      <c r="J565" s="1"/>
      <c r="K565" s="10"/>
      <c r="L565" s="1"/>
      <c r="M565" s="1"/>
      <c r="N565" s="10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3:24" ht="13" x14ac:dyDescent="0.15">
      <c r="C566" s="77"/>
      <c r="D566" s="78"/>
      <c r="E566" s="78"/>
      <c r="F566" s="79"/>
      <c r="G566" s="10"/>
      <c r="H566" s="10"/>
      <c r="I566" s="10"/>
      <c r="J566" s="1"/>
      <c r="K566" s="10"/>
      <c r="L566" s="1"/>
      <c r="M566" s="1"/>
      <c r="N566" s="10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3:24" ht="13" x14ac:dyDescent="0.15">
      <c r="C567" s="77"/>
      <c r="D567" s="78"/>
      <c r="E567" s="78"/>
      <c r="F567" s="79"/>
      <c r="G567" s="10"/>
      <c r="H567" s="10"/>
      <c r="I567" s="10"/>
      <c r="J567" s="1"/>
      <c r="K567" s="10"/>
      <c r="L567" s="1"/>
      <c r="M567" s="1"/>
      <c r="N567" s="10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3:24" ht="13" x14ac:dyDescent="0.15">
      <c r="C568" s="77"/>
      <c r="D568" s="78"/>
      <c r="E568" s="78"/>
      <c r="F568" s="79"/>
      <c r="G568" s="10"/>
      <c r="H568" s="10"/>
      <c r="I568" s="10"/>
      <c r="J568" s="1"/>
      <c r="K568" s="10"/>
      <c r="L568" s="1"/>
      <c r="M568" s="1"/>
      <c r="N568" s="10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3:24" ht="13" x14ac:dyDescent="0.15">
      <c r="C569" s="77"/>
      <c r="D569" s="78"/>
      <c r="E569" s="78"/>
      <c r="F569" s="79"/>
      <c r="G569" s="10"/>
      <c r="H569" s="10"/>
      <c r="I569" s="10"/>
      <c r="J569" s="1"/>
      <c r="K569" s="10"/>
      <c r="L569" s="1"/>
      <c r="M569" s="1"/>
      <c r="N569" s="10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3:24" ht="13" x14ac:dyDescent="0.15">
      <c r="C570" s="77"/>
      <c r="D570" s="78"/>
      <c r="E570" s="78"/>
      <c r="F570" s="79"/>
      <c r="G570" s="10"/>
      <c r="H570" s="10"/>
      <c r="I570" s="10"/>
      <c r="J570" s="1"/>
      <c r="K570" s="10"/>
      <c r="L570" s="1"/>
      <c r="M570" s="1"/>
      <c r="N570" s="10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3:24" ht="13" x14ac:dyDescent="0.15">
      <c r="C571" s="77"/>
      <c r="D571" s="78"/>
      <c r="E571" s="78"/>
      <c r="F571" s="79"/>
      <c r="G571" s="10"/>
      <c r="H571" s="10"/>
      <c r="I571" s="10"/>
      <c r="J571" s="1"/>
      <c r="K571" s="10"/>
      <c r="L571" s="1"/>
      <c r="M571" s="1"/>
      <c r="N571" s="10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3:24" ht="13" x14ac:dyDescent="0.15">
      <c r="C572" s="77"/>
      <c r="D572" s="78"/>
      <c r="E572" s="78"/>
      <c r="F572" s="79"/>
      <c r="G572" s="10"/>
      <c r="H572" s="10"/>
      <c r="I572" s="10"/>
      <c r="J572" s="1"/>
      <c r="K572" s="10"/>
      <c r="L572" s="1"/>
      <c r="M572" s="1"/>
      <c r="N572" s="10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3:24" ht="13" x14ac:dyDescent="0.15">
      <c r="C573" s="77"/>
      <c r="D573" s="78"/>
      <c r="E573" s="78"/>
      <c r="F573" s="79"/>
      <c r="G573" s="10"/>
      <c r="H573" s="10"/>
      <c r="I573" s="10"/>
      <c r="J573" s="1"/>
      <c r="K573" s="10"/>
      <c r="L573" s="1"/>
      <c r="M573" s="1"/>
      <c r="N573" s="10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3:24" ht="13" x14ac:dyDescent="0.15">
      <c r="C574" s="77"/>
      <c r="D574" s="78"/>
      <c r="E574" s="78"/>
      <c r="F574" s="79"/>
      <c r="G574" s="10"/>
      <c r="H574" s="10"/>
      <c r="I574" s="10"/>
      <c r="J574" s="1"/>
      <c r="K574" s="10"/>
      <c r="L574" s="1"/>
      <c r="M574" s="1"/>
      <c r="N574" s="10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3:24" ht="13" x14ac:dyDescent="0.15">
      <c r="C575" s="77"/>
      <c r="D575" s="78"/>
      <c r="E575" s="78"/>
      <c r="F575" s="79"/>
      <c r="G575" s="10"/>
      <c r="H575" s="10"/>
      <c r="I575" s="10"/>
      <c r="J575" s="1"/>
      <c r="K575" s="10"/>
      <c r="L575" s="1"/>
      <c r="M575" s="1"/>
      <c r="N575" s="10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3:24" ht="13" x14ac:dyDescent="0.15">
      <c r="C576" s="77"/>
      <c r="D576" s="78"/>
      <c r="E576" s="78"/>
      <c r="F576" s="79"/>
      <c r="G576" s="10"/>
      <c r="H576" s="10"/>
      <c r="I576" s="10"/>
      <c r="J576" s="1"/>
      <c r="K576" s="10"/>
      <c r="L576" s="1"/>
      <c r="M576" s="1"/>
      <c r="N576" s="10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3:24" ht="13" x14ac:dyDescent="0.15">
      <c r="C577" s="77"/>
      <c r="D577" s="78"/>
      <c r="E577" s="78"/>
      <c r="F577" s="79"/>
      <c r="G577" s="10"/>
      <c r="H577" s="10"/>
      <c r="I577" s="10"/>
      <c r="J577" s="1"/>
      <c r="K577" s="10"/>
      <c r="L577" s="1"/>
      <c r="M577" s="1"/>
      <c r="N577" s="10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3:24" ht="13" x14ac:dyDescent="0.15">
      <c r="C578" s="77"/>
      <c r="D578" s="78"/>
      <c r="E578" s="78"/>
      <c r="F578" s="79"/>
      <c r="G578" s="10"/>
      <c r="H578" s="10"/>
      <c r="I578" s="10"/>
      <c r="J578" s="1"/>
      <c r="K578" s="10"/>
      <c r="L578" s="1"/>
      <c r="M578" s="1"/>
      <c r="N578" s="10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3:24" ht="13" x14ac:dyDescent="0.15">
      <c r="C579" s="77"/>
      <c r="D579" s="78"/>
      <c r="E579" s="78"/>
      <c r="F579" s="79"/>
      <c r="G579" s="10"/>
      <c r="H579" s="10"/>
      <c r="I579" s="10"/>
      <c r="J579" s="1"/>
      <c r="K579" s="10"/>
      <c r="L579" s="1"/>
      <c r="M579" s="1"/>
      <c r="N579" s="10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3:24" ht="13" x14ac:dyDescent="0.15">
      <c r="C580" s="77"/>
      <c r="D580" s="78"/>
      <c r="E580" s="78"/>
      <c r="F580" s="79"/>
      <c r="G580" s="10"/>
      <c r="H580" s="10"/>
      <c r="I580" s="10"/>
      <c r="J580" s="1"/>
      <c r="K580" s="10"/>
      <c r="L580" s="1"/>
      <c r="M580" s="1"/>
      <c r="N580" s="10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3:24" ht="13" x14ac:dyDescent="0.15">
      <c r="C581" s="77"/>
      <c r="D581" s="78"/>
      <c r="E581" s="78"/>
      <c r="F581" s="79"/>
      <c r="G581" s="10"/>
      <c r="H581" s="10"/>
      <c r="I581" s="10"/>
      <c r="J581" s="1"/>
      <c r="K581" s="10"/>
      <c r="L581" s="1"/>
      <c r="M581" s="1"/>
      <c r="N581" s="10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3:24" ht="13" x14ac:dyDescent="0.15">
      <c r="C582" s="77"/>
      <c r="D582" s="78"/>
      <c r="E582" s="78"/>
      <c r="F582" s="79"/>
      <c r="G582" s="10"/>
      <c r="H582" s="10"/>
      <c r="I582" s="10"/>
      <c r="J582" s="1"/>
      <c r="K582" s="10"/>
      <c r="L582" s="1"/>
      <c r="M582" s="1"/>
      <c r="N582" s="10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3:24" ht="13" x14ac:dyDescent="0.15">
      <c r="C583" s="77"/>
      <c r="D583" s="78"/>
      <c r="E583" s="78"/>
      <c r="F583" s="79"/>
      <c r="G583" s="10"/>
      <c r="H583" s="10"/>
      <c r="I583" s="10"/>
      <c r="J583" s="1"/>
      <c r="K583" s="10"/>
      <c r="L583" s="1"/>
      <c r="M583" s="1"/>
      <c r="N583" s="10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3:24" ht="13" x14ac:dyDescent="0.15">
      <c r="C584" s="77"/>
      <c r="D584" s="78"/>
      <c r="E584" s="78"/>
      <c r="F584" s="79"/>
      <c r="G584" s="10"/>
      <c r="H584" s="10"/>
      <c r="I584" s="10"/>
      <c r="J584" s="1"/>
      <c r="K584" s="10"/>
      <c r="L584" s="1"/>
      <c r="M584" s="1"/>
      <c r="N584" s="10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3:24" ht="13" x14ac:dyDescent="0.15">
      <c r="C585" s="77"/>
      <c r="D585" s="78"/>
      <c r="E585" s="78"/>
      <c r="F585" s="79"/>
      <c r="G585" s="10"/>
      <c r="H585" s="10"/>
      <c r="I585" s="10"/>
      <c r="J585" s="1"/>
      <c r="K585" s="10"/>
      <c r="L585" s="1"/>
      <c r="M585" s="1"/>
      <c r="N585" s="10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3:24" ht="13" x14ac:dyDescent="0.15">
      <c r="C586" s="77"/>
      <c r="D586" s="78"/>
      <c r="E586" s="78"/>
      <c r="F586" s="79"/>
      <c r="G586" s="10"/>
      <c r="H586" s="10"/>
      <c r="I586" s="10"/>
      <c r="J586" s="1"/>
      <c r="K586" s="10"/>
      <c r="L586" s="1"/>
      <c r="M586" s="1"/>
      <c r="N586" s="10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3:24" ht="13" x14ac:dyDescent="0.15">
      <c r="C587" s="77"/>
      <c r="D587" s="78"/>
      <c r="E587" s="78"/>
      <c r="F587" s="79"/>
      <c r="G587" s="10"/>
      <c r="H587" s="10"/>
      <c r="I587" s="10"/>
      <c r="J587" s="1"/>
      <c r="K587" s="10"/>
      <c r="L587" s="1"/>
      <c r="M587" s="1"/>
      <c r="N587" s="10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3:24" ht="13" x14ac:dyDescent="0.15">
      <c r="C588" s="77"/>
      <c r="D588" s="78"/>
      <c r="E588" s="78"/>
      <c r="F588" s="79"/>
      <c r="G588" s="10"/>
      <c r="H588" s="10"/>
      <c r="I588" s="10"/>
      <c r="J588" s="1"/>
      <c r="K588" s="10"/>
      <c r="L588" s="1"/>
      <c r="M588" s="1"/>
      <c r="N588" s="10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3:24" ht="13" x14ac:dyDescent="0.15">
      <c r="C589" s="77"/>
      <c r="D589" s="78"/>
      <c r="E589" s="78"/>
      <c r="F589" s="79"/>
      <c r="G589" s="10"/>
      <c r="H589" s="10"/>
      <c r="I589" s="10"/>
      <c r="J589" s="1"/>
      <c r="K589" s="10"/>
      <c r="L589" s="1"/>
      <c r="M589" s="1"/>
      <c r="N589" s="10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3:24" ht="13" x14ac:dyDescent="0.15">
      <c r="C590" s="77"/>
      <c r="D590" s="78"/>
      <c r="E590" s="78"/>
      <c r="F590" s="79"/>
      <c r="G590" s="10"/>
      <c r="H590" s="10"/>
      <c r="I590" s="10"/>
      <c r="J590" s="1"/>
      <c r="K590" s="10"/>
      <c r="L590" s="1"/>
      <c r="M590" s="1"/>
      <c r="N590" s="10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3:24" ht="13" x14ac:dyDescent="0.15">
      <c r="C591" s="77"/>
      <c r="D591" s="78"/>
      <c r="E591" s="78"/>
      <c r="F591" s="79"/>
      <c r="G591" s="10"/>
      <c r="H591" s="10"/>
      <c r="I591" s="10"/>
      <c r="J591" s="1"/>
      <c r="K591" s="10"/>
      <c r="L591" s="1"/>
      <c r="M591" s="1"/>
      <c r="N591" s="10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3:24" ht="13" x14ac:dyDescent="0.15">
      <c r="C592" s="77"/>
      <c r="D592" s="78"/>
      <c r="E592" s="78"/>
      <c r="F592" s="79"/>
      <c r="G592" s="10"/>
      <c r="H592" s="10"/>
      <c r="I592" s="10"/>
      <c r="J592" s="1"/>
      <c r="K592" s="10"/>
      <c r="L592" s="1"/>
      <c r="M592" s="1"/>
      <c r="N592" s="10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3:24" ht="13" x14ac:dyDescent="0.15">
      <c r="C593" s="77"/>
      <c r="D593" s="78"/>
      <c r="E593" s="78"/>
      <c r="F593" s="79"/>
      <c r="G593" s="10"/>
      <c r="H593" s="10"/>
      <c r="I593" s="10"/>
      <c r="J593" s="1"/>
      <c r="K593" s="10"/>
      <c r="L593" s="1"/>
      <c r="M593" s="1"/>
      <c r="N593" s="10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3:24" ht="13" x14ac:dyDescent="0.15">
      <c r="C594" s="77"/>
      <c r="D594" s="78"/>
      <c r="E594" s="78"/>
      <c r="F594" s="79"/>
      <c r="G594" s="10"/>
      <c r="H594" s="10"/>
      <c r="I594" s="10"/>
      <c r="J594" s="1"/>
      <c r="K594" s="10"/>
      <c r="L594" s="1"/>
      <c r="M594" s="1"/>
      <c r="N594" s="10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3:24" ht="13" x14ac:dyDescent="0.15">
      <c r="C595" s="77"/>
      <c r="D595" s="78"/>
      <c r="E595" s="78"/>
      <c r="F595" s="79"/>
      <c r="G595" s="10"/>
      <c r="H595" s="10"/>
      <c r="I595" s="10"/>
      <c r="J595" s="1"/>
      <c r="K595" s="10"/>
      <c r="L595" s="1"/>
      <c r="M595" s="1"/>
      <c r="N595" s="10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3:24" ht="13" x14ac:dyDescent="0.15">
      <c r="C596" s="77"/>
      <c r="D596" s="78"/>
      <c r="E596" s="78"/>
      <c r="F596" s="79"/>
      <c r="G596" s="10"/>
      <c r="H596" s="10"/>
      <c r="I596" s="10"/>
      <c r="J596" s="1"/>
      <c r="K596" s="10"/>
      <c r="L596" s="1"/>
      <c r="M596" s="1"/>
      <c r="N596" s="10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3:24" ht="13" x14ac:dyDescent="0.15">
      <c r="C597" s="77"/>
      <c r="D597" s="78"/>
      <c r="E597" s="78"/>
      <c r="F597" s="79"/>
      <c r="G597" s="10"/>
      <c r="H597" s="10"/>
      <c r="I597" s="10"/>
      <c r="J597" s="1"/>
      <c r="K597" s="10"/>
      <c r="L597" s="1"/>
      <c r="M597" s="1"/>
      <c r="N597" s="10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3:24" ht="13" x14ac:dyDescent="0.15">
      <c r="C598" s="77"/>
      <c r="D598" s="78"/>
      <c r="E598" s="78"/>
      <c r="F598" s="79"/>
      <c r="G598" s="10"/>
      <c r="H598" s="10"/>
      <c r="I598" s="10"/>
      <c r="J598" s="1"/>
      <c r="K598" s="10"/>
      <c r="L598" s="1"/>
      <c r="M598" s="1"/>
      <c r="N598" s="10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3:24" ht="13" x14ac:dyDescent="0.15">
      <c r="C599" s="77"/>
      <c r="D599" s="78"/>
      <c r="E599" s="78"/>
      <c r="F599" s="79"/>
      <c r="G599" s="10"/>
      <c r="H599" s="10"/>
      <c r="I599" s="10"/>
      <c r="J599" s="1"/>
      <c r="K599" s="10"/>
      <c r="L599" s="1"/>
      <c r="M599" s="1"/>
      <c r="N599" s="10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3:24" ht="13" x14ac:dyDescent="0.15">
      <c r="C600" s="77"/>
      <c r="D600" s="78"/>
      <c r="E600" s="78"/>
      <c r="F600" s="79"/>
      <c r="G600" s="10"/>
      <c r="H600" s="10"/>
      <c r="I600" s="10"/>
      <c r="J600" s="1"/>
      <c r="K600" s="10"/>
      <c r="L600" s="1"/>
      <c r="M600" s="1"/>
      <c r="N600" s="10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3:24" ht="13" x14ac:dyDescent="0.15">
      <c r="C601" s="77"/>
      <c r="D601" s="78"/>
      <c r="E601" s="78"/>
      <c r="F601" s="79"/>
      <c r="G601" s="10"/>
      <c r="H601" s="10"/>
      <c r="I601" s="10"/>
      <c r="J601" s="1"/>
      <c r="K601" s="10"/>
      <c r="L601" s="1"/>
      <c r="M601" s="1"/>
      <c r="N601" s="10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3:24" ht="13" x14ac:dyDescent="0.15">
      <c r="C602" s="77"/>
      <c r="D602" s="78"/>
      <c r="E602" s="78"/>
      <c r="F602" s="79"/>
      <c r="G602" s="10"/>
      <c r="H602" s="10"/>
      <c r="I602" s="10"/>
      <c r="J602" s="1"/>
      <c r="K602" s="10"/>
      <c r="L602" s="1"/>
      <c r="M602" s="1"/>
      <c r="N602" s="10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3:24" ht="13" x14ac:dyDescent="0.15">
      <c r="C603" s="77"/>
      <c r="D603" s="78"/>
      <c r="E603" s="78"/>
      <c r="F603" s="79"/>
      <c r="G603" s="10"/>
      <c r="H603" s="10"/>
      <c r="I603" s="10"/>
      <c r="J603" s="1"/>
      <c r="K603" s="10"/>
      <c r="L603" s="1"/>
      <c r="M603" s="1"/>
      <c r="N603" s="10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3:24" ht="13" x14ac:dyDescent="0.15">
      <c r="C604" s="77"/>
      <c r="D604" s="78"/>
      <c r="E604" s="78"/>
      <c r="F604" s="79"/>
      <c r="G604" s="10"/>
      <c r="H604" s="10"/>
      <c r="I604" s="10"/>
      <c r="J604" s="1"/>
      <c r="K604" s="10"/>
      <c r="L604" s="1"/>
      <c r="M604" s="1"/>
      <c r="N604" s="10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3:24" ht="13" x14ac:dyDescent="0.15">
      <c r="C605" s="77"/>
      <c r="D605" s="78"/>
      <c r="E605" s="78"/>
      <c r="F605" s="79"/>
      <c r="G605" s="10"/>
      <c r="H605" s="10"/>
      <c r="I605" s="10"/>
      <c r="J605" s="1"/>
      <c r="K605" s="10"/>
      <c r="L605" s="1"/>
      <c r="M605" s="1"/>
      <c r="N605" s="10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3:24" ht="13" x14ac:dyDescent="0.15">
      <c r="C606" s="77"/>
      <c r="D606" s="78"/>
      <c r="E606" s="78"/>
      <c r="F606" s="79"/>
      <c r="G606" s="10"/>
      <c r="H606" s="10"/>
      <c r="I606" s="10"/>
      <c r="J606" s="1"/>
      <c r="K606" s="10"/>
      <c r="L606" s="1"/>
      <c r="M606" s="1"/>
      <c r="N606" s="10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3:24" ht="13" x14ac:dyDescent="0.15">
      <c r="C607" s="77"/>
      <c r="D607" s="78"/>
      <c r="E607" s="78"/>
      <c r="F607" s="79"/>
      <c r="G607" s="10"/>
      <c r="H607" s="10"/>
      <c r="I607" s="10"/>
      <c r="J607" s="1"/>
      <c r="K607" s="10"/>
      <c r="L607" s="1"/>
      <c r="M607" s="1"/>
      <c r="N607" s="10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3:24" ht="13" x14ac:dyDescent="0.15">
      <c r="C608" s="77"/>
      <c r="D608" s="78"/>
      <c r="E608" s="78"/>
      <c r="F608" s="79"/>
      <c r="G608" s="10"/>
      <c r="H608" s="10"/>
      <c r="I608" s="10"/>
      <c r="J608" s="1"/>
      <c r="K608" s="10"/>
      <c r="L608" s="1"/>
      <c r="M608" s="1"/>
      <c r="N608" s="10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3:24" ht="13" x14ac:dyDescent="0.15">
      <c r="C609" s="77"/>
      <c r="D609" s="78"/>
      <c r="E609" s="78"/>
      <c r="F609" s="79"/>
      <c r="G609" s="10"/>
      <c r="H609" s="10"/>
      <c r="I609" s="10"/>
      <c r="J609" s="1"/>
      <c r="K609" s="10"/>
      <c r="L609" s="1"/>
      <c r="M609" s="1"/>
      <c r="N609" s="10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3:24" ht="13" x14ac:dyDescent="0.15">
      <c r="C610" s="77"/>
      <c r="D610" s="78"/>
      <c r="E610" s="78"/>
      <c r="F610" s="79"/>
      <c r="G610" s="10"/>
      <c r="H610" s="10"/>
      <c r="I610" s="10"/>
      <c r="J610" s="1"/>
      <c r="K610" s="10"/>
      <c r="L610" s="1"/>
      <c r="M610" s="1"/>
      <c r="N610" s="10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3:24" ht="13" x14ac:dyDescent="0.15">
      <c r="C611" s="77"/>
      <c r="D611" s="78"/>
      <c r="E611" s="78"/>
      <c r="F611" s="79"/>
      <c r="G611" s="10"/>
      <c r="H611" s="10"/>
      <c r="I611" s="10"/>
      <c r="J611" s="1"/>
      <c r="K611" s="10"/>
      <c r="L611" s="1"/>
      <c r="M611" s="1"/>
      <c r="N611" s="10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3:24" ht="13" x14ac:dyDescent="0.15">
      <c r="C612" s="77"/>
      <c r="D612" s="78"/>
      <c r="E612" s="78"/>
      <c r="F612" s="79"/>
      <c r="G612" s="10"/>
      <c r="H612" s="10"/>
      <c r="I612" s="10"/>
      <c r="J612" s="1"/>
      <c r="K612" s="10"/>
      <c r="L612" s="1"/>
      <c r="M612" s="1"/>
      <c r="N612" s="10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3:24" ht="13" x14ac:dyDescent="0.15">
      <c r="C613" s="77"/>
      <c r="D613" s="78"/>
      <c r="E613" s="78"/>
      <c r="F613" s="79"/>
      <c r="G613" s="10"/>
      <c r="H613" s="10"/>
      <c r="I613" s="10"/>
      <c r="J613" s="1"/>
      <c r="K613" s="10"/>
      <c r="L613" s="1"/>
      <c r="M613" s="1"/>
      <c r="N613" s="10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3:24" ht="13" x14ac:dyDescent="0.15">
      <c r="C614" s="77"/>
      <c r="D614" s="78"/>
      <c r="E614" s="78"/>
      <c r="F614" s="79"/>
      <c r="G614" s="10"/>
      <c r="H614" s="10"/>
      <c r="I614" s="10"/>
      <c r="J614" s="1"/>
      <c r="K614" s="10"/>
      <c r="L614" s="1"/>
      <c r="M614" s="1"/>
      <c r="N614" s="10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3:24" ht="13" x14ac:dyDescent="0.15">
      <c r="C615" s="77"/>
      <c r="D615" s="78"/>
      <c r="E615" s="78"/>
      <c r="F615" s="79"/>
      <c r="G615" s="10"/>
      <c r="H615" s="10"/>
      <c r="I615" s="10"/>
      <c r="J615" s="1"/>
      <c r="K615" s="10"/>
      <c r="L615" s="1"/>
      <c r="M615" s="1"/>
      <c r="N615" s="10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3:24" ht="13" x14ac:dyDescent="0.15">
      <c r="C616" s="77"/>
      <c r="D616" s="78"/>
      <c r="E616" s="78"/>
      <c r="F616" s="79"/>
      <c r="G616" s="10"/>
      <c r="H616" s="10"/>
      <c r="I616" s="10"/>
      <c r="J616" s="1"/>
      <c r="K616" s="10"/>
      <c r="L616" s="1"/>
      <c r="M616" s="1"/>
      <c r="N616" s="10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3:24" ht="13" x14ac:dyDescent="0.15">
      <c r="C617" s="77"/>
      <c r="D617" s="78"/>
      <c r="E617" s="78"/>
      <c r="F617" s="79"/>
      <c r="G617" s="10"/>
      <c r="H617" s="10"/>
      <c r="I617" s="10"/>
      <c r="J617" s="1"/>
      <c r="K617" s="10"/>
      <c r="L617" s="1"/>
      <c r="M617" s="1"/>
      <c r="N617" s="10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3:24" ht="13" x14ac:dyDescent="0.15">
      <c r="C618" s="77"/>
      <c r="D618" s="78"/>
      <c r="E618" s="78"/>
      <c r="F618" s="79"/>
      <c r="G618" s="10"/>
      <c r="H618" s="10"/>
      <c r="I618" s="10"/>
      <c r="J618" s="1"/>
      <c r="K618" s="10"/>
      <c r="L618" s="1"/>
      <c r="M618" s="1"/>
      <c r="N618" s="10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3:24" ht="13" x14ac:dyDescent="0.15">
      <c r="C619" s="77"/>
      <c r="D619" s="78"/>
      <c r="E619" s="78"/>
      <c r="F619" s="79"/>
      <c r="G619" s="10"/>
      <c r="H619" s="10"/>
      <c r="I619" s="10"/>
      <c r="J619" s="1"/>
      <c r="K619" s="10"/>
      <c r="L619" s="1"/>
      <c r="M619" s="1"/>
      <c r="N619" s="10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3:24" ht="13" x14ac:dyDescent="0.15">
      <c r="C620" s="77"/>
      <c r="D620" s="78"/>
      <c r="E620" s="78"/>
      <c r="F620" s="79"/>
      <c r="G620" s="10"/>
      <c r="H620" s="10"/>
      <c r="I620" s="10"/>
      <c r="J620" s="1"/>
      <c r="K620" s="10"/>
      <c r="L620" s="1"/>
      <c r="M620" s="1"/>
      <c r="N620" s="10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3:24" ht="13" x14ac:dyDescent="0.15">
      <c r="C621" s="77"/>
      <c r="D621" s="78"/>
      <c r="E621" s="78"/>
      <c r="F621" s="79"/>
      <c r="G621" s="10"/>
      <c r="H621" s="10"/>
      <c r="I621" s="10"/>
      <c r="J621" s="1"/>
      <c r="K621" s="10"/>
      <c r="L621" s="1"/>
      <c r="M621" s="1"/>
      <c r="N621" s="10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3:24" ht="13" x14ac:dyDescent="0.15">
      <c r="C622" s="77"/>
      <c r="D622" s="78"/>
      <c r="E622" s="78"/>
      <c r="F622" s="79"/>
      <c r="G622" s="10"/>
      <c r="H622" s="10"/>
      <c r="I622" s="10"/>
      <c r="J622" s="1"/>
      <c r="K622" s="10"/>
      <c r="L622" s="1"/>
      <c r="M622" s="1"/>
      <c r="N622" s="10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3:24" ht="13" x14ac:dyDescent="0.15">
      <c r="C623" s="77"/>
      <c r="D623" s="78"/>
      <c r="E623" s="78"/>
      <c r="F623" s="79"/>
      <c r="G623" s="10"/>
      <c r="H623" s="10"/>
      <c r="I623" s="10"/>
      <c r="J623" s="1"/>
      <c r="K623" s="10"/>
      <c r="L623" s="1"/>
      <c r="M623" s="1"/>
      <c r="N623" s="10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3:24" ht="13" x14ac:dyDescent="0.15">
      <c r="C624" s="77"/>
      <c r="D624" s="78"/>
      <c r="E624" s="78"/>
      <c r="F624" s="79"/>
      <c r="G624" s="10"/>
      <c r="H624" s="10"/>
      <c r="I624" s="10"/>
      <c r="J624" s="1"/>
      <c r="K624" s="10"/>
      <c r="L624" s="1"/>
      <c r="M624" s="1"/>
      <c r="N624" s="10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3:24" ht="13" x14ac:dyDescent="0.15">
      <c r="C625" s="77"/>
      <c r="D625" s="78"/>
      <c r="E625" s="78"/>
      <c r="F625" s="79"/>
      <c r="G625" s="10"/>
      <c r="H625" s="10"/>
      <c r="I625" s="10"/>
      <c r="J625" s="1"/>
      <c r="K625" s="10"/>
      <c r="L625" s="1"/>
      <c r="M625" s="1"/>
      <c r="N625" s="10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3:24" ht="13" x14ac:dyDescent="0.15">
      <c r="C626" s="77"/>
      <c r="D626" s="78"/>
      <c r="E626" s="78"/>
      <c r="F626" s="79"/>
      <c r="G626" s="10"/>
      <c r="H626" s="10"/>
      <c r="I626" s="10"/>
      <c r="J626" s="1"/>
      <c r="K626" s="10"/>
      <c r="L626" s="1"/>
      <c r="M626" s="1"/>
      <c r="N626" s="10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3:24" ht="13" x14ac:dyDescent="0.15">
      <c r="C627" s="77"/>
      <c r="D627" s="78"/>
      <c r="E627" s="78"/>
      <c r="F627" s="79"/>
      <c r="G627" s="10"/>
      <c r="H627" s="10"/>
      <c r="I627" s="10"/>
      <c r="J627" s="1"/>
      <c r="K627" s="10"/>
      <c r="L627" s="1"/>
      <c r="M627" s="1"/>
      <c r="N627" s="10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3:24" ht="13" x14ac:dyDescent="0.15">
      <c r="C628" s="77"/>
      <c r="D628" s="78"/>
      <c r="E628" s="78"/>
      <c r="F628" s="79"/>
      <c r="G628" s="10"/>
      <c r="H628" s="10"/>
      <c r="I628" s="10"/>
      <c r="J628" s="1"/>
      <c r="K628" s="10"/>
      <c r="L628" s="1"/>
      <c r="M628" s="1"/>
      <c r="N628" s="10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3:24" ht="13" x14ac:dyDescent="0.15">
      <c r="C629" s="77"/>
      <c r="D629" s="78"/>
      <c r="E629" s="78"/>
      <c r="F629" s="79"/>
      <c r="G629" s="10"/>
      <c r="H629" s="10"/>
      <c r="I629" s="10"/>
      <c r="J629" s="1"/>
      <c r="K629" s="10"/>
      <c r="L629" s="1"/>
      <c r="M629" s="1"/>
      <c r="N629" s="10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3:24" ht="13" x14ac:dyDescent="0.15">
      <c r="C630" s="77"/>
      <c r="D630" s="78"/>
      <c r="E630" s="78"/>
      <c r="F630" s="79"/>
      <c r="G630" s="10"/>
      <c r="H630" s="10"/>
      <c r="I630" s="10"/>
      <c r="J630" s="1"/>
      <c r="K630" s="10"/>
      <c r="L630" s="1"/>
      <c r="M630" s="1"/>
      <c r="N630" s="10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3:24" ht="13" x14ac:dyDescent="0.15">
      <c r="C631" s="77"/>
      <c r="D631" s="78"/>
      <c r="E631" s="78"/>
      <c r="F631" s="79"/>
      <c r="G631" s="10"/>
      <c r="H631" s="10"/>
      <c r="I631" s="10"/>
      <c r="J631" s="1"/>
      <c r="K631" s="10"/>
      <c r="L631" s="1"/>
      <c r="M631" s="1"/>
      <c r="N631" s="10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3:24" ht="13" x14ac:dyDescent="0.15">
      <c r="C632" s="77"/>
      <c r="D632" s="78"/>
      <c r="E632" s="78"/>
      <c r="F632" s="79"/>
      <c r="G632" s="10"/>
      <c r="H632" s="10"/>
      <c r="I632" s="10"/>
      <c r="J632" s="1"/>
      <c r="K632" s="10"/>
      <c r="L632" s="1"/>
      <c r="M632" s="1"/>
      <c r="N632" s="10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3:24" ht="13" x14ac:dyDescent="0.15">
      <c r="C633" s="77"/>
      <c r="D633" s="78"/>
      <c r="E633" s="78"/>
      <c r="F633" s="79"/>
      <c r="G633" s="10"/>
      <c r="H633" s="10"/>
      <c r="I633" s="10"/>
      <c r="J633" s="1"/>
      <c r="K633" s="10"/>
      <c r="L633" s="1"/>
      <c r="M633" s="1"/>
      <c r="N633" s="10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3:24" ht="13" x14ac:dyDescent="0.15">
      <c r="C634" s="77"/>
      <c r="D634" s="78"/>
      <c r="E634" s="78"/>
      <c r="F634" s="79"/>
      <c r="G634" s="10"/>
      <c r="H634" s="10"/>
      <c r="I634" s="10"/>
      <c r="J634" s="1"/>
      <c r="K634" s="10"/>
      <c r="L634" s="1"/>
      <c r="M634" s="1"/>
      <c r="N634" s="10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3:24" ht="13" x14ac:dyDescent="0.15">
      <c r="C635" s="77"/>
      <c r="D635" s="78"/>
      <c r="E635" s="78"/>
      <c r="F635" s="79"/>
      <c r="G635" s="10"/>
      <c r="H635" s="10"/>
      <c r="I635" s="10"/>
      <c r="J635" s="1"/>
      <c r="K635" s="10"/>
      <c r="L635" s="1"/>
      <c r="M635" s="1"/>
      <c r="N635" s="10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3:24" ht="13" x14ac:dyDescent="0.15">
      <c r="C636" s="77"/>
      <c r="D636" s="78"/>
      <c r="E636" s="78"/>
      <c r="F636" s="79"/>
      <c r="G636" s="10"/>
      <c r="H636" s="10"/>
      <c r="I636" s="10"/>
      <c r="J636" s="1"/>
      <c r="K636" s="10"/>
      <c r="L636" s="1"/>
      <c r="M636" s="1"/>
      <c r="N636" s="10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3:24" ht="13" x14ac:dyDescent="0.15">
      <c r="C637" s="77"/>
      <c r="D637" s="78"/>
      <c r="E637" s="78"/>
      <c r="F637" s="79"/>
      <c r="G637" s="10"/>
      <c r="H637" s="10"/>
      <c r="I637" s="10"/>
      <c r="J637" s="1"/>
      <c r="K637" s="10"/>
      <c r="L637" s="1"/>
      <c r="M637" s="1"/>
      <c r="N637" s="10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3:24" ht="13" x14ac:dyDescent="0.15">
      <c r="C638" s="77"/>
      <c r="D638" s="78"/>
      <c r="E638" s="78"/>
      <c r="F638" s="79"/>
      <c r="G638" s="10"/>
      <c r="H638" s="10"/>
      <c r="I638" s="10"/>
      <c r="J638" s="1"/>
      <c r="K638" s="10"/>
      <c r="L638" s="1"/>
      <c r="M638" s="1"/>
      <c r="N638" s="10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3:24" ht="13" x14ac:dyDescent="0.15">
      <c r="C639" s="77"/>
      <c r="D639" s="78"/>
      <c r="E639" s="78"/>
      <c r="F639" s="79"/>
      <c r="G639" s="10"/>
      <c r="H639" s="10"/>
      <c r="I639" s="10"/>
      <c r="J639" s="1"/>
      <c r="K639" s="10"/>
      <c r="L639" s="1"/>
      <c r="M639" s="1"/>
      <c r="N639" s="10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3:24" ht="13" x14ac:dyDescent="0.15">
      <c r="C640" s="77"/>
      <c r="D640" s="78"/>
      <c r="E640" s="78"/>
      <c r="F640" s="79"/>
      <c r="G640" s="10"/>
      <c r="H640" s="10"/>
      <c r="I640" s="10"/>
      <c r="J640" s="1"/>
      <c r="K640" s="10"/>
      <c r="L640" s="1"/>
      <c r="M640" s="1"/>
      <c r="N640" s="10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3:24" ht="13" x14ac:dyDescent="0.15">
      <c r="C641" s="77"/>
      <c r="D641" s="78"/>
      <c r="E641" s="78"/>
      <c r="F641" s="79"/>
      <c r="G641" s="10"/>
      <c r="H641" s="10"/>
      <c r="I641" s="10"/>
      <c r="J641" s="1"/>
      <c r="K641" s="10"/>
      <c r="L641" s="1"/>
      <c r="M641" s="1"/>
      <c r="N641" s="10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3:24" ht="13" x14ac:dyDescent="0.15">
      <c r="C642" s="77"/>
      <c r="D642" s="78"/>
      <c r="E642" s="78"/>
      <c r="F642" s="79"/>
      <c r="G642" s="10"/>
      <c r="H642" s="10"/>
      <c r="I642" s="10"/>
      <c r="J642" s="1"/>
      <c r="K642" s="10"/>
      <c r="L642" s="1"/>
      <c r="M642" s="1"/>
      <c r="N642" s="10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3:24" ht="13" x14ac:dyDescent="0.15">
      <c r="C643" s="77"/>
      <c r="D643" s="78"/>
      <c r="E643" s="78"/>
      <c r="F643" s="79"/>
      <c r="G643" s="10"/>
      <c r="H643" s="10"/>
      <c r="I643" s="10"/>
      <c r="J643" s="1"/>
      <c r="K643" s="10"/>
      <c r="L643" s="1"/>
      <c r="M643" s="1"/>
      <c r="N643" s="10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3:24" ht="13" x14ac:dyDescent="0.15">
      <c r="C644" s="77"/>
      <c r="D644" s="78"/>
      <c r="E644" s="78"/>
      <c r="F644" s="79"/>
      <c r="G644" s="10"/>
      <c r="H644" s="10"/>
      <c r="I644" s="10"/>
      <c r="J644" s="1"/>
      <c r="K644" s="10"/>
      <c r="L644" s="1"/>
      <c r="M644" s="1"/>
      <c r="N644" s="10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3:24" ht="13" x14ac:dyDescent="0.15">
      <c r="C645" s="77"/>
      <c r="D645" s="78"/>
      <c r="E645" s="78"/>
      <c r="F645" s="79"/>
      <c r="G645" s="10"/>
      <c r="H645" s="10"/>
      <c r="I645" s="10"/>
      <c r="J645" s="1"/>
      <c r="K645" s="10"/>
      <c r="L645" s="1"/>
      <c r="M645" s="1"/>
      <c r="N645" s="10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3:24" ht="13" x14ac:dyDescent="0.15">
      <c r="C646" s="77"/>
      <c r="D646" s="78"/>
      <c r="E646" s="78"/>
      <c r="F646" s="79"/>
      <c r="G646" s="10"/>
      <c r="H646" s="10"/>
      <c r="I646" s="10"/>
      <c r="J646" s="1"/>
      <c r="K646" s="10"/>
      <c r="L646" s="1"/>
      <c r="M646" s="1"/>
      <c r="N646" s="10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3:24" ht="13" x14ac:dyDescent="0.15">
      <c r="C647" s="77"/>
      <c r="D647" s="78"/>
      <c r="E647" s="78"/>
      <c r="F647" s="79"/>
      <c r="G647" s="10"/>
      <c r="H647" s="10"/>
      <c r="I647" s="10"/>
      <c r="J647" s="1"/>
      <c r="K647" s="10"/>
      <c r="L647" s="1"/>
      <c r="M647" s="1"/>
      <c r="N647" s="10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3:24" ht="13" x14ac:dyDescent="0.15">
      <c r="C648" s="77"/>
      <c r="D648" s="78"/>
      <c r="E648" s="78"/>
      <c r="F648" s="79"/>
      <c r="G648" s="10"/>
      <c r="H648" s="10"/>
      <c r="I648" s="10"/>
      <c r="J648" s="1"/>
      <c r="K648" s="10"/>
      <c r="L648" s="1"/>
      <c r="M648" s="1"/>
      <c r="N648" s="10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3:24" ht="13" x14ac:dyDescent="0.15">
      <c r="C649" s="77"/>
      <c r="D649" s="78"/>
      <c r="E649" s="78"/>
      <c r="F649" s="79"/>
      <c r="G649" s="10"/>
      <c r="H649" s="10"/>
      <c r="I649" s="10"/>
      <c r="J649" s="1"/>
      <c r="K649" s="10"/>
      <c r="L649" s="1"/>
      <c r="M649" s="1"/>
      <c r="N649" s="10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3:24" ht="13" x14ac:dyDescent="0.15">
      <c r="C650" s="77"/>
      <c r="D650" s="78"/>
      <c r="E650" s="78"/>
      <c r="F650" s="79"/>
      <c r="G650" s="10"/>
      <c r="H650" s="10"/>
      <c r="I650" s="10"/>
      <c r="J650" s="1"/>
      <c r="K650" s="10"/>
      <c r="L650" s="1"/>
      <c r="M650" s="1"/>
      <c r="N650" s="10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3:24" ht="13" x14ac:dyDescent="0.15">
      <c r="C651" s="77"/>
      <c r="D651" s="78"/>
      <c r="E651" s="78"/>
      <c r="F651" s="79"/>
      <c r="G651" s="10"/>
      <c r="H651" s="10"/>
      <c r="I651" s="10"/>
      <c r="J651" s="1"/>
      <c r="K651" s="10"/>
      <c r="L651" s="1"/>
      <c r="M651" s="1"/>
      <c r="N651" s="10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3:24" ht="13" x14ac:dyDescent="0.15">
      <c r="C652" s="77"/>
      <c r="D652" s="78"/>
      <c r="E652" s="78"/>
      <c r="F652" s="79"/>
      <c r="G652" s="10"/>
      <c r="H652" s="10"/>
      <c r="I652" s="10"/>
      <c r="J652" s="1"/>
      <c r="K652" s="10"/>
      <c r="L652" s="1"/>
      <c r="M652" s="1"/>
      <c r="N652" s="10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3:24" ht="13" x14ac:dyDescent="0.15">
      <c r="C653" s="77"/>
      <c r="D653" s="78"/>
      <c r="E653" s="78"/>
      <c r="F653" s="79"/>
      <c r="G653" s="10"/>
      <c r="H653" s="10"/>
      <c r="I653" s="10"/>
      <c r="J653" s="1"/>
      <c r="K653" s="10"/>
      <c r="L653" s="1"/>
      <c r="M653" s="1"/>
      <c r="N653" s="10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3:24" ht="13" x14ac:dyDescent="0.15">
      <c r="C654" s="77"/>
      <c r="D654" s="78"/>
      <c r="E654" s="78"/>
      <c r="F654" s="79"/>
      <c r="G654" s="10"/>
      <c r="H654" s="10"/>
      <c r="I654" s="10"/>
      <c r="J654" s="1"/>
      <c r="K654" s="10"/>
      <c r="L654" s="1"/>
      <c r="M654" s="1"/>
      <c r="N654" s="10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3:24" ht="13" x14ac:dyDescent="0.15">
      <c r="C655" s="77"/>
      <c r="D655" s="78"/>
      <c r="E655" s="78"/>
      <c r="F655" s="79"/>
      <c r="G655" s="10"/>
      <c r="H655" s="10"/>
      <c r="I655" s="10"/>
      <c r="J655" s="1"/>
      <c r="K655" s="10"/>
      <c r="L655" s="1"/>
      <c r="M655" s="1"/>
      <c r="N655" s="10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3:24" ht="13" x14ac:dyDescent="0.15">
      <c r="C656" s="77"/>
      <c r="D656" s="78"/>
      <c r="E656" s="78"/>
      <c r="F656" s="79"/>
      <c r="G656" s="10"/>
      <c r="H656" s="10"/>
      <c r="I656" s="10"/>
      <c r="J656" s="1"/>
      <c r="K656" s="10"/>
      <c r="L656" s="1"/>
      <c r="M656" s="1"/>
      <c r="N656" s="10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3:24" ht="13" x14ac:dyDescent="0.15">
      <c r="C657" s="77"/>
      <c r="D657" s="78"/>
      <c r="E657" s="78"/>
      <c r="F657" s="79"/>
      <c r="G657" s="10"/>
      <c r="H657" s="10"/>
      <c r="I657" s="10"/>
      <c r="J657" s="1"/>
      <c r="K657" s="10"/>
      <c r="L657" s="1"/>
      <c r="M657" s="1"/>
      <c r="N657" s="10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3:24" ht="13" x14ac:dyDescent="0.15">
      <c r="C658" s="77"/>
      <c r="D658" s="78"/>
      <c r="E658" s="78"/>
      <c r="F658" s="79"/>
      <c r="G658" s="10"/>
      <c r="H658" s="10"/>
      <c r="I658" s="10"/>
      <c r="J658" s="1"/>
      <c r="K658" s="10"/>
      <c r="L658" s="1"/>
      <c r="M658" s="1"/>
      <c r="N658" s="10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3:24" ht="13" x14ac:dyDescent="0.15">
      <c r="C659" s="77"/>
      <c r="D659" s="78"/>
      <c r="E659" s="78"/>
      <c r="F659" s="79"/>
      <c r="G659" s="10"/>
      <c r="H659" s="10"/>
      <c r="I659" s="10"/>
      <c r="J659" s="1"/>
      <c r="K659" s="10"/>
      <c r="L659" s="1"/>
      <c r="M659" s="1"/>
      <c r="N659" s="10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3:24" ht="13" x14ac:dyDescent="0.15">
      <c r="C660" s="77"/>
      <c r="D660" s="78"/>
      <c r="E660" s="78"/>
      <c r="F660" s="79"/>
      <c r="G660" s="10"/>
      <c r="H660" s="10"/>
      <c r="I660" s="10"/>
      <c r="J660" s="1"/>
      <c r="K660" s="10"/>
      <c r="L660" s="1"/>
      <c r="M660" s="1"/>
      <c r="N660" s="10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3:24" ht="13" x14ac:dyDescent="0.15">
      <c r="C661" s="77"/>
      <c r="D661" s="78"/>
      <c r="E661" s="78"/>
      <c r="F661" s="79"/>
      <c r="G661" s="10"/>
      <c r="H661" s="10"/>
      <c r="I661" s="10"/>
      <c r="J661" s="1"/>
      <c r="K661" s="10"/>
      <c r="L661" s="1"/>
      <c r="M661" s="1"/>
      <c r="N661" s="10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3:24" ht="13" x14ac:dyDescent="0.15">
      <c r="C662" s="77"/>
      <c r="D662" s="78"/>
      <c r="E662" s="78"/>
      <c r="F662" s="79"/>
      <c r="G662" s="10"/>
      <c r="H662" s="10"/>
      <c r="I662" s="10"/>
      <c r="J662" s="1"/>
      <c r="K662" s="10"/>
      <c r="L662" s="1"/>
      <c r="M662" s="1"/>
      <c r="N662" s="10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3:24" ht="13" x14ac:dyDescent="0.15">
      <c r="C663" s="77"/>
      <c r="D663" s="78"/>
      <c r="E663" s="78"/>
      <c r="F663" s="79"/>
      <c r="G663" s="10"/>
      <c r="H663" s="10"/>
      <c r="I663" s="10"/>
      <c r="J663" s="1"/>
      <c r="K663" s="10"/>
      <c r="L663" s="1"/>
      <c r="M663" s="1"/>
      <c r="N663" s="10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3:24" ht="13" x14ac:dyDescent="0.15">
      <c r="C664" s="77"/>
      <c r="D664" s="78"/>
      <c r="E664" s="78"/>
      <c r="F664" s="79"/>
      <c r="G664" s="10"/>
      <c r="H664" s="10"/>
      <c r="I664" s="10"/>
      <c r="J664" s="1"/>
      <c r="K664" s="10"/>
      <c r="L664" s="1"/>
      <c r="M664" s="1"/>
      <c r="N664" s="10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3:24" ht="13" x14ac:dyDescent="0.15">
      <c r="C665" s="77"/>
      <c r="D665" s="78"/>
      <c r="E665" s="78"/>
      <c r="F665" s="79"/>
      <c r="G665" s="10"/>
      <c r="H665" s="10"/>
      <c r="I665" s="10"/>
      <c r="J665" s="1"/>
      <c r="K665" s="10"/>
      <c r="L665" s="1"/>
      <c r="M665" s="1"/>
      <c r="N665" s="10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3:24" ht="13" x14ac:dyDescent="0.15">
      <c r="C666" s="77"/>
      <c r="D666" s="78"/>
      <c r="E666" s="78"/>
      <c r="F666" s="79"/>
      <c r="G666" s="10"/>
      <c r="H666" s="10"/>
      <c r="I666" s="10"/>
      <c r="J666" s="1"/>
      <c r="K666" s="10"/>
      <c r="L666" s="1"/>
      <c r="M666" s="1"/>
      <c r="N666" s="10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3:24" ht="13" x14ac:dyDescent="0.15">
      <c r="C667" s="77"/>
      <c r="D667" s="78"/>
      <c r="E667" s="78"/>
      <c r="F667" s="79"/>
      <c r="G667" s="10"/>
      <c r="H667" s="10"/>
      <c r="I667" s="10"/>
      <c r="J667" s="1"/>
      <c r="K667" s="10"/>
      <c r="L667" s="1"/>
      <c r="M667" s="1"/>
      <c r="N667" s="10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3:24" ht="13" x14ac:dyDescent="0.15">
      <c r="C668" s="77"/>
      <c r="D668" s="78"/>
      <c r="E668" s="78"/>
      <c r="F668" s="79"/>
      <c r="G668" s="10"/>
      <c r="H668" s="10"/>
      <c r="I668" s="10"/>
      <c r="J668" s="1"/>
      <c r="K668" s="10"/>
      <c r="L668" s="1"/>
      <c r="M668" s="1"/>
      <c r="N668" s="10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3:24" ht="13" x14ac:dyDescent="0.15">
      <c r="C669" s="77"/>
      <c r="D669" s="78"/>
      <c r="E669" s="78"/>
      <c r="F669" s="79"/>
      <c r="G669" s="10"/>
      <c r="H669" s="10"/>
      <c r="I669" s="10"/>
      <c r="J669" s="1"/>
      <c r="K669" s="10"/>
      <c r="L669" s="1"/>
      <c r="M669" s="1"/>
      <c r="N669" s="10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3:24" ht="13" x14ac:dyDescent="0.15">
      <c r="C670" s="77"/>
      <c r="D670" s="78"/>
      <c r="E670" s="78"/>
      <c r="F670" s="79"/>
      <c r="G670" s="10"/>
      <c r="H670" s="10"/>
      <c r="I670" s="10"/>
      <c r="J670" s="1"/>
      <c r="K670" s="10"/>
      <c r="L670" s="1"/>
      <c r="M670" s="1"/>
      <c r="N670" s="10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3:24" ht="13" x14ac:dyDescent="0.15">
      <c r="C671" s="77"/>
      <c r="D671" s="78"/>
      <c r="E671" s="78"/>
      <c r="F671" s="79"/>
      <c r="G671" s="10"/>
      <c r="H671" s="10"/>
      <c r="I671" s="10"/>
      <c r="J671" s="1"/>
      <c r="K671" s="10"/>
      <c r="L671" s="1"/>
      <c r="M671" s="1"/>
      <c r="N671" s="10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3:24" ht="13" x14ac:dyDescent="0.15">
      <c r="C672" s="77"/>
      <c r="D672" s="78"/>
      <c r="E672" s="78"/>
      <c r="F672" s="79"/>
      <c r="G672" s="10"/>
      <c r="H672" s="10"/>
      <c r="I672" s="10"/>
      <c r="J672" s="1"/>
      <c r="K672" s="10"/>
      <c r="L672" s="1"/>
      <c r="M672" s="1"/>
      <c r="N672" s="10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3:24" ht="13" x14ac:dyDescent="0.15">
      <c r="C673" s="77"/>
      <c r="D673" s="78"/>
      <c r="E673" s="78"/>
      <c r="F673" s="79"/>
      <c r="G673" s="10"/>
      <c r="H673" s="10"/>
      <c r="I673" s="10"/>
      <c r="J673" s="1"/>
      <c r="K673" s="10"/>
      <c r="L673" s="1"/>
      <c r="M673" s="1"/>
      <c r="N673" s="10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3:24" ht="13" x14ac:dyDescent="0.15">
      <c r="C674" s="77"/>
      <c r="D674" s="78"/>
      <c r="E674" s="78"/>
      <c r="F674" s="79"/>
      <c r="G674" s="10"/>
      <c r="H674" s="10"/>
      <c r="I674" s="10"/>
      <c r="J674" s="1"/>
      <c r="K674" s="10"/>
      <c r="L674" s="1"/>
      <c r="M674" s="1"/>
      <c r="N674" s="10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3:24" ht="13" x14ac:dyDescent="0.15">
      <c r="C675" s="77"/>
      <c r="D675" s="78"/>
      <c r="E675" s="78"/>
      <c r="F675" s="79"/>
      <c r="G675" s="10"/>
      <c r="H675" s="10"/>
      <c r="I675" s="10"/>
      <c r="J675" s="1"/>
      <c r="K675" s="10"/>
      <c r="L675" s="1"/>
      <c r="M675" s="1"/>
      <c r="N675" s="10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3:24" ht="13" x14ac:dyDescent="0.15">
      <c r="C676" s="77"/>
      <c r="D676" s="78"/>
      <c r="E676" s="78"/>
      <c r="F676" s="79"/>
      <c r="G676" s="10"/>
      <c r="H676" s="10"/>
      <c r="I676" s="10"/>
      <c r="J676" s="1"/>
      <c r="K676" s="10"/>
      <c r="L676" s="1"/>
      <c r="M676" s="1"/>
      <c r="N676" s="10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3:24" ht="13" x14ac:dyDescent="0.15">
      <c r="C677" s="77"/>
      <c r="D677" s="78"/>
      <c r="E677" s="78"/>
      <c r="F677" s="79"/>
      <c r="G677" s="10"/>
      <c r="H677" s="10"/>
      <c r="I677" s="10"/>
      <c r="J677" s="1"/>
      <c r="K677" s="10"/>
      <c r="L677" s="1"/>
      <c r="M677" s="1"/>
      <c r="N677" s="10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3:24" ht="13" x14ac:dyDescent="0.15">
      <c r="C678" s="77"/>
      <c r="D678" s="78"/>
      <c r="E678" s="78"/>
      <c r="F678" s="79"/>
      <c r="G678" s="10"/>
      <c r="H678" s="10"/>
      <c r="I678" s="10"/>
      <c r="J678" s="1"/>
      <c r="K678" s="10"/>
      <c r="L678" s="1"/>
      <c r="M678" s="1"/>
      <c r="N678" s="10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3:24" ht="13" x14ac:dyDescent="0.15">
      <c r="C679" s="77"/>
      <c r="D679" s="78"/>
      <c r="E679" s="78"/>
      <c r="F679" s="79"/>
      <c r="G679" s="10"/>
      <c r="H679" s="10"/>
      <c r="I679" s="10"/>
      <c r="J679" s="1"/>
      <c r="K679" s="10"/>
      <c r="L679" s="1"/>
      <c r="M679" s="1"/>
      <c r="N679" s="10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3:24" ht="13" x14ac:dyDescent="0.15">
      <c r="C680" s="77"/>
      <c r="D680" s="78"/>
      <c r="E680" s="78"/>
      <c r="F680" s="79"/>
      <c r="G680" s="10"/>
      <c r="H680" s="10"/>
      <c r="I680" s="10"/>
      <c r="J680" s="1"/>
      <c r="K680" s="10"/>
      <c r="L680" s="1"/>
      <c r="M680" s="1"/>
      <c r="N680" s="10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3:24" ht="13" x14ac:dyDescent="0.15">
      <c r="C681" s="77"/>
      <c r="D681" s="78"/>
      <c r="E681" s="78"/>
      <c r="F681" s="79"/>
      <c r="G681" s="10"/>
      <c r="H681" s="10"/>
      <c r="I681" s="10"/>
      <c r="J681" s="1"/>
      <c r="K681" s="10"/>
      <c r="L681" s="1"/>
      <c r="M681" s="1"/>
      <c r="N681" s="10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3:24" ht="13" x14ac:dyDescent="0.15">
      <c r="C682" s="77"/>
      <c r="D682" s="78"/>
      <c r="E682" s="78"/>
      <c r="F682" s="79"/>
      <c r="G682" s="10"/>
      <c r="H682" s="10"/>
      <c r="I682" s="10"/>
      <c r="J682" s="1"/>
      <c r="K682" s="10"/>
      <c r="L682" s="1"/>
      <c r="M682" s="1"/>
      <c r="N682" s="10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3:24" ht="13" x14ac:dyDescent="0.15">
      <c r="C683" s="77"/>
      <c r="D683" s="78"/>
      <c r="E683" s="78"/>
      <c r="F683" s="79"/>
      <c r="G683" s="10"/>
      <c r="H683" s="10"/>
      <c r="I683" s="10"/>
      <c r="J683" s="1"/>
      <c r="K683" s="10"/>
      <c r="L683" s="1"/>
      <c r="M683" s="1"/>
      <c r="N683" s="10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3:24" ht="13" x14ac:dyDescent="0.15">
      <c r="C684" s="77"/>
      <c r="D684" s="78"/>
      <c r="E684" s="78"/>
      <c r="F684" s="79"/>
      <c r="G684" s="10"/>
      <c r="H684" s="10"/>
      <c r="I684" s="10"/>
      <c r="J684" s="1"/>
      <c r="K684" s="10"/>
      <c r="L684" s="1"/>
      <c r="M684" s="1"/>
      <c r="N684" s="10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3:24" ht="13" x14ac:dyDescent="0.15">
      <c r="C685" s="77"/>
      <c r="D685" s="78"/>
      <c r="E685" s="78"/>
      <c r="F685" s="79"/>
      <c r="G685" s="10"/>
      <c r="H685" s="10"/>
      <c r="I685" s="10"/>
      <c r="J685" s="1"/>
      <c r="K685" s="10"/>
      <c r="L685" s="1"/>
      <c r="M685" s="1"/>
      <c r="N685" s="10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3:24" ht="13" x14ac:dyDescent="0.15">
      <c r="C686" s="77"/>
      <c r="D686" s="78"/>
      <c r="E686" s="78"/>
      <c r="F686" s="79"/>
      <c r="G686" s="10"/>
      <c r="H686" s="10"/>
      <c r="I686" s="10"/>
      <c r="J686" s="1"/>
      <c r="K686" s="10"/>
      <c r="L686" s="1"/>
      <c r="M686" s="1"/>
      <c r="N686" s="10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3:24" ht="13" x14ac:dyDescent="0.15">
      <c r="C687" s="77"/>
      <c r="D687" s="78"/>
      <c r="E687" s="78"/>
      <c r="F687" s="79"/>
      <c r="G687" s="10"/>
      <c r="H687" s="10"/>
      <c r="I687" s="10"/>
      <c r="J687" s="1"/>
      <c r="K687" s="10"/>
      <c r="L687" s="1"/>
      <c r="M687" s="1"/>
      <c r="N687" s="10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3:24" ht="13" x14ac:dyDescent="0.15">
      <c r="C688" s="77"/>
      <c r="D688" s="78"/>
      <c r="E688" s="78"/>
      <c r="F688" s="79"/>
      <c r="G688" s="10"/>
      <c r="H688" s="10"/>
      <c r="I688" s="10"/>
      <c r="J688" s="1"/>
      <c r="K688" s="10"/>
      <c r="L688" s="1"/>
      <c r="M688" s="1"/>
      <c r="N688" s="10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3:24" ht="13" x14ac:dyDescent="0.15">
      <c r="C689" s="77"/>
      <c r="D689" s="78"/>
      <c r="E689" s="78"/>
      <c r="F689" s="79"/>
      <c r="G689" s="10"/>
      <c r="H689" s="10"/>
      <c r="I689" s="10"/>
      <c r="J689" s="1"/>
      <c r="K689" s="10"/>
      <c r="L689" s="1"/>
      <c r="M689" s="1"/>
      <c r="N689" s="10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3:24" ht="13" x14ac:dyDescent="0.15">
      <c r="C690" s="77"/>
      <c r="D690" s="78"/>
      <c r="E690" s="78"/>
      <c r="F690" s="79"/>
      <c r="G690" s="10"/>
      <c r="H690" s="10"/>
      <c r="I690" s="10"/>
      <c r="J690" s="1"/>
      <c r="K690" s="10"/>
      <c r="L690" s="1"/>
      <c r="M690" s="1"/>
      <c r="N690" s="10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3:24" ht="13" x14ac:dyDescent="0.15">
      <c r="C691" s="77"/>
      <c r="D691" s="78"/>
      <c r="E691" s="78"/>
      <c r="F691" s="79"/>
      <c r="G691" s="10"/>
      <c r="H691" s="10"/>
      <c r="I691" s="10"/>
      <c r="J691" s="1"/>
      <c r="K691" s="10"/>
      <c r="L691" s="1"/>
      <c r="M691" s="1"/>
      <c r="N691" s="10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3:24" ht="13" x14ac:dyDescent="0.15">
      <c r="C692" s="77"/>
      <c r="D692" s="78"/>
      <c r="E692" s="78"/>
      <c r="F692" s="79"/>
      <c r="G692" s="10"/>
      <c r="H692" s="10"/>
      <c r="I692" s="10"/>
      <c r="J692" s="1"/>
      <c r="K692" s="10"/>
      <c r="L692" s="1"/>
      <c r="M692" s="1"/>
      <c r="N692" s="10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3:24" ht="13" x14ac:dyDescent="0.15">
      <c r="C693" s="77"/>
      <c r="D693" s="78"/>
      <c r="E693" s="78"/>
      <c r="F693" s="79"/>
      <c r="G693" s="10"/>
      <c r="H693" s="10"/>
      <c r="I693" s="10"/>
      <c r="J693" s="1"/>
      <c r="K693" s="10"/>
      <c r="L693" s="1"/>
      <c r="M693" s="1"/>
      <c r="N693" s="10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3:24" ht="13" x14ac:dyDescent="0.15">
      <c r="C694" s="77"/>
      <c r="D694" s="78"/>
      <c r="E694" s="78"/>
      <c r="F694" s="79"/>
      <c r="G694" s="10"/>
      <c r="H694" s="10"/>
      <c r="I694" s="10"/>
      <c r="J694" s="1"/>
      <c r="K694" s="10"/>
      <c r="L694" s="1"/>
      <c r="M694" s="1"/>
      <c r="N694" s="10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3:24" ht="13" x14ac:dyDescent="0.15">
      <c r="C695" s="77"/>
      <c r="D695" s="78"/>
      <c r="E695" s="78"/>
      <c r="F695" s="79"/>
      <c r="G695" s="10"/>
      <c r="H695" s="10"/>
      <c r="I695" s="10"/>
      <c r="J695" s="1"/>
      <c r="K695" s="10"/>
      <c r="L695" s="1"/>
      <c r="M695" s="1"/>
      <c r="N695" s="10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3:24" ht="13" x14ac:dyDescent="0.15">
      <c r="C696" s="77"/>
      <c r="D696" s="78"/>
      <c r="E696" s="78"/>
      <c r="F696" s="79"/>
      <c r="G696" s="10"/>
      <c r="H696" s="10"/>
      <c r="I696" s="10"/>
      <c r="J696" s="1"/>
      <c r="K696" s="10"/>
      <c r="L696" s="1"/>
      <c r="M696" s="1"/>
      <c r="N696" s="10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3:24" ht="13" x14ac:dyDescent="0.15">
      <c r="C697" s="77"/>
      <c r="D697" s="78"/>
      <c r="E697" s="78"/>
      <c r="F697" s="79"/>
      <c r="G697" s="10"/>
      <c r="H697" s="10"/>
      <c r="I697" s="10"/>
      <c r="J697" s="1"/>
      <c r="K697" s="10"/>
      <c r="L697" s="1"/>
      <c r="M697" s="1"/>
      <c r="N697" s="10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3:24" ht="13" x14ac:dyDescent="0.15">
      <c r="C698" s="77"/>
      <c r="D698" s="78"/>
      <c r="E698" s="78"/>
      <c r="F698" s="79"/>
      <c r="G698" s="10"/>
      <c r="H698" s="10"/>
      <c r="I698" s="10"/>
      <c r="J698" s="1"/>
      <c r="K698" s="10"/>
      <c r="L698" s="1"/>
      <c r="M698" s="1"/>
      <c r="N698" s="10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3:24" ht="13" x14ac:dyDescent="0.15">
      <c r="C699" s="77"/>
      <c r="D699" s="78"/>
      <c r="E699" s="78"/>
      <c r="F699" s="79"/>
      <c r="G699" s="10"/>
      <c r="H699" s="10"/>
      <c r="I699" s="10"/>
      <c r="J699" s="1"/>
      <c r="K699" s="10"/>
      <c r="L699" s="1"/>
      <c r="M699" s="1"/>
      <c r="N699" s="10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3:24" ht="13" x14ac:dyDescent="0.15">
      <c r="C700" s="77"/>
      <c r="D700" s="78"/>
      <c r="E700" s="78"/>
      <c r="F700" s="79"/>
      <c r="G700" s="10"/>
      <c r="H700" s="10"/>
      <c r="I700" s="10"/>
      <c r="J700" s="1"/>
      <c r="K700" s="10"/>
      <c r="L700" s="1"/>
      <c r="M700" s="1"/>
      <c r="N700" s="10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3:24" ht="13" x14ac:dyDescent="0.15">
      <c r="C701" s="77"/>
      <c r="D701" s="78"/>
      <c r="E701" s="78"/>
      <c r="F701" s="79"/>
      <c r="G701" s="10"/>
      <c r="H701" s="10"/>
      <c r="I701" s="10"/>
      <c r="J701" s="1"/>
      <c r="K701" s="10"/>
      <c r="L701" s="1"/>
      <c r="M701" s="1"/>
      <c r="N701" s="10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3:24" ht="13" x14ac:dyDescent="0.15">
      <c r="C702" s="77"/>
      <c r="D702" s="78"/>
      <c r="E702" s="78"/>
      <c r="F702" s="79"/>
      <c r="G702" s="10"/>
      <c r="H702" s="10"/>
      <c r="I702" s="10"/>
      <c r="J702" s="1"/>
      <c r="K702" s="10"/>
      <c r="L702" s="1"/>
      <c r="M702" s="1"/>
      <c r="N702" s="10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3:24" ht="13" x14ac:dyDescent="0.15">
      <c r="C703" s="77"/>
      <c r="D703" s="78"/>
      <c r="E703" s="78"/>
      <c r="F703" s="79"/>
      <c r="G703" s="10"/>
      <c r="H703" s="10"/>
      <c r="I703" s="10"/>
      <c r="J703" s="1"/>
      <c r="K703" s="10"/>
      <c r="L703" s="1"/>
      <c r="M703" s="1"/>
      <c r="N703" s="10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3:24" ht="13" x14ac:dyDescent="0.15">
      <c r="C704" s="77"/>
      <c r="D704" s="78"/>
      <c r="E704" s="78"/>
      <c r="F704" s="79"/>
      <c r="G704" s="10"/>
      <c r="H704" s="10"/>
      <c r="I704" s="10"/>
      <c r="J704" s="1"/>
      <c r="K704" s="10"/>
      <c r="L704" s="1"/>
      <c r="M704" s="1"/>
      <c r="N704" s="10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3:24" ht="13" x14ac:dyDescent="0.15">
      <c r="C705" s="77"/>
      <c r="D705" s="78"/>
      <c r="E705" s="78"/>
      <c r="F705" s="79"/>
      <c r="G705" s="10"/>
      <c r="H705" s="10"/>
      <c r="I705" s="10"/>
      <c r="J705" s="1"/>
      <c r="K705" s="10"/>
      <c r="L705" s="1"/>
      <c r="M705" s="1"/>
      <c r="N705" s="10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3:24" ht="13" x14ac:dyDescent="0.15">
      <c r="C706" s="77"/>
      <c r="D706" s="78"/>
      <c r="E706" s="78"/>
      <c r="F706" s="79"/>
      <c r="G706" s="10"/>
      <c r="H706" s="10"/>
      <c r="I706" s="10"/>
      <c r="J706" s="1"/>
      <c r="K706" s="10"/>
      <c r="L706" s="1"/>
      <c r="M706" s="1"/>
      <c r="N706" s="10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3:24" ht="13" x14ac:dyDescent="0.15">
      <c r="C707" s="77"/>
      <c r="D707" s="78"/>
      <c r="E707" s="78"/>
      <c r="F707" s="79"/>
      <c r="G707" s="10"/>
      <c r="H707" s="10"/>
      <c r="I707" s="10"/>
      <c r="J707" s="1"/>
      <c r="K707" s="10"/>
      <c r="L707" s="1"/>
      <c r="M707" s="1"/>
      <c r="N707" s="10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3:24" ht="13" x14ac:dyDescent="0.15">
      <c r="C708" s="77"/>
      <c r="D708" s="78"/>
      <c r="E708" s="78"/>
      <c r="F708" s="79"/>
      <c r="G708" s="10"/>
      <c r="H708" s="10"/>
      <c r="I708" s="10"/>
      <c r="J708" s="1"/>
      <c r="K708" s="10"/>
      <c r="L708" s="1"/>
      <c r="M708" s="1"/>
      <c r="N708" s="10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3:24" ht="13" x14ac:dyDescent="0.15">
      <c r="C709" s="77"/>
      <c r="D709" s="78"/>
      <c r="E709" s="78"/>
      <c r="F709" s="79"/>
      <c r="G709" s="10"/>
      <c r="H709" s="10"/>
      <c r="I709" s="10"/>
      <c r="J709" s="1"/>
      <c r="K709" s="10"/>
      <c r="L709" s="1"/>
      <c r="M709" s="1"/>
      <c r="N709" s="10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3:24" ht="13" x14ac:dyDescent="0.15">
      <c r="C710" s="77"/>
      <c r="D710" s="78"/>
      <c r="E710" s="78"/>
      <c r="F710" s="79"/>
      <c r="G710" s="10"/>
      <c r="H710" s="10"/>
      <c r="I710" s="10"/>
      <c r="J710" s="1"/>
      <c r="K710" s="10"/>
      <c r="L710" s="1"/>
      <c r="M710" s="1"/>
      <c r="N710" s="10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3:24" ht="13" x14ac:dyDescent="0.15">
      <c r="C711" s="77"/>
      <c r="D711" s="78"/>
      <c r="E711" s="78"/>
      <c r="F711" s="79"/>
      <c r="G711" s="10"/>
      <c r="H711" s="10"/>
      <c r="I711" s="10"/>
      <c r="J711" s="1"/>
      <c r="K711" s="10"/>
      <c r="L711" s="1"/>
      <c r="M711" s="1"/>
      <c r="N711" s="10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3:24" ht="13" x14ac:dyDescent="0.15">
      <c r="C712" s="77"/>
      <c r="D712" s="78"/>
      <c r="E712" s="78"/>
      <c r="F712" s="79"/>
      <c r="G712" s="10"/>
      <c r="H712" s="10"/>
      <c r="I712" s="10"/>
      <c r="J712" s="1"/>
      <c r="K712" s="10"/>
      <c r="L712" s="1"/>
      <c r="M712" s="1"/>
      <c r="N712" s="10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3:24" ht="13" x14ac:dyDescent="0.15">
      <c r="C713" s="77"/>
      <c r="D713" s="78"/>
      <c r="E713" s="78"/>
      <c r="F713" s="79"/>
      <c r="G713" s="10"/>
      <c r="H713" s="10"/>
      <c r="I713" s="10"/>
      <c r="J713" s="1"/>
      <c r="K713" s="10"/>
      <c r="L713" s="1"/>
      <c r="M713" s="1"/>
      <c r="N713" s="10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3:24" ht="13" x14ac:dyDescent="0.15">
      <c r="C714" s="77"/>
      <c r="D714" s="78"/>
      <c r="E714" s="78"/>
      <c r="F714" s="79"/>
      <c r="G714" s="10"/>
      <c r="H714" s="10"/>
      <c r="I714" s="10"/>
      <c r="J714" s="1"/>
      <c r="K714" s="10"/>
      <c r="L714" s="1"/>
      <c r="M714" s="1"/>
      <c r="N714" s="10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3:24" ht="13" x14ac:dyDescent="0.15">
      <c r="C715" s="77"/>
      <c r="D715" s="78"/>
      <c r="E715" s="78"/>
      <c r="F715" s="79"/>
      <c r="G715" s="10"/>
      <c r="H715" s="10"/>
      <c r="I715" s="10"/>
      <c r="J715" s="1"/>
      <c r="K715" s="10"/>
      <c r="L715" s="1"/>
      <c r="M715" s="1"/>
      <c r="N715" s="10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3:24" ht="13" x14ac:dyDescent="0.15">
      <c r="C716" s="77"/>
      <c r="D716" s="78"/>
      <c r="E716" s="78"/>
      <c r="F716" s="79"/>
      <c r="G716" s="10"/>
      <c r="H716" s="10"/>
      <c r="I716" s="10"/>
      <c r="J716" s="1"/>
      <c r="K716" s="10"/>
      <c r="L716" s="1"/>
      <c r="M716" s="1"/>
      <c r="N716" s="10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3:24" ht="13" x14ac:dyDescent="0.15">
      <c r="C717" s="77"/>
      <c r="D717" s="78"/>
      <c r="E717" s="78"/>
      <c r="F717" s="79"/>
      <c r="G717" s="10"/>
      <c r="H717" s="10"/>
      <c r="I717" s="10"/>
      <c r="J717" s="1"/>
      <c r="K717" s="10"/>
      <c r="L717" s="1"/>
      <c r="M717" s="1"/>
      <c r="N717" s="10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3:24" ht="13" x14ac:dyDescent="0.15">
      <c r="C718" s="77"/>
      <c r="D718" s="78"/>
      <c r="E718" s="78"/>
      <c r="F718" s="79"/>
      <c r="G718" s="10"/>
      <c r="H718" s="10"/>
      <c r="I718" s="10"/>
      <c r="J718" s="1"/>
      <c r="K718" s="10"/>
      <c r="L718" s="1"/>
      <c r="M718" s="1"/>
      <c r="N718" s="10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3:24" ht="13" x14ac:dyDescent="0.15">
      <c r="C719" s="77"/>
      <c r="D719" s="78"/>
      <c r="E719" s="78"/>
      <c r="F719" s="79"/>
      <c r="G719" s="10"/>
      <c r="H719" s="10"/>
      <c r="I719" s="10"/>
      <c r="J719" s="1"/>
      <c r="K719" s="10"/>
      <c r="L719" s="1"/>
      <c r="M719" s="1"/>
      <c r="N719" s="10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3:24" ht="13" x14ac:dyDescent="0.15">
      <c r="C720" s="77"/>
      <c r="D720" s="78"/>
      <c r="E720" s="78"/>
      <c r="F720" s="79"/>
      <c r="G720" s="10"/>
      <c r="H720" s="10"/>
      <c r="I720" s="10"/>
      <c r="J720" s="1"/>
      <c r="K720" s="10"/>
      <c r="L720" s="1"/>
      <c r="M720" s="1"/>
      <c r="N720" s="10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3:24" ht="13" x14ac:dyDescent="0.15">
      <c r="C721" s="77"/>
      <c r="D721" s="78"/>
      <c r="E721" s="78"/>
      <c r="F721" s="79"/>
      <c r="G721" s="10"/>
      <c r="H721" s="10"/>
      <c r="I721" s="10"/>
      <c r="J721" s="1"/>
      <c r="K721" s="10"/>
      <c r="L721" s="1"/>
      <c r="M721" s="1"/>
      <c r="N721" s="10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3:24" ht="13" x14ac:dyDescent="0.15">
      <c r="C722" s="77"/>
      <c r="D722" s="78"/>
      <c r="E722" s="78"/>
      <c r="F722" s="79"/>
      <c r="G722" s="10"/>
      <c r="H722" s="10"/>
      <c r="I722" s="10"/>
      <c r="J722" s="1"/>
      <c r="K722" s="10"/>
      <c r="L722" s="1"/>
      <c r="M722" s="1"/>
      <c r="N722" s="10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3:24" ht="13" x14ac:dyDescent="0.15">
      <c r="C723" s="77"/>
      <c r="D723" s="78"/>
      <c r="E723" s="78"/>
      <c r="F723" s="79"/>
      <c r="G723" s="10"/>
      <c r="H723" s="10"/>
      <c r="I723" s="10"/>
      <c r="J723" s="1"/>
      <c r="K723" s="10"/>
      <c r="L723" s="1"/>
      <c r="M723" s="1"/>
      <c r="N723" s="10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3:24" ht="13" x14ac:dyDescent="0.15">
      <c r="C724" s="77"/>
      <c r="D724" s="78"/>
      <c r="E724" s="78"/>
      <c r="F724" s="79"/>
      <c r="G724" s="10"/>
      <c r="H724" s="10"/>
      <c r="I724" s="10"/>
      <c r="J724" s="1"/>
      <c r="K724" s="10"/>
      <c r="L724" s="1"/>
      <c r="M724" s="1"/>
      <c r="N724" s="10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3:24" ht="13" x14ac:dyDescent="0.15">
      <c r="C725" s="77"/>
      <c r="D725" s="78"/>
      <c r="E725" s="78"/>
      <c r="F725" s="79"/>
      <c r="G725" s="10"/>
      <c r="H725" s="10"/>
      <c r="I725" s="10"/>
      <c r="J725" s="1"/>
      <c r="K725" s="10"/>
      <c r="L725" s="1"/>
      <c r="M725" s="1"/>
      <c r="N725" s="10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3:24" ht="13" x14ac:dyDescent="0.15">
      <c r="C726" s="77"/>
      <c r="D726" s="78"/>
      <c r="E726" s="78"/>
      <c r="F726" s="79"/>
      <c r="G726" s="10"/>
      <c r="H726" s="10"/>
      <c r="I726" s="10"/>
      <c r="J726" s="1"/>
      <c r="K726" s="10"/>
      <c r="L726" s="1"/>
      <c r="M726" s="1"/>
      <c r="N726" s="10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3:24" ht="13" x14ac:dyDescent="0.15">
      <c r="C727" s="77"/>
      <c r="D727" s="78"/>
      <c r="E727" s="78"/>
      <c r="F727" s="79"/>
      <c r="G727" s="10"/>
      <c r="H727" s="10"/>
      <c r="I727" s="10"/>
      <c r="J727" s="1"/>
      <c r="K727" s="10"/>
      <c r="L727" s="1"/>
      <c r="M727" s="1"/>
      <c r="N727" s="10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3:24" ht="13" x14ac:dyDescent="0.15">
      <c r="C728" s="77"/>
      <c r="D728" s="78"/>
      <c r="E728" s="78"/>
      <c r="F728" s="79"/>
      <c r="G728" s="10"/>
      <c r="H728" s="10"/>
      <c r="I728" s="10"/>
      <c r="J728" s="1"/>
      <c r="K728" s="10"/>
      <c r="L728" s="1"/>
      <c r="M728" s="1"/>
      <c r="N728" s="10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3:24" ht="13" x14ac:dyDescent="0.15">
      <c r="C729" s="77"/>
      <c r="D729" s="78"/>
      <c r="E729" s="78"/>
      <c r="F729" s="79"/>
      <c r="G729" s="10"/>
      <c r="H729" s="10"/>
      <c r="I729" s="10"/>
      <c r="J729" s="1"/>
      <c r="K729" s="10"/>
      <c r="L729" s="1"/>
      <c r="M729" s="1"/>
      <c r="N729" s="10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3:24" ht="13" x14ac:dyDescent="0.15">
      <c r="C730" s="77"/>
      <c r="D730" s="78"/>
      <c r="E730" s="78"/>
      <c r="F730" s="79"/>
      <c r="G730" s="10"/>
      <c r="H730" s="10"/>
      <c r="I730" s="10"/>
      <c r="J730" s="1"/>
      <c r="K730" s="10"/>
      <c r="L730" s="1"/>
      <c r="M730" s="1"/>
      <c r="N730" s="10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3:24" ht="13" x14ac:dyDescent="0.15">
      <c r="C731" s="77"/>
      <c r="D731" s="78"/>
      <c r="E731" s="78"/>
      <c r="F731" s="79"/>
      <c r="G731" s="10"/>
      <c r="H731" s="10"/>
      <c r="I731" s="10"/>
      <c r="J731" s="1"/>
      <c r="K731" s="10"/>
      <c r="L731" s="1"/>
      <c r="M731" s="1"/>
      <c r="N731" s="10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3:24" ht="13" x14ac:dyDescent="0.15">
      <c r="C732" s="77"/>
      <c r="D732" s="78"/>
      <c r="E732" s="78"/>
      <c r="F732" s="79"/>
      <c r="G732" s="10"/>
      <c r="H732" s="10"/>
      <c r="I732" s="10"/>
      <c r="J732" s="1"/>
      <c r="K732" s="10"/>
      <c r="L732" s="1"/>
      <c r="M732" s="1"/>
      <c r="N732" s="10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3:24" ht="13" x14ac:dyDescent="0.15">
      <c r="C733" s="77"/>
      <c r="D733" s="78"/>
      <c r="E733" s="78"/>
      <c r="F733" s="79"/>
      <c r="G733" s="10"/>
      <c r="H733" s="10"/>
      <c r="I733" s="10"/>
      <c r="J733" s="1"/>
      <c r="K733" s="10"/>
      <c r="L733" s="1"/>
      <c r="M733" s="1"/>
      <c r="N733" s="10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3:24" ht="13" x14ac:dyDescent="0.15">
      <c r="C734" s="77"/>
      <c r="D734" s="78"/>
      <c r="E734" s="78"/>
      <c r="F734" s="79"/>
      <c r="G734" s="10"/>
      <c r="H734" s="10"/>
      <c r="I734" s="10"/>
      <c r="J734" s="1"/>
      <c r="K734" s="10"/>
      <c r="L734" s="1"/>
      <c r="M734" s="1"/>
      <c r="N734" s="10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3:24" ht="13" x14ac:dyDescent="0.15">
      <c r="C735" s="77"/>
      <c r="D735" s="78"/>
      <c r="E735" s="78"/>
      <c r="F735" s="79"/>
      <c r="G735" s="10"/>
      <c r="H735" s="10"/>
      <c r="I735" s="10"/>
      <c r="J735" s="1"/>
      <c r="K735" s="10"/>
      <c r="L735" s="1"/>
      <c r="M735" s="1"/>
      <c r="N735" s="10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3:24" ht="13" x14ac:dyDescent="0.15">
      <c r="C736" s="77"/>
      <c r="D736" s="78"/>
      <c r="E736" s="78"/>
      <c r="F736" s="79"/>
      <c r="G736" s="10"/>
      <c r="H736" s="10"/>
      <c r="I736" s="10"/>
      <c r="J736" s="1"/>
      <c r="K736" s="10"/>
      <c r="L736" s="1"/>
      <c r="M736" s="1"/>
      <c r="N736" s="10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3:24" ht="13" x14ac:dyDescent="0.15">
      <c r="C737" s="77"/>
      <c r="D737" s="78"/>
      <c r="E737" s="78"/>
      <c r="F737" s="79"/>
      <c r="G737" s="10"/>
      <c r="H737" s="10"/>
      <c r="I737" s="10"/>
      <c r="J737" s="1"/>
      <c r="K737" s="10"/>
      <c r="L737" s="1"/>
      <c r="M737" s="1"/>
      <c r="N737" s="10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3:24" ht="13" x14ac:dyDescent="0.15">
      <c r="C738" s="77"/>
      <c r="D738" s="78"/>
      <c r="E738" s="78"/>
      <c r="F738" s="79"/>
      <c r="G738" s="10"/>
      <c r="H738" s="10"/>
      <c r="I738" s="10"/>
      <c r="J738" s="1"/>
      <c r="K738" s="10"/>
      <c r="L738" s="1"/>
      <c r="M738" s="1"/>
      <c r="N738" s="10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3:24" ht="13" x14ac:dyDescent="0.15">
      <c r="C739" s="77"/>
      <c r="D739" s="78"/>
      <c r="E739" s="78"/>
      <c r="F739" s="79"/>
      <c r="G739" s="10"/>
      <c r="H739" s="10"/>
      <c r="I739" s="10"/>
      <c r="J739" s="1"/>
      <c r="K739" s="10"/>
      <c r="L739" s="1"/>
      <c r="M739" s="1"/>
      <c r="N739" s="10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3:24" ht="13" x14ac:dyDescent="0.15">
      <c r="C740" s="77"/>
      <c r="D740" s="78"/>
      <c r="E740" s="78"/>
      <c r="F740" s="79"/>
      <c r="G740" s="10"/>
      <c r="H740" s="10"/>
      <c r="I740" s="10"/>
      <c r="J740" s="1"/>
      <c r="K740" s="10"/>
      <c r="L740" s="1"/>
      <c r="M740" s="1"/>
      <c r="N740" s="10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3:24" ht="13" x14ac:dyDescent="0.15">
      <c r="C741" s="77"/>
      <c r="D741" s="78"/>
      <c r="E741" s="78"/>
      <c r="F741" s="79"/>
      <c r="G741" s="10"/>
      <c r="H741" s="10"/>
      <c r="I741" s="10"/>
      <c r="J741" s="1"/>
      <c r="K741" s="10"/>
      <c r="L741" s="1"/>
      <c r="M741" s="1"/>
      <c r="N741" s="10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3:24" ht="13" x14ac:dyDescent="0.15">
      <c r="C742" s="77"/>
      <c r="D742" s="78"/>
      <c r="E742" s="78"/>
      <c r="F742" s="79"/>
      <c r="G742" s="10"/>
      <c r="H742" s="10"/>
      <c r="I742" s="10"/>
      <c r="J742" s="1"/>
      <c r="K742" s="10"/>
      <c r="L742" s="1"/>
      <c r="M742" s="1"/>
      <c r="N742" s="10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3:24" ht="13" x14ac:dyDescent="0.15">
      <c r="C743" s="77"/>
      <c r="D743" s="78"/>
      <c r="E743" s="78"/>
      <c r="F743" s="79"/>
      <c r="G743" s="10"/>
      <c r="H743" s="10"/>
      <c r="I743" s="10"/>
      <c r="J743" s="1"/>
      <c r="K743" s="10"/>
      <c r="L743" s="1"/>
      <c r="M743" s="1"/>
      <c r="N743" s="10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3:24" ht="13" x14ac:dyDescent="0.15">
      <c r="C744" s="77"/>
      <c r="D744" s="78"/>
      <c r="E744" s="78"/>
      <c r="F744" s="79"/>
      <c r="G744" s="10"/>
      <c r="H744" s="10"/>
      <c r="I744" s="10"/>
      <c r="J744" s="1"/>
      <c r="K744" s="10"/>
      <c r="L744" s="1"/>
      <c r="M744" s="1"/>
      <c r="N744" s="10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3:24" ht="13" x14ac:dyDescent="0.15">
      <c r="C745" s="77"/>
      <c r="D745" s="78"/>
      <c r="E745" s="78"/>
      <c r="F745" s="79"/>
      <c r="G745" s="10"/>
      <c r="H745" s="10"/>
      <c r="I745" s="10"/>
      <c r="J745" s="1"/>
      <c r="K745" s="10"/>
      <c r="L745" s="1"/>
      <c r="M745" s="1"/>
      <c r="N745" s="10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3:24" ht="13" x14ac:dyDescent="0.15">
      <c r="C746" s="77"/>
      <c r="D746" s="78"/>
      <c r="E746" s="78"/>
      <c r="F746" s="79"/>
      <c r="G746" s="10"/>
      <c r="H746" s="10"/>
      <c r="I746" s="10"/>
      <c r="J746" s="1"/>
      <c r="K746" s="10"/>
      <c r="L746" s="1"/>
      <c r="M746" s="1"/>
      <c r="N746" s="10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3:24" ht="13" x14ac:dyDescent="0.15">
      <c r="C747" s="77"/>
      <c r="D747" s="78"/>
      <c r="E747" s="78"/>
      <c r="F747" s="79"/>
      <c r="G747" s="10"/>
      <c r="H747" s="10"/>
      <c r="I747" s="10"/>
      <c r="J747" s="1"/>
      <c r="K747" s="10"/>
      <c r="L747" s="1"/>
      <c r="M747" s="1"/>
      <c r="N747" s="10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3:24" ht="13" x14ac:dyDescent="0.15">
      <c r="C748" s="77"/>
      <c r="D748" s="78"/>
      <c r="E748" s="78"/>
      <c r="F748" s="79"/>
      <c r="G748" s="10"/>
      <c r="H748" s="10"/>
      <c r="I748" s="10"/>
      <c r="J748" s="1"/>
      <c r="K748" s="10"/>
      <c r="L748" s="1"/>
      <c r="M748" s="1"/>
      <c r="N748" s="10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3:24" ht="13" x14ac:dyDescent="0.15">
      <c r="C749" s="77"/>
      <c r="D749" s="78"/>
      <c r="E749" s="78"/>
      <c r="F749" s="79"/>
      <c r="G749" s="10"/>
      <c r="H749" s="10"/>
      <c r="I749" s="10"/>
      <c r="J749" s="1"/>
      <c r="K749" s="10"/>
      <c r="L749" s="1"/>
      <c r="M749" s="1"/>
      <c r="N749" s="10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3:24" ht="13" x14ac:dyDescent="0.15">
      <c r="C750" s="77"/>
      <c r="D750" s="78"/>
      <c r="E750" s="78"/>
      <c r="F750" s="79"/>
      <c r="G750" s="10"/>
      <c r="H750" s="10"/>
      <c r="I750" s="10"/>
      <c r="J750" s="1"/>
      <c r="K750" s="10"/>
      <c r="L750" s="1"/>
      <c r="M750" s="1"/>
      <c r="N750" s="10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3:24" ht="13" x14ac:dyDescent="0.15">
      <c r="C751" s="77"/>
      <c r="D751" s="78"/>
      <c r="E751" s="78"/>
      <c r="F751" s="79"/>
      <c r="G751" s="10"/>
      <c r="H751" s="10"/>
      <c r="I751" s="10"/>
      <c r="J751" s="1"/>
      <c r="K751" s="10"/>
      <c r="L751" s="1"/>
      <c r="M751" s="1"/>
      <c r="N751" s="10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3:24" ht="13" x14ac:dyDescent="0.15">
      <c r="C752" s="77"/>
      <c r="D752" s="78"/>
      <c r="E752" s="78"/>
      <c r="F752" s="79"/>
      <c r="G752" s="10"/>
      <c r="H752" s="10"/>
      <c r="I752" s="10"/>
      <c r="J752" s="1"/>
      <c r="K752" s="10"/>
      <c r="L752" s="1"/>
      <c r="M752" s="1"/>
      <c r="N752" s="10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3:24" ht="13" x14ac:dyDescent="0.15">
      <c r="C753" s="77"/>
      <c r="D753" s="78"/>
      <c r="E753" s="78"/>
      <c r="F753" s="79"/>
      <c r="G753" s="10"/>
      <c r="H753" s="10"/>
      <c r="I753" s="10"/>
      <c r="J753" s="1"/>
      <c r="K753" s="10"/>
      <c r="L753" s="1"/>
      <c r="M753" s="1"/>
      <c r="N753" s="10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3:24" ht="13" x14ac:dyDescent="0.15">
      <c r="C754" s="77"/>
      <c r="D754" s="78"/>
      <c r="E754" s="78"/>
      <c r="F754" s="79"/>
      <c r="G754" s="10"/>
      <c r="H754" s="10"/>
      <c r="I754" s="10"/>
      <c r="J754" s="1"/>
      <c r="K754" s="10"/>
      <c r="L754" s="1"/>
      <c r="M754" s="1"/>
      <c r="N754" s="10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3:24" ht="13" x14ac:dyDescent="0.15">
      <c r="C755" s="77"/>
      <c r="D755" s="78"/>
      <c r="E755" s="78"/>
      <c r="F755" s="79"/>
      <c r="G755" s="10"/>
      <c r="H755" s="10"/>
      <c r="I755" s="10"/>
      <c r="J755" s="1"/>
      <c r="K755" s="10"/>
      <c r="L755" s="1"/>
      <c r="M755" s="1"/>
      <c r="N755" s="10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3:24" ht="13" x14ac:dyDescent="0.15">
      <c r="C756" s="77"/>
      <c r="D756" s="78"/>
      <c r="E756" s="78"/>
      <c r="F756" s="79"/>
      <c r="G756" s="10"/>
      <c r="H756" s="10"/>
      <c r="I756" s="10"/>
      <c r="J756" s="1"/>
      <c r="K756" s="10"/>
      <c r="L756" s="1"/>
      <c r="M756" s="1"/>
      <c r="N756" s="10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3:24" ht="13" x14ac:dyDescent="0.15">
      <c r="C757" s="77"/>
      <c r="D757" s="78"/>
      <c r="E757" s="78"/>
      <c r="F757" s="79"/>
      <c r="G757" s="10"/>
      <c r="H757" s="10"/>
      <c r="I757" s="10"/>
      <c r="J757" s="1"/>
      <c r="K757" s="10"/>
      <c r="L757" s="1"/>
      <c r="M757" s="1"/>
      <c r="N757" s="10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3:24" ht="13" x14ac:dyDescent="0.15">
      <c r="C758" s="77"/>
      <c r="D758" s="78"/>
      <c r="E758" s="78"/>
      <c r="F758" s="79"/>
      <c r="G758" s="10"/>
      <c r="H758" s="10"/>
      <c r="I758" s="10"/>
      <c r="J758" s="1"/>
      <c r="K758" s="10"/>
      <c r="L758" s="1"/>
      <c r="M758" s="1"/>
      <c r="N758" s="10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3:24" ht="13" x14ac:dyDescent="0.15">
      <c r="C759" s="77"/>
      <c r="D759" s="78"/>
      <c r="E759" s="78"/>
      <c r="F759" s="79"/>
      <c r="G759" s="10"/>
      <c r="H759" s="10"/>
      <c r="I759" s="10"/>
      <c r="J759" s="1"/>
      <c r="K759" s="10"/>
      <c r="L759" s="1"/>
      <c r="M759" s="1"/>
      <c r="N759" s="10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3:24" ht="13" x14ac:dyDescent="0.15">
      <c r="C760" s="77"/>
      <c r="D760" s="78"/>
      <c r="E760" s="78"/>
      <c r="F760" s="79"/>
      <c r="G760" s="10"/>
      <c r="H760" s="10"/>
      <c r="I760" s="10"/>
      <c r="J760" s="1"/>
      <c r="K760" s="10"/>
      <c r="L760" s="1"/>
      <c r="M760" s="1"/>
      <c r="N760" s="10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3:24" ht="13" x14ac:dyDescent="0.15">
      <c r="C761" s="77"/>
      <c r="D761" s="78"/>
      <c r="E761" s="78"/>
      <c r="F761" s="79"/>
      <c r="G761" s="10"/>
      <c r="H761" s="10"/>
      <c r="I761" s="10"/>
      <c r="J761" s="1"/>
      <c r="K761" s="10"/>
      <c r="L761" s="1"/>
      <c r="M761" s="1"/>
      <c r="N761" s="10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3:24" ht="13" x14ac:dyDescent="0.15">
      <c r="C762" s="77"/>
      <c r="D762" s="78"/>
      <c r="E762" s="78"/>
      <c r="F762" s="79"/>
      <c r="G762" s="10"/>
      <c r="H762" s="10"/>
      <c r="I762" s="10"/>
      <c r="J762" s="1"/>
      <c r="K762" s="10"/>
      <c r="L762" s="1"/>
      <c r="M762" s="1"/>
      <c r="N762" s="10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3:24" ht="13" x14ac:dyDescent="0.15">
      <c r="C763" s="77"/>
      <c r="D763" s="78"/>
      <c r="E763" s="78"/>
      <c r="F763" s="79"/>
      <c r="G763" s="10"/>
      <c r="H763" s="10"/>
      <c r="I763" s="10"/>
      <c r="J763" s="1"/>
      <c r="K763" s="10"/>
      <c r="L763" s="1"/>
      <c r="M763" s="1"/>
      <c r="N763" s="10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3:24" ht="13" x14ac:dyDescent="0.15">
      <c r="C764" s="77"/>
      <c r="D764" s="78"/>
      <c r="E764" s="78"/>
      <c r="F764" s="79"/>
      <c r="G764" s="10"/>
      <c r="H764" s="10"/>
      <c r="I764" s="10"/>
      <c r="J764" s="1"/>
      <c r="K764" s="10"/>
      <c r="L764" s="1"/>
      <c r="M764" s="1"/>
      <c r="N764" s="10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3:24" ht="13" x14ac:dyDescent="0.15">
      <c r="C765" s="77"/>
      <c r="D765" s="78"/>
      <c r="E765" s="78"/>
      <c r="F765" s="79"/>
      <c r="G765" s="10"/>
      <c r="H765" s="10"/>
      <c r="I765" s="10"/>
      <c r="J765" s="1"/>
      <c r="K765" s="10"/>
      <c r="L765" s="1"/>
      <c r="M765" s="1"/>
      <c r="N765" s="10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3:24" ht="13" x14ac:dyDescent="0.15">
      <c r="C766" s="77"/>
      <c r="D766" s="78"/>
      <c r="E766" s="78"/>
      <c r="F766" s="79"/>
      <c r="G766" s="10"/>
      <c r="H766" s="10"/>
      <c r="I766" s="10"/>
      <c r="J766" s="1"/>
      <c r="K766" s="10"/>
      <c r="L766" s="1"/>
      <c r="M766" s="1"/>
      <c r="N766" s="10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3:24" ht="13" x14ac:dyDescent="0.15">
      <c r="C767" s="77"/>
      <c r="D767" s="78"/>
      <c r="E767" s="78"/>
      <c r="F767" s="79"/>
      <c r="G767" s="10"/>
      <c r="H767" s="10"/>
      <c r="I767" s="10"/>
      <c r="J767" s="1"/>
      <c r="K767" s="10"/>
      <c r="L767" s="1"/>
      <c r="M767" s="1"/>
      <c r="N767" s="10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3:24" ht="13" x14ac:dyDescent="0.15">
      <c r="C768" s="77"/>
      <c r="D768" s="78"/>
      <c r="E768" s="78"/>
      <c r="F768" s="79"/>
      <c r="G768" s="10"/>
      <c r="H768" s="10"/>
      <c r="I768" s="10"/>
      <c r="J768" s="1"/>
      <c r="K768" s="10"/>
      <c r="L768" s="1"/>
      <c r="M768" s="1"/>
      <c r="N768" s="10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3:24" ht="13" x14ac:dyDescent="0.15">
      <c r="C769" s="77"/>
      <c r="D769" s="78"/>
      <c r="E769" s="78"/>
      <c r="F769" s="79"/>
      <c r="G769" s="10"/>
      <c r="H769" s="10"/>
      <c r="I769" s="10"/>
      <c r="J769" s="1"/>
      <c r="K769" s="10"/>
      <c r="L769" s="1"/>
      <c r="M769" s="1"/>
      <c r="N769" s="10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3:24" ht="13" x14ac:dyDescent="0.15">
      <c r="C770" s="77"/>
      <c r="D770" s="78"/>
      <c r="E770" s="78"/>
      <c r="F770" s="79"/>
      <c r="G770" s="10"/>
      <c r="H770" s="10"/>
      <c r="I770" s="10"/>
      <c r="J770" s="1"/>
      <c r="K770" s="10"/>
      <c r="L770" s="1"/>
      <c r="M770" s="1"/>
      <c r="N770" s="10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3:24" ht="13" x14ac:dyDescent="0.15">
      <c r="C771" s="77"/>
      <c r="D771" s="78"/>
      <c r="E771" s="78"/>
      <c r="F771" s="79"/>
      <c r="G771" s="10"/>
      <c r="H771" s="10"/>
      <c r="I771" s="10"/>
      <c r="J771" s="1"/>
      <c r="K771" s="10"/>
      <c r="L771" s="1"/>
      <c r="M771" s="1"/>
      <c r="N771" s="10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3:24" ht="13" x14ac:dyDescent="0.15">
      <c r="C772" s="77"/>
      <c r="D772" s="78"/>
      <c r="E772" s="78"/>
      <c r="F772" s="79"/>
      <c r="G772" s="10"/>
      <c r="H772" s="10"/>
      <c r="I772" s="10"/>
      <c r="J772" s="1"/>
      <c r="K772" s="10"/>
      <c r="L772" s="1"/>
      <c r="M772" s="1"/>
      <c r="N772" s="10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3:24" ht="13" x14ac:dyDescent="0.15">
      <c r="C773" s="77"/>
      <c r="D773" s="78"/>
      <c r="E773" s="78"/>
      <c r="F773" s="79"/>
      <c r="G773" s="10"/>
      <c r="H773" s="10"/>
      <c r="I773" s="10"/>
      <c r="J773" s="1"/>
      <c r="K773" s="10"/>
      <c r="L773" s="1"/>
      <c r="M773" s="1"/>
      <c r="N773" s="10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3:24" ht="13" x14ac:dyDescent="0.15">
      <c r="C774" s="77"/>
      <c r="D774" s="78"/>
      <c r="E774" s="78"/>
      <c r="F774" s="79"/>
      <c r="G774" s="10"/>
      <c r="H774" s="10"/>
      <c r="I774" s="10"/>
      <c r="J774" s="1"/>
      <c r="K774" s="10"/>
      <c r="L774" s="1"/>
      <c r="M774" s="1"/>
      <c r="N774" s="10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3:24" ht="13" x14ac:dyDescent="0.15">
      <c r="C775" s="77"/>
      <c r="D775" s="78"/>
      <c r="E775" s="78"/>
      <c r="F775" s="79"/>
      <c r="G775" s="10"/>
      <c r="H775" s="10"/>
      <c r="I775" s="10"/>
      <c r="J775" s="1"/>
      <c r="K775" s="10"/>
      <c r="L775" s="1"/>
      <c r="M775" s="1"/>
      <c r="N775" s="10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3:24" ht="13" x14ac:dyDescent="0.15">
      <c r="C776" s="77"/>
      <c r="D776" s="78"/>
      <c r="E776" s="78"/>
      <c r="F776" s="79"/>
      <c r="G776" s="10"/>
      <c r="H776" s="10"/>
      <c r="I776" s="10"/>
      <c r="J776" s="1"/>
      <c r="K776" s="10"/>
      <c r="L776" s="1"/>
      <c r="M776" s="1"/>
      <c r="N776" s="10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3:24" ht="13" x14ac:dyDescent="0.15">
      <c r="C777" s="77"/>
      <c r="D777" s="78"/>
      <c r="E777" s="78"/>
      <c r="F777" s="79"/>
      <c r="G777" s="10"/>
      <c r="H777" s="10"/>
      <c r="I777" s="10"/>
      <c r="J777" s="1"/>
      <c r="K777" s="10"/>
      <c r="L777" s="1"/>
      <c r="M777" s="1"/>
      <c r="N777" s="10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3:24" ht="13" x14ac:dyDescent="0.15">
      <c r="C778" s="77"/>
      <c r="D778" s="78"/>
      <c r="E778" s="78"/>
      <c r="F778" s="79"/>
      <c r="G778" s="10"/>
      <c r="H778" s="10"/>
      <c r="I778" s="10"/>
      <c r="J778" s="1"/>
      <c r="K778" s="10"/>
      <c r="L778" s="1"/>
      <c r="M778" s="1"/>
      <c r="N778" s="10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3:24" ht="13" x14ac:dyDescent="0.15">
      <c r="C779" s="77"/>
      <c r="D779" s="78"/>
      <c r="E779" s="78"/>
      <c r="F779" s="79"/>
      <c r="G779" s="10"/>
      <c r="H779" s="10"/>
      <c r="I779" s="10"/>
      <c r="J779" s="1"/>
      <c r="K779" s="10"/>
      <c r="L779" s="1"/>
      <c r="M779" s="1"/>
      <c r="N779" s="10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3:24" ht="13" x14ac:dyDescent="0.15">
      <c r="C780" s="77"/>
      <c r="D780" s="78"/>
      <c r="E780" s="78"/>
      <c r="F780" s="79"/>
      <c r="G780" s="10"/>
      <c r="H780" s="10"/>
      <c r="I780" s="10"/>
      <c r="J780" s="1"/>
      <c r="K780" s="10"/>
      <c r="L780" s="1"/>
      <c r="M780" s="1"/>
      <c r="N780" s="10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3:24" ht="13" x14ac:dyDescent="0.15">
      <c r="C781" s="77"/>
      <c r="D781" s="78"/>
      <c r="E781" s="78"/>
      <c r="F781" s="79"/>
      <c r="G781" s="10"/>
      <c r="H781" s="10"/>
      <c r="I781" s="10"/>
      <c r="J781" s="1"/>
      <c r="K781" s="10"/>
      <c r="L781" s="1"/>
      <c r="M781" s="1"/>
      <c r="N781" s="10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3:24" ht="13" x14ac:dyDescent="0.15">
      <c r="C782" s="77"/>
      <c r="D782" s="78"/>
      <c r="E782" s="78"/>
      <c r="F782" s="79"/>
      <c r="G782" s="10"/>
      <c r="H782" s="10"/>
      <c r="I782" s="10"/>
      <c r="J782" s="1"/>
      <c r="K782" s="10"/>
      <c r="L782" s="1"/>
      <c r="M782" s="1"/>
      <c r="N782" s="10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3:24" ht="13" x14ac:dyDescent="0.15">
      <c r="C783" s="77"/>
      <c r="D783" s="78"/>
      <c r="E783" s="78"/>
      <c r="F783" s="79"/>
      <c r="G783" s="10"/>
      <c r="H783" s="10"/>
      <c r="I783" s="10"/>
      <c r="J783" s="1"/>
      <c r="K783" s="10"/>
      <c r="L783" s="1"/>
      <c r="M783" s="1"/>
      <c r="N783" s="10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3:24" ht="13" x14ac:dyDescent="0.15">
      <c r="C784" s="77"/>
      <c r="D784" s="78"/>
      <c r="E784" s="78"/>
      <c r="F784" s="79"/>
      <c r="G784" s="10"/>
      <c r="H784" s="10"/>
      <c r="I784" s="10"/>
      <c r="J784" s="1"/>
      <c r="K784" s="10"/>
      <c r="L784" s="1"/>
      <c r="M784" s="1"/>
      <c r="N784" s="10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3:24" ht="13" x14ac:dyDescent="0.15">
      <c r="C785" s="77"/>
      <c r="D785" s="78"/>
      <c r="E785" s="78"/>
      <c r="F785" s="79"/>
      <c r="G785" s="10"/>
      <c r="H785" s="10"/>
      <c r="I785" s="10"/>
      <c r="J785" s="1"/>
      <c r="K785" s="10"/>
      <c r="L785" s="1"/>
      <c r="M785" s="1"/>
      <c r="N785" s="10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3:24" ht="13" x14ac:dyDescent="0.15">
      <c r="C786" s="77"/>
      <c r="D786" s="78"/>
      <c r="E786" s="78"/>
      <c r="F786" s="79"/>
      <c r="G786" s="10"/>
      <c r="H786" s="10"/>
      <c r="I786" s="10"/>
      <c r="J786" s="1"/>
      <c r="K786" s="10"/>
      <c r="L786" s="1"/>
      <c r="M786" s="1"/>
      <c r="N786" s="10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3:24" ht="13" x14ac:dyDescent="0.15">
      <c r="C787" s="77"/>
      <c r="D787" s="78"/>
      <c r="E787" s="78"/>
      <c r="F787" s="79"/>
      <c r="G787" s="10"/>
      <c r="H787" s="10"/>
      <c r="I787" s="10"/>
      <c r="J787" s="1"/>
      <c r="K787" s="10"/>
      <c r="L787" s="1"/>
      <c r="M787" s="1"/>
      <c r="N787" s="10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3:24" ht="13" x14ac:dyDescent="0.15">
      <c r="C788" s="77"/>
      <c r="D788" s="78"/>
      <c r="E788" s="78"/>
      <c r="F788" s="79"/>
      <c r="G788" s="10"/>
      <c r="H788" s="10"/>
      <c r="I788" s="10"/>
      <c r="J788" s="1"/>
      <c r="K788" s="10"/>
      <c r="L788" s="1"/>
      <c r="M788" s="1"/>
      <c r="N788" s="10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3:24" ht="13" x14ac:dyDescent="0.15">
      <c r="C789" s="77"/>
      <c r="D789" s="78"/>
      <c r="E789" s="78"/>
      <c r="F789" s="79"/>
      <c r="G789" s="10"/>
      <c r="H789" s="10"/>
      <c r="I789" s="10"/>
      <c r="J789" s="1"/>
      <c r="K789" s="10"/>
      <c r="L789" s="1"/>
      <c r="M789" s="1"/>
      <c r="N789" s="10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3:24" ht="13" x14ac:dyDescent="0.15">
      <c r="C790" s="77"/>
      <c r="D790" s="78"/>
      <c r="E790" s="78"/>
      <c r="F790" s="79"/>
      <c r="G790" s="10"/>
      <c r="H790" s="10"/>
      <c r="I790" s="10"/>
      <c r="J790" s="1"/>
      <c r="K790" s="10"/>
      <c r="L790" s="1"/>
      <c r="M790" s="1"/>
      <c r="N790" s="10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3:24" ht="13" x14ac:dyDescent="0.15">
      <c r="C791" s="77"/>
      <c r="D791" s="78"/>
      <c r="E791" s="78"/>
      <c r="F791" s="79"/>
      <c r="G791" s="10"/>
      <c r="H791" s="10"/>
      <c r="I791" s="10"/>
      <c r="J791" s="1"/>
      <c r="K791" s="10"/>
      <c r="L791" s="1"/>
      <c r="M791" s="1"/>
      <c r="N791" s="10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3:24" ht="13" x14ac:dyDescent="0.15">
      <c r="C792" s="77"/>
      <c r="D792" s="78"/>
      <c r="E792" s="78"/>
      <c r="F792" s="79"/>
      <c r="G792" s="10"/>
      <c r="H792" s="10"/>
      <c r="I792" s="10"/>
      <c r="J792" s="1"/>
      <c r="K792" s="10"/>
      <c r="L792" s="1"/>
      <c r="M792" s="1"/>
      <c r="N792" s="10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3:24" ht="13" x14ac:dyDescent="0.15">
      <c r="C793" s="77"/>
      <c r="D793" s="78"/>
      <c r="E793" s="78"/>
      <c r="F793" s="79"/>
      <c r="G793" s="10"/>
      <c r="H793" s="10"/>
      <c r="I793" s="10"/>
      <c r="J793" s="1"/>
      <c r="K793" s="10"/>
      <c r="L793" s="1"/>
      <c r="M793" s="1"/>
      <c r="N793" s="10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3:24" ht="13" x14ac:dyDescent="0.15">
      <c r="C794" s="77"/>
      <c r="D794" s="78"/>
      <c r="E794" s="78"/>
      <c r="F794" s="79"/>
      <c r="G794" s="10"/>
      <c r="H794" s="10"/>
      <c r="I794" s="10"/>
      <c r="J794" s="1"/>
      <c r="K794" s="10"/>
      <c r="L794" s="1"/>
      <c r="M794" s="1"/>
      <c r="N794" s="10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3:24" ht="13" x14ac:dyDescent="0.15">
      <c r="C795" s="77"/>
      <c r="D795" s="78"/>
      <c r="E795" s="78"/>
      <c r="F795" s="79"/>
      <c r="G795" s="10"/>
      <c r="H795" s="10"/>
      <c r="I795" s="10"/>
      <c r="J795" s="1"/>
      <c r="K795" s="10"/>
      <c r="L795" s="1"/>
      <c r="M795" s="1"/>
      <c r="N795" s="10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3:24" ht="13" x14ac:dyDescent="0.15">
      <c r="C796" s="77"/>
      <c r="D796" s="78"/>
      <c r="E796" s="78"/>
      <c r="F796" s="79"/>
      <c r="G796" s="10"/>
      <c r="H796" s="10"/>
      <c r="I796" s="10"/>
      <c r="J796" s="1"/>
      <c r="K796" s="10"/>
      <c r="L796" s="1"/>
      <c r="M796" s="1"/>
      <c r="N796" s="10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3:24" ht="13" x14ac:dyDescent="0.15">
      <c r="C797" s="77"/>
      <c r="D797" s="78"/>
      <c r="E797" s="78"/>
      <c r="F797" s="79"/>
      <c r="G797" s="10"/>
      <c r="H797" s="10"/>
      <c r="I797" s="10"/>
      <c r="J797" s="1"/>
      <c r="K797" s="10"/>
      <c r="L797" s="1"/>
      <c r="M797" s="1"/>
      <c r="N797" s="10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3:24" ht="13" x14ac:dyDescent="0.15">
      <c r="C798" s="77"/>
      <c r="D798" s="78"/>
      <c r="E798" s="78"/>
      <c r="F798" s="79"/>
      <c r="G798" s="10"/>
      <c r="H798" s="10"/>
      <c r="I798" s="10"/>
      <c r="J798" s="1"/>
      <c r="K798" s="10"/>
      <c r="L798" s="1"/>
      <c r="M798" s="1"/>
      <c r="N798" s="10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3:24" ht="13" x14ac:dyDescent="0.15">
      <c r="C799" s="77"/>
      <c r="D799" s="78"/>
      <c r="E799" s="78"/>
      <c r="F799" s="79"/>
      <c r="G799" s="10"/>
      <c r="H799" s="10"/>
      <c r="I799" s="10"/>
      <c r="J799" s="1"/>
      <c r="K799" s="10"/>
      <c r="L799" s="1"/>
      <c r="M799" s="1"/>
      <c r="N799" s="10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3:24" ht="13" x14ac:dyDescent="0.15">
      <c r="C800" s="77"/>
      <c r="D800" s="78"/>
      <c r="E800" s="78"/>
      <c r="F800" s="79"/>
      <c r="G800" s="10"/>
      <c r="H800" s="10"/>
      <c r="I800" s="10"/>
      <c r="J800" s="1"/>
      <c r="K800" s="10"/>
      <c r="L800" s="1"/>
      <c r="M800" s="1"/>
      <c r="N800" s="10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3:24" ht="13" x14ac:dyDescent="0.15">
      <c r="C801" s="77"/>
      <c r="D801" s="78"/>
      <c r="E801" s="78"/>
      <c r="F801" s="79"/>
      <c r="G801" s="10"/>
      <c r="H801" s="10"/>
      <c r="I801" s="10"/>
      <c r="J801" s="1"/>
      <c r="K801" s="10"/>
      <c r="L801" s="1"/>
      <c r="M801" s="1"/>
      <c r="N801" s="10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3:24" ht="13" x14ac:dyDescent="0.15">
      <c r="C802" s="77"/>
      <c r="D802" s="78"/>
      <c r="E802" s="78"/>
      <c r="F802" s="79"/>
      <c r="G802" s="10"/>
      <c r="H802" s="10"/>
      <c r="I802" s="10"/>
      <c r="J802" s="1"/>
      <c r="K802" s="10"/>
      <c r="L802" s="1"/>
      <c r="M802" s="1"/>
      <c r="N802" s="10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3:24" ht="13" x14ac:dyDescent="0.15">
      <c r="C803" s="77"/>
      <c r="D803" s="78"/>
      <c r="E803" s="78"/>
      <c r="F803" s="79"/>
      <c r="G803" s="10"/>
      <c r="H803" s="10"/>
      <c r="I803" s="10"/>
      <c r="J803" s="1"/>
      <c r="K803" s="10"/>
      <c r="L803" s="1"/>
      <c r="M803" s="1"/>
      <c r="N803" s="10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3:24" ht="13" x14ac:dyDescent="0.15">
      <c r="C804" s="77"/>
      <c r="D804" s="78"/>
      <c r="E804" s="78"/>
      <c r="F804" s="79"/>
      <c r="G804" s="10"/>
      <c r="H804" s="10"/>
      <c r="I804" s="10"/>
      <c r="J804" s="1"/>
      <c r="K804" s="10"/>
      <c r="L804" s="1"/>
      <c r="M804" s="1"/>
      <c r="N804" s="10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3:24" ht="13" x14ac:dyDescent="0.15">
      <c r="C805" s="77"/>
      <c r="D805" s="78"/>
      <c r="E805" s="78"/>
      <c r="F805" s="79"/>
      <c r="G805" s="10"/>
      <c r="H805" s="10"/>
      <c r="I805" s="10"/>
      <c r="J805" s="1"/>
      <c r="K805" s="10"/>
      <c r="L805" s="1"/>
      <c r="M805" s="1"/>
      <c r="N805" s="10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3:24" ht="13" x14ac:dyDescent="0.15">
      <c r="C806" s="77"/>
      <c r="D806" s="78"/>
      <c r="E806" s="78"/>
      <c r="F806" s="79"/>
      <c r="G806" s="10"/>
      <c r="H806" s="10"/>
      <c r="I806" s="10"/>
      <c r="J806" s="1"/>
      <c r="K806" s="10"/>
      <c r="L806" s="1"/>
      <c r="M806" s="1"/>
      <c r="N806" s="10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3:24" ht="13" x14ac:dyDescent="0.15">
      <c r="C807" s="77"/>
      <c r="D807" s="78"/>
      <c r="E807" s="78"/>
      <c r="F807" s="79"/>
      <c r="G807" s="10"/>
      <c r="H807" s="10"/>
      <c r="I807" s="10"/>
      <c r="J807" s="1"/>
      <c r="K807" s="10"/>
      <c r="L807" s="1"/>
      <c r="M807" s="1"/>
      <c r="N807" s="10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3:24" ht="13" x14ac:dyDescent="0.15">
      <c r="C808" s="77"/>
      <c r="D808" s="78"/>
      <c r="E808" s="78"/>
      <c r="F808" s="79"/>
      <c r="G808" s="10"/>
      <c r="H808" s="10"/>
      <c r="I808" s="10"/>
      <c r="J808" s="1"/>
      <c r="K808" s="10"/>
      <c r="L808" s="1"/>
      <c r="M808" s="1"/>
      <c r="N808" s="10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3:24" ht="13" x14ac:dyDescent="0.15">
      <c r="C809" s="77"/>
      <c r="D809" s="78"/>
      <c r="E809" s="78"/>
      <c r="F809" s="79"/>
      <c r="G809" s="10"/>
      <c r="H809" s="10"/>
      <c r="I809" s="10"/>
      <c r="J809" s="1"/>
      <c r="K809" s="10"/>
      <c r="L809" s="1"/>
      <c r="M809" s="1"/>
      <c r="N809" s="10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3:24" ht="13" x14ac:dyDescent="0.15">
      <c r="C810" s="77"/>
      <c r="D810" s="78"/>
      <c r="E810" s="78"/>
      <c r="F810" s="79"/>
      <c r="G810" s="10"/>
      <c r="H810" s="10"/>
      <c r="I810" s="10"/>
      <c r="J810" s="1"/>
      <c r="K810" s="10"/>
      <c r="L810" s="1"/>
      <c r="M810" s="1"/>
      <c r="N810" s="10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3:24" ht="13" x14ac:dyDescent="0.15">
      <c r="C811" s="77"/>
      <c r="D811" s="78"/>
      <c r="E811" s="78"/>
      <c r="F811" s="79"/>
      <c r="G811" s="10"/>
      <c r="H811" s="10"/>
      <c r="I811" s="10"/>
      <c r="J811" s="1"/>
      <c r="K811" s="10"/>
      <c r="L811" s="1"/>
      <c r="M811" s="1"/>
      <c r="N811" s="10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3:24" ht="13" x14ac:dyDescent="0.15">
      <c r="C812" s="77"/>
      <c r="D812" s="78"/>
      <c r="E812" s="78"/>
      <c r="F812" s="79"/>
      <c r="G812" s="10"/>
      <c r="H812" s="10"/>
      <c r="I812" s="10"/>
      <c r="J812" s="1"/>
      <c r="K812" s="10"/>
      <c r="L812" s="1"/>
      <c r="M812" s="1"/>
      <c r="N812" s="10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3:24" ht="13" x14ac:dyDescent="0.15">
      <c r="C813" s="77"/>
      <c r="D813" s="78"/>
      <c r="E813" s="78"/>
      <c r="F813" s="79"/>
      <c r="G813" s="10"/>
      <c r="H813" s="10"/>
      <c r="I813" s="10"/>
      <c r="J813" s="1"/>
      <c r="K813" s="10"/>
      <c r="L813" s="1"/>
      <c r="M813" s="1"/>
      <c r="N813" s="10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3:24" ht="13" x14ac:dyDescent="0.15">
      <c r="C814" s="77"/>
      <c r="D814" s="78"/>
      <c r="E814" s="78"/>
      <c r="F814" s="79"/>
      <c r="G814" s="10"/>
      <c r="H814" s="10"/>
      <c r="I814" s="10"/>
      <c r="J814" s="1"/>
      <c r="K814" s="10"/>
      <c r="L814" s="1"/>
      <c r="M814" s="1"/>
      <c r="N814" s="10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3:24" ht="13" x14ac:dyDescent="0.15">
      <c r="C815" s="77"/>
      <c r="D815" s="78"/>
      <c r="E815" s="78"/>
      <c r="F815" s="79"/>
      <c r="G815" s="10"/>
      <c r="H815" s="10"/>
      <c r="I815" s="10"/>
      <c r="J815" s="1"/>
      <c r="K815" s="10"/>
      <c r="L815" s="1"/>
      <c r="M815" s="1"/>
      <c r="N815" s="10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3:24" ht="13" x14ac:dyDescent="0.15">
      <c r="C816" s="77"/>
      <c r="D816" s="78"/>
      <c r="E816" s="78"/>
      <c r="F816" s="79"/>
      <c r="G816" s="10"/>
      <c r="H816" s="10"/>
      <c r="I816" s="10"/>
      <c r="J816" s="1"/>
      <c r="K816" s="10"/>
      <c r="L816" s="1"/>
      <c r="M816" s="1"/>
      <c r="N816" s="10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3:24" ht="13" x14ac:dyDescent="0.15">
      <c r="C817" s="77"/>
      <c r="D817" s="78"/>
      <c r="E817" s="78"/>
      <c r="F817" s="79"/>
      <c r="G817" s="10"/>
      <c r="H817" s="10"/>
      <c r="I817" s="10"/>
      <c r="J817" s="1"/>
      <c r="K817" s="10"/>
      <c r="L817" s="1"/>
      <c r="M817" s="1"/>
      <c r="N817" s="10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3:24" ht="13" x14ac:dyDescent="0.15">
      <c r="C818" s="77"/>
      <c r="D818" s="78"/>
      <c r="E818" s="78"/>
      <c r="F818" s="79"/>
      <c r="G818" s="10"/>
      <c r="H818" s="10"/>
      <c r="I818" s="10"/>
      <c r="J818" s="1"/>
      <c r="K818" s="10"/>
      <c r="L818" s="1"/>
      <c r="M818" s="1"/>
      <c r="N818" s="10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3:24" ht="13" x14ac:dyDescent="0.15">
      <c r="C819" s="77"/>
      <c r="D819" s="78"/>
      <c r="E819" s="78"/>
      <c r="F819" s="79"/>
      <c r="G819" s="10"/>
      <c r="H819" s="10"/>
      <c r="I819" s="10"/>
      <c r="J819" s="1"/>
      <c r="K819" s="10"/>
      <c r="L819" s="1"/>
      <c r="M819" s="1"/>
      <c r="N819" s="10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3:24" ht="13" x14ac:dyDescent="0.15">
      <c r="C820" s="77"/>
      <c r="D820" s="78"/>
      <c r="E820" s="78"/>
      <c r="F820" s="79"/>
      <c r="G820" s="10"/>
      <c r="H820" s="10"/>
      <c r="I820" s="10"/>
      <c r="J820" s="1"/>
      <c r="K820" s="10"/>
      <c r="L820" s="1"/>
      <c r="M820" s="1"/>
      <c r="N820" s="10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3:24" ht="13" x14ac:dyDescent="0.15">
      <c r="C821" s="77"/>
      <c r="D821" s="78"/>
      <c r="E821" s="78"/>
      <c r="F821" s="79"/>
      <c r="G821" s="10"/>
      <c r="H821" s="10"/>
      <c r="I821" s="10"/>
      <c r="J821" s="1"/>
      <c r="K821" s="10"/>
      <c r="L821" s="1"/>
      <c r="M821" s="1"/>
      <c r="N821" s="10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3:24" ht="13" x14ac:dyDescent="0.15">
      <c r="C822" s="77"/>
      <c r="D822" s="78"/>
      <c r="E822" s="78"/>
      <c r="F822" s="79"/>
      <c r="G822" s="10"/>
      <c r="H822" s="10"/>
      <c r="I822" s="10"/>
      <c r="J822" s="1"/>
      <c r="K822" s="10"/>
      <c r="L822" s="1"/>
      <c r="M822" s="1"/>
      <c r="N822" s="10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3:24" ht="13" x14ac:dyDescent="0.15">
      <c r="C823" s="77"/>
      <c r="D823" s="78"/>
      <c r="E823" s="78"/>
      <c r="F823" s="79"/>
      <c r="G823" s="10"/>
      <c r="H823" s="10"/>
      <c r="I823" s="10"/>
      <c r="J823" s="1"/>
      <c r="K823" s="10"/>
      <c r="L823" s="1"/>
      <c r="M823" s="1"/>
      <c r="N823" s="10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3:24" ht="13" x14ac:dyDescent="0.15">
      <c r="C824" s="77"/>
      <c r="D824" s="78"/>
      <c r="E824" s="78"/>
      <c r="F824" s="79"/>
      <c r="G824" s="10"/>
      <c r="H824" s="10"/>
      <c r="I824" s="10"/>
      <c r="J824" s="1"/>
      <c r="K824" s="10"/>
      <c r="L824" s="1"/>
      <c r="M824" s="1"/>
      <c r="N824" s="10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3:24" ht="13" x14ac:dyDescent="0.15">
      <c r="C825" s="77"/>
      <c r="D825" s="78"/>
      <c r="E825" s="78"/>
      <c r="F825" s="79"/>
      <c r="G825" s="10"/>
      <c r="H825" s="10"/>
      <c r="I825" s="10"/>
      <c r="J825" s="1"/>
      <c r="K825" s="10"/>
      <c r="L825" s="1"/>
      <c r="M825" s="1"/>
      <c r="N825" s="10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3:24" ht="13" x14ac:dyDescent="0.15">
      <c r="C826" s="77"/>
      <c r="D826" s="78"/>
      <c r="E826" s="78"/>
      <c r="F826" s="79"/>
      <c r="G826" s="10"/>
      <c r="H826" s="10"/>
      <c r="I826" s="10"/>
      <c r="J826" s="1"/>
      <c r="K826" s="10"/>
      <c r="L826" s="1"/>
      <c r="M826" s="1"/>
      <c r="N826" s="10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3:24" ht="13" x14ac:dyDescent="0.15">
      <c r="C827" s="77"/>
      <c r="D827" s="78"/>
      <c r="E827" s="78"/>
      <c r="F827" s="79"/>
      <c r="G827" s="10"/>
      <c r="H827" s="10"/>
      <c r="I827" s="10"/>
      <c r="J827" s="1"/>
      <c r="K827" s="10"/>
      <c r="L827" s="1"/>
      <c r="M827" s="1"/>
      <c r="N827" s="10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3:24" ht="13" x14ac:dyDescent="0.15">
      <c r="C828" s="77"/>
      <c r="D828" s="78"/>
      <c r="E828" s="78"/>
      <c r="F828" s="79"/>
      <c r="G828" s="10"/>
      <c r="H828" s="10"/>
      <c r="I828" s="10"/>
      <c r="J828" s="1"/>
      <c r="K828" s="10"/>
      <c r="L828" s="1"/>
      <c r="M828" s="1"/>
      <c r="N828" s="10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3:24" ht="13" x14ac:dyDescent="0.15">
      <c r="C829" s="77"/>
      <c r="D829" s="78"/>
      <c r="E829" s="78"/>
      <c r="F829" s="79"/>
      <c r="G829" s="10"/>
      <c r="H829" s="10"/>
      <c r="I829" s="10"/>
      <c r="J829" s="1"/>
      <c r="K829" s="10"/>
      <c r="L829" s="1"/>
      <c r="M829" s="1"/>
      <c r="N829" s="10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3:24" ht="13" x14ac:dyDescent="0.15">
      <c r="C830" s="77"/>
      <c r="D830" s="78"/>
      <c r="E830" s="78"/>
      <c r="F830" s="79"/>
      <c r="G830" s="10"/>
      <c r="H830" s="10"/>
      <c r="I830" s="10"/>
      <c r="J830" s="1"/>
      <c r="K830" s="10"/>
      <c r="L830" s="1"/>
      <c r="M830" s="1"/>
      <c r="N830" s="10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3:24" ht="13" x14ac:dyDescent="0.15">
      <c r="C831" s="77"/>
      <c r="D831" s="78"/>
      <c r="E831" s="78"/>
      <c r="F831" s="79"/>
      <c r="G831" s="10"/>
      <c r="H831" s="10"/>
      <c r="I831" s="10"/>
      <c r="J831" s="1"/>
      <c r="K831" s="10"/>
      <c r="L831" s="1"/>
      <c r="M831" s="1"/>
      <c r="N831" s="10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3:24" ht="13" x14ac:dyDescent="0.15">
      <c r="C832" s="77"/>
      <c r="D832" s="78"/>
      <c r="E832" s="78"/>
      <c r="F832" s="79"/>
      <c r="G832" s="10"/>
      <c r="H832" s="10"/>
      <c r="I832" s="10"/>
      <c r="J832" s="1"/>
      <c r="K832" s="10"/>
      <c r="L832" s="1"/>
      <c r="M832" s="1"/>
      <c r="N832" s="10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3:24" ht="13" x14ac:dyDescent="0.15">
      <c r="C833" s="77"/>
      <c r="D833" s="78"/>
      <c r="E833" s="78"/>
      <c r="F833" s="79"/>
      <c r="G833" s="10"/>
      <c r="H833" s="10"/>
      <c r="I833" s="10"/>
      <c r="J833" s="1"/>
      <c r="K833" s="10"/>
      <c r="L833" s="1"/>
      <c r="M833" s="1"/>
      <c r="N833" s="10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3:24" ht="13" x14ac:dyDescent="0.15">
      <c r="C834" s="77"/>
      <c r="D834" s="78"/>
      <c r="E834" s="78"/>
      <c r="F834" s="79"/>
      <c r="G834" s="10"/>
      <c r="H834" s="10"/>
      <c r="I834" s="10"/>
      <c r="J834" s="1"/>
      <c r="K834" s="10"/>
      <c r="L834" s="1"/>
      <c r="M834" s="1"/>
      <c r="N834" s="10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3:24" ht="13" x14ac:dyDescent="0.15">
      <c r="C835" s="77"/>
      <c r="D835" s="78"/>
      <c r="E835" s="78"/>
      <c r="F835" s="79"/>
      <c r="G835" s="10"/>
      <c r="H835" s="10"/>
      <c r="I835" s="10"/>
      <c r="J835" s="1"/>
      <c r="K835" s="10"/>
      <c r="L835" s="1"/>
      <c r="M835" s="1"/>
      <c r="N835" s="10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3:24" ht="13" x14ac:dyDescent="0.15">
      <c r="C836" s="77"/>
      <c r="D836" s="78"/>
      <c r="E836" s="78"/>
      <c r="F836" s="79"/>
      <c r="G836" s="10"/>
      <c r="H836" s="10"/>
      <c r="I836" s="10"/>
      <c r="J836" s="1"/>
      <c r="K836" s="10"/>
      <c r="L836" s="1"/>
      <c r="M836" s="1"/>
      <c r="N836" s="10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3:24" ht="13" x14ac:dyDescent="0.15">
      <c r="C837" s="77"/>
      <c r="D837" s="78"/>
      <c r="E837" s="78"/>
      <c r="F837" s="79"/>
      <c r="G837" s="10"/>
      <c r="H837" s="10"/>
      <c r="I837" s="10"/>
      <c r="J837" s="1"/>
      <c r="K837" s="10"/>
      <c r="L837" s="1"/>
      <c r="M837" s="1"/>
      <c r="N837" s="10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3:24" ht="13" x14ac:dyDescent="0.15">
      <c r="C838" s="77"/>
      <c r="D838" s="78"/>
      <c r="E838" s="78"/>
      <c r="F838" s="79"/>
      <c r="G838" s="10"/>
      <c r="H838" s="10"/>
      <c r="I838" s="10"/>
      <c r="J838" s="1"/>
      <c r="K838" s="10"/>
      <c r="L838" s="1"/>
      <c r="M838" s="1"/>
      <c r="N838" s="10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3:24" ht="13" x14ac:dyDescent="0.15">
      <c r="C839" s="77"/>
      <c r="D839" s="78"/>
      <c r="E839" s="78"/>
      <c r="F839" s="79"/>
      <c r="G839" s="10"/>
      <c r="H839" s="10"/>
      <c r="I839" s="10"/>
      <c r="J839" s="1"/>
      <c r="K839" s="10"/>
      <c r="L839" s="1"/>
      <c r="M839" s="1"/>
      <c r="N839" s="10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3:24" ht="13" x14ac:dyDescent="0.15">
      <c r="C840" s="77"/>
      <c r="D840" s="78"/>
      <c r="E840" s="78"/>
      <c r="F840" s="79"/>
      <c r="G840" s="10"/>
      <c r="H840" s="10"/>
      <c r="I840" s="10"/>
      <c r="J840" s="1"/>
      <c r="K840" s="10"/>
      <c r="L840" s="1"/>
      <c r="M840" s="1"/>
      <c r="N840" s="10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3:24" ht="13" x14ac:dyDescent="0.15">
      <c r="C841" s="77"/>
      <c r="D841" s="78"/>
      <c r="E841" s="78"/>
      <c r="F841" s="79"/>
      <c r="G841" s="10"/>
      <c r="H841" s="10"/>
      <c r="I841" s="10"/>
      <c r="J841" s="1"/>
      <c r="K841" s="10"/>
      <c r="L841" s="1"/>
      <c r="M841" s="1"/>
      <c r="N841" s="10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3:24" ht="13" x14ac:dyDescent="0.15">
      <c r="C842" s="77"/>
      <c r="D842" s="78"/>
      <c r="E842" s="78"/>
      <c r="F842" s="79"/>
      <c r="G842" s="10"/>
      <c r="H842" s="10"/>
      <c r="I842" s="10"/>
      <c r="J842" s="1"/>
      <c r="K842" s="10"/>
      <c r="L842" s="1"/>
      <c r="M842" s="1"/>
      <c r="N842" s="10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3:24" ht="13" x14ac:dyDescent="0.15">
      <c r="C843" s="77"/>
      <c r="D843" s="78"/>
      <c r="E843" s="78"/>
      <c r="F843" s="79"/>
      <c r="G843" s="10"/>
      <c r="H843" s="10"/>
      <c r="I843" s="10"/>
      <c r="J843" s="1"/>
      <c r="K843" s="10"/>
      <c r="L843" s="1"/>
      <c r="M843" s="1"/>
      <c r="N843" s="10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3:24" ht="13" x14ac:dyDescent="0.15">
      <c r="C844" s="77"/>
      <c r="D844" s="78"/>
      <c r="E844" s="78"/>
      <c r="F844" s="79"/>
      <c r="G844" s="10"/>
      <c r="H844" s="10"/>
      <c r="I844" s="10"/>
      <c r="J844" s="1"/>
      <c r="K844" s="10"/>
      <c r="L844" s="1"/>
      <c r="M844" s="1"/>
      <c r="N844" s="10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3:24" ht="13" x14ac:dyDescent="0.15">
      <c r="C845" s="77"/>
      <c r="D845" s="78"/>
      <c r="E845" s="78"/>
      <c r="F845" s="79"/>
      <c r="G845" s="10"/>
      <c r="H845" s="10"/>
      <c r="I845" s="10"/>
      <c r="J845" s="1"/>
      <c r="K845" s="10"/>
      <c r="L845" s="1"/>
      <c r="M845" s="1"/>
      <c r="N845" s="10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3:24" ht="13" x14ac:dyDescent="0.15">
      <c r="C846" s="77"/>
      <c r="D846" s="78"/>
      <c r="E846" s="78"/>
      <c r="F846" s="79"/>
      <c r="G846" s="10"/>
      <c r="H846" s="10"/>
      <c r="I846" s="10"/>
      <c r="J846" s="1"/>
      <c r="K846" s="10"/>
      <c r="L846" s="1"/>
      <c r="M846" s="1"/>
      <c r="N846" s="10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3:24" ht="13" x14ac:dyDescent="0.15">
      <c r="C847" s="77"/>
      <c r="D847" s="78"/>
      <c r="E847" s="78"/>
      <c r="F847" s="79"/>
      <c r="G847" s="10"/>
      <c r="H847" s="10"/>
      <c r="I847" s="10"/>
      <c r="J847" s="1"/>
      <c r="K847" s="10"/>
      <c r="L847" s="1"/>
      <c r="M847" s="1"/>
      <c r="N847" s="10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3:24" ht="13" x14ac:dyDescent="0.15">
      <c r="C848" s="77"/>
      <c r="D848" s="78"/>
      <c r="E848" s="78"/>
      <c r="F848" s="79"/>
      <c r="G848" s="10"/>
      <c r="H848" s="10"/>
      <c r="I848" s="10"/>
      <c r="J848" s="1"/>
      <c r="K848" s="10"/>
      <c r="L848" s="1"/>
      <c r="M848" s="1"/>
      <c r="N848" s="10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3:24" ht="13" x14ac:dyDescent="0.15">
      <c r="C849" s="77"/>
      <c r="D849" s="78"/>
      <c r="E849" s="78"/>
      <c r="F849" s="79"/>
      <c r="G849" s="10"/>
      <c r="H849" s="10"/>
      <c r="I849" s="10"/>
      <c r="J849" s="1"/>
      <c r="K849" s="10"/>
      <c r="L849" s="1"/>
      <c r="M849" s="1"/>
      <c r="N849" s="10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3:24" ht="13" x14ac:dyDescent="0.15">
      <c r="C850" s="77"/>
      <c r="D850" s="78"/>
      <c r="E850" s="78"/>
      <c r="F850" s="79"/>
      <c r="G850" s="10"/>
      <c r="H850" s="10"/>
      <c r="I850" s="10"/>
      <c r="J850" s="1"/>
      <c r="K850" s="10"/>
      <c r="L850" s="1"/>
      <c r="M850" s="1"/>
      <c r="N850" s="10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3:24" ht="13" x14ac:dyDescent="0.15">
      <c r="C851" s="77"/>
      <c r="D851" s="78"/>
      <c r="E851" s="78"/>
      <c r="F851" s="79"/>
      <c r="G851" s="10"/>
      <c r="H851" s="10"/>
      <c r="I851" s="10"/>
      <c r="J851" s="1"/>
      <c r="K851" s="10"/>
      <c r="L851" s="1"/>
      <c r="M851" s="1"/>
      <c r="N851" s="10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3:24" ht="13" x14ac:dyDescent="0.15">
      <c r="C852" s="77"/>
      <c r="D852" s="78"/>
      <c r="E852" s="78"/>
      <c r="F852" s="79"/>
      <c r="G852" s="10"/>
      <c r="H852" s="10"/>
      <c r="I852" s="10"/>
      <c r="J852" s="1"/>
      <c r="K852" s="10"/>
      <c r="L852" s="1"/>
      <c r="M852" s="1"/>
      <c r="N852" s="10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3:24" ht="13" x14ac:dyDescent="0.15">
      <c r="C853" s="77"/>
      <c r="D853" s="78"/>
      <c r="E853" s="78"/>
      <c r="F853" s="79"/>
      <c r="G853" s="10"/>
      <c r="H853" s="10"/>
      <c r="I853" s="10"/>
      <c r="J853" s="1"/>
      <c r="K853" s="10"/>
      <c r="L853" s="1"/>
      <c r="M853" s="1"/>
      <c r="N853" s="10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3:24" ht="13" x14ac:dyDescent="0.15">
      <c r="C854" s="77"/>
      <c r="D854" s="78"/>
      <c r="E854" s="78"/>
      <c r="F854" s="79"/>
      <c r="G854" s="10"/>
      <c r="H854" s="10"/>
      <c r="I854" s="10"/>
      <c r="J854" s="1"/>
      <c r="K854" s="10"/>
      <c r="L854" s="1"/>
      <c r="M854" s="1"/>
      <c r="N854" s="10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3:24" ht="13" x14ac:dyDescent="0.15">
      <c r="C855" s="77"/>
      <c r="D855" s="78"/>
      <c r="E855" s="78"/>
      <c r="F855" s="79"/>
      <c r="G855" s="10"/>
      <c r="H855" s="10"/>
      <c r="I855" s="10"/>
      <c r="J855" s="1"/>
      <c r="K855" s="10"/>
      <c r="L855" s="1"/>
      <c r="M855" s="1"/>
      <c r="N855" s="10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3:24" ht="13" x14ac:dyDescent="0.15">
      <c r="C856" s="77"/>
      <c r="D856" s="78"/>
      <c r="E856" s="78"/>
      <c r="F856" s="79"/>
      <c r="G856" s="10"/>
      <c r="H856" s="10"/>
      <c r="I856" s="10"/>
      <c r="J856" s="1"/>
      <c r="K856" s="10"/>
      <c r="L856" s="1"/>
      <c r="M856" s="1"/>
      <c r="N856" s="10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3:24" ht="13" x14ac:dyDescent="0.15">
      <c r="C857" s="77"/>
      <c r="D857" s="78"/>
      <c r="E857" s="78"/>
      <c r="F857" s="79"/>
      <c r="G857" s="10"/>
      <c r="H857" s="10"/>
      <c r="I857" s="10"/>
      <c r="J857" s="1"/>
      <c r="K857" s="10"/>
      <c r="L857" s="1"/>
      <c r="M857" s="1"/>
      <c r="N857" s="10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3:24" ht="13" x14ac:dyDescent="0.15">
      <c r="C858" s="77"/>
      <c r="D858" s="78"/>
      <c r="E858" s="78"/>
      <c r="F858" s="79"/>
      <c r="G858" s="10"/>
      <c r="H858" s="10"/>
      <c r="I858" s="10"/>
      <c r="J858" s="1"/>
      <c r="K858" s="10"/>
      <c r="L858" s="1"/>
      <c r="M858" s="1"/>
      <c r="N858" s="10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3:24" ht="13" x14ac:dyDescent="0.15">
      <c r="C859" s="77"/>
      <c r="D859" s="78"/>
      <c r="E859" s="78"/>
      <c r="F859" s="79"/>
      <c r="G859" s="10"/>
      <c r="H859" s="10"/>
      <c r="I859" s="10"/>
      <c r="J859" s="1"/>
      <c r="K859" s="10"/>
      <c r="L859" s="1"/>
      <c r="M859" s="1"/>
      <c r="N859" s="10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3:24" ht="13" x14ac:dyDescent="0.15">
      <c r="C860" s="77"/>
      <c r="D860" s="78"/>
      <c r="E860" s="78"/>
      <c r="F860" s="79"/>
      <c r="G860" s="10"/>
      <c r="H860" s="10"/>
      <c r="I860" s="10"/>
      <c r="J860" s="1"/>
      <c r="K860" s="10"/>
      <c r="L860" s="1"/>
      <c r="M860" s="1"/>
      <c r="N860" s="10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3:24" ht="13" x14ac:dyDescent="0.15">
      <c r="C861" s="77"/>
      <c r="D861" s="78"/>
      <c r="E861" s="78"/>
      <c r="F861" s="79"/>
      <c r="G861" s="10"/>
      <c r="H861" s="10"/>
      <c r="I861" s="10"/>
      <c r="J861" s="1"/>
      <c r="K861" s="10"/>
      <c r="L861" s="1"/>
      <c r="M861" s="1"/>
      <c r="N861" s="10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3:24" ht="13" x14ac:dyDescent="0.15">
      <c r="C862" s="77"/>
      <c r="D862" s="78"/>
      <c r="E862" s="78"/>
      <c r="F862" s="79"/>
      <c r="G862" s="10"/>
      <c r="H862" s="10"/>
      <c r="I862" s="10"/>
      <c r="J862" s="1"/>
      <c r="K862" s="10"/>
      <c r="L862" s="1"/>
      <c r="M862" s="1"/>
      <c r="N862" s="10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3:24" ht="13" x14ac:dyDescent="0.15">
      <c r="C863" s="77"/>
      <c r="D863" s="78"/>
      <c r="E863" s="78"/>
      <c r="F863" s="79"/>
      <c r="G863" s="10"/>
      <c r="H863" s="10"/>
      <c r="I863" s="10"/>
      <c r="J863" s="1"/>
      <c r="K863" s="10"/>
      <c r="L863" s="1"/>
      <c r="M863" s="1"/>
      <c r="N863" s="10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3:24" ht="13" x14ac:dyDescent="0.15">
      <c r="C864" s="77"/>
      <c r="D864" s="78"/>
      <c r="E864" s="78"/>
      <c r="F864" s="79"/>
      <c r="G864" s="10"/>
      <c r="H864" s="10"/>
      <c r="I864" s="10"/>
      <c r="J864" s="1"/>
      <c r="K864" s="10"/>
      <c r="L864" s="1"/>
      <c r="M864" s="1"/>
      <c r="N864" s="10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3:24" ht="13" x14ac:dyDescent="0.15">
      <c r="C865" s="77"/>
      <c r="D865" s="78"/>
      <c r="E865" s="78"/>
      <c r="F865" s="79"/>
      <c r="G865" s="10"/>
      <c r="H865" s="10"/>
      <c r="I865" s="10"/>
      <c r="J865" s="1"/>
      <c r="K865" s="10"/>
      <c r="L865" s="1"/>
      <c r="M865" s="1"/>
      <c r="N865" s="10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3:24" ht="13" x14ac:dyDescent="0.15">
      <c r="C866" s="77"/>
      <c r="D866" s="78"/>
      <c r="E866" s="78"/>
      <c r="F866" s="79"/>
      <c r="G866" s="10"/>
      <c r="H866" s="10"/>
      <c r="I866" s="10"/>
      <c r="J866" s="1"/>
      <c r="K866" s="10"/>
      <c r="L866" s="1"/>
      <c r="M866" s="1"/>
      <c r="N866" s="10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3:24" ht="13" x14ac:dyDescent="0.15">
      <c r="C867" s="77"/>
      <c r="D867" s="78"/>
      <c r="E867" s="78"/>
      <c r="F867" s="79"/>
      <c r="G867" s="10"/>
      <c r="H867" s="10"/>
      <c r="I867" s="10"/>
      <c r="J867" s="1"/>
      <c r="K867" s="10"/>
      <c r="L867" s="1"/>
      <c r="M867" s="1"/>
      <c r="N867" s="10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3:24" ht="13" x14ac:dyDescent="0.15">
      <c r="C868" s="77"/>
      <c r="D868" s="78"/>
      <c r="E868" s="78"/>
      <c r="F868" s="79"/>
      <c r="G868" s="10"/>
      <c r="H868" s="10"/>
      <c r="I868" s="10"/>
      <c r="J868" s="1"/>
      <c r="K868" s="10"/>
      <c r="L868" s="1"/>
      <c r="M868" s="1"/>
      <c r="N868" s="10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3:24" ht="13" x14ac:dyDescent="0.15">
      <c r="C869" s="77"/>
      <c r="D869" s="78"/>
      <c r="E869" s="78"/>
      <c r="F869" s="79"/>
      <c r="G869" s="10"/>
      <c r="H869" s="10"/>
      <c r="I869" s="10"/>
      <c r="J869" s="1"/>
      <c r="K869" s="10"/>
      <c r="L869" s="1"/>
      <c r="M869" s="1"/>
      <c r="N869" s="10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3:24" ht="13" x14ac:dyDescent="0.15">
      <c r="C870" s="77"/>
      <c r="D870" s="78"/>
      <c r="E870" s="78"/>
      <c r="F870" s="79"/>
      <c r="G870" s="10"/>
      <c r="H870" s="10"/>
      <c r="I870" s="10"/>
      <c r="J870" s="1"/>
      <c r="K870" s="10"/>
      <c r="L870" s="1"/>
      <c r="M870" s="1"/>
      <c r="N870" s="10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3:24" ht="13" x14ac:dyDescent="0.15">
      <c r="C871" s="77"/>
      <c r="D871" s="78"/>
      <c r="E871" s="78"/>
      <c r="F871" s="79"/>
      <c r="G871" s="10"/>
      <c r="H871" s="10"/>
      <c r="I871" s="10"/>
      <c r="J871" s="1"/>
      <c r="K871" s="10"/>
      <c r="L871" s="1"/>
      <c r="M871" s="1"/>
      <c r="N871" s="10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3:24" ht="13" x14ac:dyDescent="0.15">
      <c r="C872" s="77"/>
      <c r="D872" s="78"/>
      <c r="E872" s="78"/>
      <c r="F872" s="79"/>
      <c r="G872" s="10"/>
      <c r="H872" s="10"/>
      <c r="I872" s="10"/>
      <c r="J872" s="1"/>
      <c r="K872" s="10"/>
      <c r="L872" s="1"/>
      <c r="M872" s="1"/>
      <c r="N872" s="10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3:24" ht="13" x14ac:dyDescent="0.15">
      <c r="C873" s="77"/>
      <c r="D873" s="78"/>
      <c r="E873" s="78"/>
      <c r="F873" s="79"/>
      <c r="G873" s="10"/>
      <c r="H873" s="10"/>
      <c r="I873" s="10"/>
      <c r="J873" s="1"/>
      <c r="K873" s="10"/>
      <c r="L873" s="1"/>
      <c r="M873" s="1"/>
      <c r="N873" s="10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3:24" ht="13" x14ac:dyDescent="0.15">
      <c r="C874" s="77"/>
      <c r="D874" s="78"/>
      <c r="E874" s="78"/>
      <c r="F874" s="79"/>
      <c r="G874" s="10"/>
      <c r="H874" s="10"/>
      <c r="I874" s="10"/>
      <c r="J874" s="1"/>
      <c r="K874" s="10"/>
      <c r="L874" s="1"/>
      <c r="M874" s="1"/>
      <c r="N874" s="10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3:24" ht="13" x14ac:dyDescent="0.15">
      <c r="C875" s="77"/>
      <c r="D875" s="78"/>
      <c r="E875" s="78"/>
      <c r="F875" s="79"/>
      <c r="G875" s="10"/>
      <c r="H875" s="10"/>
      <c r="I875" s="10"/>
      <c r="J875" s="1"/>
      <c r="K875" s="10"/>
      <c r="L875" s="1"/>
      <c r="M875" s="1"/>
      <c r="N875" s="10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3:24" ht="13" x14ac:dyDescent="0.15">
      <c r="C876" s="77"/>
      <c r="D876" s="78"/>
      <c r="E876" s="78"/>
      <c r="F876" s="79"/>
      <c r="G876" s="10"/>
      <c r="H876" s="10"/>
      <c r="I876" s="10"/>
      <c r="J876" s="1"/>
      <c r="K876" s="10"/>
      <c r="L876" s="1"/>
      <c r="M876" s="1"/>
      <c r="N876" s="10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3:24" ht="13" x14ac:dyDescent="0.15">
      <c r="C877" s="77"/>
      <c r="D877" s="78"/>
      <c r="E877" s="78"/>
      <c r="F877" s="79"/>
      <c r="G877" s="10"/>
      <c r="H877" s="10"/>
      <c r="I877" s="10"/>
      <c r="J877" s="1"/>
      <c r="K877" s="10"/>
      <c r="L877" s="1"/>
      <c r="M877" s="1"/>
      <c r="N877" s="10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3:24" ht="13" x14ac:dyDescent="0.15">
      <c r="C878" s="77"/>
      <c r="D878" s="78"/>
      <c r="E878" s="78"/>
      <c r="F878" s="79"/>
      <c r="G878" s="10"/>
      <c r="H878" s="10"/>
      <c r="I878" s="10"/>
      <c r="J878" s="1"/>
      <c r="K878" s="10"/>
      <c r="L878" s="1"/>
      <c r="M878" s="1"/>
      <c r="N878" s="10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3:24" ht="13" x14ac:dyDescent="0.15">
      <c r="C879" s="77"/>
      <c r="D879" s="78"/>
      <c r="E879" s="78"/>
      <c r="F879" s="79"/>
      <c r="G879" s="10"/>
      <c r="H879" s="10"/>
      <c r="I879" s="10"/>
      <c r="J879" s="1"/>
      <c r="K879" s="10"/>
      <c r="L879" s="1"/>
      <c r="M879" s="1"/>
      <c r="N879" s="10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3:24" ht="13" x14ac:dyDescent="0.15">
      <c r="C880" s="77"/>
      <c r="D880" s="78"/>
      <c r="E880" s="78"/>
      <c r="F880" s="79"/>
      <c r="G880" s="10"/>
      <c r="H880" s="10"/>
      <c r="I880" s="10"/>
      <c r="J880" s="1"/>
      <c r="K880" s="10"/>
      <c r="L880" s="1"/>
      <c r="M880" s="1"/>
      <c r="N880" s="10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3:24" ht="13" x14ac:dyDescent="0.15">
      <c r="C881" s="77"/>
      <c r="D881" s="78"/>
      <c r="E881" s="78"/>
      <c r="F881" s="79"/>
      <c r="G881" s="10"/>
      <c r="H881" s="10"/>
      <c r="I881" s="10"/>
      <c r="J881" s="1"/>
      <c r="K881" s="10"/>
      <c r="L881" s="1"/>
      <c r="M881" s="1"/>
      <c r="N881" s="10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3:24" ht="13" x14ac:dyDescent="0.15">
      <c r="C882" s="77"/>
      <c r="D882" s="78"/>
      <c r="E882" s="78"/>
      <c r="F882" s="79"/>
      <c r="G882" s="10"/>
      <c r="H882" s="10"/>
      <c r="I882" s="10"/>
      <c r="J882" s="1"/>
      <c r="K882" s="10"/>
      <c r="L882" s="1"/>
      <c r="M882" s="1"/>
      <c r="N882" s="10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3:24" ht="13" x14ac:dyDescent="0.15">
      <c r="C883" s="77"/>
      <c r="D883" s="78"/>
      <c r="E883" s="78"/>
      <c r="F883" s="79"/>
      <c r="G883" s="10"/>
      <c r="H883" s="10"/>
      <c r="I883" s="10"/>
      <c r="J883" s="1"/>
      <c r="K883" s="10"/>
      <c r="L883" s="1"/>
      <c r="M883" s="1"/>
      <c r="N883" s="10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3:24" ht="13" x14ac:dyDescent="0.15">
      <c r="C884" s="77"/>
      <c r="D884" s="78"/>
      <c r="E884" s="78"/>
      <c r="F884" s="79"/>
      <c r="G884" s="10"/>
      <c r="H884" s="10"/>
      <c r="I884" s="10"/>
      <c r="J884" s="1"/>
      <c r="K884" s="10"/>
      <c r="L884" s="1"/>
      <c r="M884" s="1"/>
      <c r="N884" s="10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3:24" ht="13" x14ac:dyDescent="0.15">
      <c r="C885" s="77"/>
      <c r="D885" s="78"/>
      <c r="E885" s="78"/>
      <c r="F885" s="79"/>
      <c r="G885" s="10"/>
      <c r="H885" s="10"/>
      <c r="I885" s="10"/>
      <c r="J885" s="1"/>
      <c r="K885" s="10"/>
      <c r="L885" s="1"/>
      <c r="M885" s="1"/>
      <c r="N885" s="10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3:24" ht="13" x14ac:dyDescent="0.15">
      <c r="C886" s="77"/>
      <c r="D886" s="78"/>
      <c r="E886" s="78"/>
      <c r="F886" s="79"/>
      <c r="G886" s="10"/>
      <c r="H886" s="10"/>
      <c r="I886" s="10"/>
      <c r="J886" s="1"/>
      <c r="K886" s="10"/>
      <c r="L886" s="1"/>
      <c r="M886" s="1"/>
      <c r="N886" s="10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3:24" ht="13" x14ac:dyDescent="0.15">
      <c r="C887" s="77"/>
      <c r="D887" s="78"/>
      <c r="E887" s="78"/>
      <c r="F887" s="79"/>
      <c r="G887" s="10"/>
      <c r="H887" s="10"/>
      <c r="I887" s="10"/>
      <c r="J887" s="1"/>
      <c r="K887" s="10"/>
      <c r="L887" s="1"/>
      <c r="M887" s="1"/>
      <c r="N887" s="10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3:24" ht="13" x14ac:dyDescent="0.15">
      <c r="C888" s="77"/>
      <c r="D888" s="78"/>
      <c r="E888" s="78"/>
      <c r="F888" s="79"/>
      <c r="G888" s="10"/>
      <c r="H888" s="10"/>
      <c r="I888" s="10"/>
      <c r="J888" s="1"/>
      <c r="K888" s="10"/>
      <c r="L888" s="1"/>
      <c r="M888" s="1"/>
      <c r="N888" s="10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3:24" ht="13" x14ac:dyDescent="0.15">
      <c r="C889" s="77"/>
      <c r="D889" s="78"/>
      <c r="E889" s="78"/>
      <c r="F889" s="79"/>
      <c r="G889" s="10"/>
      <c r="H889" s="10"/>
      <c r="I889" s="10"/>
      <c r="J889" s="1"/>
      <c r="K889" s="10"/>
      <c r="L889" s="1"/>
      <c r="M889" s="1"/>
      <c r="N889" s="10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3:24" ht="13" x14ac:dyDescent="0.15">
      <c r="C890" s="77"/>
      <c r="D890" s="78"/>
      <c r="E890" s="78"/>
      <c r="F890" s="79"/>
      <c r="G890" s="10"/>
      <c r="H890" s="10"/>
      <c r="I890" s="10"/>
      <c r="J890" s="1"/>
      <c r="K890" s="10"/>
      <c r="L890" s="1"/>
      <c r="M890" s="1"/>
      <c r="N890" s="10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3:24" ht="13" x14ac:dyDescent="0.15">
      <c r="C891" s="77"/>
      <c r="D891" s="78"/>
      <c r="E891" s="78"/>
      <c r="F891" s="79"/>
      <c r="G891" s="10"/>
      <c r="H891" s="10"/>
      <c r="I891" s="10"/>
      <c r="J891" s="1"/>
      <c r="K891" s="10"/>
      <c r="L891" s="1"/>
      <c r="M891" s="1"/>
      <c r="N891" s="10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3:24" ht="13" x14ac:dyDescent="0.15">
      <c r="C892" s="77"/>
      <c r="D892" s="78"/>
      <c r="E892" s="78"/>
      <c r="F892" s="79"/>
      <c r="G892" s="10"/>
      <c r="H892" s="10"/>
      <c r="I892" s="10"/>
      <c r="J892" s="1"/>
      <c r="K892" s="10"/>
      <c r="L892" s="1"/>
      <c r="M892" s="1"/>
      <c r="N892" s="10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3:24" ht="13" x14ac:dyDescent="0.15">
      <c r="C893" s="77"/>
      <c r="D893" s="78"/>
      <c r="E893" s="78"/>
      <c r="F893" s="79"/>
      <c r="G893" s="10"/>
      <c r="H893" s="10"/>
      <c r="I893" s="10"/>
      <c r="J893" s="1"/>
      <c r="K893" s="10"/>
      <c r="L893" s="1"/>
      <c r="M893" s="1"/>
      <c r="N893" s="10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3:24" ht="13" x14ac:dyDescent="0.15">
      <c r="C894" s="77"/>
      <c r="D894" s="78"/>
      <c r="E894" s="78"/>
      <c r="F894" s="79"/>
      <c r="G894" s="10"/>
      <c r="H894" s="10"/>
      <c r="I894" s="10"/>
      <c r="J894" s="1"/>
      <c r="K894" s="10"/>
      <c r="L894" s="1"/>
      <c r="M894" s="1"/>
      <c r="N894" s="10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3:24" ht="13" x14ac:dyDescent="0.15">
      <c r="C895" s="77"/>
      <c r="D895" s="78"/>
      <c r="E895" s="78"/>
      <c r="F895" s="79"/>
      <c r="G895" s="10"/>
      <c r="H895" s="10"/>
      <c r="I895" s="10"/>
      <c r="J895" s="1"/>
      <c r="K895" s="10"/>
      <c r="L895" s="1"/>
      <c r="M895" s="1"/>
      <c r="N895" s="10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3:24" ht="13" x14ac:dyDescent="0.15">
      <c r="C896" s="77"/>
      <c r="D896" s="78"/>
      <c r="E896" s="78"/>
      <c r="F896" s="79"/>
      <c r="G896" s="10"/>
      <c r="H896" s="10"/>
      <c r="I896" s="10"/>
      <c r="J896" s="1"/>
      <c r="K896" s="10"/>
      <c r="L896" s="1"/>
      <c r="M896" s="1"/>
      <c r="N896" s="10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3:24" ht="13" x14ac:dyDescent="0.15">
      <c r="C897" s="77"/>
      <c r="D897" s="78"/>
      <c r="E897" s="78"/>
      <c r="F897" s="79"/>
      <c r="G897" s="10"/>
      <c r="H897" s="10"/>
      <c r="I897" s="10"/>
      <c r="J897" s="1"/>
      <c r="K897" s="10"/>
      <c r="L897" s="1"/>
      <c r="M897" s="1"/>
      <c r="N897" s="10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3:24" ht="13" x14ac:dyDescent="0.15">
      <c r="C898" s="77"/>
      <c r="D898" s="78"/>
      <c r="E898" s="78"/>
      <c r="F898" s="79"/>
      <c r="G898" s="10"/>
      <c r="H898" s="10"/>
      <c r="I898" s="10"/>
      <c r="J898" s="1"/>
      <c r="K898" s="10"/>
      <c r="L898" s="1"/>
      <c r="M898" s="1"/>
      <c r="N898" s="10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3:24" ht="13" x14ac:dyDescent="0.15">
      <c r="C899" s="77"/>
      <c r="D899" s="78"/>
      <c r="E899" s="78"/>
      <c r="F899" s="79"/>
      <c r="G899" s="10"/>
      <c r="H899" s="10"/>
      <c r="I899" s="10"/>
      <c r="J899" s="1"/>
      <c r="K899" s="10"/>
      <c r="L899" s="1"/>
      <c r="M899" s="1"/>
      <c r="N899" s="10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3:24" ht="13" x14ac:dyDescent="0.15">
      <c r="C900" s="77"/>
      <c r="D900" s="78"/>
      <c r="E900" s="78"/>
      <c r="F900" s="79"/>
      <c r="G900" s="10"/>
      <c r="H900" s="10"/>
      <c r="I900" s="10"/>
      <c r="J900" s="1"/>
      <c r="K900" s="10"/>
      <c r="L900" s="1"/>
      <c r="M900" s="1"/>
      <c r="N900" s="10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3:24" ht="13" x14ac:dyDescent="0.15">
      <c r="C901" s="77"/>
      <c r="D901" s="78"/>
      <c r="E901" s="78"/>
      <c r="F901" s="79"/>
      <c r="G901" s="10"/>
      <c r="H901" s="10"/>
      <c r="I901" s="10"/>
      <c r="J901" s="1"/>
      <c r="K901" s="10"/>
      <c r="L901" s="1"/>
      <c r="M901" s="1"/>
      <c r="N901" s="10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3:24" ht="13" x14ac:dyDescent="0.15">
      <c r="C902" s="77"/>
      <c r="D902" s="78"/>
      <c r="E902" s="78"/>
      <c r="F902" s="79"/>
      <c r="G902" s="10"/>
      <c r="H902" s="10"/>
      <c r="I902" s="10"/>
      <c r="J902" s="1"/>
      <c r="K902" s="10"/>
      <c r="L902" s="1"/>
      <c r="M902" s="1"/>
      <c r="N902" s="10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3:24" ht="13" x14ac:dyDescent="0.15">
      <c r="C903" s="77"/>
      <c r="D903" s="78"/>
      <c r="E903" s="78"/>
      <c r="F903" s="79"/>
      <c r="G903" s="10"/>
      <c r="H903" s="10"/>
      <c r="I903" s="10"/>
      <c r="J903" s="1"/>
      <c r="K903" s="10"/>
      <c r="L903" s="1"/>
      <c r="M903" s="1"/>
      <c r="N903" s="10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3:24" ht="13" x14ac:dyDescent="0.15">
      <c r="C904" s="77"/>
      <c r="D904" s="78"/>
      <c r="E904" s="78"/>
      <c r="F904" s="79"/>
      <c r="G904" s="10"/>
      <c r="H904" s="10"/>
      <c r="I904" s="10"/>
      <c r="J904" s="1"/>
      <c r="K904" s="10"/>
      <c r="L904" s="1"/>
      <c r="M904" s="1"/>
      <c r="N904" s="10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3:24" ht="13" x14ac:dyDescent="0.15">
      <c r="C905" s="77"/>
      <c r="D905" s="78"/>
      <c r="E905" s="78"/>
      <c r="F905" s="79"/>
      <c r="G905" s="10"/>
      <c r="H905" s="10"/>
      <c r="I905" s="10"/>
      <c r="J905" s="1"/>
      <c r="K905" s="10"/>
      <c r="L905" s="1"/>
      <c r="M905" s="1"/>
      <c r="N905" s="10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3:24" ht="13" x14ac:dyDescent="0.15">
      <c r="C906" s="77"/>
      <c r="D906" s="78"/>
      <c r="E906" s="78"/>
      <c r="F906" s="79"/>
      <c r="G906" s="10"/>
      <c r="H906" s="10"/>
      <c r="I906" s="10"/>
      <c r="J906" s="1"/>
      <c r="K906" s="10"/>
      <c r="L906" s="1"/>
      <c r="M906" s="1"/>
      <c r="N906" s="10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3:24" ht="13" x14ac:dyDescent="0.15">
      <c r="C907" s="77"/>
      <c r="D907" s="78"/>
      <c r="E907" s="78"/>
      <c r="F907" s="79"/>
      <c r="G907" s="10"/>
      <c r="H907" s="10"/>
      <c r="I907" s="10"/>
      <c r="J907" s="1"/>
      <c r="K907" s="10"/>
      <c r="L907" s="1"/>
      <c r="M907" s="1"/>
      <c r="N907" s="10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3:24" ht="13" x14ac:dyDescent="0.15">
      <c r="C908" s="77"/>
      <c r="D908" s="78"/>
      <c r="E908" s="78"/>
      <c r="F908" s="79"/>
      <c r="G908" s="10"/>
      <c r="H908" s="10"/>
      <c r="I908" s="10"/>
      <c r="J908" s="1"/>
      <c r="K908" s="10"/>
      <c r="L908" s="1"/>
      <c r="M908" s="1"/>
      <c r="N908" s="10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3:24" ht="13" x14ac:dyDescent="0.15">
      <c r="C909" s="77"/>
      <c r="D909" s="78"/>
      <c r="E909" s="78"/>
      <c r="F909" s="79"/>
      <c r="G909" s="10"/>
      <c r="H909" s="10"/>
      <c r="I909" s="10"/>
      <c r="J909" s="1"/>
      <c r="K909" s="10"/>
      <c r="L909" s="1"/>
      <c r="M909" s="1"/>
      <c r="N909" s="10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3:24" ht="13" x14ac:dyDescent="0.15">
      <c r="C910" s="77"/>
      <c r="D910" s="78"/>
      <c r="E910" s="78"/>
      <c r="F910" s="79"/>
      <c r="G910" s="10"/>
      <c r="H910" s="10"/>
      <c r="I910" s="10"/>
      <c r="J910" s="1"/>
      <c r="K910" s="10"/>
      <c r="L910" s="1"/>
      <c r="M910" s="1"/>
      <c r="N910" s="10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3:24" ht="13" x14ac:dyDescent="0.15">
      <c r="C911" s="77"/>
      <c r="D911" s="78"/>
      <c r="E911" s="78"/>
      <c r="F911" s="79"/>
      <c r="G911" s="10"/>
      <c r="H911" s="10"/>
      <c r="I911" s="10"/>
      <c r="J911" s="1"/>
      <c r="K911" s="10"/>
      <c r="L911" s="1"/>
      <c r="M911" s="1"/>
      <c r="N911" s="10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3:24" ht="13" x14ac:dyDescent="0.15">
      <c r="C912" s="77"/>
      <c r="D912" s="78"/>
      <c r="E912" s="78"/>
      <c r="F912" s="79"/>
      <c r="G912" s="10"/>
      <c r="H912" s="10"/>
      <c r="I912" s="10"/>
      <c r="J912" s="1"/>
      <c r="K912" s="10"/>
      <c r="L912" s="1"/>
      <c r="M912" s="1"/>
      <c r="N912" s="10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3:24" ht="13" x14ac:dyDescent="0.15">
      <c r="C913" s="77"/>
      <c r="D913" s="78"/>
      <c r="E913" s="78"/>
      <c r="F913" s="79"/>
      <c r="G913" s="10"/>
      <c r="H913" s="10"/>
      <c r="I913" s="10"/>
      <c r="J913" s="1"/>
      <c r="K913" s="10"/>
      <c r="L913" s="1"/>
      <c r="M913" s="1"/>
      <c r="N913" s="10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3:24" ht="13" x14ac:dyDescent="0.15">
      <c r="C914" s="77"/>
      <c r="D914" s="78"/>
      <c r="E914" s="78"/>
      <c r="F914" s="79"/>
      <c r="G914" s="10"/>
      <c r="H914" s="10"/>
      <c r="I914" s="10"/>
      <c r="J914" s="1"/>
      <c r="K914" s="10"/>
      <c r="L914" s="1"/>
      <c r="M914" s="1"/>
      <c r="N914" s="10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3:24" ht="13" x14ac:dyDescent="0.15">
      <c r="C915" s="77"/>
      <c r="D915" s="78"/>
      <c r="E915" s="78"/>
      <c r="F915" s="79"/>
      <c r="G915" s="10"/>
      <c r="H915" s="10"/>
      <c r="I915" s="10"/>
      <c r="J915" s="1"/>
      <c r="K915" s="10"/>
      <c r="L915" s="1"/>
      <c r="M915" s="1"/>
      <c r="N915" s="10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3:24" ht="13" x14ac:dyDescent="0.15">
      <c r="C916" s="77"/>
      <c r="D916" s="78"/>
      <c r="E916" s="78"/>
      <c r="F916" s="79"/>
      <c r="G916" s="10"/>
      <c r="H916" s="10"/>
      <c r="I916" s="10"/>
      <c r="J916" s="1"/>
      <c r="K916" s="10"/>
      <c r="L916" s="1"/>
      <c r="M916" s="1"/>
      <c r="N916" s="10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3:24" ht="13" x14ac:dyDescent="0.15">
      <c r="C917" s="77"/>
      <c r="D917" s="78"/>
      <c r="E917" s="78"/>
      <c r="F917" s="79"/>
      <c r="G917" s="10"/>
      <c r="H917" s="10"/>
      <c r="I917" s="10"/>
      <c r="J917" s="1"/>
      <c r="K917" s="10"/>
      <c r="L917" s="1"/>
      <c r="M917" s="1"/>
      <c r="N917" s="10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3:24" ht="13" x14ac:dyDescent="0.15">
      <c r="C918" s="77"/>
      <c r="D918" s="78"/>
      <c r="E918" s="78"/>
      <c r="F918" s="79"/>
      <c r="G918" s="10"/>
      <c r="H918" s="10"/>
      <c r="I918" s="10"/>
      <c r="J918" s="1"/>
      <c r="K918" s="10"/>
      <c r="L918" s="1"/>
      <c r="M918" s="1"/>
      <c r="N918" s="10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3:24" ht="13" x14ac:dyDescent="0.15">
      <c r="C919" s="77"/>
      <c r="D919" s="78"/>
      <c r="E919" s="78"/>
      <c r="F919" s="79"/>
      <c r="G919" s="10"/>
      <c r="H919" s="10"/>
      <c r="I919" s="10"/>
      <c r="J919" s="1"/>
      <c r="K919" s="10"/>
      <c r="L919" s="1"/>
      <c r="M919" s="1"/>
      <c r="N919" s="10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3:24" ht="13" x14ac:dyDescent="0.15">
      <c r="C920" s="77"/>
      <c r="D920" s="78"/>
      <c r="E920" s="78"/>
      <c r="F920" s="79"/>
      <c r="G920" s="10"/>
      <c r="H920" s="10"/>
      <c r="I920" s="10"/>
      <c r="J920" s="1"/>
      <c r="K920" s="10"/>
      <c r="L920" s="1"/>
      <c r="M920" s="1"/>
      <c r="N920" s="10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3:24" ht="13" x14ac:dyDescent="0.15">
      <c r="C921" s="77"/>
      <c r="D921" s="78"/>
      <c r="E921" s="78"/>
      <c r="F921" s="79"/>
      <c r="G921" s="10"/>
      <c r="H921" s="10"/>
      <c r="I921" s="10"/>
      <c r="J921" s="1"/>
      <c r="K921" s="10"/>
      <c r="L921" s="1"/>
      <c r="M921" s="1"/>
      <c r="N921" s="10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3:24" ht="13" x14ac:dyDescent="0.15">
      <c r="C922" s="77"/>
      <c r="D922" s="78"/>
      <c r="E922" s="78"/>
      <c r="F922" s="79"/>
      <c r="G922" s="10"/>
      <c r="H922" s="10"/>
      <c r="I922" s="10"/>
      <c r="J922" s="1"/>
      <c r="K922" s="10"/>
      <c r="L922" s="1"/>
      <c r="M922" s="1"/>
      <c r="N922" s="10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3:24" ht="13" x14ac:dyDescent="0.15">
      <c r="C923" s="77"/>
      <c r="D923" s="78"/>
      <c r="E923" s="78"/>
      <c r="F923" s="79"/>
      <c r="G923" s="10"/>
      <c r="H923" s="10"/>
      <c r="I923" s="10"/>
      <c r="J923" s="1"/>
      <c r="K923" s="10"/>
      <c r="L923" s="1"/>
      <c r="M923" s="1"/>
      <c r="N923" s="10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3:24" ht="13" x14ac:dyDescent="0.15">
      <c r="C924" s="77"/>
      <c r="D924" s="78"/>
      <c r="E924" s="78"/>
      <c r="F924" s="79"/>
      <c r="G924" s="10"/>
      <c r="H924" s="10"/>
      <c r="I924" s="10"/>
      <c r="J924" s="1"/>
      <c r="K924" s="10"/>
      <c r="L924" s="1"/>
      <c r="M924" s="1"/>
      <c r="N924" s="10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3:24" ht="13" x14ac:dyDescent="0.15">
      <c r="C925" s="77"/>
      <c r="D925" s="78"/>
      <c r="E925" s="78"/>
      <c r="F925" s="79"/>
      <c r="G925" s="10"/>
      <c r="H925" s="10"/>
      <c r="I925" s="10"/>
      <c r="J925" s="1"/>
      <c r="K925" s="10"/>
      <c r="L925" s="1"/>
      <c r="M925" s="1"/>
      <c r="N925" s="10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3:24" ht="13" x14ac:dyDescent="0.15">
      <c r="C926" s="77"/>
      <c r="D926" s="78"/>
      <c r="E926" s="78"/>
      <c r="F926" s="79"/>
      <c r="G926" s="10"/>
      <c r="H926" s="10"/>
      <c r="I926" s="10"/>
      <c r="J926" s="1"/>
      <c r="K926" s="10"/>
      <c r="L926" s="1"/>
      <c r="M926" s="1"/>
      <c r="N926" s="10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3:24" ht="13" x14ac:dyDescent="0.15">
      <c r="C927" s="77"/>
      <c r="D927" s="78"/>
      <c r="E927" s="78"/>
      <c r="F927" s="79"/>
      <c r="G927" s="10"/>
      <c r="H927" s="10"/>
      <c r="I927" s="10"/>
      <c r="J927" s="1"/>
      <c r="K927" s="10"/>
      <c r="L927" s="1"/>
      <c r="M927" s="1"/>
      <c r="N927" s="10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3:24" ht="13" x14ac:dyDescent="0.15">
      <c r="C928" s="77"/>
      <c r="D928" s="78"/>
      <c r="E928" s="78"/>
      <c r="F928" s="79"/>
      <c r="G928" s="10"/>
      <c r="H928" s="10"/>
      <c r="I928" s="10"/>
      <c r="J928" s="1"/>
      <c r="K928" s="10"/>
      <c r="L928" s="1"/>
      <c r="M928" s="1"/>
      <c r="N928" s="10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3:24" ht="13" x14ac:dyDescent="0.15">
      <c r="C929" s="77"/>
      <c r="D929" s="78"/>
      <c r="E929" s="78"/>
      <c r="F929" s="79"/>
      <c r="G929" s="10"/>
      <c r="H929" s="10"/>
      <c r="I929" s="10"/>
      <c r="J929" s="1"/>
      <c r="K929" s="10"/>
      <c r="L929" s="1"/>
      <c r="M929" s="1"/>
      <c r="N929" s="10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3:24" ht="13" x14ac:dyDescent="0.15">
      <c r="C930" s="77"/>
      <c r="D930" s="78"/>
      <c r="E930" s="78"/>
      <c r="F930" s="79"/>
      <c r="G930" s="10"/>
      <c r="H930" s="10"/>
      <c r="I930" s="10"/>
      <c r="J930" s="1"/>
      <c r="K930" s="10"/>
      <c r="L930" s="1"/>
      <c r="M930" s="1"/>
      <c r="N930" s="10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3:24" ht="13" x14ac:dyDescent="0.15">
      <c r="C931" s="77"/>
      <c r="D931" s="78"/>
      <c r="E931" s="78"/>
      <c r="F931" s="79"/>
      <c r="G931" s="10"/>
      <c r="H931" s="10"/>
      <c r="I931" s="10"/>
      <c r="J931" s="1"/>
      <c r="K931" s="10"/>
      <c r="L931" s="1"/>
      <c r="M931" s="1"/>
      <c r="N931" s="10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3:24" ht="13" x14ac:dyDescent="0.15">
      <c r="C932" s="77"/>
      <c r="D932" s="78"/>
      <c r="E932" s="78"/>
      <c r="F932" s="79"/>
      <c r="G932" s="10"/>
      <c r="H932" s="10"/>
      <c r="I932" s="10"/>
      <c r="J932" s="1"/>
      <c r="K932" s="10"/>
      <c r="L932" s="1"/>
      <c r="M932" s="1"/>
      <c r="N932" s="10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3:24" ht="13" x14ac:dyDescent="0.15">
      <c r="C933" s="77"/>
      <c r="D933" s="78"/>
      <c r="E933" s="78"/>
      <c r="F933" s="79"/>
      <c r="G933" s="10"/>
      <c r="H933" s="10"/>
      <c r="I933" s="10"/>
      <c r="J933" s="1"/>
      <c r="K933" s="10"/>
      <c r="L933" s="1"/>
      <c r="M933" s="1"/>
      <c r="N933" s="10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3:24" ht="13" x14ac:dyDescent="0.15">
      <c r="C934" s="77"/>
      <c r="D934" s="78"/>
      <c r="E934" s="78"/>
      <c r="F934" s="79"/>
      <c r="G934" s="10"/>
      <c r="H934" s="10"/>
      <c r="I934" s="10"/>
      <c r="J934" s="1"/>
      <c r="K934" s="10"/>
      <c r="L934" s="1"/>
      <c r="M934" s="1"/>
      <c r="N934" s="10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3:24" ht="13" x14ac:dyDescent="0.15">
      <c r="C935" s="77"/>
      <c r="D935" s="78"/>
      <c r="E935" s="78"/>
      <c r="F935" s="79"/>
      <c r="G935" s="10"/>
      <c r="H935" s="10"/>
      <c r="I935" s="10"/>
      <c r="J935" s="1"/>
      <c r="K935" s="10"/>
      <c r="L935" s="1"/>
      <c r="M935" s="1"/>
      <c r="N935" s="10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3:24" ht="13" x14ac:dyDescent="0.15">
      <c r="C936" s="77"/>
      <c r="D936" s="78"/>
      <c r="E936" s="78"/>
      <c r="F936" s="79"/>
      <c r="G936" s="10"/>
      <c r="H936" s="10"/>
      <c r="I936" s="10"/>
      <c r="J936" s="1"/>
      <c r="K936" s="10"/>
      <c r="L936" s="1"/>
      <c r="M936" s="1"/>
      <c r="N936" s="10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3:24" ht="13" x14ac:dyDescent="0.15">
      <c r="C937" s="77"/>
      <c r="D937" s="78"/>
      <c r="E937" s="78"/>
      <c r="F937" s="79"/>
      <c r="G937" s="10"/>
      <c r="H937" s="10"/>
      <c r="I937" s="10"/>
      <c r="J937" s="1"/>
      <c r="K937" s="10"/>
      <c r="L937" s="1"/>
      <c r="M937" s="1"/>
      <c r="N937" s="10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3:24" ht="13" x14ac:dyDescent="0.15">
      <c r="C938" s="77"/>
      <c r="D938" s="78"/>
      <c r="E938" s="78"/>
      <c r="F938" s="79"/>
      <c r="G938" s="10"/>
      <c r="H938" s="10"/>
      <c r="I938" s="10"/>
      <c r="J938" s="1"/>
      <c r="K938" s="10"/>
      <c r="L938" s="1"/>
      <c r="M938" s="1"/>
      <c r="N938" s="10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3:24" ht="13" x14ac:dyDescent="0.15">
      <c r="C939" s="77"/>
      <c r="D939" s="78"/>
      <c r="E939" s="78"/>
      <c r="F939" s="79"/>
      <c r="G939" s="10"/>
      <c r="H939" s="10"/>
      <c r="I939" s="10"/>
      <c r="J939" s="1"/>
      <c r="K939" s="10"/>
      <c r="L939" s="1"/>
      <c r="M939" s="1"/>
      <c r="N939" s="10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3:24" ht="13" x14ac:dyDescent="0.15">
      <c r="C940" s="77"/>
      <c r="D940" s="78"/>
      <c r="E940" s="78"/>
      <c r="F940" s="79"/>
      <c r="G940" s="10"/>
      <c r="H940" s="10"/>
      <c r="I940" s="10"/>
      <c r="J940" s="1"/>
      <c r="K940" s="10"/>
      <c r="L940" s="1"/>
      <c r="M940" s="1"/>
      <c r="N940" s="10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3:24" ht="13" x14ac:dyDescent="0.15">
      <c r="C941" s="77"/>
      <c r="D941" s="78"/>
      <c r="E941" s="78"/>
      <c r="F941" s="79"/>
      <c r="G941" s="10"/>
      <c r="H941" s="10"/>
      <c r="I941" s="10"/>
      <c r="J941" s="1"/>
      <c r="K941" s="10"/>
      <c r="L941" s="1"/>
      <c r="M941" s="1"/>
      <c r="N941" s="10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3:24" ht="13" x14ac:dyDescent="0.15">
      <c r="C942" s="77"/>
      <c r="D942" s="78"/>
      <c r="E942" s="78"/>
      <c r="F942" s="79"/>
      <c r="G942" s="10"/>
      <c r="H942" s="10"/>
      <c r="I942" s="10"/>
      <c r="J942" s="1"/>
      <c r="K942" s="10"/>
      <c r="L942" s="1"/>
      <c r="M942" s="1"/>
      <c r="N942" s="10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3:24" ht="13" x14ac:dyDescent="0.15">
      <c r="C943" s="77"/>
      <c r="D943" s="78"/>
      <c r="E943" s="78"/>
      <c r="F943" s="79"/>
      <c r="G943" s="10"/>
      <c r="H943" s="10"/>
      <c r="I943" s="10"/>
      <c r="J943" s="1"/>
      <c r="K943" s="10"/>
      <c r="L943" s="1"/>
      <c r="M943" s="1"/>
      <c r="N943" s="10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3:24" ht="13" x14ac:dyDescent="0.15">
      <c r="C944" s="77"/>
      <c r="D944" s="78"/>
      <c r="E944" s="78"/>
      <c r="F944" s="79"/>
      <c r="G944" s="10"/>
      <c r="H944" s="10"/>
      <c r="I944" s="10"/>
      <c r="J944" s="1"/>
      <c r="K944" s="10"/>
      <c r="L944" s="1"/>
      <c r="M944" s="1"/>
      <c r="N944" s="10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3:24" ht="13" x14ac:dyDescent="0.15">
      <c r="C945" s="77"/>
      <c r="D945" s="78"/>
      <c r="E945" s="78"/>
      <c r="F945" s="79"/>
      <c r="G945" s="10"/>
      <c r="H945" s="10"/>
      <c r="I945" s="10"/>
      <c r="J945" s="1"/>
      <c r="K945" s="10"/>
      <c r="L945" s="1"/>
      <c r="M945" s="1"/>
      <c r="N945" s="10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3:24" ht="13" x14ac:dyDescent="0.15">
      <c r="C946" s="77"/>
      <c r="D946" s="78"/>
      <c r="E946" s="78"/>
      <c r="F946" s="79"/>
      <c r="G946" s="10"/>
      <c r="H946" s="10"/>
      <c r="I946" s="10"/>
      <c r="J946" s="1"/>
      <c r="K946" s="10"/>
      <c r="L946" s="1"/>
      <c r="M946" s="1"/>
      <c r="N946" s="10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3:24" ht="13" x14ac:dyDescent="0.15">
      <c r="C947" s="77"/>
      <c r="D947" s="78"/>
      <c r="E947" s="78"/>
      <c r="F947" s="79"/>
      <c r="G947" s="10"/>
      <c r="H947" s="10"/>
      <c r="I947" s="10"/>
      <c r="J947" s="1"/>
      <c r="K947" s="10"/>
      <c r="L947" s="1"/>
      <c r="M947" s="1"/>
      <c r="N947" s="10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3:24" ht="13" x14ac:dyDescent="0.15">
      <c r="C948" s="77"/>
      <c r="D948" s="78"/>
      <c r="E948" s="78"/>
      <c r="F948" s="79"/>
      <c r="G948" s="10"/>
      <c r="H948" s="10"/>
      <c r="I948" s="10"/>
      <c r="J948" s="1"/>
      <c r="K948" s="10"/>
      <c r="L948" s="1"/>
      <c r="M948" s="1"/>
      <c r="N948" s="10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3:24" ht="13" x14ac:dyDescent="0.15">
      <c r="C949" s="77"/>
      <c r="D949" s="78"/>
      <c r="E949" s="78"/>
      <c r="F949" s="79"/>
      <c r="G949" s="10"/>
      <c r="H949" s="10"/>
      <c r="I949" s="10"/>
      <c r="J949" s="1"/>
      <c r="K949" s="10"/>
      <c r="L949" s="1"/>
      <c r="M949" s="1"/>
      <c r="N949" s="10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3:24" ht="13" x14ac:dyDescent="0.15">
      <c r="C950" s="77"/>
      <c r="D950" s="78"/>
      <c r="E950" s="78"/>
      <c r="F950" s="79"/>
      <c r="G950" s="10"/>
      <c r="H950" s="10"/>
      <c r="I950" s="10"/>
      <c r="J950" s="1"/>
      <c r="K950" s="10"/>
      <c r="L950" s="1"/>
      <c r="M950" s="1"/>
      <c r="N950" s="10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3:24" ht="13" x14ac:dyDescent="0.15">
      <c r="C951" s="77"/>
      <c r="D951" s="78"/>
      <c r="E951" s="78"/>
      <c r="F951" s="79"/>
      <c r="G951" s="10"/>
      <c r="H951" s="10"/>
      <c r="I951" s="10"/>
      <c r="J951" s="1"/>
      <c r="K951" s="10"/>
      <c r="L951" s="1"/>
      <c r="M951" s="1"/>
      <c r="N951" s="10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3:24" ht="13" x14ac:dyDescent="0.15">
      <c r="C952" s="77"/>
      <c r="D952" s="78"/>
      <c r="E952" s="78"/>
      <c r="F952" s="79"/>
      <c r="G952" s="10"/>
      <c r="H952" s="10"/>
      <c r="I952" s="10"/>
      <c r="J952" s="1"/>
      <c r="K952" s="10"/>
      <c r="L952" s="1"/>
      <c r="M952" s="1"/>
      <c r="N952" s="10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3:24" ht="13" x14ac:dyDescent="0.15">
      <c r="C953" s="77"/>
      <c r="D953" s="78"/>
      <c r="E953" s="78"/>
      <c r="F953" s="79"/>
      <c r="G953" s="10"/>
      <c r="H953" s="10"/>
      <c r="I953" s="10"/>
      <c r="J953" s="1"/>
      <c r="K953" s="10"/>
      <c r="L953" s="1"/>
      <c r="M953" s="1"/>
      <c r="N953" s="10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3:24" ht="13" x14ac:dyDescent="0.15">
      <c r="C954" s="77"/>
      <c r="D954" s="78"/>
      <c r="E954" s="78"/>
      <c r="F954" s="79"/>
      <c r="G954" s="10"/>
      <c r="H954" s="10"/>
      <c r="I954" s="10"/>
      <c r="J954" s="1"/>
      <c r="K954" s="10"/>
      <c r="L954" s="1"/>
      <c r="M954" s="1"/>
      <c r="N954" s="10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3:24" ht="13" x14ac:dyDescent="0.15">
      <c r="C955" s="77"/>
      <c r="D955" s="78"/>
      <c r="E955" s="78"/>
      <c r="F955" s="79"/>
      <c r="G955" s="10"/>
      <c r="H955" s="10"/>
      <c r="I955" s="10"/>
      <c r="J955" s="1"/>
      <c r="K955" s="10"/>
      <c r="L955" s="1"/>
      <c r="M955" s="1"/>
      <c r="N955" s="10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3:24" ht="13" x14ac:dyDescent="0.15">
      <c r="C956" s="77"/>
      <c r="D956" s="78"/>
      <c r="E956" s="78"/>
      <c r="F956" s="79"/>
      <c r="G956" s="10"/>
      <c r="H956" s="10"/>
      <c r="I956" s="10"/>
      <c r="J956" s="1"/>
      <c r="K956" s="10"/>
      <c r="L956" s="1"/>
      <c r="M956" s="1"/>
      <c r="N956" s="10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3:24" ht="13" x14ac:dyDescent="0.15">
      <c r="C957" s="77"/>
      <c r="D957" s="78"/>
      <c r="E957" s="78"/>
      <c r="F957" s="79"/>
      <c r="G957" s="10"/>
      <c r="H957" s="10"/>
      <c r="I957" s="10"/>
      <c r="J957" s="1"/>
      <c r="K957" s="10"/>
      <c r="L957" s="1"/>
      <c r="M957" s="1"/>
      <c r="N957" s="10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3:24" ht="13" x14ac:dyDescent="0.15">
      <c r="C958" s="77"/>
      <c r="D958" s="78"/>
      <c r="E958" s="78"/>
      <c r="F958" s="79"/>
      <c r="G958" s="10"/>
      <c r="H958" s="10"/>
      <c r="I958" s="10"/>
      <c r="J958" s="1"/>
      <c r="K958" s="10"/>
      <c r="L958" s="1"/>
      <c r="M958" s="1"/>
      <c r="N958" s="10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3:24" ht="13" x14ac:dyDescent="0.15">
      <c r="C959" s="77"/>
      <c r="D959" s="78"/>
      <c r="E959" s="78"/>
      <c r="F959" s="79"/>
      <c r="G959" s="10"/>
      <c r="H959" s="10"/>
      <c r="I959" s="10"/>
      <c r="J959" s="1"/>
      <c r="K959" s="10"/>
      <c r="L959" s="1"/>
      <c r="M959" s="1"/>
      <c r="N959" s="10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3:24" ht="13" x14ac:dyDescent="0.15">
      <c r="C960" s="77"/>
      <c r="D960" s="78"/>
      <c r="E960" s="78"/>
      <c r="F960" s="79"/>
      <c r="G960" s="10"/>
      <c r="H960" s="10"/>
      <c r="I960" s="10"/>
      <c r="J960" s="1"/>
      <c r="K960" s="10"/>
      <c r="L960" s="1"/>
      <c r="M960" s="1"/>
      <c r="N960" s="10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3:24" ht="13" x14ac:dyDescent="0.15">
      <c r="C961" s="77"/>
      <c r="D961" s="78"/>
      <c r="E961" s="78"/>
      <c r="F961" s="79"/>
      <c r="G961" s="10"/>
      <c r="H961" s="10"/>
      <c r="I961" s="10"/>
      <c r="J961" s="1"/>
      <c r="K961" s="10"/>
      <c r="L961" s="1"/>
      <c r="M961" s="1"/>
      <c r="N961" s="10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3:24" ht="13" x14ac:dyDescent="0.15">
      <c r="C962" s="77"/>
      <c r="D962" s="78"/>
      <c r="E962" s="78"/>
      <c r="F962" s="79"/>
      <c r="G962" s="10"/>
      <c r="H962" s="10"/>
      <c r="I962" s="10"/>
      <c r="J962" s="1"/>
      <c r="K962" s="10"/>
      <c r="L962" s="1"/>
      <c r="M962" s="1"/>
      <c r="N962" s="10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3:24" ht="13" x14ac:dyDescent="0.15">
      <c r="C963" s="77"/>
      <c r="D963" s="78"/>
      <c r="E963" s="78"/>
      <c r="F963" s="79"/>
      <c r="G963" s="10"/>
      <c r="H963" s="10"/>
      <c r="I963" s="10"/>
      <c r="J963" s="1"/>
      <c r="K963" s="10"/>
      <c r="L963" s="1"/>
      <c r="M963" s="1"/>
      <c r="N963" s="10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3:24" ht="13" x14ac:dyDescent="0.15">
      <c r="C964" s="77"/>
      <c r="D964" s="78"/>
      <c r="E964" s="78"/>
      <c r="F964" s="79"/>
      <c r="G964" s="10"/>
      <c r="H964" s="10"/>
      <c r="I964" s="10"/>
      <c r="J964" s="1"/>
      <c r="K964" s="10"/>
      <c r="L964" s="1"/>
      <c r="M964" s="1"/>
      <c r="N964" s="10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3:24" ht="13" x14ac:dyDescent="0.15">
      <c r="C965" s="77"/>
      <c r="D965" s="78"/>
      <c r="E965" s="78"/>
      <c r="F965" s="79"/>
      <c r="G965" s="10"/>
      <c r="H965" s="10"/>
      <c r="I965" s="10"/>
      <c r="J965" s="1"/>
      <c r="K965" s="10"/>
      <c r="L965" s="1"/>
      <c r="M965" s="1"/>
      <c r="N965" s="10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3:24" ht="13" x14ac:dyDescent="0.15">
      <c r="C966" s="77"/>
      <c r="D966" s="78"/>
      <c r="E966" s="78"/>
      <c r="F966" s="79"/>
      <c r="G966" s="10"/>
      <c r="H966" s="10"/>
      <c r="I966" s="10"/>
      <c r="J966" s="1"/>
      <c r="K966" s="10"/>
      <c r="L966" s="1"/>
      <c r="M966" s="1"/>
      <c r="N966" s="10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3:24" ht="13" x14ac:dyDescent="0.15">
      <c r="C967" s="77"/>
      <c r="D967" s="78"/>
      <c r="E967" s="78"/>
      <c r="F967" s="79"/>
      <c r="G967" s="10"/>
      <c r="H967" s="10"/>
      <c r="I967" s="10"/>
      <c r="J967" s="1"/>
      <c r="K967" s="10"/>
      <c r="L967" s="1"/>
      <c r="M967" s="1"/>
      <c r="N967" s="10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3:24" ht="13" x14ac:dyDescent="0.15">
      <c r="C968" s="77"/>
      <c r="D968" s="78"/>
      <c r="E968" s="78"/>
      <c r="F968" s="79"/>
      <c r="G968" s="10"/>
      <c r="H968" s="10"/>
      <c r="I968" s="10"/>
      <c r="J968" s="1"/>
      <c r="K968" s="10"/>
      <c r="L968" s="1"/>
      <c r="M968" s="1"/>
      <c r="N968" s="10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3:24" ht="13" x14ac:dyDescent="0.15">
      <c r="C969" s="77"/>
      <c r="D969" s="78"/>
      <c r="E969" s="78"/>
      <c r="F969" s="79"/>
      <c r="G969" s="10"/>
      <c r="H969" s="10"/>
      <c r="I969" s="10"/>
      <c r="J969" s="1"/>
      <c r="K969" s="10"/>
      <c r="L969" s="1"/>
      <c r="M969" s="1"/>
      <c r="N969" s="10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3:24" ht="13" x14ac:dyDescent="0.15">
      <c r="C970" s="77"/>
      <c r="D970" s="78"/>
      <c r="E970" s="78"/>
      <c r="F970" s="79"/>
      <c r="G970" s="10"/>
      <c r="H970" s="10"/>
      <c r="I970" s="10"/>
      <c r="J970" s="1"/>
      <c r="K970" s="10"/>
      <c r="L970" s="1"/>
      <c r="M970" s="1"/>
      <c r="N970" s="10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3:24" ht="13" x14ac:dyDescent="0.15">
      <c r="C971" s="77"/>
      <c r="D971" s="78"/>
      <c r="E971" s="78"/>
      <c r="F971" s="79"/>
      <c r="G971" s="10"/>
      <c r="H971" s="10"/>
      <c r="I971" s="10"/>
      <c r="J971" s="1"/>
      <c r="K971" s="10"/>
      <c r="L971" s="1"/>
      <c r="M971" s="1"/>
      <c r="N971" s="10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3:24" ht="13" x14ac:dyDescent="0.15">
      <c r="C972" s="77"/>
      <c r="D972" s="78"/>
      <c r="E972" s="78"/>
      <c r="F972" s="79"/>
      <c r="G972" s="10"/>
      <c r="H972" s="10"/>
      <c r="I972" s="10"/>
      <c r="J972" s="1"/>
      <c r="K972" s="10"/>
      <c r="L972" s="1"/>
      <c r="M972" s="1"/>
      <c r="N972" s="10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3:24" ht="13" x14ac:dyDescent="0.15">
      <c r="C973" s="77"/>
      <c r="D973" s="78"/>
      <c r="E973" s="78"/>
      <c r="F973" s="79"/>
      <c r="G973" s="10"/>
      <c r="H973" s="10"/>
      <c r="I973" s="10"/>
      <c r="J973" s="1"/>
      <c r="K973" s="10"/>
      <c r="L973" s="1"/>
      <c r="M973" s="1"/>
      <c r="N973" s="10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3:24" ht="13" x14ac:dyDescent="0.15">
      <c r="C974" s="77"/>
      <c r="D974" s="78"/>
      <c r="E974" s="78"/>
      <c r="F974" s="79"/>
      <c r="G974" s="10"/>
      <c r="H974" s="10"/>
      <c r="I974" s="10"/>
      <c r="J974" s="1"/>
      <c r="K974" s="10"/>
      <c r="L974" s="1"/>
      <c r="M974" s="1"/>
      <c r="N974" s="10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3:24" ht="13" x14ac:dyDescent="0.15">
      <c r="C975" s="77"/>
      <c r="D975" s="78"/>
      <c r="E975" s="78"/>
      <c r="F975" s="79"/>
      <c r="G975" s="10"/>
      <c r="H975" s="10"/>
      <c r="I975" s="10"/>
      <c r="J975" s="1"/>
      <c r="K975" s="10"/>
      <c r="L975" s="1"/>
      <c r="M975" s="1"/>
      <c r="N975" s="10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3:24" ht="13" x14ac:dyDescent="0.15">
      <c r="C976" s="77"/>
      <c r="D976" s="78"/>
      <c r="E976" s="78"/>
      <c r="F976" s="79"/>
      <c r="G976" s="10"/>
      <c r="H976" s="10"/>
      <c r="I976" s="10"/>
      <c r="J976" s="1"/>
      <c r="K976" s="10"/>
      <c r="L976" s="1"/>
      <c r="M976" s="1"/>
      <c r="N976" s="10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3:24" ht="13" x14ac:dyDescent="0.15">
      <c r="C977" s="77"/>
      <c r="D977" s="78"/>
      <c r="E977" s="78"/>
      <c r="F977" s="79"/>
      <c r="G977" s="10"/>
      <c r="H977" s="10"/>
      <c r="I977" s="10"/>
      <c r="J977" s="1"/>
      <c r="K977" s="10"/>
      <c r="L977" s="1"/>
      <c r="M977" s="1"/>
      <c r="N977" s="10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3:24" ht="13" x14ac:dyDescent="0.15">
      <c r="C978" s="77"/>
      <c r="D978" s="78"/>
      <c r="E978" s="78"/>
      <c r="F978" s="79"/>
      <c r="G978" s="10"/>
      <c r="H978" s="10"/>
      <c r="I978" s="10"/>
      <c r="J978" s="1"/>
      <c r="K978" s="10"/>
      <c r="L978" s="1"/>
      <c r="M978" s="1"/>
      <c r="N978" s="10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3:24" ht="13" x14ac:dyDescent="0.15">
      <c r="C979" s="77"/>
      <c r="D979" s="78"/>
      <c r="E979" s="78"/>
      <c r="F979" s="79"/>
      <c r="G979" s="10"/>
      <c r="H979" s="10"/>
      <c r="I979" s="10"/>
      <c r="J979" s="1"/>
      <c r="K979" s="10"/>
      <c r="L979" s="1"/>
      <c r="M979" s="1"/>
      <c r="N979" s="10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3:24" ht="13" x14ac:dyDescent="0.15">
      <c r="C980" s="77"/>
      <c r="D980" s="78"/>
      <c r="E980" s="78"/>
      <c r="F980" s="79"/>
      <c r="G980" s="10"/>
      <c r="H980" s="10"/>
      <c r="I980" s="10"/>
      <c r="J980" s="1"/>
      <c r="K980" s="10"/>
      <c r="L980" s="1"/>
      <c r="M980" s="1"/>
      <c r="N980" s="10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3:24" ht="13" x14ac:dyDescent="0.15">
      <c r="C981" s="77"/>
      <c r="D981" s="78"/>
      <c r="E981" s="78"/>
      <c r="F981" s="79"/>
      <c r="G981" s="10"/>
      <c r="H981" s="10"/>
      <c r="I981" s="10"/>
      <c r="J981" s="1"/>
      <c r="K981" s="10"/>
      <c r="L981" s="1"/>
      <c r="M981" s="1"/>
      <c r="N981" s="10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3:24" ht="13" x14ac:dyDescent="0.15">
      <c r="C982" s="77"/>
      <c r="D982" s="78"/>
      <c r="E982" s="78"/>
      <c r="F982" s="79"/>
      <c r="G982" s="10"/>
      <c r="H982" s="10"/>
      <c r="I982" s="10"/>
      <c r="J982" s="1"/>
      <c r="K982" s="10"/>
      <c r="L982" s="1"/>
      <c r="M982" s="1"/>
      <c r="N982" s="10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3:24" ht="13" x14ac:dyDescent="0.15">
      <c r="C983" s="77"/>
      <c r="D983" s="78"/>
      <c r="E983" s="78"/>
      <c r="F983" s="79"/>
      <c r="G983" s="10"/>
      <c r="H983" s="10"/>
      <c r="I983" s="10"/>
      <c r="J983" s="1"/>
      <c r="K983" s="10"/>
      <c r="L983" s="1"/>
      <c r="M983" s="1"/>
      <c r="N983" s="10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3:24" ht="13" x14ac:dyDescent="0.15">
      <c r="C984" s="77"/>
      <c r="D984" s="78"/>
      <c r="E984" s="78"/>
      <c r="F984" s="79"/>
      <c r="G984" s="10"/>
      <c r="H984" s="10"/>
      <c r="I984" s="10"/>
      <c r="J984" s="1"/>
      <c r="K984" s="10"/>
      <c r="L984" s="1"/>
      <c r="M984" s="1"/>
      <c r="N984" s="10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3:24" ht="13" x14ac:dyDescent="0.15">
      <c r="C985" s="77"/>
      <c r="D985" s="78"/>
      <c r="E985" s="78"/>
      <c r="F985" s="79"/>
      <c r="G985" s="10"/>
      <c r="H985" s="10"/>
      <c r="I985" s="10"/>
      <c r="J985" s="1"/>
      <c r="K985" s="10"/>
      <c r="L985" s="1"/>
      <c r="M985" s="1"/>
      <c r="N985" s="10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3:24" ht="13" x14ac:dyDescent="0.15">
      <c r="C986" s="77"/>
      <c r="D986" s="78"/>
      <c r="E986" s="78"/>
      <c r="F986" s="79"/>
      <c r="G986" s="10"/>
      <c r="H986" s="10"/>
      <c r="I986" s="10"/>
      <c r="J986" s="1"/>
      <c r="K986" s="10"/>
      <c r="L986" s="1"/>
      <c r="M986" s="1"/>
      <c r="N986" s="10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3:24" ht="13" x14ac:dyDescent="0.15">
      <c r="C987" s="77"/>
      <c r="D987" s="78"/>
      <c r="E987" s="78"/>
      <c r="F987" s="79"/>
      <c r="G987" s="10"/>
      <c r="H987" s="10"/>
      <c r="I987" s="10"/>
      <c r="J987" s="1"/>
      <c r="K987" s="10"/>
      <c r="L987" s="1"/>
      <c r="M987" s="1"/>
      <c r="N987" s="10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3:24" ht="13" x14ac:dyDescent="0.15">
      <c r="C988" s="77"/>
      <c r="D988" s="78"/>
      <c r="E988" s="78"/>
      <c r="F988" s="79"/>
      <c r="G988" s="10"/>
      <c r="H988" s="10"/>
      <c r="I988" s="10"/>
      <c r="J988" s="1"/>
      <c r="K988" s="10"/>
      <c r="L988" s="1"/>
      <c r="M988" s="1"/>
      <c r="N988" s="10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3:24" ht="13" x14ac:dyDescent="0.15">
      <c r="C989" s="77"/>
      <c r="D989" s="78"/>
      <c r="E989" s="78"/>
      <c r="F989" s="79"/>
      <c r="G989" s="10"/>
      <c r="H989" s="10"/>
      <c r="I989" s="10"/>
      <c r="J989" s="1"/>
      <c r="K989" s="10"/>
      <c r="L989" s="1"/>
      <c r="M989" s="1"/>
      <c r="N989" s="10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3:24" ht="13" x14ac:dyDescent="0.15">
      <c r="C990" s="77"/>
      <c r="D990" s="78"/>
      <c r="E990" s="78"/>
      <c r="F990" s="79"/>
      <c r="G990" s="10"/>
      <c r="H990" s="10"/>
      <c r="I990" s="10"/>
      <c r="J990" s="1"/>
      <c r="K990" s="10"/>
      <c r="L990" s="1"/>
      <c r="M990" s="1"/>
      <c r="N990" s="10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3:24" ht="13" x14ac:dyDescent="0.15">
      <c r="C991" s="77"/>
      <c r="D991" s="78"/>
      <c r="E991" s="78"/>
      <c r="F991" s="79"/>
      <c r="G991" s="10"/>
      <c r="H991" s="10"/>
      <c r="I991" s="10"/>
      <c r="J991" s="1"/>
      <c r="K991" s="10"/>
      <c r="L991" s="1"/>
      <c r="M991" s="1"/>
      <c r="N991" s="10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3:24" ht="13" x14ac:dyDescent="0.15">
      <c r="C992" s="77"/>
      <c r="D992" s="78"/>
      <c r="E992" s="78"/>
      <c r="F992" s="79"/>
      <c r="G992" s="10"/>
      <c r="H992" s="10"/>
      <c r="I992" s="10"/>
      <c r="J992" s="1"/>
      <c r="K992" s="10"/>
      <c r="L992" s="1"/>
      <c r="M992" s="1"/>
      <c r="N992" s="10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3:24" ht="13" x14ac:dyDescent="0.15">
      <c r="C993" s="77"/>
      <c r="D993" s="78"/>
      <c r="E993" s="78"/>
      <c r="F993" s="79"/>
      <c r="G993" s="10"/>
      <c r="H993" s="10"/>
      <c r="I993" s="10"/>
      <c r="J993" s="1"/>
      <c r="K993" s="10"/>
      <c r="L993" s="1"/>
      <c r="M993" s="1"/>
      <c r="N993" s="10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3:24" ht="13" x14ac:dyDescent="0.15">
      <c r="C994" s="77"/>
      <c r="D994" s="78"/>
      <c r="E994" s="78"/>
      <c r="F994" s="79"/>
      <c r="G994" s="10"/>
      <c r="H994" s="10"/>
      <c r="I994" s="10"/>
      <c r="J994" s="1"/>
      <c r="K994" s="10"/>
      <c r="L994" s="1"/>
      <c r="M994" s="1"/>
      <c r="N994" s="10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3:24" ht="13" x14ac:dyDescent="0.15">
      <c r="C995" s="77"/>
      <c r="D995" s="78"/>
      <c r="E995" s="78"/>
      <c r="F995" s="79"/>
      <c r="G995" s="10"/>
      <c r="H995" s="10"/>
      <c r="I995" s="10"/>
      <c r="J995" s="1"/>
      <c r="K995" s="10"/>
      <c r="L995" s="1"/>
      <c r="M995" s="1"/>
      <c r="N995" s="10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3:24" ht="13" x14ac:dyDescent="0.15">
      <c r="C996" s="77"/>
      <c r="D996" s="78"/>
      <c r="E996" s="78"/>
      <c r="F996" s="79"/>
      <c r="G996" s="10"/>
      <c r="H996" s="10"/>
      <c r="I996" s="10"/>
      <c r="J996" s="1"/>
      <c r="K996" s="10"/>
      <c r="L996" s="1"/>
      <c r="M996" s="1"/>
      <c r="N996" s="10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3:24" ht="13" x14ac:dyDescent="0.15">
      <c r="C997" s="77"/>
      <c r="D997" s="78"/>
      <c r="E997" s="78"/>
      <c r="F997" s="79"/>
      <c r="G997" s="10"/>
      <c r="H997" s="10"/>
      <c r="I997" s="10"/>
      <c r="J997" s="1"/>
      <c r="K997" s="10"/>
      <c r="L997" s="1"/>
      <c r="M997" s="1"/>
      <c r="N997" s="10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3:24" ht="13" x14ac:dyDescent="0.15">
      <c r="C998" s="77"/>
      <c r="D998" s="78"/>
      <c r="E998" s="78"/>
      <c r="F998" s="79"/>
      <c r="G998" s="10"/>
      <c r="H998" s="10"/>
      <c r="I998" s="10"/>
      <c r="J998" s="1"/>
      <c r="K998" s="10"/>
      <c r="L998" s="1"/>
      <c r="M998" s="1"/>
      <c r="N998" s="10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3:24" ht="13" x14ac:dyDescent="0.15">
      <c r="C999" s="77"/>
      <c r="D999" s="78"/>
      <c r="E999" s="78"/>
      <c r="F999" s="79"/>
      <c r="G999" s="10"/>
      <c r="H999" s="10"/>
      <c r="I999" s="10"/>
      <c r="J999" s="1"/>
      <c r="K999" s="10"/>
      <c r="L999" s="1"/>
      <c r="M999" s="1"/>
      <c r="N999" s="10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3:24" ht="13" x14ac:dyDescent="0.15">
      <c r="C1000" s="77"/>
      <c r="D1000" s="78"/>
      <c r="E1000" s="78"/>
      <c r="F1000" s="79"/>
      <c r="G1000" s="10"/>
      <c r="H1000" s="10"/>
      <c r="I1000" s="10"/>
      <c r="J1000" s="1"/>
      <c r="K1000" s="10"/>
      <c r="L1000" s="1"/>
      <c r="M1000" s="1"/>
      <c r="N1000" s="10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11"/>
  <sheetViews>
    <sheetView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1" t="s">
        <v>395</v>
      </c>
    </row>
    <row r="2" spans="1:1" ht="15.75" customHeight="1" x14ac:dyDescent="0.15">
      <c r="A2" s="1" t="s">
        <v>616</v>
      </c>
    </row>
    <row r="3" spans="1:1" ht="15.75" customHeight="1" x14ac:dyDescent="0.15">
      <c r="A3" s="1" t="s">
        <v>1056</v>
      </c>
    </row>
    <row r="4" spans="1:1" ht="15.75" customHeight="1" x14ac:dyDescent="0.15">
      <c r="A4" s="1" t="s">
        <v>1057</v>
      </c>
    </row>
    <row r="5" spans="1:1" ht="15.75" customHeight="1" x14ac:dyDescent="0.15">
      <c r="A5" s="1" t="s">
        <v>1058</v>
      </c>
    </row>
    <row r="6" spans="1:1" ht="15.75" customHeight="1" x14ac:dyDescent="0.15">
      <c r="A6" s="1" t="s">
        <v>557</v>
      </c>
    </row>
    <row r="7" spans="1:1" ht="15.75" customHeight="1" x14ac:dyDescent="0.15">
      <c r="A7" s="1" t="s">
        <v>1059</v>
      </c>
    </row>
    <row r="8" spans="1:1" ht="15.75" customHeight="1" x14ac:dyDescent="0.15">
      <c r="A8" s="1" t="s">
        <v>1060</v>
      </c>
    </row>
    <row r="9" spans="1:1" ht="15.75" customHeight="1" x14ac:dyDescent="0.15">
      <c r="A9" s="1" t="s">
        <v>1061</v>
      </c>
    </row>
    <row r="10" spans="1:1" ht="15.75" customHeight="1" x14ac:dyDescent="0.15">
      <c r="A10" s="1" t="s">
        <v>151</v>
      </c>
    </row>
    <row r="11" spans="1:1" ht="15.75" customHeight="1" x14ac:dyDescent="0.15">
      <c r="A11" s="1" t="s">
        <v>1062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9EAD3"/>
    <outlinePr summaryBelow="0" summaryRight="0"/>
  </sheetPr>
  <dimension ref="A1:Y54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4.33203125" customWidth="1"/>
    <col min="2" max="2" width="30.6640625" customWidth="1"/>
    <col min="3" max="3" width="13.83203125" customWidth="1"/>
    <col min="4" max="4" width="19.6640625" customWidth="1"/>
    <col min="5" max="5" width="7" customWidth="1"/>
    <col min="6" max="6" width="19.6640625" customWidth="1"/>
    <col min="7" max="7" width="20.1640625" customWidth="1"/>
    <col min="8" max="8" width="14.6640625" customWidth="1"/>
    <col min="9" max="9" width="9" customWidth="1"/>
    <col min="10" max="10" width="19.6640625" customWidth="1"/>
    <col min="11" max="11" width="7" customWidth="1"/>
    <col min="12" max="12" width="19.6640625" customWidth="1"/>
    <col min="13" max="13" width="20.1640625" customWidth="1"/>
    <col min="14" max="14" width="14.6640625" customWidth="1"/>
    <col min="15" max="15" width="7" customWidth="1"/>
    <col min="16" max="16" width="19.6640625" customWidth="1"/>
    <col min="17" max="17" width="7" customWidth="1"/>
    <col min="18" max="18" width="19.6640625" customWidth="1"/>
    <col min="19" max="19" width="20.1640625" customWidth="1"/>
    <col min="20" max="20" width="16.83203125" customWidth="1"/>
    <col min="21" max="21" width="7" customWidth="1"/>
    <col min="22" max="22" width="19.6640625" customWidth="1"/>
    <col min="23" max="23" width="7" customWidth="1"/>
    <col min="24" max="24" width="19.6640625" customWidth="1"/>
    <col min="25" max="25" width="20.1640625" customWidth="1"/>
    <col min="26" max="26" width="30.33203125" customWidth="1"/>
  </cols>
  <sheetData>
    <row r="1" spans="1:25" ht="15.75" customHeight="1" x14ac:dyDescent="0.15">
      <c r="A1" s="89" t="s">
        <v>1063</v>
      </c>
      <c r="B1" s="5" t="str">
        <f ca="1">IFERROR(__xludf.DUMMYFUNCTION("IMPORTRANGE(""1458f4-GkyML2z-1bvHCzaFbD7yQ8l37XUJsO63XH9oo"",""'Injectable plasmids'!A:E"")"),"Injectable plasmids")</f>
        <v>Injectable plasmids</v>
      </c>
      <c r="C1" s="5" t="str">
        <f ca="1">IFERROR(__xludf.DUMMYFUNCTION("""COMPUTED_VALUE"""),"target 1")</f>
        <v>target 1</v>
      </c>
      <c r="D1" s="5" t="str">
        <f ca="1">IFERROR(__xludf.DUMMYFUNCTION("""COMPUTED_VALUE"""),"excitation wavelength 1")</f>
        <v>excitation wavelength 1</v>
      </c>
      <c r="E1" s="5" t="str">
        <f ca="1">IFERROR(__xludf.DUMMYFUNCTION("""COMPUTED_VALUE"""),"target 2")</f>
        <v>target 2</v>
      </c>
      <c r="F1" s="5" t="str">
        <f ca="1">IFERROR(__xludf.DUMMYFUNCTION("""COMPUTED_VALUE"""),"excitation wavelength 2")</f>
        <v>excitation wavelength 2</v>
      </c>
      <c r="G1" s="90" t="s">
        <v>1064</v>
      </c>
      <c r="H1" s="91" t="str">
        <f ca="1">IFERROR(__xludf.DUMMYFUNCTION("IMPORTRANGE(""1458f4-GkyML2z-1bvHCzaFbD7yQ8l37XUJsO63XH9oo"",""'Injectable mRNA'!A:E"")"),"Injectable mRNA")</f>
        <v>Injectable mRNA</v>
      </c>
      <c r="I1" s="91" t="str">
        <f ca="1">IFERROR(__xludf.DUMMYFUNCTION("""COMPUTED_VALUE"""),"target 1")</f>
        <v>target 1</v>
      </c>
      <c r="J1" s="91" t="str">
        <f ca="1">IFERROR(__xludf.DUMMYFUNCTION("""COMPUTED_VALUE"""),"excitation wavelength 1")</f>
        <v>excitation wavelength 1</v>
      </c>
      <c r="K1" s="91" t="str">
        <f ca="1">IFERROR(__xludf.DUMMYFUNCTION("""COMPUTED_VALUE"""),"target 2")</f>
        <v>target 2</v>
      </c>
      <c r="L1" s="91" t="str">
        <f ca="1">IFERROR(__xludf.DUMMYFUNCTION("""COMPUTED_VALUE"""),"excitation wavelength 2")</f>
        <v>excitation wavelength 2</v>
      </c>
      <c r="M1" s="90" t="s">
        <v>1065</v>
      </c>
      <c r="N1" s="92" t="str">
        <f ca="1">IFERROR(__xludf.DUMMYFUNCTION("IMPORTRANGE(""1458f4-GkyML2z-1bvHCzaFbD7yQ8l37XUJsO63XH9oo"",""'Injectable protein'!A:E"")"),"Injectable protein")</f>
        <v>Injectable protein</v>
      </c>
      <c r="O1" s="92" t="str">
        <f ca="1">IFERROR(__xludf.DUMMYFUNCTION("""COMPUTED_VALUE"""),"target 1")</f>
        <v>target 1</v>
      </c>
      <c r="P1" s="92" t="str">
        <f ca="1">IFERROR(__xludf.DUMMYFUNCTION("""COMPUTED_VALUE"""),"excitation wavelength 1")</f>
        <v>excitation wavelength 1</v>
      </c>
      <c r="Q1" s="92" t="str">
        <f ca="1">IFERROR(__xludf.DUMMYFUNCTION("""COMPUTED_VALUE"""),"target 2")</f>
        <v>target 2</v>
      </c>
      <c r="R1" s="92" t="str">
        <f ca="1">IFERROR(__xludf.DUMMYFUNCTION("""COMPUTED_VALUE"""),"excitation wavelength 2")</f>
        <v>excitation wavelength 2</v>
      </c>
      <c r="S1" s="90" t="s">
        <v>1066</v>
      </c>
      <c r="T1" s="93" t="str">
        <f ca="1">IFERROR(__xludf.DUMMYFUNCTION("IMPORTRANGE(""1458f4-GkyML2z-1bvHCzaFbD7yQ8l37XUJsO63XH9oo"",""'Dyes and chemicals'!A:E"")"),"Dyes and chemicals")</f>
        <v>Dyes and chemicals</v>
      </c>
      <c r="U1" s="93" t="str">
        <f ca="1">IFERROR(__xludf.DUMMYFUNCTION("""COMPUTED_VALUE"""),"target 1")</f>
        <v>target 1</v>
      </c>
      <c r="V1" s="93" t="str">
        <f ca="1">IFERROR(__xludf.DUMMYFUNCTION("""COMPUTED_VALUE"""),"excitation wavelength 1")</f>
        <v>excitation wavelength 1</v>
      </c>
      <c r="W1" s="93" t="str">
        <f ca="1">IFERROR(__xludf.DUMMYFUNCTION("""COMPUTED_VALUE"""),"target 2")</f>
        <v>target 2</v>
      </c>
      <c r="X1" s="93" t="str">
        <f ca="1">IFERROR(__xludf.DUMMYFUNCTION("""COMPUTED_VALUE"""),"excitation wavelength 2")</f>
        <v>excitation wavelength 2</v>
      </c>
      <c r="Y1" s="90" t="s">
        <v>1067</v>
      </c>
    </row>
    <row r="2" spans="1:25" ht="15.75" customHeight="1" x14ac:dyDescent="0.15">
      <c r="A2" s="94" t="s">
        <v>1068</v>
      </c>
      <c r="B2" s="10" t="str">
        <f ca="1">IFERROR(__xludf.DUMMYFUNCTION("""COMPUTED_VALUE"""),"ef1a:mBeRFP")</f>
        <v>ef1a:mBeRFP</v>
      </c>
      <c r="C2" s="80" t="str">
        <f ca="1">IFERROR(__xludf.DUMMYFUNCTION("""COMPUTED_VALUE"""),"cytosol")</f>
        <v>cytosol</v>
      </c>
      <c r="D2" s="80" t="str">
        <f ca="1">IFERROR(__xludf.DUMMYFUNCTION("""COMPUTED_VALUE"""),"445")</f>
        <v>445</v>
      </c>
      <c r="E2" s="10"/>
      <c r="F2" s="10"/>
      <c r="G2" s="95" t="str">
        <f ca="1">IFERROR(__xludf.DUMMYFUNCTION("IFERROR(JOIN("","", UNIQUE(filter({C2; E2}, {C2; E2}&lt;&gt;""""))), """")"),"cytosol")</f>
        <v>cytosol</v>
      </c>
      <c r="H2" s="96" t="str">
        <f ca="1">IFERROR(__xludf.DUMMYFUNCTION("""COMPUTED_VALUE"""),"mYH:H2B")</f>
        <v>mYH:H2B</v>
      </c>
      <c r="I2" s="97" t="str">
        <f ca="1">IFERROR(__xludf.DUMMYFUNCTION("""COMPUTED_VALUE"""),"nuclei")</f>
        <v>nuclei</v>
      </c>
      <c r="J2" s="97" t="str">
        <f ca="1">IFERROR(__xludf.DUMMYFUNCTION("""COMPUTED_VALUE"""),"560")</f>
        <v>560</v>
      </c>
      <c r="K2" s="96"/>
      <c r="L2" s="96"/>
      <c r="M2" s="95" t="str">
        <f ca="1">IFERROR(__xludf.DUMMYFUNCTION("IFERROR(JOIN("","", UNIQUE(filter({I2; K2}, {I2; K2}&lt;&gt;""""))), """")"),"nuclei")</f>
        <v>nuclei</v>
      </c>
      <c r="N2" s="98" t="str">
        <f ca="1">IFERROR(__xludf.DUMMYFUNCTION("""COMPUTED_VALUE"""),"example_protein")</f>
        <v>example_protein</v>
      </c>
      <c r="O2" s="98"/>
      <c r="P2" s="98"/>
      <c r="Q2" s="98"/>
      <c r="R2" s="98"/>
      <c r="S2" s="95" t="str">
        <f ca="1">IFERROR(__xludf.DUMMYFUNCTION("IFERROR(JOIN("","", UNIQUE(filter({O2; Q2}, {O2; Q2}&lt;&gt;""""))), """")"),"")</f>
        <v/>
      </c>
      <c r="T2" s="99" t="str">
        <f ca="1">IFERROR(__xludf.DUMMYFUNCTION("""COMPUTED_VALUE"""),"example_dye")</f>
        <v>example_dye</v>
      </c>
      <c r="U2" s="99"/>
      <c r="V2" s="99"/>
      <c r="W2" s="99"/>
      <c r="X2" s="99"/>
      <c r="Y2" s="95" t="str">
        <f ca="1">IFERROR(__xludf.DUMMYFUNCTION("IFERROR(JOIN("","", UNIQUE(filter({U2; W2}, {U2; W2}&lt;&gt;""""))), """")"),"")</f>
        <v/>
      </c>
    </row>
    <row r="3" spans="1:25" ht="15.75" customHeight="1" x14ac:dyDescent="0.15">
      <c r="B3" s="10" t="str">
        <f ca="1">IFERROR(__xludf.DUMMYFUNCTION("""COMPUTED_VALUE"""),"ef1a:mTFP1 and ef1a:mBeRFP")</f>
        <v>ef1a:mTFP1 and ef1a:mBeRFP</v>
      </c>
      <c r="C3" s="80" t="str">
        <f ca="1">IFERROR(__xludf.DUMMYFUNCTION("""COMPUTED_VALUE"""),"cytosol")</f>
        <v>cytosol</v>
      </c>
      <c r="D3" s="80" t="str">
        <f ca="1">IFERROR(__xludf.DUMMYFUNCTION("""COMPUTED_VALUE"""),"445")</f>
        <v>445</v>
      </c>
      <c r="E3" s="80" t="str">
        <f ca="1">IFERROR(__xludf.DUMMYFUNCTION("""COMPUTED_VALUE"""),"cytosol")</f>
        <v>cytosol</v>
      </c>
      <c r="F3" s="80" t="str">
        <f ca="1">IFERROR(__xludf.DUMMYFUNCTION("""COMPUTED_VALUE"""),"445")</f>
        <v>445</v>
      </c>
      <c r="G3" s="95" t="str">
        <f ca="1">IFERROR(__xludf.DUMMYFUNCTION("IFERROR(JOIN("","", UNIQUE(filter({C3; E3}, {C3; E3}&lt;&gt;""""))), """")"),"cytosol")</f>
        <v>cytosol</v>
      </c>
      <c r="H3" s="96" t="str">
        <f ca="1">IFERROR(__xludf.DUMMYFUNCTION("""COMPUTED_VALUE"""),"mScarlet3-S2:H2B")</f>
        <v>mScarlet3-S2:H2B</v>
      </c>
      <c r="I3" s="97" t="str">
        <f ca="1">IFERROR(__xludf.DUMMYFUNCTION("""COMPUTED_VALUE"""),"nuclei")</f>
        <v>nuclei</v>
      </c>
      <c r="J3" s="97" t="str">
        <f ca="1">IFERROR(__xludf.DUMMYFUNCTION("""COMPUTED_VALUE"""),"560")</f>
        <v>560</v>
      </c>
      <c r="K3" s="96"/>
      <c r="L3" s="96"/>
      <c r="M3" s="95" t="str">
        <f ca="1">IFERROR(__xludf.DUMMYFUNCTION("IFERROR(JOIN("","", UNIQUE(filter({I3; K3}, {I3; K3}&lt;&gt;""""))), """")"),"nuclei")</f>
        <v>nuclei</v>
      </c>
      <c r="N3" s="98"/>
      <c r="O3" s="98"/>
      <c r="P3" s="98"/>
      <c r="Q3" s="98"/>
      <c r="R3" s="98"/>
      <c r="S3" s="95" t="str">
        <f ca="1">IFERROR(__xludf.DUMMYFUNCTION("IFERROR(JOIN("","", UNIQUE(filter({O3; Q3}, {O3; Q3}&lt;&gt;""""))), """")"),"")</f>
        <v/>
      </c>
      <c r="T3" s="99" t="str">
        <f ca="1">IFERROR(__xludf.DUMMYFUNCTION("""COMPUTED_VALUE"""),"example_chemical")</f>
        <v>example_chemical</v>
      </c>
      <c r="U3" s="99"/>
      <c r="V3" s="99"/>
      <c r="W3" s="99"/>
      <c r="X3" s="99"/>
      <c r="Y3" s="95" t="str">
        <f ca="1">IFERROR(__xludf.DUMMYFUNCTION("IFERROR(JOIN("","", UNIQUE(filter({U3; W3}, {U3; W3}&lt;&gt;""""))), """")"),"")</f>
        <v/>
      </c>
    </row>
    <row r="4" spans="1:25" ht="15.75" customHeight="1" x14ac:dyDescent="0.15">
      <c r="B4" s="10" t="str">
        <f ca="1">IFERROR(__xludf.DUMMYFUNCTION("""COMPUTED_VALUE"""),"ef1a:mGold2s")</f>
        <v>ef1a:mGold2s</v>
      </c>
      <c r="C4" s="80" t="str">
        <f ca="1">IFERROR(__xludf.DUMMYFUNCTION("""COMPUTED_VALUE"""),"cytosol")</f>
        <v>cytosol</v>
      </c>
      <c r="D4" s="80" t="str">
        <f ca="1">IFERROR(__xludf.DUMMYFUNCTION("""COMPUTED_VALUE"""),"514")</f>
        <v>514</v>
      </c>
      <c r="E4" s="10"/>
      <c r="F4" s="10"/>
      <c r="G4" s="95" t="str">
        <f ca="1">IFERROR(__xludf.DUMMYFUNCTION("IFERROR(JOIN("","", UNIQUE(filter({C4; E4}, {C4; E4}&lt;&gt;""""))), """")"),"cytosol")</f>
        <v>cytosol</v>
      </c>
      <c r="H4" s="96" t="str">
        <f ca="1">IFERROR(__xludf.DUMMYFUNCTION("""COMPUTED_VALUE"""),"mBeRFP:H2B")</f>
        <v>mBeRFP:H2B</v>
      </c>
      <c r="I4" s="97" t="str">
        <f ca="1">IFERROR(__xludf.DUMMYFUNCTION("""COMPUTED_VALUE"""),"nuclei")</f>
        <v>nuclei</v>
      </c>
      <c r="J4" s="97" t="str">
        <f ca="1">IFERROR(__xludf.DUMMYFUNCTION("""COMPUTED_VALUE"""),"445")</f>
        <v>445</v>
      </c>
      <c r="K4" s="96"/>
      <c r="L4" s="96"/>
      <c r="M4" s="95" t="str">
        <f ca="1">IFERROR(__xludf.DUMMYFUNCTION("IFERROR(JOIN("","", UNIQUE(filter({I4; K4}, {I4; K4}&lt;&gt;""""))), """")"),"nuclei")</f>
        <v>nuclei</v>
      </c>
      <c r="N4" s="98"/>
      <c r="O4" s="98"/>
      <c r="P4" s="98"/>
      <c r="Q4" s="98"/>
      <c r="R4" s="98"/>
      <c r="S4" s="95" t="str">
        <f ca="1">IFERROR(__xludf.DUMMYFUNCTION("IFERROR(JOIN("","", UNIQUE(filter({O4; Q4}, {O4; Q4}&lt;&gt;""""))), """")"),"")</f>
        <v/>
      </c>
      <c r="T4" s="99" t="str">
        <f ca="1">IFERROR(__xludf.DUMMYFUNCTION("""COMPUTED_VALUE"""),"JFX650")</f>
        <v>JFX650</v>
      </c>
      <c r="U4" s="99"/>
      <c r="V4" s="100" t="str">
        <f ca="1">IFERROR(__xludf.DUMMYFUNCTION("""COMPUTED_VALUE"""),"642")</f>
        <v>642</v>
      </c>
      <c r="W4" s="99"/>
      <c r="X4" s="99"/>
      <c r="Y4" s="95" t="str">
        <f ca="1">IFERROR(__xludf.DUMMYFUNCTION("IFERROR(JOIN("","", UNIQUE(filter({U4; W4}, {U4; W4}&lt;&gt;""""))), """")"),"")</f>
        <v/>
      </c>
    </row>
    <row r="5" spans="1:25" ht="15.75" customHeight="1" x14ac:dyDescent="0.15">
      <c r="B5" s="10" t="str">
        <f ca="1">IFERROR(__xludf.DUMMYFUNCTION("""COMPUTED_VALUE"""),"ef1a:mGold2t")</f>
        <v>ef1a:mGold2t</v>
      </c>
      <c r="C5" s="80" t="str">
        <f ca="1">IFERROR(__xludf.DUMMYFUNCTION("""COMPUTED_VALUE"""),"cytosol")</f>
        <v>cytosol</v>
      </c>
      <c r="D5" s="80" t="str">
        <f ca="1">IFERROR(__xludf.DUMMYFUNCTION("""COMPUTED_VALUE"""),"514")</f>
        <v>514</v>
      </c>
      <c r="E5" s="10"/>
      <c r="F5" s="10"/>
      <c r="G5" s="95" t="str">
        <f ca="1">IFERROR(__xludf.DUMMYFUNCTION("IFERROR(JOIN("","", UNIQUE(filter({C5; E5}, {C5; E5}&lt;&gt;""""))), """")"),"cytosol")</f>
        <v>cytosol</v>
      </c>
      <c r="H5" s="96" t="str">
        <f ca="1">IFERROR(__xludf.DUMMYFUNCTION("""COMPUTED_VALUE"""),"mChilada:H2B")</f>
        <v>mChilada:H2B</v>
      </c>
      <c r="I5" s="97" t="str">
        <f ca="1">IFERROR(__xludf.DUMMYFUNCTION("""COMPUTED_VALUE"""),"nuclei")</f>
        <v>nuclei</v>
      </c>
      <c r="J5" s="97" t="str">
        <f ca="1">IFERROR(__xludf.DUMMYFUNCTION("""COMPUTED_VALUE"""),"560")</f>
        <v>560</v>
      </c>
      <c r="K5" s="96"/>
      <c r="L5" s="96"/>
      <c r="M5" s="95" t="str">
        <f ca="1">IFERROR(__xludf.DUMMYFUNCTION("IFERROR(JOIN("","", UNIQUE(filter({I5; K5}, {I5; K5}&lt;&gt;""""))), """")"),"nuclei")</f>
        <v>nuclei</v>
      </c>
      <c r="N5" s="98"/>
      <c r="O5" s="98"/>
      <c r="P5" s="98"/>
      <c r="Q5" s="98"/>
      <c r="R5" s="98"/>
      <c r="S5" s="95" t="str">
        <f ca="1">IFERROR(__xludf.DUMMYFUNCTION("IFERROR(JOIN("","", UNIQUE(filter({O5; Q5}, {O5; Q5}&lt;&gt;""""))), """")"),"")</f>
        <v/>
      </c>
      <c r="T5" s="99"/>
      <c r="U5" s="99"/>
      <c r="V5" s="99"/>
      <c r="W5" s="99"/>
      <c r="X5" s="99"/>
      <c r="Y5" s="95" t="str">
        <f ca="1">IFERROR(__xludf.DUMMYFUNCTION("IFERROR(JOIN("","", UNIQUE(filter({U5; W5}, {U5; W5}&lt;&gt;""""))), """")"),"")</f>
        <v/>
      </c>
    </row>
    <row r="6" spans="1:25" ht="15.75" customHeight="1" x14ac:dyDescent="0.15">
      <c r="B6" s="10" t="str">
        <f ca="1">IFERROR(__xludf.DUMMYFUNCTION("""COMPUTED_VALUE"""),"ef1a-extended:2xCox8A:mStayGold")</f>
        <v>ef1a-extended:2xCox8A:mStayGold</v>
      </c>
      <c r="C6" s="80" t="str">
        <f ca="1">IFERROR(__xludf.DUMMYFUNCTION("""COMPUTED_VALUE"""),"Mitochondria")</f>
        <v>Mitochondria</v>
      </c>
      <c r="D6" s="80" t="str">
        <f ca="1">IFERROR(__xludf.DUMMYFUNCTION("""COMPUTED_VALUE"""),"488")</f>
        <v>488</v>
      </c>
      <c r="E6" s="10"/>
      <c r="F6" s="10"/>
      <c r="G6" s="95" t="str">
        <f ca="1">IFERROR(__xludf.DUMMYFUNCTION("IFERROR(JOIN("","", UNIQUE(filter({C6; E6}, {C6; E6}&lt;&gt;""""))), """")"),"Mitochondria")</f>
        <v>Mitochondria</v>
      </c>
      <c r="H6" s="96" t="str">
        <f ca="1">IFERROR(__xludf.DUMMYFUNCTION("""COMPUTED_VALUE"""),"2xLynk:mSG")</f>
        <v>2xLynk:mSG</v>
      </c>
      <c r="I6" s="97" t="str">
        <f ca="1">IFERROR(__xludf.DUMMYFUNCTION("""COMPUTED_VALUE"""),"membrane")</f>
        <v>membrane</v>
      </c>
      <c r="J6" s="97" t="str">
        <f ca="1">IFERROR(__xludf.DUMMYFUNCTION("""COMPUTED_VALUE"""),"488")</f>
        <v>488</v>
      </c>
      <c r="K6" s="96"/>
      <c r="L6" s="96"/>
      <c r="M6" s="95" t="str">
        <f ca="1">IFERROR(__xludf.DUMMYFUNCTION("IFERROR(JOIN("","", UNIQUE(filter({I6; K6}, {I6; K6}&lt;&gt;""""))), """")"),"membrane")</f>
        <v>membrane</v>
      </c>
      <c r="N6" s="98"/>
      <c r="O6" s="98"/>
      <c r="P6" s="98"/>
      <c r="Q6" s="98"/>
      <c r="R6" s="98"/>
      <c r="S6" s="95" t="str">
        <f ca="1">IFERROR(__xludf.DUMMYFUNCTION("IFERROR(JOIN("","", UNIQUE(filter({O6; Q6}, {O6; Q6}&lt;&gt;""""))), """")"),"")</f>
        <v/>
      </c>
      <c r="T6" s="99"/>
      <c r="U6" s="99"/>
      <c r="V6" s="99"/>
      <c r="W6" s="99"/>
      <c r="X6" s="99"/>
      <c r="Y6" s="95" t="str">
        <f ca="1">IFERROR(__xludf.DUMMYFUNCTION("IFERROR(JOIN("","", UNIQUE(filter({U6; W6}, {U6; W6}&lt;&gt;""""))), """")"),"")</f>
        <v/>
      </c>
    </row>
    <row r="7" spans="1:25" ht="15.75" customHeight="1" x14ac:dyDescent="0.15">
      <c r="B7" s="10" t="str">
        <f ca="1">IFERROR(__xludf.DUMMYFUNCTION("""COMPUTED_VALUE"""),"ef1a-extended:2xCox8A:mScarlet3S2")</f>
        <v>ef1a-extended:2xCox8A:mScarlet3S2</v>
      </c>
      <c r="C7" s="80" t="str">
        <f ca="1">IFERROR(__xludf.DUMMYFUNCTION("""COMPUTED_VALUE"""),"Mitochondria")</f>
        <v>Mitochondria</v>
      </c>
      <c r="D7" s="80" t="str">
        <f ca="1">IFERROR(__xludf.DUMMYFUNCTION("""COMPUTED_VALUE"""),"560")</f>
        <v>560</v>
      </c>
      <c r="E7" s="10"/>
      <c r="F7" s="10"/>
      <c r="G7" s="95" t="str">
        <f ca="1">IFERROR(__xludf.DUMMYFUNCTION("IFERROR(JOIN("","", UNIQUE(filter({C7; E7}, {C7; E7}&lt;&gt;""""))), """")"),"Mitochondria")</f>
        <v>Mitochondria</v>
      </c>
      <c r="H7" s="96" t="str">
        <f ca="1">IFERROR(__xludf.DUMMYFUNCTION("""COMPUTED_VALUE"""),"2xLynk:mChilada")</f>
        <v>2xLynk:mChilada</v>
      </c>
      <c r="I7" s="97" t="str">
        <f ca="1">IFERROR(__xludf.DUMMYFUNCTION("""COMPUTED_VALUE"""),"membrane")</f>
        <v>membrane</v>
      </c>
      <c r="J7" s="97" t="str">
        <f ca="1">IFERROR(__xludf.DUMMYFUNCTION("""COMPUTED_VALUE"""),"560")</f>
        <v>560</v>
      </c>
      <c r="K7" s="96"/>
      <c r="L7" s="96"/>
      <c r="M7" s="95" t="str">
        <f ca="1">IFERROR(__xludf.DUMMYFUNCTION("IFERROR(JOIN("","", UNIQUE(filter({I7; K7}, {I7; K7}&lt;&gt;""""))), """")"),"membrane")</f>
        <v>membrane</v>
      </c>
      <c r="N7" s="98"/>
      <c r="O7" s="98"/>
      <c r="P7" s="98"/>
      <c r="Q7" s="98"/>
      <c r="R7" s="98"/>
      <c r="S7" s="95" t="str">
        <f ca="1">IFERROR(__xludf.DUMMYFUNCTION("IFERROR(JOIN("","", UNIQUE(filter({O7; Q7}, {O7; Q7}&lt;&gt;""""))), """")"),"")</f>
        <v/>
      </c>
      <c r="T7" s="99"/>
      <c r="U7" s="99"/>
      <c r="V7" s="99"/>
      <c r="W7" s="99"/>
      <c r="X7" s="99"/>
      <c r="Y7" s="95" t="str">
        <f ca="1">IFERROR(__xludf.DUMMYFUNCTION("IFERROR(JOIN("","", UNIQUE(filter({U7; W7}, {U7; W7}&lt;&gt;""""))), """")"),"")</f>
        <v/>
      </c>
    </row>
    <row r="8" spans="1:25" ht="15.75" customHeight="1" x14ac:dyDescent="0.15">
      <c r="B8" s="10" t="str">
        <f ca="1">IFERROR(__xludf.DUMMYFUNCTION("""COMPUTED_VALUE"""),"ef1a-extended:2xCox8A:Halo")</f>
        <v>ef1a-extended:2xCox8A:Halo</v>
      </c>
      <c r="C8" s="80" t="str">
        <f ca="1">IFERROR(__xludf.DUMMYFUNCTION("""COMPUTED_VALUE"""),"Mitochondria")</f>
        <v>Mitochondria</v>
      </c>
      <c r="D8" s="80" t="str">
        <f ca="1">IFERROR(__xludf.DUMMYFUNCTION("""COMPUTED_VALUE"""),"642")</f>
        <v>642</v>
      </c>
      <c r="E8" s="10"/>
      <c r="F8" s="10"/>
      <c r="G8" s="95" t="str">
        <f ca="1">IFERROR(__xludf.DUMMYFUNCTION("IFERROR(JOIN("","", UNIQUE(filter({C8; E8}, {C8; E8}&lt;&gt;""""))), """")"),"Mitochondria")</f>
        <v>Mitochondria</v>
      </c>
      <c r="H8" s="96" t="str">
        <f ca="1">IFERROR(__xludf.DUMMYFUNCTION("""COMPUTED_VALUE"""),"2xLynk:mScarlet3-S2")</f>
        <v>2xLynk:mScarlet3-S2</v>
      </c>
      <c r="I8" s="97" t="str">
        <f ca="1">IFERROR(__xludf.DUMMYFUNCTION("""COMPUTED_VALUE"""),"membrane")</f>
        <v>membrane</v>
      </c>
      <c r="J8" s="97" t="str">
        <f ca="1">IFERROR(__xludf.DUMMYFUNCTION("""COMPUTED_VALUE"""),"560")</f>
        <v>560</v>
      </c>
      <c r="K8" s="96"/>
      <c r="L8" s="96"/>
      <c r="M8" s="95" t="str">
        <f ca="1">IFERROR(__xludf.DUMMYFUNCTION("IFERROR(JOIN("","", UNIQUE(filter({I8; K8}, {I8; K8}&lt;&gt;""""))), """")"),"membrane")</f>
        <v>membrane</v>
      </c>
      <c r="N8" s="98"/>
      <c r="O8" s="98"/>
      <c r="P8" s="98"/>
      <c r="Q8" s="98"/>
      <c r="R8" s="98"/>
      <c r="S8" s="95" t="str">
        <f ca="1">IFERROR(__xludf.DUMMYFUNCTION("IFERROR(JOIN("","", UNIQUE(filter({O8; Q8}, {O8; Q8}&lt;&gt;""""))), """")"),"")</f>
        <v/>
      </c>
      <c r="T8" s="99"/>
      <c r="U8" s="99"/>
      <c r="V8" s="99"/>
      <c r="W8" s="99"/>
      <c r="X8" s="99"/>
      <c r="Y8" s="95" t="str">
        <f ca="1">IFERROR(__xludf.DUMMYFUNCTION("IFERROR(JOIN("","", UNIQUE(filter({U8; W8}, {U8; W8}&lt;&gt;""""))), """")"),"")</f>
        <v/>
      </c>
    </row>
    <row r="9" spans="1:25" ht="15.75" customHeight="1" x14ac:dyDescent="0.15">
      <c r="B9" s="10" t="str">
        <f ca="1">IFERROR(__xludf.DUMMYFUNCTION("""COMPUTED_VALUE"""),"ef1a-extended:mStayGold:sec61b")</f>
        <v>ef1a-extended:mStayGold:sec61b</v>
      </c>
      <c r="C9" s="80" t="str">
        <f ca="1">IFERROR(__xludf.DUMMYFUNCTION("""COMPUTED_VALUE"""),"ER")</f>
        <v>ER</v>
      </c>
      <c r="D9" s="10"/>
      <c r="E9" s="10"/>
      <c r="F9" s="10"/>
      <c r="G9" s="95" t="str">
        <f ca="1">IFERROR(__xludf.DUMMYFUNCTION("IFERROR(JOIN("","", UNIQUE(filter({C9; E9}, {C9; E9}&lt;&gt;""""))), """")"),"ER")</f>
        <v>ER</v>
      </c>
      <c r="H9" s="96" t="str">
        <f ca="1">IFERROR(__xludf.DUMMYFUNCTION("""COMPUTED_VALUE"""),"phiC")</f>
        <v>phiC</v>
      </c>
      <c r="I9" s="96"/>
      <c r="J9" s="96"/>
      <c r="K9" s="96"/>
      <c r="L9" s="96"/>
      <c r="M9" s="95" t="str">
        <f ca="1">IFERROR(__xludf.DUMMYFUNCTION("IFERROR(JOIN("","", UNIQUE(filter({I9; K9}, {I9; K9}&lt;&gt;""""))), """")"),"")</f>
        <v/>
      </c>
      <c r="N9" s="98"/>
      <c r="O9" s="98"/>
      <c r="P9" s="98"/>
      <c r="Q9" s="98"/>
      <c r="R9" s="98"/>
      <c r="S9" s="95" t="str">
        <f ca="1">IFERROR(__xludf.DUMMYFUNCTION("IFERROR(JOIN("","", UNIQUE(filter({O9; Q9}, {O9; Q9}&lt;&gt;""""))), """")"),"")</f>
        <v/>
      </c>
      <c r="T9" s="99"/>
      <c r="U9" s="99"/>
      <c r="V9" s="99"/>
      <c r="W9" s="99"/>
      <c r="X9" s="99"/>
      <c r="Y9" s="95" t="str">
        <f ca="1">IFERROR(__xludf.DUMMYFUNCTION("IFERROR(JOIN("","", UNIQUE(filter({U9; W9}, {U9; W9}&lt;&gt;""""))), """")"),"")</f>
        <v/>
      </c>
    </row>
    <row r="10" spans="1:25" ht="15.75" customHeight="1" x14ac:dyDescent="0.15">
      <c r="B10" s="10" t="str">
        <f ca="1">IFERROR(__xludf.DUMMYFUNCTION("""COMPUTED_VALUE"""),"ef1a-extended:mScarlet3S2:sec61b")</f>
        <v>ef1a-extended:mScarlet3S2:sec61b</v>
      </c>
      <c r="C10" s="10"/>
      <c r="D10" s="10"/>
      <c r="E10" s="10"/>
      <c r="F10" s="10"/>
      <c r="G10" s="95" t="str">
        <f ca="1">IFERROR(__xludf.DUMMYFUNCTION("IFERROR(JOIN("","", UNIQUE(filter({C10; E10}, {C10; E10}&lt;&gt;""""))), """")"),"")</f>
        <v/>
      </c>
      <c r="H10" s="96" t="str">
        <f ca="1">IFERROR(__xludf.DUMMYFUNCTION("""COMPUTED_VALUE"""),"phiC-NLS")</f>
        <v>phiC-NLS</v>
      </c>
      <c r="I10" s="96"/>
      <c r="J10" s="96"/>
      <c r="K10" s="96"/>
      <c r="L10" s="96"/>
      <c r="M10" s="95" t="str">
        <f ca="1">IFERROR(__xludf.DUMMYFUNCTION("IFERROR(JOIN("","", UNIQUE(filter({I10; K10}, {I10; K10}&lt;&gt;""""))), """")"),"")</f>
        <v/>
      </c>
      <c r="N10" s="98"/>
      <c r="O10" s="98"/>
      <c r="P10" s="98"/>
      <c r="Q10" s="98"/>
      <c r="R10" s="98"/>
      <c r="S10" s="95" t="str">
        <f ca="1">IFERROR(__xludf.DUMMYFUNCTION("IFERROR(JOIN("","", UNIQUE(filter({O10; Q10}, {O10; Q10}&lt;&gt;""""))), """")"),"")</f>
        <v/>
      </c>
      <c r="T10" s="99"/>
      <c r="U10" s="99"/>
      <c r="V10" s="99"/>
      <c r="W10" s="99"/>
      <c r="X10" s="99"/>
      <c r="Y10" s="95" t="str">
        <f ca="1">IFERROR(__xludf.DUMMYFUNCTION("IFERROR(JOIN("","", UNIQUE(filter({U10; W10}, {U10; W10}&lt;&gt;""""))), """")"),"")</f>
        <v/>
      </c>
    </row>
    <row r="11" spans="1:25" ht="15.75" customHeight="1" x14ac:dyDescent="0.15">
      <c r="B11" s="10" t="str">
        <f ca="1">IFERROR(__xludf.DUMMYFUNCTION("""COMPUTED_VALUE"""),"ef1a-extended:Halo:sec61b")</f>
        <v>ef1a-extended:Halo:sec61b</v>
      </c>
      <c r="C11" s="10"/>
      <c r="D11" s="10"/>
      <c r="E11" s="10"/>
      <c r="F11" s="10"/>
      <c r="G11" s="95" t="str">
        <f ca="1">IFERROR(__xludf.DUMMYFUNCTION("IFERROR(JOIN("","", UNIQUE(filter({C11; E11}, {C11; E11}&lt;&gt;""""))), """")"),"")</f>
        <v/>
      </c>
      <c r="H11" s="96" t="str">
        <f ca="1">IFERROR(__xludf.DUMMYFUNCTION("""COMPUTED_VALUE"""),"2xCox8A:mSG")</f>
        <v>2xCox8A:mSG</v>
      </c>
      <c r="I11" s="97" t="str">
        <f ca="1">IFERROR(__xludf.DUMMYFUNCTION("""COMPUTED_VALUE"""),"Mitochondria")</f>
        <v>Mitochondria</v>
      </c>
      <c r="J11" s="97" t="str">
        <f ca="1">IFERROR(__xludf.DUMMYFUNCTION("""COMPUTED_VALUE"""),"488")</f>
        <v>488</v>
      </c>
      <c r="K11" s="96"/>
      <c r="L11" s="96"/>
      <c r="M11" s="95" t="str">
        <f ca="1">IFERROR(__xludf.DUMMYFUNCTION("IFERROR(JOIN("","", UNIQUE(filter({I11; K11}, {I11; K11}&lt;&gt;""""))), """")"),"Mitochondria")</f>
        <v>Mitochondria</v>
      </c>
      <c r="N11" s="98"/>
      <c r="O11" s="98"/>
      <c r="P11" s="98"/>
      <c r="Q11" s="98"/>
      <c r="R11" s="98"/>
      <c r="S11" s="95" t="str">
        <f ca="1">IFERROR(__xludf.DUMMYFUNCTION("IFERROR(JOIN("","", UNIQUE(filter({O11; Q11}, {O11; Q11}&lt;&gt;""""))), """")"),"")</f>
        <v/>
      </c>
      <c r="T11" s="99"/>
      <c r="U11" s="99"/>
      <c r="V11" s="99"/>
      <c r="W11" s="99"/>
      <c r="X11" s="99"/>
      <c r="Y11" s="95" t="str">
        <f ca="1">IFERROR(__xludf.DUMMYFUNCTION("IFERROR(JOIN("","", UNIQUE(filter({U11; W11}, {U11; W11}&lt;&gt;""""))), """")"),"")</f>
        <v/>
      </c>
    </row>
    <row r="12" spans="1:25" ht="15.75" customHeight="1" x14ac:dyDescent="0.15">
      <c r="B12" s="10" t="str">
        <f ca="1">IFERROR(__xludf.DUMMYFUNCTION("""COMPUTED_VALUE"""),"ef1a:linker:mKate2:linker-attB")</f>
        <v>ef1a:linker:mKate2:linker-attB</v>
      </c>
      <c r="C12" s="80" t="str">
        <f ca="1">IFERROR(__xludf.DUMMYFUNCTION("""COMPUTED_VALUE"""),"cytosol")</f>
        <v>cytosol</v>
      </c>
      <c r="D12" s="80" t="str">
        <f ca="1">IFERROR(__xludf.DUMMYFUNCTION("""COMPUTED_VALUE"""),"607")</f>
        <v>607</v>
      </c>
      <c r="E12" s="10"/>
      <c r="F12" s="10"/>
      <c r="G12" s="95" t="str">
        <f ca="1">IFERROR(__xludf.DUMMYFUNCTION("IFERROR(JOIN("","", UNIQUE(filter({C12; E12}, {C12; E12}&lt;&gt;""""))), """")"),"cytosol")</f>
        <v>cytosol</v>
      </c>
      <c r="H12" s="96" t="str">
        <f ca="1">IFERROR(__xludf.DUMMYFUNCTION("""COMPUTED_VALUE"""),"2xCox8A:mChilada")</f>
        <v>2xCox8A:mChilada</v>
      </c>
      <c r="I12" s="97" t="str">
        <f ca="1">IFERROR(__xludf.DUMMYFUNCTION("""COMPUTED_VALUE"""),"Mitochondria")</f>
        <v>Mitochondria</v>
      </c>
      <c r="J12" s="97" t="str">
        <f ca="1">IFERROR(__xludf.DUMMYFUNCTION("""COMPUTED_VALUE"""),"560")</f>
        <v>560</v>
      </c>
      <c r="K12" s="96"/>
      <c r="L12" s="96"/>
      <c r="M12" s="95" t="str">
        <f ca="1">IFERROR(__xludf.DUMMYFUNCTION("IFERROR(JOIN("","", UNIQUE(filter({I12; K12}, {I12; K12}&lt;&gt;""""))), """")"),"Mitochondria")</f>
        <v>Mitochondria</v>
      </c>
      <c r="N12" s="98"/>
      <c r="O12" s="98"/>
      <c r="P12" s="98"/>
      <c r="Q12" s="98"/>
      <c r="R12" s="98"/>
      <c r="S12" s="95" t="str">
        <f ca="1">IFERROR(__xludf.DUMMYFUNCTION("IFERROR(JOIN("","", UNIQUE(filter({O12; Q12}, {O12; Q12}&lt;&gt;""""))), """")"),"")</f>
        <v/>
      </c>
      <c r="T12" s="99"/>
      <c r="U12" s="99"/>
      <c r="V12" s="99"/>
      <c r="W12" s="99"/>
      <c r="X12" s="99"/>
      <c r="Y12" s="95" t="str">
        <f ca="1">IFERROR(__xludf.DUMMYFUNCTION("IFERROR(JOIN("","", UNIQUE(filter({U12; W12}, {U12; W12}&lt;&gt;""""))), """")"),"")</f>
        <v/>
      </c>
    </row>
    <row r="13" spans="1:25" ht="15.75" customHeight="1" x14ac:dyDescent="0.15">
      <c r="B13" s="10" t="str">
        <f ca="1">IFERROR(__xludf.DUMMYFUNCTION("""COMPUTED_VALUE"""),"ef1a:mCardinal (iCodon)")</f>
        <v>ef1a:mCardinal (iCodon)</v>
      </c>
      <c r="C13" s="80" t="str">
        <f ca="1">IFERROR(__xludf.DUMMYFUNCTION("""COMPUTED_VALUE"""),"cytosol")</f>
        <v>cytosol</v>
      </c>
      <c r="D13" s="80" t="str">
        <f ca="1">IFERROR(__xludf.DUMMYFUNCTION("""COMPUTED_VALUE"""),"607")</f>
        <v>607</v>
      </c>
      <c r="E13" s="10"/>
      <c r="F13" s="10"/>
      <c r="G13" s="95" t="str">
        <f ca="1">IFERROR(__xludf.DUMMYFUNCTION("IFERROR(JOIN("","", UNIQUE(filter({C13; E13}, {C13; E13}&lt;&gt;""""))), """")"),"cytosol")</f>
        <v>cytosol</v>
      </c>
      <c r="H13" s="96" t="str">
        <f ca="1">IFERROR(__xludf.DUMMYFUNCTION("""COMPUTED_VALUE"""),"2xCox8A:Halo")</f>
        <v>2xCox8A:Halo</v>
      </c>
      <c r="I13" s="97" t="str">
        <f ca="1">IFERROR(__xludf.DUMMYFUNCTION("""COMPUTED_VALUE"""),"Mitochondria")</f>
        <v>Mitochondria</v>
      </c>
      <c r="J13" s="97" t="str">
        <f ca="1">IFERROR(__xludf.DUMMYFUNCTION("""COMPUTED_VALUE"""),"642")</f>
        <v>642</v>
      </c>
      <c r="K13" s="96"/>
      <c r="L13" s="96"/>
      <c r="M13" s="95" t="str">
        <f ca="1">IFERROR(__xludf.DUMMYFUNCTION("IFERROR(JOIN("","", UNIQUE(filter({I13; K13}, {I13; K13}&lt;&gt;""""))), """")"),"Mitochondria")</f>
        <v>Mitochondria</v>
      </c>
      <c r="N13" s="98"/>
      <c r="O13" s="98"/>
      <c r="P13" s="98"/>
      <c r="Q13" s="98"/>
      <c r="R13" s="98"/>
      <c r="S13" s="95" t="str">
        <f ca="1">IFERROR(__xludf.DUMMYFUNCTION("IFERROR(JOIN("","", UNIQUE(filter({O13; Q13}, {O13; Q13}&lt;&gt;""""))), """")"),"")</f>
        <v/>
      </c>
      <c r="T13" s="99"/>
      <c r="U13" s="99"/>
      <c r="V13" s="99"/>
      <c r="W13" s="99"/>
      <c r="X13" s="99"/>
      <c r="Y13" s="95" t="str">
        <f ca="1">IFERROR(__xludf.DUMMYFUNCTION("IFERROR(JOIN("","", UNIQUE(filter({U13; W13}, {U13; W13}&lt;&gt;""""))), """")"),"")</f>
        <v/>
      </c>
    </row>
    <row r="14" spans="1:25" ht="15.75" customHeight="1" x14ac:dyDescent="0.15">
      <c r="B14" s="10" t="str">
        <f ca="1">IFERROR(__xludf.DUMMYFUNCTION("""COMPUTED_VALUE"""),"ef1a-extended:TNG46:mStayGold")</f>
        <v>ef1a-extended:TNG46:mStayGold</v>
      </c>
      <c r="C14" s="10"/>
      <c r="D14" s="10"/>
      <c r="E14" s="10"/>
      <c r="F14" s="10"/>
      <c r="G14" s="95" t="str">
        <f ca="1">IFERROR(__xludf.DUMMYFUNCTION("IFERROR(JOIN("","", UNIQUE(filter({C14; E14}, {C14; E14}&lt;&gt;""""))), """")"),"")</f>
        <v/>
      </c>
      <c r="H14" s="96" t="str">
        <f ca="1">IFERROR(__xludf.DUMMYFUNCTION("""COMPUTED_VALUE"""),"2xCox8A:mScarlet3S2")</f>
        <v>2xCox8A:mScarlet3S2</v>
      </c>
      <c r="I14" s="97" t="str">
        <f ca="1">IFERROR(__xludf.DUMMYFUNCTION("""COMPUTED_VALUE"""),"Mitochondria")</f>
        <v>Mitochondria</v>
      </c>
      <c r="J14" s="97" t="str">
        <f ca="1">IFERROR(__xludf.DUMMYFUNCTION("""COMPUTED_VALUE"""),"560")</f>
        <v>560</v>
      </c>
      <c r="K14" s="96"/>
      <c r="L14" s="96"/>
      <c r="M14" s="95" t="str">
        <f ca="1">IFERROR(__xludf.DUMMYFUNCTION("IFERROR(JOIN("","", UNIQUE(filter({I14; K14}, {I14; K14}&lt;&gt;""""))), """")"),"Mitochondria")</f>
        <v>Mitochondria</v>
      </c>
      <c r="N14" s="98"/>
      <c r="O14" s="98"/>
      <c r="P14" s="98"/>
      <c r="Q14" s="98"/>
      <c r="R14" s="98"/>
      <c r="S14" s="95" t="str">
        <f ca="1">IFERROR(__xludf.DUMMYFUNCTION("IFERROR(JOIN("","", UNIQUE(filter({O14; Q14}, {O14; Q14}&lt;&gt;""""))), """")"),"")</f>
        <v/>
      </c>
      <c r="T14" s="99"/>
      <c r="U14" s="99"/>
      <c r="V14" s="99"/>
      <c r="W14" s="99"/>
      <c r="X14" s="99"/>
      <c r="Y14" s="95" t="str">
        <f ca="1">IFERROR(__xludf.DUMMYFUNCTION("IFERROR(JOIN("","", UNIQUE(filter({U14; W14}, {U14; W14}&lt;&gt;""""))), """")"),"")</f>
        <v/>
      </c>
    </row>
    <row r="15" spans="1:25" ht="15.75" customHeight="1" x14ac:dyDescent="0.15">
      <c r="B15" s="10" t="str">
        <f ca="1">IFERROR(__xludf.DUMMYFUNCTION("""COMPUTED_VALUE"""),"ef1a-extended:mStayGold:GM130")</f>
        <v>ef1a-extended:mStayGold:GM130</v>
      </c>
      <c r="C15" s="10"/>
      <c r="D15" s="10"/>
      <c r="E15" s="10"/>
      <c r="F15" s="10"/>
      <c r="G15" s="95" t="str">
        <f ca="1">IFERROR(__xludf.DUMMYFUNCTION("IFERROR(JOIN("","", UNIQUE(filter({C15; E15}, {C15; E15}&lt;&gt;""""))), """")"),"")</f>
        <v/>
      </c>
      <c r="H15" s="96" t="str">
        <f ca="1">IFERROR(__xludf.DUMMYFUNCTION("""COMPUTED_VALUE"""),"mSG:sec61b")</f>
        <v>mSG:sec61b</v>
      </c>
      <c r="I15" s="97" t="str">
        <f ca="1">IFERROR(__xludf.DUMMYFUNCTION("""COMPUTED_VALUE"""),"ER")</f>
        <v>ER</v>
      </c>
      <c r="J15" s="97" t="str">
        <f ca="1">IFERROR(__xludf.DUMMYFUNCTION("""COMPUTED_VALUE"""),"488")</f>
        <v>488</v>
      </c>
      <c r="K15" s="96"/>
      <c r="L15" s="96"/>
      <c r="M15" s="95" t="str">
        <f ca="1">IFERROR(__xludf.DUMMYFUNCTION("IFERROR(JOIN("","", UNIQUE(filter({I15; K15}, {I15; K15}&lt;&gt;""""))), """")"),"ER")</f>
        <v>ER</v>
      </c>
      <c r="N15" s="98"/>
      <c r="O15" s="98"/>
      <c r="P15" s="98"/>
      <c r="Q15" s="98"/>
      <c r="R15" s="98"/>
      <c r="S15" s="95" t="str">
        <f ca="1">IFERROR(__xludf.DUMMYFUNCTION("IFERROR(JOIN("","", UNIQUE(filter({O15; Q15}, {O15; Q15}&lt;&gt;""""))), """")"),"")</f>
        <v/>
      </c>
      <c r="T15" s="99"/>
      <c r="U15" s="99"/>
      <c r="V15" s="99"/>
      <c r="W15" s="99"/>
      <c r="X15" s="99"/>
      <c r="Y15" s="95" t="str">
        <f ca="1">IFERROR(__xludf.DUMMYFUNCTION("IFERROR(JOIN("","", UNIQUE(filter({U15; W15}, {U15; W15}&lt;&gt;""""))), """")"),"")</f>
        <v/>
      </c>
    </row>
    <row r="16" spans="1:25" ht="15.75" customHeight="1" x14ac:dyDescent="0.15">
      <c r="B16" s="10" t="str">
        <f ca="1">IFERROR(__xludf.DUMMYFUNCTION("""COMPUTED_VALUE"""),"ef1a-extended:LAMP1:mStayGold")</f>
        <v>ef1a-extended:LAMP1:mStayGold</v>
      </c>
      <c r="C16" s="10"/>
      <c r="D16" s="10"/>
      <c r="E16" s="10"/>
      <c r="F16" s="10"/>
      <c r="G16" s="95" t="str">
        <f ca="1">IFERROR(__xludf.DUMMYFUNCTION("IFERROR(JOIN("","", UNIQUE(filter({C16; E16}, {C16; E16}&lt;&gt;""""))), """")"),"")</f>
        <v/>
      </c>
      <c r="H16" s="96" t="str">
        <f ca="1">IFERROR(__xludf.DUMMYFUNCTION("""COMPUTED_VALUE"""),"mChilada:sec61b")</f>
        <v>mChilada:sec61b</v>
      </c>
      <c r="I16" s="97" t="str">
        <f ca="1">IFERROR(__xludf.DUMMYFUNCTION("""COMPUTED_VALUE"""),"ER")</f>
        <v>ER</v>
      </c>
      <c r="J16" s="97" t="str">
        <f ca="1">IFERROR(__xludf.DUMMYFUNCTION("""COMPUTED_VALUE"""),"560")</f>
        <v>560</v>
      </c>
      <c r="K16" s="96"/>
      <c r="L16" s="96"/>
      <c r="M16" s="95" t="str">
        <f ca="1">IFERROR(__xludf.DUMMYFUNCTION("IFERROR(JOIN("","", UNIQUE(filter({I16; K16}, {I16; K16}&lt;&gt;""""))), """")"),"ER")</f>
        <v>ER</v>
      </c>
      <c r="N16" s="98"/>
      <c r="O16" s="98"/>
      <c r="P16" s="98"/>
      <c r="Q16" s="98"/>
      <c r="R16" s="98"/>
      <c r="S16" s="95" t="str">
        <f ca="1">IFERROR(__xludf.DUMMYFUNCTION("IFERROR(JOIN("","", UNIQUE(filter({O16; Q16}, {O16; Q16}&lt;&gt;""""))), """")"),"")</f>
        <v/>
      </c>
      <c r="T16" s="99"/>
      <c r="U16" s="99"/>
      <c r="V16" s="99"/>
      <c r="W16" s="99"/>
      <c r="X16" s="99"/>
      <c r="Y16" s="95" t="str">
        <f ca="1">IFERROR(__xludf.DUMMYFUNCTION("IFERROR(JOIN("","", UNIQUE(filter({U16; W16}, {U16; W16}&lt;&gt;""""))), """")"),"")</f>
        <v/>
      </c>
    </row>
    <row r="17" spans="2:25" ht="15.75" customHeight="1" x14ac:dyDescent="0.15">
      <c r="B17" s="10" t="str">
        <f ca="1">IFERROR(__xludf.DUMMYFUNCTION("""COMPUTED_VALUE"""),"ef1a-extended:alphatubulin:mStayGold")</f>
        <v>ef1a-extended:alphatubulin:mStayGold</v>
      </c>
      <c r="C17" s="10"/>
      <c r="D17" s="10"/>
      <c r="E17" s="10"/>
      <c r="F17" s="10"/>
      <c r="G17" s="95" t="str">
        <f ca="1">IFERROR(__xludf.DUMMYFUNCTION("IFERROR(JOIN("","", UNIQUE(filter({C17; E17}, {C17; E17}&lt;&gt;""""))), """")"),"")</f>
        <v/>
      </c>
      <c r="H17" s="96" t="str">
        <f ca="1">IFERROR(__xludf.DUMMYFUNCTION("""COMPUTED_VALUE"""),"Halo:sec61b")</f>
        <v>Halo:sec61b</v>
      </c>
      <c r="I17" s="97" t="str">
        <f ca="1">IFERROR(__xludf.DUMMYFUNCTION("""COMPUTED_VALUE"""),"ER")</f>
        <v>ER</v>
      </c>
      <c r="J17" s="97" t="str">
        <f ca="1">IFERROR(__xludf.DUMMYFUNCTION("""COMPUTED_VALUE"""),"642")</f>
        <v>642</v>
      </c>
      <c r="K17" s="96"/>
      <c r="L17" s="96"/>
      <c r="M17" s="95" t="str">
        <f ca="1">IFERROR(__xludf.DUMMYFUNCTION("IFERROR(JOIN("","", UNIQUE(filter({I17; K17}, {I17; K17}&lt;&gt;""""))), """")"),"ER")</f>
        <v>ER</v>
      </c>
      <c r="N17" s="98"/>
      <c r="O17" s="98"/>
      <c r="P17" s="98"/>
      <c r="Q17" s="98"/>
      <c r="R17" s="98"/>
      <c r="S17" s="95" t="str">
        <f ca="1">IFERROR(__xludf.DUMMYFUNCTION("IFERROR(JOIN("","", UNIQUE(filter({O17; Q17}, {O17; Q17}&lt;&gt;""""))), """")"),"")</f>
        <v/>
      </c>
      <c r="T17" s="99"/>
      <c r="U17" s="99"/>
      <c r="V17" s="99"/>
      <c r="W17" s="99"/>
      <c r="X17" s="99"/>
      <c r="Y17" s="95" t="str">
        <f ca="1">IFERROR(__xludf.DUMMYFUNCTION("IFERROR(JOIN("","", UNIQUE(filter({U17; W17}, {U17; W17}&lt;&gt;""""))), """")"),"")</f>
        <v/>
      </c>
    </row>
    <row r="18" spans="2:25" ht="15.75" customHeight="1" x14ac:dyDescent="0.15">
      <c r="B18" s="10" t="str">
        <f ca="1">IFERROR(__xludf.DUMMYFUNCTION("""COMPUTED_VALUE"""),"ef1a-extended:vimentin:mStayGold")</f>
        <v>ef1a-extended:vimentin:mStayGold</v>
      </c>
      <c r="C18" s="10"/>
      <c r="D18" s="10"/>
      <c r="E18" s="10"/>
      <c r="F18" s="10"/>
      <c r="G18" s="95" t="str">
        <f ca="1">IFERROR(__xludf.DUMMYFUNCTION("IFERROR(JOIN("","", UNIQUE(filter({C18; E18}, {C18; E18}&lt;&gt;""""))), """")"),"")</f>
        <v/>
      </c>
      <c r="H18" s="96" t="str">
        <f ca="1">IFERROR(__xludf.DUMMYFUNCTION("""COMPUTED_VALUE"""),"mSG:GM130")</f>
        <v>mSG:GM130</v>
      </c>
      <c r="I18" s="97" t="str">
        <f ca="1">IFERROR(__xludf.DUMMYFUNCTION("""COMPUTED_VALUE"""),"Golgi")</f>
        <v>Golgi</v>
      </c>
      <c r="J18" s="97" t="str">
        <f ca="1">IFERROR(__xludf.DUMMYFUNCTION("""COMPUTED_VALUE"""),"488")</f>
        <v>488</v>
      </c>
      <c r="K18" s="96"/>
      <c r="L18" s="96"/>
      <c r="M18" s="95" t="str">
        <f ca="1">IFERROR(__xludf.DUMMYFUNCTION("IFERROR(JOIN("","", UNIQUE(filter({I18; K18}, {I18; K18}&lt;&gt;""""))), """")"),"Golgi")</f>
        <v>Golgi</v>
      </c>
      <c r="N18" s="98"/>
      <c r="O18" s="98"/>
      <c r="P18" s="98"/>
      <c r="Q18" s="98"/>
      <c r="R18" s="98"/>
      <c r="S18" s="95" t="str">
        <f ca="1">IFERROR(__xludf.DUMMYFUNCTION("IFERROR(JOIN("","", UNIQUE(filter({O18; Q18}, {O18; Q18}&lt;&gt;""""))), """")"),"")</f>
        <v/>
      </c>
      <c r="T18" s="99"/>
      <c r="U18" s="99"/>
      <c r="V18" s="99"/>
      <c r="W18" s="99"/>
      <c r="X18" s="99"/>
      <c r="Y18" s="95" t="str">
        <f ca="1">IFERROR(__xludf.DUMMYFUNCTION("IFERROR(JOIN("","", UNIQUE(filter({U18; W18}, {U18; W18}&lt;&gt;""""))), """")"),"")</f>
        <v/>
      </c>
    </row>
    <row r="19" spans="2:25" ht="15.75" customHeight="1" x14ac:dyDescent="0.15">
      <c r="B19" s="10" t="str">
        <f ca="1">IFERROR(__xludf.DUMMYFUNCTION("""COMPUTED_VALUE"""),"ef1a-extended:lifeact:mStayGold")</f>
        <v>ef1a-extended:lifeact:mStayGold</v>
      </c>
      <c r="C19" s="10"/>
      <c r="D19" s="10"/>
      <c r="E19" s="10"/>
      <c r="F19" s="10"/>
      <c r="G19" s="95" t="str">
        <f ca="1">IFERROR(__xludf.DUMMYFUNCTION("IFERROR(JOIN("","", UNIQUE(filter({C19; E19}, {C19; E19}&lt;&gt;""""))), """")"),"")</f>
        <v/>
      </c>
      <c r="H19" s="96" t="str">
        <f ca="1">IFERROR(__xludf.DUMMYFUNCTION("""COMPUTED_VALUE"""),"mChilada:GM130")</f>
        <v>mChilada:GM130</v>
      </c>
      <c r="I19" s="97" t="str">
        <f ca="1">IFERROR(__xludf.DUMMYFUNCTION("""COMPUTED_VALUE"""),"Golgi")</f>
        <v>Golgi</v>
      </c>
      <c r="J19" s="97" t="str">
        <f ca="1">IFERROR(__xludf.DUMMYFUNCTION("""COMPUTED_VALUE"""),"560")</f>
        <v>560</v>
      </c>
      <c r="K19" s="96"/>
      <c r="L19" s="96"/>
      <c r="M19" s="95" t="str">
        <f ca="1">IFERROR(__xludf.DUMMYFUNCTION("IFERROR(JOIN("","", UNIQUE(filter({I19; K19}, {I19; K19}&lt;&gt;""""))), """")"),"Golgi")</f>
        <v>Golgi</v>
      </c>
      <c r="N19" s="98"/>
      <c r="O19" s="98"/>
      <c r="P19" s="98"/>
      <c r="Q19" s="98"/>
      <c r="R19" s="98"/>
      <c r="S19" s="95" t="str">
        <f ca="1">IFERROR(__xludf.DUMMYFUNCTION("IFERROR(JOIN("","", UNIQUE(filter({O19; Q19}, {O19; Q19}&lt;&gt;""""))), """")"),"")</f>
        <v/>
      </c>
      <c r="T19" s="99"/>
      <c r="U19" s="99"/>
      <c r="V19" s="99"/>
      <c r="W19" s="99"/>
      <c r="X19" s="99"/>
      <c r="Y19" s="95" t="str">
        <f ca="1">IFERROR(__xludf.DUMMYFUNCTION("IFERROR(JOIN("","", UNIQUE(filter({U19; W19}, {U19; W19}&lt;&gt;""""))), """")"),"")</f>
        <v/>
      </c>
    </row>
    <row r="20" spans="2:25" ht="15.75" customHeight="1" x14ac:dyDescent="0.15">
      <c r="B20" s="10" t="str">
        <f ca="1">IFERROR(__xludf.DUMMYFUNCTION("""COMPUTED_VALUE"""),"ef1a-extended:LAMP1:mScarlet3S2")</f>
        <v>ef1a-extended:LAMP1:mScarlet3S2</v>
      </c>
      <c r="C20" s="10"/>
      <c r="D20" s="10"/>
      <c r="E20" s="10"/>
      <c r="F20" s="10"/>
      <c r="G20" s="95" t="str">
        <f ca="1">IFERROR(__xludf.DUMMYFUNCTION("IFERROR(JOIN("","", UNIQUE(filter({C20; E20}, {C20; E20}&lt;&gt;""""))), """")"),"")</f>
        <v/>
      </c>
      <c r="H20" s="96" t="str">
        <f ca="1">IFERROR(__xludf.DUMMYFUNCTION("""COMPUTED_VALUE"""),"Halo:GM130")</f>
        <v>Halo:GM130</v>
      </c>
      <c r="I20" s="97" t="str">
        <f ca="1">IFERROR(__xludf.DUMMYFUNCTION("""COMPUTED_VALUE"""),"Golgi")</f>
        <v>Golgi</v>
      </c>
      <c r="J20" s="97" t="str">
        <f ca="1">IFERROR(__xludf.DUMMYFUNCTION("""COMPUTED_VALUE"""),"642")</f>
        <v>642</v>
      </c>
      <c r="K20" s="96"/>
      <c r="L20" s="96"/>
      <c r="M20" s="95" t="str">
        <f ca="1">IFERROR(__xludf.DUMMYFUNCTION("IFERROR(JOIN("","", UNIQUE(filter({I20; K20}, {I20; K20}&lt;&gt;""""))), """")"),"Golgi")</f>
        <v>Golgi</v>
      </c>
      <c r="N20" s="98"/>
      <c r="O20" s="98"/>
      <c r="P20" s="98"/>
      <c r="Q20" s="98"/>
      <c r="R20" s="98"/>
      <c r="S20" s="95" t="str">
        <f ca="1">IFERROR(__xludf.DUMMYFUNCTION("IFERROR(JOIN("","", UNIQUE(filter({O20; Q20}, {O20; Q20}&lt;&gt;""""))), """")"),"")</f>
        <v/>
      </c>
      <c r="T20" s="99"/>
      <c r="U20" s="99"/>
      <c r="V20" s="99"/>
      <c r="W20" s="99"/>
      <c r="X20" s="99"/>
      <c r="Y20" s="95" t="str">
        <f ca="1">IFERROR(__xludf.DUMMYFUNCTION("IFERROR(JOIN("","", UNIQUE(filter({U20; W20}, {U20; W20}&lt;&gt;""""))), """")"),"")</f>
        <v/>
      </c>
    </row>
    <row r="21" spans="2:25" ht="15.75" customHeight="1" x14ac:dyDescent="0.15">
      <c r="B21" s="10" t="str">
        <f ca="1">IFERROR(__xludf.DUMMYFUNCTION("""COMPUTED_VALUE"""),"ef1a-extended:mStayGold:MyosinII")</f>
        <v>ef1a-extended:mStayGold:MyosinII</v>
      </c>
      <c r="C21" s="10"/>
      <c r="D21" s="10"/>
      <c r="E21" s="10"/>
      <c r="F21" s="10"/>
      <c r="G21" s="95" t="str">
        <f ca="1">IFERROR(__xludf.DUMMYFUNCTION("IFERROR(JOIN("","", UNIQUE(filter({C21; E21}, {C21; E21}&lt;&gt;""""))), """")"),"")</f>
        <v/>
      </c>
      <c r="H21" s="96" t="str">
        <f ca="1">IFERROR(__xludf.DUMMYFUNCTION("""COMPUTED_VALUE"""),"TGN:mSG")</f>
        <v>TGN:mSG</v>
      </c>
      <c r="I21" s="97" t="str">
        <f ca="1">IFERROR(__xludf.DUMMYFUNCTION("""COMPUTED_VALUE"""),"Golgi")</f>
        <v>Golgi</v>
      </c>
      <c r="J21" s="97" t="str">
        <f ca="1">IFERROR(__xludf.DUMMYFUNCTION("""COMPUTED_VALUE"""),"488")</f>
        <v>488</v>
      </c>
      <c r="K21" s="96"/>
      <c r="L21" s="96"/>
      <c r="M21" s="95" t="str">
        <f ca="1">IFERROR(__xludf.DUMMYFUNCTION("IFERROR(JOIN("","", UNIQUE(filter({I21; K21}, {I21; K21}&lt;&gt;""""))), """")"),"Golgi")</f>
        <v>Golgi</v>
      </c>
      <c r="N21" s="98"/>
      <c r="O21" s="98"/>
      <c r="P21" s="98"/>
      <c r="Q21" s="98"/>
      <c r="R21" s="98"/>
      <c r="S21" s="95" t="str">
        <f ca="1">IFERROR(__xludf.DUMMYFUNCTION("IFERROR(JOIN("","", UNIQUE(filter({O21; Q21}, {O21; Q21}&lt;&gt;""""))), """")"),"")</f>
        <v/>
      </c>
      <c r="T21" s="99"/>
      <c r="U21" s="99"/>
      <c r="V21" s="99"/>
      <c r="W21" s="99"/>
      <c r="X21" s="99"/>
      <c r="Y21" s="95" t="str">
        <f ca="1">IFERROR(__xludf.DUMMYFUNCTION("IFERROR(JOIN("","", UNIQUE(filter({U21; W21}, {U21; W21}&lt;&gt;""""))), """")"),"")</f>
        <v/>
      </c>
    </row>
    <row r="22" spans="2:25" ht="15.75" customHeight="1" x14ac:dyDescent="0.15">
      <c r="B22" s="10" t="str">
        <f ca="1">IFERROR(__xludf.DUMMYFUNCTION("""COMPUTED_VALUE"""),"ef1a-extended:mScarlet3S2:GM130")</f>
        <v>ef1a-extended:mScarlet3S2:GM130</v>
      </c>
      <c r="C22" s="10"/>
      <c r="D22" s="10"/>
      <c r="E22" s="10"/>
      <c r="F22" s="10"/>
      <c r="G22" s="95" t="str">
        <f ca="1">IFERROR(__xludf.DUMMYFUNCTION("IFERROR(JOIN("","", UNIQUE(filter({C22; E22}, {C22; E22}&lt;&gt;""""))), """")"),"")</f>
        <v/>
      </c>
      <c r="H22" s="96" t="str">
        <f ca="1">IFERROR(__xludf.DUMMYFUNCTION("""COMPUTED_VALUE"""),"TGN:mChilada")</f>
        <v>TGN:mChilada</v>
      </c>
      <c r="I22" s="97" t="str">
        <f ca="1">IFERROR(__xludf.DUMMYFUNCTION("""COMPUTED_VALUE"""),"Golgi")</f>
        <v>Golgi</v>
      </c>
      <c r="J22" s="97" t="str">
        <f ca="1">IFERROR(__xludf.DUMMYFUNCTION("""COMPUTED_VALUE"""),"560")</f>
        <v>560</v>
      </c>
      <c r="K22" s="96"/>
      <c r="L22" s="96"/>
      <c r="M22" s="95" t="str">
        <f ca="1">IFERROR(__xludf.DUMMYFUNCTION("IFERROR(JOIN("","", UNIQUE(filter({I22; K22}, {I22; K22}&lt;&gt;""""))), """")"),"Golgi")</f>
        <v>Golgi</v>
      </c>
      <c r="N22" s="98"/>
      <c r="O22" s="98"/>
      <c r="P22" s="98"/>
      <c r="Q22" s="98"/>
      <c r="R22" s="98"/>
      <c r="S22" s="95" t="str">
        <f ca="1">IFERROR(__xludf.DUMMYFUNCTION("IFERROR(JOIN("","", UNIQUE(filter({O22; Q22}, {O22; Q22}&lt;&gt;""""))), """")"),"")</f>
        <v/>
      </c>
      <c r="T22" s="99"/>
      <c r="U22" s="99"/>
      <c r="V22" s="99"/>
      <c r="W22" s="99"/>
      <c r="X22" s="99"/>
      <c r="Y22" s="95" t="str">
        <f ca="1">IFERROR(__xludf.DUMMYFUNCTION("IFERROR(JOIN("","", UNIQUE(filter({U22; W22}, {U22; W22}&lt;&gt;""""))), """")"),"")</f>
        <v/>
      </c>
    </row>
    <row r="23" spans="2:25" ht="15.75" customHeight="1" x14ac:dyDescent="0.15">
      <c r="B23" s="10" t="str">
        <f ca="1">IFERROR(__xludf.DUMMYFUNCTION("""COMPUTED_VALUE"""),"ef1a-extended:mHalo:GM130")</f>
        <v>ef1a-extended:mHalo:GM130</v>
      </c>
      <c r="C23" s="10"/>
      <c r="D23" s="10"/>
      <c r="E23" s="10"/>
      <c r="F23" s="10"/>
      <c r="G23" s="95" t="str">
        <f ca="1">IFERROR(__xludf.DUMMYFUNCTION("IFERROR(JOIN("","", UNIQUE(filter({C23; E23}, {C23; E23}&lt;&gt;""""))), """")"),"")</f>
        <v/>
      </c>
      <c r="H23" s="96" t="str">
        <f ca="1">IFERROR(__xludf.DUMMYFUNCTION("""COMPUTED_VALUE"""),"TGN:Halo")</f>
        <v>TGN:Halo</v>
      </c>
      <c r="I23" s="97" t="str">
        <f ca="1">IFERROR(__xludf.DUMMYFUNCTION("""COMPUTED_VALUE"""),"Golgi")</f>
        <v>Golgi</v>
      </c>
      <c r="J23" s="97" t="str">
        <f ca="1">IFERROR(__xludf.DUMMYFUNCTION("""COMPUTED_VALUE"""),"642")</f>
        <v>642</v>
      </c>
      <c r="K23" s="96"/>
      <c r="L23" s="96"/>
      <c r="M23" s="95" t="str">
        <f ca="1">IFERROR(__xludf.DUMMYFUNCTION("IFERROR(JOIN("","", UNIQUE(filter({I23; K23}, {I23; K23}&lt;&gt;""""))), """")"),"Golgi")</f>
        <v>Golgi</v>
      </c>
      <c r="N23" s="98"/>
      <c r="O23" s="98"/>
      <c r="P23" s="98"/>
      <c r="Q23" s="98"/>
      <c r="R23" s="98"/>
      <c r="S23" s="95" t="str">
        <f ca="1">IFERROR(__xludf.DUMMYFUNCTION("IFERROR(JOIN("","", UNIQUE(filter({O23; Q23}, {O23; Q23}&lt;&gt;""""))), """")"),"")</f>
        <v/>
      </c>
      <c r="T23" s="99"/>
      <c r="U23" s="99"/>
      <c r="V23" s="99"/>
      <c r="W23" s="99"/>
      <c r="X23" s="99"/>
      <c r="Y23" s="95" t="str">
        <f ca="1">IFERROR(__xludf.DUMMYFUNCTION("IFERROR(JOIN("","", UNIQUE(filter({U23; W23}, {U23; W23}&lt;&gt;""""))), """")"),"")</f>
        <v/>
      </c>
    </row>
    <row r="24" spans="2:25" ht="15.75" customHeight="1" x14ac:dyDescent="0.15">
      <c r="B24" s="10" t="str">
        <f ca="1">IFERROR(__xludf.DUMMYFUNCTION("""COMPUTED_VALUE"""),"ef1a-extended:TGN46:mScarlet3S2")</f>
        <v>ef1a-extended:TGN46:mScarlet3S2</v>
      </c>
      <c r="C24" s="10"/>
      <c r="D24" s="10"/>
      <c r="E24" s="10"/>
      <c r="F24" s="10"/>
      <c r="G24" s="95" t="str">
        <f ca="1">IFERROR(__xludf.DUMMYFUNCTION("IFERROR(JOIN("","", UNIQUE(filter({C24; E24}, {C24; E24}&lt;&gt;""""))), """")"),"")</f>
        <v/>
      </c>
      <c r="H24" s="96" t="str">
        <f ca="1">IFERROR(__xludf.DUMMYFUNCTION("""COMPUTED_VALUE"""),"mSG:rab5a")</f>
        <v>mSG:rab5a</v>
      </c>
      <c r="I24" s="97" t="str">
        <f ca="1">IFERROR(__xludf.DUMMYFUNCTION("""COMPUTED_VALUE"""),"Endosomes")</f>
        <v>Endosomes</v>
      </c>
      <c r="J24" s="97" t="str">
        <f ca="1">IFERROR(__xludf.DUMMYFUNCTION("""COMPUTED_VALUE"""),"488")</f>
        <v>488</v>
      </c>
      <c r="K24" s="96"/>
      <c r="L24" s="96"/>
      <c r="M24" s="95" t="str">
        <f ca="1">IFERROR(__xludf.DUMMYFUNCTION("IFERROR(JOIN("","", UNIQUE(filter({I24; K24}, {I24; K24}&lt;&gt;""""))), """")"),"Endosomes")</f>
        <v>Endosomes</v>
      </c>
      <c r="N24" s="98"/>
      <c r="O24" s="98"/>
      <c r="P24" s="98"/>
      <c r="Q24" s="98"/>
      <c r="R24" s="98"/>
      <c r="S24" s="95" t="str">
        <f ca="1">IFERROR(__xludf.DUMMYFUNCTION("IFERROR(JOIN("","", UNIQUE(filter({O24; Q24}, {O24; Q24}&lt;&gt;""""))), """")"),"")</f>
        <v/>
      </c>
      <c r="T24" s="99"/>
      <c r="U24" s="99"/>
      <c r="V24" s="99"/>
      <c r="W24" s="99"/>
      <c r="X24" s="99"/>
      <c r="Y24" s="95" t="str">
        <f ca="1">IFERROR(__xludf.DUMMYFUNCTION("IFERROR(JOIN("","", UNIQUE(filter({U24; W24}, {U24; W24}&lt;&gt;""""))), """")"),"")</f>
        <v/>
      </c>
    </row>
    <row r="25" spans="2:25" ht="15.75" customHeight="1" x14ac:dyDescent="0.15">
      <c r="B25" s="10" t="str">
        <f ca="1">IFERROR(__xludf.DUMMYFUNCTION("""COMPUTED_VALUE"""),"ef1a-extended:TNG46:mHalo")</f>
        <v>ef1a-extended:TNG46:mHalo</v>
      </c>
      <c r="C25" s="10"/>
      <c r="D25" s="10"/>
      <c r="E25" s="10"/>
      <c r="F25" s="10"/>
      <c r="G25" s="95" t="str">
        <f ca="1">IFERROR(__xludf.DUMMYFUNCTION("IFERROR(JOIN("","", UNIQUE(filter({C25; E25}, {C25; E25}&lt;&gt;""""))), """")"),"")</f>
        <v/>
      </c>
      <c r="H25" s="96" t="str">
        <f ca="1">IFERROR(__xludf.DUMMYFUNCTION("""COMPUTED_VALUE"""),"mChilada:rab5a")</f>
        <v>mChilada:rab5a</v>
      </c>
      <c r="I25" s="97" t="str">
        <f ca="1">IFERROR(__xludf.DUMMYFUNCTION("""COMPUTED_VALUE"""),"Endosomes")</f>
        <v>Endosomes</v>
      </c>
      <c r="J25" s="97" t="str">
        <f ca="1">IFERROR(__xludf.DUMMYFUNCTION("""COMPUTED_VALUE"""),"560")</f>
        <v>560</v>
      </c>
      <c r="K25" s="96"/>
      <c r="L25" s="96"/>
      <c r="M25" s="95" t="str">
        <f ca="1">IFERROR(__xludf.DUMMYFUNCTION("IFERROR(JOIN("","", UNIQUE(filter({I25; K25}, {I25; K25}&lt;&gt;""""))), """")"),"Endosomes")</f>
        <v>Endosomes</v>
      </c>
      <c r="N25" s="98"/>
      <c r="O25" s="98"/>
      <c r="P25" s="98"/>
      <c r="Q25" s="98"/>
      <c r="R25" s="98"/>
      <c r="S25" s="95" t="str">
        <f ca="1">IFERROR(__xludf.DUMMYFUNCTION("IFERROR(JOIN("","", UNIQUE(filter({O25; Q25}, {O25; Q25}&lt;&gt;""""))), """")"),"")</f>
        <v/>
      </c>
      <c r="T25" s="99"/>
      <c r="U25" s="99"/>
      <c r="V25" s="99"/>
      <c r="W25" s="99"/>
      <c r="X25" s="99"/>
      <c r="Y25" s="95" t="str">
        <f ca="1">IFERROR(__xludf.DUMMYFUNCTION("IFERROR(JOIN("","", UNIQUE(filter({U25; W25}, {U25; W25}&lt;&gt;""""))), """")"),"")</f>
        <v/>
      </c>
    </row>
    <row r="26" spans="2:25" ht="15.75" customHeight="1" x14ac:dyDescent="0.15">
      <c r="B26" s="10" t="str">
        <f ca="1">IFERROR(__xludf.DUMMYFUNCTION("""COMPUTED_VALUE"""),"ef1a-extended:mHalo:alphatubulin")</f>
        <v>ef1a-extended:mHalo:alphatubulin</v>
      </c>
      <c r="C26" s="10"/>
      <c r="D26" s="10"/>
      <c r="E26" s="10"/>
      <c r="F26" s="10"/>
      <c r="G26" s="95" t="str">
        <f ca="1">IFERROR(__xludf.DUMMYFUNCTION("IFERROR(JOIN("","", UNIQUE(filter({C26; E26}, {C26; E26}&lt;&gt;""""))), """")"),"")</f>
        <v/>
      </c>
      <c r="H26" s="96" t="str">
        <f ca="1">IFERROR(__xludf.DUMMYFUNCTION("""COMPUTED_VALUE"""),"Halo:rab5a")</f>
        <v>Halo:rab5a</v>
      </c>
      <c r="I26" s="97" t="str">
        <f ca="1">IFERROR(__xludf.DUMMYFUNCTION("""COMPUTED_VALUE"""),"Endosomes")</f>
        <v>Endosomes</v>
      </c>
      <c r="J26" s="97" t="str">
        <f ca="1">IFERROR(__xludf.DUMMYFUNCTION("""COMPUTED_VALUE"""),"642")</f>
        <v>642</v>
      </c>
      <c r="K26" s="96"/>
      <c r="L26" s="96"/>
      <c r="M26" s="95" t="str">
        <f ca="1">IFERROR(__xludf.DUMMYFUNCTION("IFERROR(JOIN("","", UNIQUE(filter({I26; K26}, {I26; K26}&lt;&gt;""""))), """")"),"Endosomes")</f>
        <v>Endosomes</v>
      </c>
      <c r="N26" s="98"/>
      <c r="O26" s="98"/>
      <c r="P26" s="98"/>
      <c r="Q26" s="98"/>
      <c r="R26" s="98"/>
      <c r="S26" s="95" t="str">
        <f ca="1">IFERROR(__xludf.DUMMYFUNCTION("IFERROR(JOIN("","", UNIQUE(filter({O26; Q26}, {O26; Q26}&lt;&gt;""""))), """")"),"")</f>
        <v/>
      </c>
      <c r="T26" s="99"/>
      <c r="U26" s="99"/>
      <c r="V26" s="99"/>
      <c r="W26" s="99"/>
      <c r="X26" s="99"/>
      <c r="Y26" s="95" t="str">
        <f ca="1">IFERROR(__xludf.DUMMYFUNCTION("IFERROR(JOIN("","", UNIQUE(filter({U26; W26}, {U26; W26}&lt;&gt;""""))), """")"),"")</f>
        <v/>
      </c>
    </row>
    <row r="27" spans="2:25" ht="15.75" customHeight="1" x14ac:dyDescent="0.15">
      <c r="B27" s="10" t="str">
        <f ca="1">IFERROR(__xludf.DUMMYFUNCTION("""COMPUTED_VALUE"""),"ef1a-extended:vimentin:mHalo")</f>
        <v>ef1a-extended:vimentin:mHalo</v>
      </c>
      <c r="C27" s="10"/>
      <c r="D27" s="10"/>
      <c r="E27" s="10"/>
      <c r="F27" s="10"/>
      <c r="G27" s="95" t="str">
        <f ca="1">IFERROR(__xludf.DUMMYFUNCTION("IFERROR(JOIN("","", UNIQUE(filter({C27; E27}, {C27; E27}&lt;&gt;""""))), """")"),"")</f>
        <v/>
      </c>
      <c r="H27" s="96" t="str">
        <f ca="1">IFERROR(__xludf.DUMMYFUNCTION("""COMPUTED_VALUE"""),"LAMP1:mSG")</f>
        <v>LAMP1:mSG</v>
      </c>
      <c r="I27" s="97" t="str">
        <f ca="1">IFERROR(__xludf.DUMMYFUNCTION("""COMPUTED_VALUE"""),"Lysosomes")</f>
        <v>Lysosomes</v>
      </c>
      <c r="J27" s="97" t="str">
        <f ca="1">IFERROR(__xludf.DUMMYFUNCTION("""COMPUTED_VALUE"""),"488")</f>
        <v>488</v>
      </c>
      <c r="K27" s="96"/>
      <c r="L27" s="96"/>
      <c r="M27" s="95" t="str">
        <f ca="1">IFERROR(__xludf.DUMMYFUNCTION("IFERROR(JOIN("","", UNIQUE(filter({I27; K27}, {I27; K27}&lt;&gt;""""))), """")"),"Lysosomes")</f>
        <v>Lysosomes</v>
      </c>
      <c r="N27" s="98"/>
      <c r="O27" s="98"/>
      <c r="P27" s="98"/>
      <c r="Q27" s="98"/>
      <c r="R27" s="98"/>
      <c r="S27" s="95" t="str">
        <f ca="1">IFERROR(__xludf.DUMMYFUNCTION("IFERROR(JOIN("","", UNIQUE(filter({O27; Q27}, {O27; Q27}&lt;&gt;""""))), """")"),"")</f>
        <v/>
      </c>
      <c r="T27" s="99"/>
      <c r="U27" s="99"/>
      <c r="V27" s="99"/>
      <c r="W27" s="99"/>
      <c r="X27" s="99"/>
      <c r="Y27" s="95" t="str">
        <f ca="1">IFERROR(__xludf.DUMMYFUNCTION("IFERROR(JOIN("","", UNIQUE(filter({U27; W27}, {U27; W27}&lt;&gt;""""))), """")"),"")</f>
        <v/>
      </c>
    </row>
    <row r="28" spans="2:25" ht="15.75" customHeight="1" x14ac:dyDescent="0.15">
      <c r="B28" s="10" t="str">
        <f ca="1">IFERROR(__xludf.DUMMYFUNCTION("""COMPUTED_VALUE"""),"ef1a-extended:lifeact:mHalo")</f>
        <v>ef1a-extended:lifeact:mHalo</v>
      </c>
      <c r="C28" s="10"/>
      <c r="D28" s="10"/>
      <c r="E28" s="10"/>
      <c r="F28" s="10"/>
      <c r="G28" s="95" t="str">
        <f ca="1">IFERROR(__xludf.DUMMYFUNCTION("IFERROR(JOIN("","", UNIQUE(filter({C28; E28}, {C28; E28}&lt;&gt;""""))), """")"),"")</f>
        <v/>
      </c>
      <c r="H28" s="96" t="str">
        <f ca="1">IFERROR(__xludf.DUMMYFUNCTION("""COMPUTED_VALUE"""),"LAMP1:mChilada")</f>
        <v>LAMP1:mChilada</v>
      </c>
      <c r="I28" s="97" t="str">
        <f ca="1">IFERROR(__xludf.DUMMYFUNCTION("""COMPUTED_VALUE"""),"Lysosomes")</f>
        <v>Lysosomes</v>
      </c>
      <c r="J28" s="97" t="str">
        <f ca="1">IFERROR(__xludf.DUMMYFUNCTION("""COMPUTED_VALUE"""),"560")</f>
        <v>560</v>
      </c>
      <c r="K28" s="96"/>
      <c r="L28" s="96"/>
      <c r="M28" s="95" t="str">
        <f ca="1">IFERROR(__xludf.DUMMYFUNCTION("IFERROR(JOIN("","", UNIQUE(filter({I28; K28}, {I28; K28}&lt;&gt;""""))), """")"),"Lysosomes")</f>
        <v>Lysosomes</v>
      </c>
      <c r="N28" s="98"/>
      <c r="O28" s="98"/>
      <c r="P28" s="98"/>
      <c r="Q28" s="98"/>
      <c r="R28" s="98"/>
      <c r="S28" s="95" t="str">
        <f ca="1">IFERROR(__xludf.DUMMYFUNCTION("IFERROR(JOIN("","", UNIQUE(filter({O28; Q28}, {O28; Q28}&lt;&gt;""""))), """")"),"")</f>
        <v/>
      </c>
      <c r="T28" s="99"/>
      <c r="U28" s="99"/>
      <c r="V28" s="99"/>
      <c r="W28" s="99"/>
      <c r="X28" s="99"/>
      <c r="Y28" s="95" t="str">
        <f ca="1">IFERROR(__xludf.DUMMYFUNCTION("IFERROR(JOIN("","", UNIQUE(filter({U28; W28}, {U28; W28}&lt;&gt;""""))), """")"),"")</f>
        <v/>
      </c>
    </row>
    <row r="29" spans="2:25" ht="15.75" customHeight="1" x14ac:dyDescent="0.15">
      <c r="B29" s="10" t="str">
        <f ca="1">IFERROR(__xludf.DUMMYFUNCTION("""COMPUTED_VALUE"""),"ef1a-extended:mScarlet3S2:MyosinII")</f>
        <v>ef1a-extended:mScarlet3S2:MyosinII</v>
      </c>
      <c r="C29" s="10"/>
      <c r="D29" s="10"/>
      <c r="E29" s="10"/>
      <c r="F29" s="10"/>
      <c r="G29" s="95" t="str">
        <f ca="1">IFERROR(__xludf.DUMMYFUNCTION("IFERROR(JOIN("","", UNIQUE(filter({C29; E29}, {C29; E29}&lt;&gt;""""))), """")"),"")</f>
        <v/>
      </c>
      <c r="H29" s="96" t="str">
        <f ca="1">IFERROR(__xludf.DUMMYFUNCTION("""COMPUTED_VALUE"""),"LAMP1:Halo")</f>
        <v>LAMP1:Halo</v>
      </c>
      <c r="I29" s="97" t="str">
        <f ca="1">IFERROR(__xludf.DUMMYFUNCTION("""COMPUTED_VALUE"""),"Lysosomes")</f>
        <v>Lysosomes</v>
      </c>
      <c r="J29" s="97" t="str">
        <f ca="1">IFERROR(__xludf.DUMMYFUNCTION("""COMPUTED_VALUE"""),"642")</f>
        <v>642</v>
      </c>
      <c r="K29" s="96"/>
      <c r="L29" s="96"/>
      <c r="M29" s="95" t="str">
        <f ca="1">IFERROR(__xludf.DUMMYFUNCTION("IFERROR(JOIN("","", UNIQUE(filter({I29; K29}, {I29; K29}&lt;&gt;""""))), """")"),"Lysosomes")</f>
        <v>Lysosomes</v>
      </c>
      <c r="N29" s="98"/>
      <c r="O29" s="98"/>
      <c r="P29" s="98"/>
      <c r="Q29" s="98"/>
      <c r="R29" s="98"/>
      <c r="S29" s="95" t="str">
        <f ca="1">IFERROR(__xludf.DUMMYFUNCTION("IFERROR(JOIN("","", UNIQUE(filter({O29; Q29}, {O29; Q29}&lt;&gt;""""))), """")"),"")</f>
        <v/>
      </c>
      <c r="T29" s="99"/>
      <c r="U29" s="99"/>
      <c r="V29" s="99"/>
      <c r="W29" s="99"/>
      <c r="X29" s="99"/>
      <c r="Y29" s="95" t="str">
        <f ca="1">IFERROR(__xludf.DUMMYFUNCTION("IFERROR(JOIN("","", UNIQUE(filter({U29; W29}, {U29; W29}&lt;&gt;""""))), """")"),"")</f>
        <v/>
      </c>
    </row>
    <row r="30" spans="2:25" ht="15.75" customHeight="1" x14ac:dyDescent="0.15">
      <c r="B30" s="10" t="str">
        <f ca="1">IFERROR(__xludf.DUMMYFUNCTION("""COMPUTED_VALUE"""),"ef1a:E2Crimson (iCodon)")</f>
        <v>ef1a:E2Crimson (iCodon)</v>
      </c>
      <c r="C30" s="10"/>
      <c r="D30" s="10"/>
      <c r="E30" s="10"/>
      <c r="F30" s="10"/>
      <c r="G30" s="95" t="str">
        <f ca="1">IFERROR(__xludf.DUMMYFUNCTION("IFERROR(JOIN("","", UNIQUE(filter({C30; E30}, {C30; E30}&lt;&gt;""""))), """")"),"")</f>
        <v/>
      </c>
      <c r="H30" s="96" t="str">
        <f ca="1">IFERROR(__xludf.DUMMYFUNCTION("""COMPUTED_VALUE"""),"Arl13b:mSG")</f>
        <v>Arl13b:mSG</v>
      </c>
      <c r="I30" s="97" t="str">
        <f ca="1">IFERROR(__xludf.DUMMYFUNCTION("""COMPUTED_VALUE"""),"Cilia")</f>
        <v>Cilia</v>
      </c>
      <c r="J30" s="97" t="str">
        <f ca="1">IFERROR(__xludf.DUMMYFUNCTION("""COMPUTED_VALUE"""),"488")</f>
        <v>488</v>
      </c>
      <c r="K30" s="96"/>
      <c r="L30" s="96"/>
      <c r="M30" s="95" t="str">
        <f ca="1">IFERROR(__xludf.DUMMYFUNCTION("IFERROR(JOIN("","", UNIQUE(filter({I30; K30}, {I30; K30}&lt;&gt;""""))), """")"),"Cilia")</f>
        <v>Cilia</v>
      </c>
      <c r="N30" s="98"/>
      <c r="O30" s="98"/>
      <c r="P30" s="98"/>
      <c r="Q30" s="98"/>
      <c r="R30" s="98"/>
      <c r="S30" s="95" t="str">
        <f ca="1">IFERROR(__xludf.DUMMYFUNCTION("IFERROR(JOIN("","", UNIQUE(filter({O30; Q30}, {O30; Q30}&lt;&gt;""""))), """")"),"")</f>
        <v/>
      </c>
      <c r="T30" s="99"/>
      <c r="U30" s="99"/>
      <c r="V30" s="99"/>
      <c r="W30" s="99"/>
      <c r="X30" s="99"/>
      <c r="Y30" s="95" t="str">
        <f ca="1">IFERROR(__xludf.DUMMYFUNCTION("IFERROR(JOIN("","", UNIQUE(filter({U30; W30}, {U30; W30}&lt;&gt;""""))), """")"),"")</f>
        <v/>
      </c>
    </row>
    <row r="31" spans="2:25" ht="15.75" customHeight="1" x14ac:dyDescent="0.15">
      <c r="B31" s="10" t="str">
        <f ca="1">IFERROR(__xludf.DUMMYFUNCTION("""COMPUTED_VALUE"""),"None")</f>
        <v>None</v>
      </c>
      <c r="C31" s="10"/>
      <c r="D31" s="10"/>
      <c r="E31" s="10"/>
      <c r="F31" s="10"/>
      <c r="G31" s="95" t="str">
        <f ca="1">IFERROR(__xludf.DUMMYFUNCTION("IFERROR(JOIN("","", UNIQUE(filter({C31; E31}, {C31; E31}&lt;&gt;""""))), """")"),"")</f>
        <v/>
      </c>
      <c r="H31" s="96" t="str">
        <f ca="1">IFERROR(__xludf.DUMMYFUNCTION("""COMPUTED_VALUE"""),"Arl13b:mChilada")</f>
        <v>Arl13b:mChilada</v>
      </c>
      <c r="I31" s="97" t="str">
        <f ca="1">IFERROR(__xludf.DUMMYFUNCTION("""COMPUTED_VALUE"""),"Cilia")</f>
        <v>Cilia</v>
      </c>
      <c r="J31" s="97" t="str">
        <f ca="1">IFERROR(__xludf.DUMMYFUNCTION("""COMPUTED_VALUE"""),"560")</f>
        <v>560</v>
      </c>
      <c r="K31" s="96"/>
      <c r="L31" s="96"/>
      <c r="M31" s="95" t="str">
        <f ca="1">IFERROR(__xludf.DUMMYFUNCTION("IFERROR(JOIN("","", UNIQUE(filter({I31; K31}, {I31; K31}&lt;&gt;""""))), """")"),"Cilia")</f>
        <v>Cilia</v>
      </c>
      <c r="N31" s="98"/>
      <c r="O31" s="98"/>
      <c r="P31" s="98"/>
      <c r="Q31" s="98"/>
      <c r="R31" s="98"/>
      <c r="S31" s="95" t="str">
        <f ca="1">IFERROR(__xludf.DUMMYFUNCTION("IFERROR(JOIN("","", UNIQUE(filter({O31; Q31}, {O31; Q31}&lt;&gt;""""))), """")"),"")</f>
        <v/>
      </c>
      <c r="T31" s="99"/>
      <c r="U31" s="99"/>
      <c r="V31" s="99"/>
      <c r="W31" s="99"/>
      <c r="X31" s="99"/>
      <c r="Y31" s="95" t="str">
        <f ca="1">IFERROR(__xludf.DUMMYFUNCTION("IFERROR(JOIN("","", UNIQUE(filter({U31; W31}, {U31; W31}&lt;&gt;""""))), """")"),"")</f>
        <v/>
      </c>
    </row>
    <row r="32" spans="2:25" ht="15.75" customHeight="1" x14ac:dyDescent="0.15">
      <c r="B32" s="10" t="str">
        <f ca="1">IFERROR(__xludf.DUMMYFUNCTION("""COMPUTED_VALUE"""),"MGCO-34(lifeact-mStayGold)")</f>
        <v>MGCO-34(lifeact-mStayGold)</v>
      </c>
      <c r="C32" s="10"/>
      <c r="D32" s="10"/>
      <c r="E32" s="10"/>
      <c r="F32" s="10"/>
      <c r="G32" s="95" t="str">
        <f ca="1">IFERROR(__xludf.DUMMYFUNCTION("IFERROR(JOIN("","", UNIQUE(filter({C32; E32}, {C32; E32}&lt;&gt;""""))), """")"),"")</f>
        <v/>
      </c>
      <c r="H32" s="96" t="str">
        <f ca="1">IFERROR(__xludf.DUMMYFUNCTION("""COMPUTED_VALUE"""),"Arl13b:Halo")</f>
        <v>Arl13b:Halo</v>
      </c>
      <c r="I32" s="97" t="str">
        <f ca="1">IFERROR(__xludf.DUMMYFUNCTION("""COMPUTED_VALUE"""),"Cilia")</f>
        <v>Cilia</v>
      </c>
      <c r="J32" s="97" t="str">
        <f ca="1">IFERROR(__xludf.DUMMYFUNCTION("""COMPUTED_VALUE"""),"642")</f>
        <v>642</v>
      </c>
      <c r="K32" s="96"/>
      <c r="L32" s="96"/>
      <c r="M32" s="95" t="str">
        <f ca="1">IFERROR(__xludf.DUMMYFUNCTION("IFERROR(JOIN("","", UNIQUE(filter({I32; K32}, {I32; K32}&lt;&gt;""""))), """")"),"Cilia")</f>
        <v>Cilia</v>
      </c>
      <c r="N32" s="98"/>
      <c r="O32" s="98"/>
      <c r="P32" s="98"/>
      <c r="Q32" s="98"/>
      <c r="R32" s="98"/>
      <c r="S32" s="95" t="str">
        <f ca="1">IFERROR(__xludf.DUMMYFUNCTION("IFERROR(JOIN("","", UNIQUE(filter({O32; Q32}, {O32; Q32}&lt;&gt;""""))), """")"),"")</f>
        <v/>
      </c>
      <c r="T32" s="99"/>
      <c r="U32" s="99"/>
      <c r="V32" s="99"/>
      <c r="W32" s="99"/>
      <c r="X32" s="99"/>
      <c r="Y32" s="95" t="str">
        <f ca="1">IFERROR(__xludf.DUMMYFUNCTION("IFERROR(JOIN("","", UNIQUE(filter({U32; W32}, {U32; W32}&lt;&gt;""""))), """")"),"")</f>
        <v/>
      </c>
    </row>
    <row r="33" spans="2:25" ht="15.75" customHeight="1" x14ac:dyDescent="0.15">
      <c r="B33" s="10" t="str">
        <f ca="1">IFERROR(__xludf.DUMMYFUNCTION("""COMPUTED_VALUE"""),"MGCO-48(mScarlet3S2-MyosinII)")</f>
        <v>MGCO-48(mScarlet3S2-MyosinII)</v>
      </c>
      <c r="C33" s="10"/>
      <c r="D33" s="10"/>
      <c r="E33" s="10"/>
      <c r="F33" s="10"/>
      <c r="G33" s="95" t="str">
        <f ca="1">IFERROR(__xludf.DUMMYFUNCTION("IFERROR(JOIN("","", UNIQUE(filter({C33; E33}, {C33; E33}&lt;&gt;""""))), """")"),"")</f>
        <v/>
      </c>
      <c r="H33" s="96" t="str">
        <f ca="1">IFERROR(__xludf.DUMMYFUNCTION("""COMPUTED_VALUE"""),"mSG:alpha-tub")</f>
        <v>mSG:alpha-tub</v>
      </c>
      <c r="I33" s="97" t="str">
        <f ca="1">IFERROR(__xludf.DUMMYFUNCTION("""COMPUTED_VALUE"""),"Microtubules")</f>
        <v>Microtubules</v>
      </c>
      <c r="J33" s="97" t="str">
        <f ca="1">IFERROR(__xludf.DUMMYFUNCTION("""COMPUTED_VALUE"""),"488")</f>
        <v>488</v>
      </c>
      <c r="K33" s="96"/>
      <c r="L33" s="96"/>
      <c r="M33" s="95" t="str">
        <f ca="1">IFERROR(__xludf.DUMMYFUNCTION("IFERROR(JOIN("","", UNIQUE(filter({I33; K33}, {I33; K33}&lt;&gt;""""))), """")"),"Microtubules")</f>
        <v>Microtubules</v>
      </c>
      <c r="N33" s="98"/>
      <c r="O33" s="98"/>
      <c r="P33" s="98"/>
      <c r="Q33" s="98"/>
      <c r="R33" s="98"/>
      <c r="S33" s="95" t="str">
        <f ca="1">IFERROR(__xludf.DUMMYFUNCTION("IFERROR(JOIN("","", UNIQUE(filter({O33; Q33}, {O33; Q33}&lt;&gt;""""))), """")"),"")</f>
        <v/>
      </c>
      <c r="T33" s="99"/>
      <c r="U33" s="99"/>
      <c r="V33" s="99"/>
      <c r="W33" s="99"/>
      <c r="X33" s="99"/>
      <c r="Y33" s="95" t="str">
        <f ca="1">IFERROR(__xludf.DUMMYFUNCTION("IFERROR(JOIN("","", UNIQUE(filter({U33; W33}, {U33; W33}&lt;&gt;""""))), """")"),"")</f>
        <v/>
      </c>
    </row>
    <row r="34" spans="2:25" ht="15.75" customHeight="1" x14ac:dyDescent="0.15">
      <c r="B34" s="10" t="str">
        <f ca="1">IFERROR(__xludf.DUMMYFUNCTION("""COMPUTED_VALUE"""),"MGCO-01(ef1a-2Xcox8A-linker-mStayGold-SV40-attb-tol2)")</f>
        <v>MGCO-01(ef1a-2Xcox8A-linker-mStayGold-SV40-attb-tol2)</v>
      </c>
      <c r="C34" s="10"/>
      <c r="D34" s="10"/>
      <c r="E34" s="10"/>
      <c r="F34" s="10"/>
      <c r="G34" s="95" t="str">
        <f ca="1">IFERROR(__xludf.DUMMYFUNCTION("IFERROR(JOIN("","", UNIQUE(filter({C34; E34}, {C34; E34}&lt;&gt;""""))), """")"),"")</f>
        <v/>
      </c>
      <c r="H34" s="96" t="str">
        <f ca="1">IFERROR(__xludf.DUMMYFUNCTION("""COMPUTED_VALUE"""),"mChilada:alpha-tub")</f>
        <v>mChilada:alpha-tub</v>
      </c>
      <c r="I34" s="97" t="str">
        <f ca="1">IFERROR(__xludf.DUMMYFUNCTION("""COMPUTED_VALUE"""),"Microtubules")</f>
        <v>Microtubules</v>
      </c>
      <c r="J34" s="97" t="str">
        <f ca="1">IFERROR(__xludf.DUMMYFUNCTION("""COMPUTED_VALUE"""),"560")</f>
        <v>560</v>
      </c>
      <c r="K34" s="96"/>
      <c r="L34" s="96"/>
      <c r="M34" s="95" t="str">
        <f ca="1">IFERROR(__xludf.DUMMYFUNCTION("IFERROR(JOIN("","", UNIQUE(filter({I34; K34}, {I34; K34}&lt;&gt;""""))), """")"),"Microtubules")</f>
        <v>Microtubules</v>
      </c>
      <c r="N34" s="98"/>
      <c r="O34" s="98"/>
      <c r="P34" s="98"/>
      <c r="Q34" s="98"/>
      <c r="R34" s="98"/>
      <c r="S34" s="95" t="str">
        <f ca="1">IFERROR(__xludf.DUMMYFUNCTION("IFERROR(JOIN("","", UNIQUE(filter({O34; Q34}, {O34; Q34}&lt;&gt;""""))), """")"),"")</f>
        <v/>
      </c>
      <c r="T34" s="99"/>
      <c r="U34" s="99"/>
      <c r="V34" s="99"/>
      <c r="W34" s="99"/>
      <c r="X34" s="99"/>
      <c r="Y34" s="95" t="str">
        <f ca="1">IFERROR(__xludf.DUMMYFUNCTION("IFERROR(JOIN("","", UNIQUE(filter({U34; W34}, {U34; W34}&lt;&gt;""""))), """")"),"")</f>
        <v/>
      </c>
    </row>
    <row r="35" spans="2:25" ht="15.75" customHeight="1" x14ac:dyDescent="0.15">
      <c r="B35" s="10" t="str">
        <f ca="1">IFERROR(__xludf.DUMMYFUNCTION("""COMPUTED_VALUE"""),"MGCO-28(ef1a-extended-2Xcox8A-linker-mStayGold-SV40-attb-tol2)")</f>
        <v>MGCO-28(ef1a-extended-2Xcox8A-linker-mStayGold-SV40-attb-tol2)</v>
      </c>
      <c r="C35" s="10"/>
      <c r="D35" s="10"/>
      <c r="E35" s="10"/>
      <c r="F35" s="10"/>
      <c r="G35" s="95" t="str">
        <f ca="1">IFERROR(__xludf.DUMMYFUNCTION("IFERROR(JOIN("","", UNIQUE(filter({C35; E35}, {C35; E35}&lt;&gt;""""))), """")"),"")</f>
        <v/>
      </c>
      <c r="H35" s="96" t="str">
        <f ca="1">IFERROR(__xludf.DUMMYFUNCTION("""COMPUTED_VALUE"""),"Halo:alpha-tub")</f>
        <v>Halo:alpha-tub</v>
      </c>
      <c r="I35" s="97" t="str">
        <f ca="1">IFERROR(__xludf.DUMMYFUNCTION("""COMPUTED_VALUE"""),"Microtubules")</f>
        <v>Microtubules</v>
      </c>
      <c r="J35" s="97" t="str">
        <f ca="1">IFERROR(__xludf.DUMMYFUNCTION("""COMPUTED_VALUE"""),"642")</f>
        <v>642</v>
      </c>
      <c r="K35" s="96"/>
      <c r="L35" s="96"/>
      <c r="M35" s="95" t="str">
        <f ca="1">IFERROR(__xludf.DUMMYFUNCTION("IFERROR(JOIN("","", UNIQUE(filter({I35; K35}, {I35; K35}&lt;&gt;""""))), """")"),"Microtubules")</f>
        <v>Microtubules</v>
      </c>
      <c r="N35" s="98"/>
      <c r="O35" s="98"/>
      <c r="P35" s="98"/>
      <c r="Q35" s="98"/>
      <c r="R35" s="98"/>
      <c r="S35" s="95" t="str">
        <f ca="1">IFERROR(__xludf.DUMMYFUNCTION("IFERROR(JOIN("","", UNIQUE(filter({O35; Q35}, {O35; Q35}&lt;&gt;""""))), """")"),"")</f>
        <v/>
      </c>
      <c r="T35" s="99"/>
      <c r="U35" s="99"/>
      <c r="V35" s="99"/>
      <c r="W35" s="99"/>
      <c r="X35" s="99"/>
      <c r="Y35" s="95" t="str">
        <f ca="1">IFERROR(__xludf.DUMMYFUNCTION("IFERROR(JOIN("","", UNIQUE(filter({U35; W35}, {U35; W35}&lt;&gt;""""))), """")"),"")</f>
        <v/>
      </c>
    </row>
    <row r="36" spans="2:25" ht="15.75" customHeight="1" x14ac:dyDescent="0.15">
      <c r="B36" s="10" t="str">
        <f ca="1">IFERROR(__xludf.DUMMYFUNCTION("""COMPUTED_VALUE"""),"MGCO-50(microtubule-A2UCOE-attb_entire+pDQM147-EB3-mStayGold)")</f>
        <v>MGCO-50(microtubule-A2UCOE-attb_entire+pDQM147-EB3-mStayGold)</v>
      </c>
      <c r="C36" s="80" t="str">
        <f ca="1">IFERROR(__xludf.DUMMYFUNCTION("""COMPUTED_VALUE"""),"Microtubule end binding protein")</f>
        <v>Microtubule end binding protein</v>
      </c>
      <c r="D36" s="80" t="str">
        <f ca="1">IFERROR(__xludf.DUMMYFUNCTION("""COMPUTED_VALUE"""),"488")</f>
        <v>488</v>
      </c>
      <c r="E36" s="10"/>
      <c r="F36" s="10"/>
      <c r="G36" s="95" t="str">
        <f ca="1">IFERROR(__xludf.DUMMYFUNCTION("IFERROR(JOIN("","", UNIQUE(filter({C36; E36}, {C36; E36}&lt;&gt;""""))), """")"),"Microtubule end binding protein")</f>
        <v>Microtubule end binding protein</v>
      </c>
      <c r="H36" s="96" t="str">
        <f ca="1">IFERROR(__xludf.DUMMYFUNCTION("""COMPUTED_VALUE"""),"Vimentin:mSG")</f>
        <v>Vimentin:mSG</v>
      </c>
      <c r="I36" s="97" t="str">
        <f ca="1">IFERROR(__xludf.DUMMYFUNCTION("""COMPUTED_VALUE"""),"Intermediate Filaments")</f>
        <v>Intermediate Filaments</v>
      </c>
      <c r="J36" s="97" t="str">
        <f ca="1">IFERROR(__xludf.DUMMYFUNCTION("""COMPUTED_VALUE"""),"488")</f>
        <v>488</v>
      </c>
      <c r="K36" s="96"/>
      <c r="L36" s="96"/>
      <c r="M36" s="95" t="str">
        <f ca="1">IFERROR(__xludf.DUMMYFUNCTION("IFERROR(JOIN("","", UNIQUE(filter({I36; K36}, {I36; K36}&lt;&gt;""""))), """")"),"Intermediate Filaments")</f>
        <v>Intermediate Filaments</v>
      </c>
      <c r="N36" s="98"/>
      <c r="O36" s="98"/>
      <c r="P36" s="98"/>
      <c r="Q36" s="98"/>
      <c r="R36" s="98"/>
      <c r="S36" s="95" t="str">
        <f ca="1">IFERROR(__xludf.DUMMYFUNCTION("IFERROR(JOIN("","", UNIQUE(filter({O36; Q36}, {O36; Q36}&lt;&gt;""""))), """")"),"")</f>
        <v/>
      </c>
      <c r="T36" s="99"/>
      <c r="U36" s="99"/>
      <c r="V36" s="99"/>
      <c r="W36" s="99"/>
      <c r="X36" s="99"/>
      <c r="Y36" s="95" t="str">
        <f ca="1">IFERROR(__xludf.DUMMYFUNCTION("IFERROR(JOIN("","", UNIQUE(filter({U36; W36}, {U36; W36}&lt;&gt;""""))), """")"),"")</f>
        <v/>
      </c>
    </row>
    <row r="37" spans="2:25" ht="15.75" customHeight="1" x14ac:dyDescent="0.15">
      <c r="B37" s="10" t="str">
        <f ca="1">IFERROR(__xludf.DUMMYFUNCTION("""COMPUTED_VALUE"""),"MGCO54(nuclearenvelope-A2UCOE-attb_entire+pDQM147-LEMD2-mStayGold)")</f>
        <v>MGCO54(nuclearenvelope-A2UCOE-attb_entire+pDQM147-LEMD2-mStayGold)</v>
      </c>
      <c r="C37" s="80" t="str">
        <f ca="1">IFERROR(__xludf.DUMMYFUNCTION("""COMPUTED_VALUE"""),"nuclear_envelope")</f>
        <v>nuclear_envelope</v>
      </c>
      <c r="D37" s="80" t="str">
        <f ca="1">IFERROR(__xludf.DUMMYFUNCTION("""COMPUTED_VALUE"""),"488")</f>
        <v>488</v>
      </c>
      <c r="E37" s="10"/>
      <c r="F37" s="10"/>
      <c r="G37" s="95" t="str">
        <f ca="1">IFERROR(__xludf.DUMMYFUNCTION("IFERROR(JOIN("","", UNIQUE(filter({C37; E37}, {C37; E37}&lt;&gt;""""))), """")"),"nuclear_envelope")</f>
        <v>nuclear_envelope</v>
      </c>
      <c r="H37" s="96" t="str">
        <f ca="1">IFERROR(__xludf.DUMMYFUNCTION("""COMPUTED_VALUE"""),"Vimentin:mChilada")</f>
        <v>Vimentin:mChilada</v>
      </c>
      <c r="I37" s="97" t="str">
        <f ca="1">IFERROR(__xludf.DUMMYFUNCTION("""COMPUTED_VALUE"""),"Intermediate Filaments")</f>
        <v>Intermediate Filaments</v>
      </c>
      <c r="J37" s="97" t="str">
        <f ca="1">IFERROR(__xludf.DUMMYFUNCTION("""COMPUTED_VALUE"""),"560")</f>
        <v>560</v>
      </c>
      <c r="K37" s="96"/>
      <c r="L37" s="96"/>
      <c r="M37" s="95" t="str">
        <f ca="1">IFERROR(__xludf.DUMMYFUNCTION("IFERROR(JOIN("","", UNIQUE(filter({I37; K37}, {I37; K37}&lt;&gt;""""))), """")"),"Intermediate Filaments")</f>
        <v>Intermediate Filaments</v>
      </c>
      <c r="N37" s="98"/>
      <c r="O37" s="98"/>
      <c r="P37" s="98"/>
      <c r="Q37" s="98"/>
      <c r="R37" s="98"/>
      <c r="S37" s="95" t="str">
        <f ca="1">IFERROR(__xludf.DUMMYFUNCTION("IFERROR(JOIN("","", UNIQUE(filter({O37; Q37}, {O37; Q37}&lt;&gt;""""))), """")"),"")</f>
        <v/>
      </c>
      <c r="T37" s="99"/>
      <c r="U37" s="99"/>
      <c r="V37" s="99"/>
      <c r="W37" s="99"/>
      <c r="X37" s="99"/>
      <c r="Y37" s="95" t="str">
        <f ca="1">IFERROR(__xludf.DUMMYFUNCTION("IFERROR(JOIN("","", UNIQUE(filter({U37; W37}, {U37; W37}&lt;&gt;""""))), """")"),"")</f>
        <v/>
      </c>
    </row>
    <row r="38" spans="2:25" ht="15.75" customHeight="1" x14ac:dyDescent="0.15">
      <c r="B38" s="10" t="str">
        <f ca="1">IFERROR(__xludf.DUMMYFUNCTION("""COMPUTED_VALUE"""),"MGCO-49_peroxisome-A2UCOE-ef1aextra-mStayGold-SKL")</f>
        <v>MGCO-49_peroxisome-A2UCOE-ef1aextra-mStayGold-SKL</v>
      </c>
      <c r="C38" s="80" t="str">
        <f ca="1">IFERROR(__xludf.DUMMYFUNCTION("""COMPUTED_VALUE"""),"peroxisomes")</f>
        <v>peroxisomes</v>
      </c>
      <c r="D38" s="80" t="str">
        <f ca="1">IFERROR(__xludf.DUMMYFUNCTION("""COMPUTED_VALUE"""),"488")</f>
        <v>488</v>
      </c>
      <c r="E38" s="10"/>
      <c r="F38" s="10"/>
      <c r="G38" s="95" t="str">
        <f ca="1">IFERROR(__xludf.DUMMYFUNCTION("IFERROR(JOIN("","", UNIQUE(filter({C38; E38}, {C38; E38}&lt;&gt;""""))), """")"),"peroxisomes")</f>
        <v>peroxisomes</v>
      </c>
      <c r="H38" s="96" t="str">
        <f ca="1">IFERROR(__xludf.DUMMYFUNCTION("""COMPUTED_VALUE"""),"Vimentin:Halo")</f>
        <v>Vimentin:Halo</v>
      </c>
      <c r="I38" s="97" t="str">
        <f ca="1">IFERROR(__xludf.DUMMYFUNCTION("""COMPUTED_VALUE"""),"Intermediate Filaments")</f>
        <v>Intermediate Filaments</v>
      </c>
      <c r="J38" s="97" t="str">
        <f ca="1">IFERROR(__xludf.DUMMYFUNCTION("""COMPUTED_VALUE"""),"642")</f>
        <v>642</v>
      </c>
      <c r="K38" s="96"/>
      <c r="L38" s="96"/>
      <c r="M38" s="95" t="str">
        <f ca="1">IFERROR(__xludf.DUMMYFUNCTION("IFERROR(JOIN("","", UNIQUE(filter({I38; K38}, {I38; K38}&lt;&gt;""""))), """")"),"Intermediate Filaments")</f>
        <v>Intermediate Filaments</v>
      </c>
      <c r="N38" s="98"/>
      <c r="O38" s="98"/>
      <c r="P38" s="98"/>
      <c r="Q38" s="98"/>
      <c r="R38" s="98"/>
      <c r="S38" s="95" t="str">
        <f ca="1">IFERROR(__xludf.DUMMYFUNCTION("IFERROR(JOIN("","", UNIQUE(filter({O38; Q38}, {O38; Q38}&lt;&gt;""""))), """")"),"")</f>
        <v/>
      </c>
      <c r="T38" s="99"/>
      <c r="U38" s="99"/>
      <c r="V38" s="99"/>
      <c r="W38" s="99"/>
      <c r="X38" s="99"/>
      <c r="Y38" s="95" t="str">
        <f ca="1">IFERROR(__xludf.DUMMYFUNCTION("IFERROR(JOIN("","", UNIQUE(filter({U38; W38}, {U38; W38}&lt;&gt;""""))), """")"),"")</f>
        <v/>
      </c>
    </row>
    <row r="39" spans="2:25" ht="15.75" customHeight="1" x14ac:dyDescent="0.15">
      <c r="B39" s="10" t="str">
        <f ca="1">IFERROR(__xludf.DUMMYFUNCTION("""COMPUTED_VALUE"""),"MGCO-51-lamellipodia-A2UCOE-attb_entire+PDQM148-mStayGold-C4-cortactin")</f>
        <v>MGCO-51-lamellipodia-A2UCOE-attb_entire+PDQM148-mStayGold-C4-cortactin</v>
      </c>
      <c r="C39" s="80" t="str">
        <f ca="1">IFERROR(__xludf.DUMMYFUNCTION("""COMPUTED_VALUE"""),"lamellipodia")</f>
        <v>lamellipodia</v>
      </c>
      <c r="D39" s="80" t="str">
        <f ca="1">IFERROR(__xludf.DUMMYFUNCTION("""COMPUTED_VALUE"""),"488")</f>
        <v>488</v>
      </c>
      <c r="E39" s="10"/>
      <c r="F39" s="10"/>
      <c r="G39" s="95" t="str">
        <f ca="1">IFERROR(__xludf.DUMMYFUNCTION("IFERROR(JOIN("","", UNIQUE(filter({C39; E39}, {C39; E39}&lt;&gt;""""))), """")"),"lamellipodia")</f>
        <v>lamellipodia</v>
      </c>
      <c r="H39" s="96" t="str">
        <f ca="1">IFERROR(__xludf.DUMMYFUNCTION("""COMPUTED_VALUE"""),"Lifeact:mSG")</f>
        <v>Lifeact:mSG</v>
      </c>
      <c r="I39" s="97" t="str">
        <f ca="1">IFERROR(__xludf.DUMMYFUNCTION("""COMPUTED_VALUE"""),"Actin")</f>
        <v>Actin</v>
      </c>
      <c r="J39" s="97" t="str">
        <f ca="1">IFERROR(__xludf.DUMMYFUNCTION("""COMPUTED_VALUE"""),"488")</f>
        <v>488</v>
      </c>
      <c r="K39" s="96"/>
      <c r="L39" s="96"/>
      <c r="M39" s="95" t="str">
        <f ca="1">IFERROR(__xludf.DUMMYFUNCTION("IFERROR(JOIN("","", UNIQUE(filter({I39; K39}, {I39; K39}&lt;&gt;""""))), """")"),"Actin")</f>
        <v>Actin</v>
      </c>
      <c r="N39" s="98"/>
      <c r="O39" s="98"/>
      <c r="P39" s="98"/>
      <c r="Q39" s="98"/>
      <c r="R39" s="98"/>
      <c r="S39" s="95" t="str">
        <f ca="1">IFERROR(__xludf.DUMMYFUNCTION("IFERROR(JOIN("","", UNIQUE(filter({O39; Q39}, {O39; Q39}&lt;&gt;""""))), """")"),"")</f>
        <v/>
      </c>
      <c r="T39" s="99"/>
      <c r="U39" s="99"/>
      <c r="V39" s="99"/>
      <c r="W39" s="99"/>
      <c r="X39" s="99"/>
      <c r="Y39" s="95" t="str">
        <f ca="1">IFERROR(__xludf.DUMMYFUNCTION("IFERROR(JOIN("","", UNIQUE(filter({U39; W39}, {U39; W39}&lt;&gt;""""))), """")"),"")</f>
        <v/>
      </c>
    </row>
    <row r="40" spans="2:25" ht="15.75" customHeight="1" x14ac:dyDescent="0.15">
      <c r="B40" s="10" t="str">
        <f ca="1">IFERROR(__xludf.DUMMYFUNCTION("""COMPUTED_VALUE"""),"MGCO-52-peroxisome-A2UCOE-attb_entire+pDQM147-ABCDpmp70-mStayGold")</f>
        <v>MGCO-52-peroxisome-A2UCOE-attb_entire+pDQM147-ABCDpmp70-mStayGold</v>
      </c>
      <c r="C40" s="80" t="str">
        <f ca="1">IFERROR(__xludf.DUMMYFUNCTION("""COMPUTED_VALUE"""),"peroxisomes")</f>
        <v>peroxisomes</v>
      </c>
      <c r="D40" s="80" t="str">
        <f ca="1">IFERROR(__xludf.DUMMYFUNCTION("""COMPUTED_VALUE"""),"488")</f>
        <v>488</v>
      </c>
      <c r="E40" s="10"/>
      <c r="F40" s="10"/>
      <c r="G40" s="95" t="str">
        <f ca="1">IFERROR(__xludf.DUMMYFUNCTION("IFERROR(JOIN("","", UNIQUE(filter({C40; E40}, {C40; E40}&lt;&gt;""""))), """")"),"peroxisomes")</f>
        <v>peroxisomes</v>
      </c>
      <c r="H40" s="96" t="str">
        <f ca="1">IFERROR(__xludf.DUMMYFUNCTION("""COMPUTED_VALUE"""),"Lifeact:mChilada")</f>
        <v>Lifeact:mChilada</v>
      </c>
      <c r="I40" s="97" t="str">
        <f ca="1">IFERROR(__xludf.DUMMYFUNCTION("""COMPUTED_VALUE"""),"Actin")</f>
        <v>Actin</v>
      </c>
      <c r="J40" s="97" t="str">
        <f ca="1">IFERROR(__xludf.DUMMYFUNCTION("""COMPUTED_VALUE"""),"560")</f>
        <v>560</v>
      </c>
      <c r="K40" s="96"/>
      <c r="L40" s="96"/>
      <c r="M40" s="95" t="str">
        <f ca="1">IFERROR(__xludf.DUMMYFUNCTION("IFERROR(JOIN("","", UNIQUE(filter({I40; K40}, {I40; K40}&lt;&gt;""""))), """")"),"Actin")</f>
        <v>Actin</v>
      </c>
      <c r="N40" s="98"/>
      <c r="O40" s="98"/>
      <c r="P40" s="98"/>
      <c r="Q40" s="98"/>
      <c r="R40" s="98"/>
      <c r="S40" s="95" t="str">
        <f ca="1">IFERROR(__xludf.DUMMYFUNCTION("IFERROR(JOIN("","", UNIQUE(filter({O40; Q40}, {O40; Q40}&lt;&gt;""""))), """")"),"")</f>
        <v/>
      </c>
      <c r="T40" s="99"/>
      <c r="U40" s="99"/>
      <c r="V40" s="99"/>
      <c r="W40" s="99"/>
      <c r="X40" s="99"/>
      <c r="Y40" s="95" t="str">
        <f ca="1">IFERROR(__xludf.DUMMYFUNCTION("IFERROR(JOIN("","", UNIQUE(filter({U40; W40}, {U40; W40}&lt;&gt;""""))), """")"),"")</f>
        <v/>
      </c>
    </row>
    <row r="41" spans="2:25" ht="15.75" customHeight="1" x14ac:dyDescent="0.15">
      <c r="B41" s="10" t="str">
        <f ca="1">IFERROR(__xludf.DUMMYFUNCTION("""COMPUTED_VALUE"""),"MGCO-53-ER-A2UCOE-attb_entire+pDQM147-calnexin-mStayGold")</f>
        <v>MGCO-53-ER-A2UCOE-attb_entire+pDQM147-calnexin-mStayGold</v>
      </c>
      <c r="C41" s="80" t="str">
        <f ca="1">IFERROR(__xludf.DUMMYFUNCTION("""COMPUTED_VALUE"""),"ER")</f>
        <v>ER</v>
      </c>
      <c r="D41" s="80" t="str">
        <f ca="1">IFERROR(__xludf.DUMMYFUNCTION("""COMPUTED_VALUE"""),"488")</f>
        <v>488</v>
      </c>
      <c r="E41" s="10"/>
      <c r="F41" s="10"/>
      <c r="G41" s="95" t="str">
        <f ca="1">IFERROR(__xludf.DUMMYFUNCTION("IFERROR(JOIN("","", UNIQUE(filter({C41; E41}, {C41; E41}&lt;&gt;""""))), """")"),"ER")</f>
        <v>ER</v>
      </c>
      <c r="H41" s="96" t="str">
        <f ca="1">IFERROR(__xludf.DUMMYFUNCTION("""COMPUTED_VALUE"""),"Lifeact:Halo")</f>
        <v>Lifeact:Halo</v>
      </c>
      <c r="I41" s="97" t="str">
        <f ca="1">IFERROR(__xludf.DUMMYFUNCTION("""COMPUTED_VALUE"""),"Actin")</f>
        <v>Actin</v>
      </c>
      <c r="J41" s="97" t="str">
        <f ca="1">IFERROR(__xludf.DUMMYFUNCTION("""COMPUTED_VALUE"""),"642")</f>
        <v>642</v>
      </c>
      <c r="K41" s="96"/>
      <c r="L41" s="96"/>
      <c r="M41" s="95" t="str">
        <f ca="1">IFERROR(__xludf.DUMMYFUNCTION("IFERROR(JOIN("","", UNIQUE(filter({I41; K41}, {I41; K41}&lt;&gt;""""))), """")"),"Actin")</f>
        <v>Actin</v>
      </c>
      <c r="N41" s="98"/>
      <c r="O41" s="98"/>
      <c r="P41" s="98"/>
      <c r="Q41" s="98"/>
      <c r="R41" s="98"/>
      <c r="S41" s="95" t="str">
        <f ca="1">IFERROR(__xludf.DUMMYFUNCTION("IFERROR(JOIN("","", UNIQUE(filter({O41; Q41}, {O41; Q41}&lt;&gt;""""))), """")"),"")</f>
        <v/>
      </c>
      <c r="T41" s="99"/>
      <c r="U41" s="99"/>
      <c r="V41" s="99"/>
      <c r="W41" s="99"/>
      <c r="X41" s="99"/>
      <c r="Y41" s="95" t="str">
        <f ca="1">IFERROR(__xludf.DUMMYFUNCTION("IFERROR(JOIN("","", UNIQUE(filter({U41; W41}, {U41; W41}&lt;&gt;""""))), """")"),"")</f>
        <v/>
      </c>
    </row>
    <row r="42" spans="2:25" ht="15.75" customHeight="1" x14ac:dyDescent="0.15">
      <c r="B42" s="10" t="str">
        <f ca="1">IFERROR(__xludf.DUMMYFUNCTION("""COMPUTED_VALUE"""),"MGCO-55-peroxisome-A2UCOE-attb_entire+pDQM147-pex3-mStayGold")</f>
        <v>MGCO-55-peroxisome-A2UCOE-attb_entire+pDQM147-pex3-mStayGold</v>
      </c>
      <c r="C42" s="80" t="str">
        <f ca="1">IFERROR(__xludf.DUMMYFUNCTION("""COMPUTED_VALUE"""),"peroxisomes")</f>
        <v>peroxisomes</v>
      </c>
      <c r="D42" s="80" t="str">
        <f ca="1">IFERROR(__xludf.DUMMYFUNCTION("""COMPUTED_VALUE"""),"488")</f>
        <v>488</v>
      </c>
      <c r="E42" s="10"/>
      <c r="F42" s="10"/>
      <c r="G42" s="95" t="str">
        <f ca="1">IFERROR(__xludf.DUMMYFUNCTION("IFERROR(JOIN("","", UNIQUE(filter({C42; E42}, {C42; E42}&lt;&gt;""""))), """")"),"peroxisomes")</f>
        <v>peroxisomes</v>
      </c>
      <c r="H42" s="96" t="str">
        <f ca="1">IFERROR(__xludf.DUMMYFUNCTION("""COMPUTED_VALUE"""),"mSG:MYH10")</f>
        <v>mSG:MYH10</v>
      </c>
      <c r="I42" s="97" t="str">
        <f ca="1">IFERROR(__xludf.DUMMYFUNCTION("""COMPUTED_VALUE"""),"Myosin")</f>
        <v>Myosin</v>
      </c>
      <c r="J42" s="97" t="str">
        <f ca="1">IFERROR(__xludf.DUMMYFUNCTION("""COMPUTED_VALUE"""),"488")</f>
        <v>488</v>
      </c>
      <c r="K42" s="96"/>
      <c r="L42" s="96"/>
      <c r="M42" s="95" t="str">
        <f ca="1">IFERROR(__xludf.DUMMYFUNCTION("IFERROR(JOIN("","", UNIQUE(filter({I42; K42}, {I42; K42}&lt;&gt;""""))), """")"),"Myosin")</f>
        <v>Myosin</v>
      </c>
      <c r="N42" s="98"/>
      <c r="O42" s="98"/>
      <c r="P42" s="98"/>
      <c r="Q42" s="98"/>
      <c r="R42" s="98"/>
      <c r="S42" s="95" t="str">
        <f ca="1">IFERROR(__xludf.DUMMYFUNCTION("IFERROR(JOIN("","", UNIQUE(filter({O42; Q42}, {O42; Q42}&lt;&gt;""""))), """")"),"")</f>
        <v/>
      </c>
      <c r="T42" s="99"/>
      <c r="U42" s="99"/>
      <c r="V42" s="99"/>
      <c r="W42" s="99"/>
      <c r="X42" s="99"/>
      <c r="Y42" s="95" t="str">
        <f ca="1">IFERROR(__xludf.DUMMYFUNCTION("IFERROR(JOIN("","", UNIQUE(filter({U42; W42}, {U42; W42}&lt;&gt;""""))), """")"),"")</f>
        <v/>
      </c>
    </row>
    <row r="43" spans="2:25" ht="15.75" customHeight="1" x14ac:dyDescent="0.15">
      <c r="B43" s="10" t="str">
        <f ca="1">IFERROR(__xludf.DUMMYFUNCTION("""COMPUTED_VALUE"""),"MGCO-56-microtubules-A2UCOE-attb_entire+pDQM147-tubba-mStayGold")</f>
        <v>MGCO-56-microtubules-A2UCOE-attb_entire+pDQM147-tubba-mStayGold</v>
      </c>
      <c r="C43" s="10" t="str">
        <f ca="1">IFERROR(__xludf.DUMMYFUNCTION("""COMPUTED_VALUE"""),"Microtubules")</f>
        <v>Microtubules</v>
      </c>
      <c r="D43" s="10" t="str">
        <f ca="1">IFERROR(__xludf.DUMMYFUNCTION("""COMPUTED_VALUE"""),"488")</f>
        <v>488</v>
      </c>
      <c r="E43" s="10"/>
      <c r="F43" s="10"/>
      <c r="G43" s="95" t="str">
        <f ca="1">IFERROR(__xludf.DUMMYFUNCTION("IFERROR(JOIN("","", UNIQUE(filter({C43; E43}, {C43; E43}&lt;&gt;""""))), """")"),"Microtubules")</f>
        <v>Microtubules</v>
      </c>
      <c r="H43" s="96" t="str">
        <f ca="1">IFERROR(__xludf.DUMMYFUNCTION("""COMPUTED_VALUE"""),"mChilada:MYH10")</f>
        <v>mChilada:MYH10</v>
      </c>
      <c r="I43" s="97" t="str">
        <f ca="1">IFERROR(__xludf.DUMMYFUNCTION("""COMPUTED_VALUE"""),"Myosin")</f>
        <v>Myosin</v>
      </c>
      <c r="J43" s="97" t="str">
        <f ca="1">IFERROR(__xludf.DUMMYFUNCTION("""COMPUTED_VALUE"""),"560")</f>
        <v>560</v>
      </c>
      <c r="K43" s="96"/>
      <c r="L43" s="96"/>
      <c r="M43" s="95" t="str">
        <f ca="1">IFERROR(__xludf.DUMMYFUNCTION("IFERROR(JOIN("","", UNIQUE(filter({I43; K43}, {I43; K43}&lt;&gt;""""))), """")"),"Myosin")</f>
        <v>Myosin</v>
      </c>
      <c r="N43" s="98"/>
      <c r="O43" s="98"/>
      <c r="P43" s="98"/>
      <c r="Q43" s="98"/>
      <c r="R43" s="98"/>
      <c r="S43" s="95" t="str">
        <f ca="1">IFERROR(__xludf.DUMMYFUNCTION("IFERROR(JOIN("","", UNIQUE(filter({O43; Q43}, {O43; Q43}&lt;&gt;""""))), """")"),"")</f>
        <v/>
      </c>
      <c r="T43" s="99"/>
      <c r="U43" s="99"/>
      <c r="V43" s="99"/>
      <c r="W43" s="99"/>
      <c r="X43" s="99"/>
      <c r="Y43" s="95" t="str">
        <f ca="1">IFERROR(__xludf.DUMMYFUNCTION("IFERROR(JOIN("","", UNIQUE(filter({U43; W43}, {U43; W43}&lt;&gt;""""))), """")"),"")</f>
        <v/>
      </c>
    </row>
    <row r="44" spans="2:25" ht="15.75" customHeight="1" x14ac:dyDescent="0.15">
      <c r="B44" s="10" t="str">
        <f ca="1">IFERROR(__xludf.DUMMYFUNCTION("""COMPUTED_VALUE"""),"MGCO-57-kinetochores-A2UCOE-attb_entire+PDQM148-mStayGold-C4-CENPA")</f>
        <v>MGCO-57-kinetochores-A2UCOE-attb_entire+PDQM148-mStayGold-C4-CENPA</v>
      </c>
      <c r="C44" s="10" t="str">
        <f ca="1">IFERROR(__xludf.DUMMYFUNCTION("""COMPUTED_VALUE"""),"kinetochores")</f>
        <v>kinetochores</v>
      </c>
      <c r="D44" s="10" t="str">
        <f ca="1">IFERROR(__xludf.DUMMYFUNCTION("""COMPUTED_VALUE"""),"488")</f>
        <v>488</v>
      </c>
      <c r="E44" s="10"/>
      <c r="F44" s="10"/>
      <c r="G44" s="95" t="str">
        <f ca="1">IFERROR(__xludf.DUMMYFUNCTION("IFERROR(JOIN("","", UNIQUE(filter({C44; E44}, {C44; E44}&lt;&gt;""""))), """")"),"kinetochores")</f>
        <v>kinetochores</v>
      </c>
      <c r="H44" s="96" t="str">
        <f ca="1">IFERROR(__xludf.DUMMYFUNCTION("""COMPUTED_VALUE"""),"Halo:MYH10")</f>
        <v>Halo:MYH10</v>
      </c>
      <c r="I44" s="97" t="str">
        <f ca="1">IFERROR(__xludf.DUMMYFUNCTION("""COMPUTED_VALUE"""),"Myosin")</f>
        <v>Myosin</v>
      </c>
      <c r="J44" s="97" t="str">
        <f ca="1">IFERROR(__xludf.DUMMYFUNCTION("""COMPUTED_VALUE"""),"642")</f>
        <v>642</v>
      </c>
      <c r="K44" s="96"/>
      <c r="L44" s="96"/>
      <c r="M44" s="95" t="str">
        <f ca="1">IFERROR(__xludf.DUMMYFUNCTION("IFERROR(JOIN("","", UNIQUE(filter({I44; K44}, {I44; K44}&lt;&gt;""""))), """")"),"Myosin")</f>
        <v>Myosin</v>
      </c>
      <c r="N44" s="98"/>
      <c r="O44" s="98"/>
      <c r="P44" s="98"/>
      <c r="Q44" s="98"/>
      <c r="R44" s="98"/>
      <c r="S44" s="95" t="str">
        <f ca="1">IFERROR(__xludf.DUMMYFUNCTION("IFERROR(JOIN("","", UNIQUE(filter({O44; Q44}, {O44; Q44}&lt;&gt;""""))), """")"),"")</f>
        <v/>
      </c>
      <c r="T44" s="99"/>
      <c r="U44" s="99"/>
      <c r="V44" s="99"/>
      <c r="W44" s="99"/>
      <c r="X44" s="99"/>
      <c r="Y44" s="95" t="str">
        <f ca="1">IFERROR(__xludf.DUMMYFUNCTION("IFERROR(JOIN("","", UNIQUE(filter({U44; W44}, {U44; W44}&lt;&gt;""""))), """")"),"")</f>
        <v/>
      </c>
    </row>
    <row r="45" spans="2:25" ht="15.75" customHeight="1" x14ac:dyDescent="0.15">
      <c r="B45" s="10" t="str">
        <f ca="1">IFERROR(__xludf.DUMMYFUNCTION("""COMPUTED_VALUE"""),"MGCO-58-centrioles-A2UCOE-attb_entire+PDQM148-mStayGold-C4-centrin2")</f>
        <v>MGCO-58-centrioles-A2UCOE-attb_entire+PDQM148-mStayGold-C4-centrin2</v>
      </c>
      <c r="C45" s="10" t="str">
        <f ca="1">IFERROR(__xludf.DUMMYFUNCTION("""COMPUTED_VALUE"""),"centrioles")</f>
        <v>centrioles</v>
      </c>
      <c r="D45" s="10" t="str">
        <f ca="1">IFERROR(__xludf.DUMMYFUNCTION("""COMPUTED_VALUE"""),"488")</f>
        <v>488</v>
      </c>
      <c r="E45" s="10"/>
      <c r="F45" s="10"/>
      <c r="G45" s="95" t="str">
        <f ca="1">IFERROR(__xludf.DUMMYFUNCTION("IFERROR(JOIN("","", UNIQUE(filter({C45; E45}, {C45; E45}&lt;&gt;""""))), """")"),"centrioles")</f>
        <v>centrioles</v>
      </c>
      <c r="H45" s="96" t="str">
        <f ca="1">IFERROR(__xludf.DUMMYFUNCTION("""COMPUTED_VALUE"""),"tdmChilada:PCNA")</f>
        <v>tdmChilada:PCNA</v>
      </c>
      <c r="I45" s="97" t="str">
        <f ca="1">IFERROR(__xludf.DUMMYFUNCTION("""COMPUTED_VALUE"""),"nuclei")</f>
        <v>nuclei</v>
      </c>
      <c r="J45" s="97" t="str">
        <f ca="1">IFERROR(__xludf.DUMMYFUNCTION("""COMPUTED_VALUE"""),"560")</f>
        <v>560</v>
      </c>
      <c r="K45" s="96"/>
      <c r="L45" s="96"/>
      <c r="M45" s="95" t="str">
        <f ca="1">IFERROR(__xludf.DUMMYFUNCTION("IFERROR(JOIN("","", UNIQUE(filter({I45; K45}, {I45; K45}&lt;&gt;""""))), """")"),"nuclei")</f>
        <v>nuclei</v>
      </c>
      <c r="N45" s="98"/>
      <c r="O45" s="98"/>
      <c r="P45" s="98"/>
      <c r="Q45" s="98"/>
      <c r="R45" s="98"/>
      <c r="S45" s="95" t="str">
        <f ca="1">IFERROR(__xludf.DUMMYFUNCTION("IFERROR(JOIN("","", UNIQUE(filter({O45; Q45}, {O45; Q45}&lt;&gt;""""))), """")"),"")</f>
        <v/>
      </c>
      <c r="T45" s="99"/>
      <c r="U45" s="99"/>
      <c r="V45" s="99"/>
      <c r="W45" s="99"/>
      <c r="X45" s="99"/>
      <c r="Y45" s="95" t="str">
        <f ca="1">IFERROR(__xludf.DUMMYFUNCTION("IFERROR(JOIN("","", UNIQUE(filter({U45; W45}, {U45; W45}&lt;&gt;""""))), """")"),"")</f>
        <v/>
      </c>
    </row>
    <row r="46" spans="2:25" ht="15.75" customHeight="1" x14ac:dyDescent="0.15">
      <c r="B46" s="10" t="str">
        <f ca="1">IFERROR(__xludf.DUMMYFUNCTION("""COMPUTED_VALUE"""),"MGCO-59-nucleolus-A2UCOE-attb_entire+PDQM148-mStayGold-C4-Fibrillain")</f>
        <v>MGCO-59-nucleolus-A2UCOE-attb_entire+PDQM148-mStayGold-C4-Fibrillain</v>
      </c>
      <c r="C46" s="10" t="str">
        <f ca="1">IFERROR(__xludf.DUMMYFUNCTION("""COMPUTED_VALUE"""),"nucleolus")</f>
        <v>nucleolus</v>
      </c>
      <c r="D46" s="10" t="str">
        <f ca="1">IFERROR(__xludf.DUMMYFUNCTION("""COMPUTED_VALUE"""),"488")</f>
        <v>488</v>
      </c>
      <c r="E46" s="10"/>
      <c r="F46" s="10"/>
      <c r="G46" s="95" t="str">
        <f ca="1">IFERROR(__xludf.DUMMYFUNCTION("IFERROR(JOIN("","", UNIQUE(filter({C46; E46}, {C46; E46}&lt;&gt;""""))), """")"),"nucleolus")</f>
        <v>nucleolus</v>
      </c>
      <c r="H46" s="96" t="str">
        <f ca="1">IFERROR(__xludf.DUMMYFUNCTION("""COMPUTED_VALUE"""),"tdmScarlet3S2:PCNA")</f>
        <v>tdmScarlet3S2:PCNA</v>
      </c>
      <c r="I46" s="96" t="str">
        <f ca="1">IFERROR(__xludf.DUMMYFUNCTION("""COMPUTED_VALUE"""),"nuclei")</f>
        <v>nuclei</v>
      </c>
      <c r="J46" s="96" t="str">
        <f ca="1">IFERROR(__xludf.DUMMYFUNCTION("""COMPUTED_VALUE"""),"560")</f>
        <v>560</v>
      </c>
      <c r="K46" s="96"/>
      <c r="L46" s="96"/>
      <c r="M46" s="95" t="str">
        <f ca="1">IFERROR(__xludf.DUMMYFUNCTION("IFERROR(JOIN("","", UNIQUE(filter({I46; K46}, {I46; K46}&lt;&gt;""""))), """")"),"nuclei")</f>
        <v>nuclei</v>
      </c>
      <c r="N46" s="98"/>
      <c r="O46" s="98"/>
      <c r="P46" s="98"/>
      <c r="Q46" s="98"/>
      <c r="R46" s="98"/>
      <c r="S46" s="95" t="str">
        <f ca="1">IFERROR(__xludf.DUMMYFUNCTION("IFERROR(JOIN("","", UNIQUE(filter({O46; Q46}, {O46; Q46}&lt;&gt;""""))), """")"),"")</f>
        <v/>
      </c>
      <c r="T46" s="99"/>
      <c r="U46" s="99"/>
      <c r="V46" s="99"/>
      <c r="W46" s="99"/>
      <c r="X46" s="99"/>
      <c r="Y46" s="95" t="str">
        <f ca="1">IFERROR(__xludf.DUMMYFUNCTION("IFERROR(JOIN("","", UNIQUE(filter({U46; W46}, {U46; W46}&lt;&gt;""""))), """")"),"")</f>
        <v/>
      </c>
    </row>
    <row r="47" spans="2:25" ht="15.75" customHeight="1" x14ac:dyDescent="0.15">
      <c r="B47" s="10" t="str">
        <f ca="1">IFERROR(__xludf.DUMMYFUNCTION("""COMPUTED_VALUE"""),"MGCO-60-Factin-A2UCOE-attb_entire+PDQM148-mStayGold-C4-moesin")</f>
        <v>MGCO-60-Factin-A2UCOE-attb_entire+PDQM148-mStayGold-C4-moesin</v>
      </c>
      <c r="C47" s="10" t="str">
        <f ca="1">IFERROR(__xludf.DUMMYFUNCTION("""COMPUTED_VALUE"""),"Factin")</f>
        <v>Factin</v>
      </c>
      <c r="D47" s="10" t="str">
        <f ca="1">IFERROR(__xludf.DUMMYFUNCTION("""COMPUTED_VALUE"""),"488")</f>
        <v>488</v>
      </c>
      <c r="E47" s="10"/>
      <c r="F47" s="10"/>
      <c r="G47" s="95" t="str">
        <f ca="1">IFERROR(__xludf.DUMMYFUNCTION("IFERROR(JOIN("","", UNIQUE(filter({C47; E47}, {C47; E47}&lt;&gt;""""))), """")"),"Factin")</f>
        <v>Factin</v>
      </c>
      <c r="H47" s="96" t="str">
        <f ca="1">IFERROR(__xludf.DUMMYFUNCTION("""COMPUTED_VALUE"""),"mScarlet3S2:sec61b")</f>
        <v>mScarlet3S2:sec61b</v>
      </c>
      <c r="I47" s="96" t="str">
        <f ca="1">IFERROR(__xludf.DUMMYFUNCTION("""COMPUTED_VALUE"""),"ER")</f>
        <v>ER</v>
      </c>
      <c r="J47" s="96" t="str">
        <f ca="1">IFERROR(__xludf.DUMMYFUNCTION("""COMPUTED_VALUE"""),"560")</f>
        <v>560</v>
      </c>
      <c r="K47" s="96"/>
      <c r="L47" s="96"/>
      <c r="M47" s="95" t="str">
        <f ca="1">IFERROR(__xludf.DUMMYFUNCTION("IFERROR(JOIN("","", UNIQUE(filter({I47; K47}, {I47; K47}&lt;&gt;""""))), """")"),"ER")</f>
        <v>ER</v>
      </c>
      <c r="N47" s="98"/>
      <c r="O47" s="98"/>
      <c r="P47" s="98"/>
      <c r="Q47" s="98"/>
      <c r="R47" s="98"/>
      <c r="S47" s="95" t="str">
        <f ca="1">IFERROR(__xludf.DUMMYFUNCTION("IFERROR(JOIN("","", UNIQUE(filter({O47; Q47}, {O47; Q47}&lt;&gt;""""))), """")"),"")</f>
        <v/>
      </c>
      <c r="T47" s="99"/>
      <c r="U47" s="99"/>
      <c r="V47" s="99"/>
      <c r="W47" s="99"/>
      <c r="X47" s="99"/>
      <c r="Y47" s="95" t="str">
        <f ca="1">IFERROR(__xludf.DUMMYFUNCTION("IFERROR(JOIN("","", UNIQUE(filter({U47; W47}, {U47; W47}&lt;&gt;""""))), """")"),"")</f>
        <v/>
      </c>
    </row>
    <row r="48" spans="2:25" ht="15.75" customHeight="1" x14ac:dyDescent="0.15">
      <c r="B48" s="10" t="str">
        <f ca="1">IFERROR(__xludf.DUMMYFUNCTION("""COMPUTED_VALUE"""),"MGCO-61-Factin-A2UCOE-attb_entire+PDQM148-mStayGold-C4-utrophin")</f>
        <v>MGCO-61-Factin-A2UCOE-attb_entire+PDQM148-mStayGold-C4-utrophin</v>
      </c>
      <c r="C48" s="10" t="str">
        <f ca="1">IFERROR(__xludf.DUMMYFUNCTION("""COMPUTED_VALUE"""),"Factin")</f>
        <v>Factin</v>
      </c>
      <c r="D48" s="10" t="str">
        <f ca="1">IFERROR(__xludf.DUMMYFUNCTION("""COMPUTED_VALUE"""),"488")</f>
        <v>488</v>
      </c>
      <c r="E48" s="10"/>
      <c r="F48" s="10"/>
      <c r="G48" s="95" t="str">
        <f ca="1">IFERROR(__xludf.DUMMYFUNCTION("IFERROR(JOIN("","", UNIQUE(filter({C48; E48}, {C48; E48}&lt;&gt;""""))), """")"),"Factin")</f>
        <v>Factin</v>
      </c>
      <c r="H48" s="96" t="str">
        <f ca="1">IFERROR(__xludf.DUMMYFUNCTION("""COMPUTED_VALUE"""),"None")</f>
        <v>None</v>
      </c>
      <c r="I48" s="96"/>
      <c r="J48" s="96"/>
      <c r="K48" s="96"/>
      <c r="L48" s="96"/>
      <c r="M48" s="95" t="str">
        <f ca="1">IFERROR(__xludf.DUMMYFUNCTION("IFERROR(JOIN("","", UNIQUE(filter({I48; K48}, {I48; K48}&lt;&gt;""""))), """")"),"")</f>
        <v/>
      </c>
      <c r="N48" s="98"/>
      <c r="O48" s="98"/>
      <c r="P48" s="98"/>
      <c r="Q48" s="98"/>
      <c r="R48" s="98"/>
      <c r="S48" s="95" t="str">
        <f ca="1">IFERROR(__xludf.DUMMYFUNCTION("IFERROR(JOIN("","", UNIQUE(filter({O48; Q48}, {O48; Q48}&lt;&gt;""""))), """")"),"")</f>
        <v/>
      </c>
      <c r="T48" s="99"/>
      <c r="U48" s="99"/>
      <c r="V48" s="99"/>
      <c r="W48" s="99"/>
      <c r="X48" s="99"/>
      <c r="Y48" s="95" t="str">
        <f ca="1">IFERROR(__xludf.DUMMYFUNCTION("IFERROR(JOIN("","", UNIQUE(filter({U48; W48}, {U48; W48}&lt;&gt;""""))), """")"),"")</f>
        <v/>
      </c>
    </row>
    <row r="49" spans="2:25" ht="15.75" customHeight="1" x14ac:dyDescent="0.15">
      <c r="B49" s="10" t="str">
        <f ca="1">IFERROR(__xludf.DUMMYFUNCTION("""COMPUTED_VALUE"""),"MGCO-62-microvilli-A2UCOE-attb_entire+PDQM148-mStayGold-C4-myosin1A")</f>
        <v>MGCO-62-microvilli-A2UCOE-attb_entire+PDQM148-mStayGold-C4-myosin1A</v>
      </c>
      <c r="C49" s="10" t="str">
        <f ca="1">IFERROR(__xludf.DUMMYFUNCTION("""COMPUTED_VALUE"""),"microvili")</f>
        <v>microvili</v>
      </c>
      <c r="D49" s="10" t="str">
        <f ca="1">IFERROR(__xludf.DUMMYFUNCTION("""COMPUTED_VALUE"""),"488")</f>
        <v>488</v>
      </c>
      <c r="E49" s="10"/>
      <c r="F49" s="10"/>
      <c r="G49" s="95" t="str">
        <f ca="1">IFERROR(__xludf.DUMMYFUNCTION("IFERROR(JOIN("","", UNIQUE(filter({C49; E49}, {C49; E49}&lt;&gt;""""))), """")"),"microvili")</f>
        <v>microvili</v>
      </c>
      <c r="H49" s="96" t="str">
        <f ca="1">IFERROR(__xludf.DUMMYFUNCTION("""COMPUTED_VALUE"""),"MGCO-23 (LifeAct-mStayGold)")</f>
        <v>MGCO-23 (LifeAct-mStayGold)</v>
      </c>
      <c r="I49" s="96" t="str">
        <f ca="1">IFERROR(__xludf.DUMMYFUNCTION("""COMPUTED_VALUE"""),"Actin")</f>
        <v>Actin</v>
      </c>
      <c r="J49" s="96" t="str">
        <f ca="1">IFERROR(__xludf.DUMMYFUNCTION("""COMPUTED_VALUE"""),"488")</f>
        <v>488</v>
      </c>
      <c r="K49" s="96"/>
      <c r="L49" s="96"/>
      <c r="M49" s="95" t="str">
        <f ca="1">IFERROR(__xludf.DUMMYFUNCTION("IFERROR(JOIN("","", UNIQUE(filter({I49; K49}, {I49; K49}&lt;&gt;""""))), """")"),"Actin")</f>
        <v>Actin</v>
      </c>
      <c r="N49" s="98"/>
      <c r="O49" s="98"/>
      <c r="P49" s="98"/>
      <c r="Q49" s="98"/>
      <c r="R49" s="98"/>
      <c r="S49" s="95" t="str">
        <f ca="1">IFERROR(__xludf.DUMMYFUNCTION("IFERROR(JOIN("","", UNIQUE(filter({O49; Q49}, {O49; Q49}&lt;&gt;""""))), """")"),"")</f>
        <v/>
      </c>
      <c r="T49" s="99"/>
      <c r="U49" s="99"/>
      <c r="V49" s="99"/>
      <c r="W49" s="99"/>
      <c r="X49" s="99"/>
      <c r="Y49" s="95" t="str">
        <f ca="1">IFERROR(__xludf.DUMMYFUNCTION("IFERROR(JOIN("","", UNIQUE(filter({U49; W49}, {U49; W49}&lt;&gt;""""))), """")"),"")</f>
        <v/>
      </c>
    </row>
    <row r="50" spans="2:25" ht="15.75" customHeight="1" x14ac:dyDescent="0.15">
      <c r="B50" s="10" t="str">
        <f ca="1">IFERROR(__xludf.DUMMYFUNCTION("""COMPUTED_VALUE"""),"MGCO-63-A2UCOE-attb_entire+PDQM148-mStayGold-C4-myoVI")</f>
        <v>MGCO-63-A2UCOE-attb_entire+PDQM148-mStayGold-C4-myoVI</v>
      </c>
      <c r="C50" s="10" t="str">
        <f ca="1">IFERROR(__xludf.DUMMYFUNCTION("""COMPUTED_VALUE"""),"stereocilia")</f>
        <v>stereocilia</v>
      </c>
      <c r="D50" s="10" t="str">
        <f ca="1">IFERROR(__xludf.DUMMYFUNCTION("""COMPUTED_VALUE"""),"488")</f>
        <v>488</v>
      </c>
      <c r="E50" s="10"/>
      <c r="F50" s="10"/>
      <c r="G50" s="95" t="str">
        <f ca="1">IFERROR(__xludf.DUMMYFUNCTION("IFERROR(JOIN("","", UNIQUE(filter({C50; E50}, {C50; E50}&lt;&gt;""""))), """")"),"stereocilia")</f>
        <v>stereocilia</v>
      </c>
      <c r="H50" s="96" t="str">
        <f ca="1">IFERROR(__xludf.DUMMYFUNCTION("""COMPUTED_VALUE"""),"HC-1 1:NLS-mScarlet3")</f>
        <v>HC-1 1:NLS-mScarlet3</v>
      </c>
      <c r="I50" s="96" t="str">
        <f ca="1">IFERROR(__xludf.DUMMYFUNCTION("""COMPUTED_VALUE"""),"nuclei")</f>
        <v>nuclei</v>
      </c>
      <c r="J50" s="96" t="str">
        <f ca="1">IFERROR(__xludf.DUMMYFUNCTION("""COMPUTED_VALUE"""),"560")</f>
        <v>560</v>
      </c>
      <c r="K50" s="96"/>
      <c r="L50" s="96"/>
      <c r="M50" s="95" t="str">
        <f ca="1">IFERROR(__xludf.DUMMYFUNCTION("IFERROR(JOIN("","", UNIQUE(filter({I50; K50}, {I50; K50}&lt;&gt;""""))), """")"),"nuclei")</f>
        <v>nuclei</v>
      </c>
      <c r="N50" s="98"/>
      <c r="O50" s="98"/>
      <c r="P50" s="98"/>
      <c r="Q50" s="98"/>
      <c r="R50" s="98"/>
      <c r="S50" s="95" t="str">
        <f ca="1">IFERROR(__xludf.DUMMYFUNCTION("IFERROR(JOIN("","", UNIQUE(filter({O50; Q50}, {O50; Q50}&lt;&gt;""""))), """")"),"")</f>
        <v/>
      </c>
      <c r="T50" s="99"/>
      <c r="U50" s="99"/>
      <c r="V50" s="99"/>
      <c r="W50" s="99"/>
      <c r="X50" s="99"/>
      <c r="Y50" s="95" t="str">
        <f ca="1">IFERROR(__xludf.DUMMYFUNCTION("IFERROR(JOIN("","", UNIQUE(filter({U50; W50}, {U50; W50}&lt;&gt;""""))), """")"),"")</f>
        <v/>
      </c>
    </row>
    <row r="51" spans="2:25" ht="15.75" customHeight="1" x14ac:dyDescent="0.15">
      <c r="B51" s="10" t="str">
        <f ca="1">IFERROR(__xludf.DUMMYFUNCTION("""COMPUTED_VALUE"""),"MGCO-64-A2UCOE-attb_entire+PDQM148-mStayGold-C4-myoX")</f>
        <v>MGCO-64-A2UCOE-attb_entire+PDQM148-mStayGold-C4-myoX</v>
      </c>
      <c r="C51" s="10" t="str">
        <f ca="1">IFERROR(__xludf.DUMMYFUNCTION("""COMPUTED_VALUE"""),"filopodia")</f>
        <v>filopodia</v>
      </c>
      <c r="D51" s="10" t="str">
        <f ca="1">IFERROR(__xludf.DUMMYFUNCTION("""COMPUTED_VALUE"""),"488")</f>
        <v>488</v>
      </c>
      <c r="E51" s="10"/>
      <c r="F51" s="10"/>
      <c r="G51" s="95" t="str">
        <f ca="1">IFERROR(__xludf.DUMMYFUNCTION("IFERROR(JOIN("","", UNIQUE(filter({C51; E51}, {C51; E51}&lt;&gt;""""))), """")"),"filopodia")</f>
        <v>filopodia</v>
      </c>
      <c r="H51" s="96" t="str">
        <f ca="1">IFERROR(__xludf.DUMMYFUNCTION("""COMPUTED_VALUE"""),"HC-2 2:NLS-mScarlet3")</f>
        <v>HC-2 2:NLS-mScarlet3</v>
      </c>
      <c r="I51" s="96" t="str">
        <f ca="1">IFERROR(__xludf.DUMMYFUNCTION("""COMPUTED_VALUE"""),"nuclei")</f>
        <v>nuclei</v>
      </c>
      <c r="J51" s="96" t="str">
        <f ca="1">IFERROR(__xludf.DUMMYFUNCTION("""COMPUTED_VALUE"""),"560")</f>
        <v>560</v>
      </c>
      <c r="K51" s="96"/>
      <c r="L51" s="96"/>
      <c r="M51" s="95" t="str">
        <f ca="1">IFERROR(__xludf.DUMMYFUNCTION("IFERROR(JOIN("","", UNIQUE(filter({I51; K51}, {I51; K51}&lt;&gt;""""))), """")"),"nuclei")</f>
        <v>nuclei</v>
      </c>
      <c r="N51" s="98"/>
      <c r="O51" s="98"/>
      <c r="P51" s="98"/>
      <c r="Q51" s="98"/>
      <c r="R51" s="98"/>
      <c r="S51" s="95" t="str">
        <f ca="1">IFERROR(__xludf.DUMMYFUNCTION("IFERROR(JOIN("","", UNIQUE(filter({O51; Q51}, {O51; Q51}&lt;&gt;""""))), """")"),"")</f>
        <v/>
      </c>
      <c r="T51" s="99"/>
      <c r="U51" s="99"/>
      <c r="V51" s="99"/>
      <c r="W51" s="99"/>
      <c r="X51" s="99"/>
      <c r="Y51" s="95" t="str">
        <f ca="1">IFERROR(__xludf.DUMMYFUNCTION("IFERROR(JOIN("","", UNIQUE(filter({U51; W51}, {U51; W51}&lt;&gt;""""))), """")"),"")</f>
        <v/>
      </c>
    </row>
    <row r="52" spans="2:25" ht="15.75" customHeight="1" x14ac:dyDescent="0.15">
      <c r="B52" s="10" t="str">
        <f ca="1">IFERROR(__xludf.DUMMYFUNCTION("""COMPUTED_VALUE"""),"pDQM141(ef1a:linker:mGold2t:linker-attB (tol2))")</f>
        <v>pDQM141(ef1a:linker:mGold2t:linker-attB (tol2))</v>
      </c>
      <c r="C52" s="10" t="str">
        <f ca="1">IFERROR(__xludf.DUMMYFUNCTION("""COMPUTED_VALUE"""),"cytosol")</f>
        <v>cytosol</v>
      </c>
      <c r="D52" s="10"/>
      <c r="E52" s="10"/>
      <c r="F52" s="10"/>
      <c r="G52" s="95" t="str">
        <f ca="1">IFERROR(__xludf.DUMMYFUNCTION("IFERROR(JOIN("","", UNIQUE(filter({C52; E52}, {C52; E52}&lt;&gt;""""))), """")"),"cytosol")</f>
        <v>cytosol</v>
      </c>
      <c r="H52" s="96" t="str">
        <f ca="1">IFERROR(__xludf.DUMMYFUNCTION("""COMPUTED_VALUE"""),"HC-3 3:NLS-mScarlet3")</f>
        <v>HC-3 3:NLS-mScarlet3</v>
      </c>
      <c r="I52" s="96" t="str">
        <f ca="1">IFERROR(__xludf.DUMMYFUNCTION("""COMPUTED_VALUE"""),"nuclei")</f>
        <v>nuclei</v>
      </c>
      <c r="J52" s="96" t="str">
        <f ca="1">IFERROR(__xludf.DUMMYFUNCTION("""COMPUTED_VALUE"""),"560")</f>
        <v>560</v>
      </c>
      <c r="K52" s="96"/>
      <c r="L52" s="96"/>
      <c r="M52" s="95" t="str">
        <f ca="1">IFERROR(__xludf.DUMMYFUNCTION("IFERROR(JOIN("","", UNIQUE(filter({I52; K52}, {I52; K52}&lt;&gt;""""))), """")"),"nuclei")</f>
        <v>nuclei</v>
      </c>
      <c r="N52" s="98"/>
      <c r="O52" s="98"/>
      <c r="P52" s="98"/>
      <c r="Q52" s="98"/>
      <c r="R52" s="98"/>
      <c r="S52" s="95" t="str">
        <f ca="1">IFERROR(__xludf.DUMMYFUNCTION("IFERROR(JOIN("","", UNIQUE(filter({O52; Q52}, {O52; Q52}&lt;&gt;""""))), """")"),"")</f>
        <v/>
      </c>
      <c r="T52" s="99"/>
      <c r="U52" s="99"/>
      <c r="V52" s="99"/>
      <c r="W52" s="99"/>
      <c r="X52" s="99"/>
      <c r="Y52" s="95" t="str">
        <f ca="1">IFERROR(__xludf.DUMMYFUNCTION("IFERROR(JOIN("","", UNIQUE(filter({U52; W52}, {U52; W52}&lt;&gt;""""))), """")"),"")</f>
        <v/>
      </c>
    </row>
    <row r="53" spans="2:25" ht="15.75" customHeight="1" x14ac:dyDescent="0.15">
      <c r="B53" s="10"/>
      <c r="C53" s="10"/>
      <c r="D53" s="10"/>
      <c r="E53" s="10"/>
      <c r="F53" s="10"/>
      <c r="G53" s="95" t="str">
        <f ca="1">IFERROR(__xludf.DUMMYFUNCTION("IFERROR(JOIN("","", UNIQUE(filter({C53; E53}, {C53; E53}&lt;&gt;""""))), """")"),"")</f>
        <v/>
      </c>
      <c r="H53" s="96" t="str">
        <f ca="1">IFERROR(__xludf.DUMMYFUNCTION("""COMPUTED_VALUE"""),"HC-4 5:NLS-mScarlet3")</f>
        <v>HC-4 5:NLS-mScarlet3</v>
      </c>
      <c r="I53" s="96" t="str">
        <f ca="1">IFERROR(__xludf.DUMMYFUNCTION("""COMPUTED_VALUE"""),"nuclei")</f>
        <v>nuclei</v>
      </c>
      <c r="J53" s="96" t="str">
        <f ca="1">IFERROR(__xludf.DUMMYFUNCTION("""COMPUTED_VALUE"""),"560")</f>
        <v>560</v>
      </c>
      <c r="K53" s="96"/>
      <c r="L53" s="96"/>
      <c r="M53" s="95" t="str">
        <f ca="1">IFERROR(__xludf.DUMMYFUNCTION("IFERROR(JOIN("","", UNIQUE(filter({I53; K53}, {I53; K53}&lt;&gt;""""))), """")"),"nuclei")</f>
        <v>nuclei</v>
      </c>
      <c r="N53" s="98"/>
      <c r="O53" s="98"/>
      <c r="P53" s="98"/>
      <c r="Q53" s="98"/>
      <c r="R53" s="98"/>
      <c r="S53" s="95" t="str">
        <f ca="1">IFERROR(__xludf.DUMMYFUNCTION("IFERROR(JOIN("","", UNIQUE(filter({O53; Q53}, {O53; Q53}&lt;&gt;""""))), """")"),"")</f>
        <v/>
      </c>
      <c r="T53" s="99"/>
      <c r="U53" s="99"/>
      <c r="V53" s="99"/>
      <c r="W53" s="99"/>
      <c r="X53" s="99"/>
      <c r="Y53" s="95" t="str">
        <f ca="1">IFERROR(__xludf.DUMMYFUNCTION("IFERROR(JOIN("","", UNIQUE(filter({U53; W53}, {U53; W53}&lt;&gt;""""))), """")"),"")</f>
        <v/>
      </c>
    </row>
    <row r="54" spans="2:25" ht="15.75" customHeight="1" x14ac:dyDescent="0.15">
      <c r="B54" s="10"/>
      <c r="C54" s="10"/>
      <c r="D54" s="10"/>
      <c r="E54" s="10"/>
      <c r="F54" s="10"/>
      <c r="G54" s="95" t="str">
        <f ca="1">IFERROR(__xludf.DUMMYFUNCTION("IFERROR(JOIN("","", UNIQUE(filter({C54; E54}, {C54; E54}&lt;&gt;""""))), """")"),"")</f>
        <v/>
      </c>
      <c r="H54" s="96" t="str">
        <f ca="1">IFERROR(__xludf.DUMMYFUNCTION("""COMPUTED_VALUE"""),"HC-5 7:NLS-mScarlet3")</f>
        <v>HC-5 7:NLS-mScarlet3</v>
      </c>
      <c r="I54" s="96" t="str">
        <f ca="1">IFERROR(__xludf.DUMMYFUNCTION("""COMPUTED_VALUE"""),"nuclei")</f>
        <v>nuclei</v>
      </c>
      <c r="J54" s="96" t="str">
        <f ca="1">IFERROR(__xludf.DUMMYFUNCTION("""COMPUTED_VALUE"""),"560")</f>
        <v>560</v>
      </c>
      <c r="K54" s="96"/>
      <c r="L54" s="96"/>
      <c r="M54" s="95" t="str">
        <f ca="1">IFERROR(__xludf.DUMMYFUNCTION("IFERROR(JOIN("","", UNIQUE(filter({I54; K54}, {I54; K54}&lt;&gt;""""))), """")"),"nuclei")</f>
        <v>nuclei</v>
      </c>
      <c r="N54" s="98"/>
      <c r="O54" s="98"/>
      <c r="P54" s="98"/>
      <c r="Q54" s="98"/>
      <c r="R54" s="98"/>
      <c r="S54" s="95" t="str">
        <f ca="1">IFERROR(__xludf.DUMMYFUNCTION("IFERROR(JOIN("","", UNIQUE(filter({O54; Q54}, {O54; Q54}&lt;&gt;""""))), """")"),"")</f>
        <v/>
      </c>
      <c r="T54" s="99"/>
      <c r="U54" s="99"/>
      <c r="V54" s="99"/>
      <c r="W54" s="99"/>
      <c r="X54" s="99"/>
      <c r="Y54" s="95" t="str">
        <f ca="1">IFERROR(__xludf.DUMMYFUNCTION("IFERROR(JOIN("","", UNIQUE(filter({U54; W54}, {U54; W54}&lt;&gt;""""))), """")"),"")</f>
        <v/>
      </c>
    </row>
    <row r="55" spans="2:25" ht="15.75" customHeight="1" x14ac:dyDescent="0.15">
      <c r="B55" s="10"/>
      <c r="C55" s="10"/>
      <c r="D55" s="10"/>
      <c r="E55" s="10"/>
      <c r="F55" s="10"/>
      <c r="G55" s="95" t="str">
        <f ca="1">IFERROR(__xludf.DUMMYFUNCTION("IFERROR(JOIN("","", UNIQUE(filter({C55; E55}, {C55; E55}&lt;&gt;""""))), """")"),"")</f>
        <v/>
      </c>
      <c r="H55" s="96" t="str">
        <f ca="1">IFERROR(__xludf.DUMMYFUNCTION("""COMPUTED_VALUE"""),"HC-6 9:NLS-mScarlet3")</f>
        <v>HC-6 9:NLS-mScarlet3</v>
      </c>
      <c r="I55" s="96" t="str">
        <f ca="1">IFERROR(__xludf.DUMMYFUNCTION("""COMPUTED_VALUE"""),"nuclei")</f>
        <v>nuclei</v>
      </c>
      <c r="J55" s="96" t="str">
        <f ca="1">IFERROR(__xludf.DUMMYFUNCTION("""COMPUTED_VALUE"""),"560")</f>
        <v>560</v>
      </c>
      <c r="K55" s="96"/>
      <c r="L55" s="96"/>
      <c r="M55" s="95" t="str">
        <f ca="1">IFERROR(__xludf.DUMMYFUNCTION("IFERROR(JOIN("","", UNIQUE(filter({I55; K55}, {I55; K55}&lt;&gt;""""))), """")"),"nuclei")</f>
        <v>nuclei</v>
      </c>
      <c r="N55" s="98"/>
      <c r="O55" s="98"/>
      <c r="P55" s="98"/>
      <c r="Q55" s="98"/>
      <c r="R55" s="98"/>
      <c r="S55" s="95" t="str">
        <f ca="1">IFERROR(__xludf.DUMMYFUNCTION("IFERROR(JOIN("","", UNIQUE(filter({O55; Q55}, {O55; Q55}&lt;&gt;""""))), """")"),"")</f>
        <v/>
      </c>
      <c r="T55" s="99"/>
      <c r="U55" s="99"/>
      <c r="V55" s="99"/>
      <c r="W55" s="99"/>
      <c r="X55" s="99"/>
      <c r="Y55" s="95" t="str">
        <f ca="1">IFERROR(__xludf.DUMMYFUNCTION("IFERROR(JOIN("","", UNIQUE(filter({U55; W55}, {U55; W55}&lt;&gt;""""))), """")"),"")</f>
        <v/>
      </c>
    </row>
    <row r="56" spans="2:25" ht="15.75" customHeight="1" x14ac:dyDescent="0.15">
      <c r="B56" s="10"/>
      <c r="C56" s="10"/>
      <c r="D56" s="10"/>
      <c r="E56" s="10"/>
      <c r="F56" s="10"/>
      <c r="G56" s="95" t="str">
        <f ca="1">IFERROR(__xludf.DUMMYFUNCTION("IFERROR(JOIN("","", UNIQUE(filter({C56; E56}, {C56; E56}&lt;&gt;""""))), """")"),"")</f>
        <v/>
      </c>
      <c r="H56" s="96" t="str">
        <f ca="1">IFERROR(__xludf.DUMMYFUNCTION("""COMPUTED_VALUE"""),"HC-7 Vimentin:mScarlet3")</f>
        <v>HC-7 Vimentin:mScarlet3</v>
      </c>
      <c r="I56" s="96" t="str">
        <f ca="1">IFERROR(__xludf.DUMMYFUNCTION("""COMPUTED_VALUE"""),"Intermediate_Filaments")</f>
        <v>Intermediate_Filaments</v>
      </c>
      <c r="J56" s="96" t="str">
        <f ca="1">IFERROR(__xludf.DUMMYFUNCTION("""COMPUTED_VALUE"""),"560")</f>
        <v>560</v>
      </c>
      <c r="K56" s="96"/>
      <c r="L56" s="96"/>
      <c r="M56" s="95" t="str">
        <f ca="1">IFERROR(__xludf.DUMMYFUNCTION("IFERROR(JOIN("","", UNIQUE(filter({I56; K56}, {I56; K56}&lt;&gt;""""))), """")"),"Intermediate_Filaments")</f>
        <v>Intermediate_Filaments</v>
      </c>
      <c r="N56" s="98"/>
      <c r="O56" s="98"/>
      <c r="P56" s="98"/>
      <c r="Q56" s="98"/>
      <c r="R56" s="98"/>
      <c r="S56" s="95" t="str">
        <f ca="1">IFERROR(__xludf.DUMMYFUNCTION("IFERROR(JOIN("","", UNIQUE(filter({O56; Q56}, {O56; Q56}&lt;&gt;""""))), """")"),"")</f>
        <v/>
      </c>
      <c r="T56" s="99"/>
      <c r="U56" s="99"/>
      <c r="V56" s="99"/>
      <c r="W56" s="99"/>
      <c r="X56" s="99"/>
      <c r="Y56" s="95" t="str">
        <f ca="1">IFERROR(__xludf.DUMMYFUNCTION("IFERROR(JOIN("","", UNIQUE(filter({U56; W56}, {U56; W56}&lt;&gt;""""))), """")"),"")</f>
        <v/>
      </c>
    </row>
    <row r="57" spans="2:25" ht="15.75" customHeight="1" x14ac:dyDescent="0.15">
      <c r="B57" s="10"/>
      <c r="C57" s="10"/>
      <c r="D57" s="10"/>
      <c r="E57" s="10"/>
      <c r="F57" s="10"/>
      <c r="G57" s="95" t="str">
        <f ca="1">IFERROR(__xludf.DUMMYFUNCTION("IFERROR(JOIN("","", UNIQUE(filter({C57; E57}, {C57; E57}&lt;&gt;""""))), """")"),"")</f>
        <v/>
      </c>
      <c r="H57" s="96" t="str">
        <f ca="1">IFERROR(__xludf.DUMMYFUNCTION("""COMPUTED_VALUE"""),"HC-8 Lifeact:mScarlet3")</f>
        <v>HC-8 Lifeact:mScarlet3</v>
      </c>
      <c r="I57" s="96" t="str">
        <f ca="1">IFERROR(__xludf.DUMMYFUNCTION("""COMPUTED_VALUE"""),"Actin")</f>
        <v>Actin</v>
      </c>
      <c r="J57" s="96" t="str">
        <f ca="1">IFERROR(__xludf.DUMMYFUNCTION("""COMPUTED_VALUE"""),"560")</f>
        <v>560</v>
      </c>
      <c r="K57" s="96"/>
      <c r="L57" s="96"/>
      <c r="M57" s="95" t="str">
        <f ca="1">IFERROR(__xludf.DUMMYFUNCTION("IFERROR(JOIN("","", UNIQUE(filter({I57; K57}, {I57; K57}&lt;&gt;""""))), """")"),"Actin")</f>
        <v>Actin</v>
      </c>
      <c r="N57" s="98"/>
      <c r="O57" s="98"/>
      <c r="P57" s="98"/>
      <c r="Q57" s="98"/>
      <c r="R57" s="98"/>
      <c r="S57" s="95" t="str">
        <f ca="1">IFERROR(__xludf.DUMMYFUNCTION("IFERROR(JOIN("","", UNIQUE(filter({O57; Q57}, {O57; Q57}&lt;&gt;""""))), """")"),"")</f>
        <v/>
      </c>
      <c r="T57" s="99"/>
      <c r="U57" s="99"/>
      <c r="V57" s="99"/>
      <c r="W57" s="99"/>
      <c r="X57" s="99"/>
      <c r="Y57" s="95" t="str">
        <f ca="1">IFERROR(__xludf.DUMMYFUNCTION("IFERROR(JOIN("","", UNIQUE(filter({U57; W57}, {U57; W57}&lt;&gt;""""))), """")"),"")</f>
        <v/>
      </c>
    </row>
    <row r="58" spans="2:25" ht="15.75" customHeight="1" x14ac:dyDescent="0.15">
      <c r="B58" s="10"/>
      <c r="C58" s="10"/>
      <c r="D58" s="10"/>
      <c r="E58" s="10"/>
      <c r="F58" s="10"/>
      <c r="G58" s="95" t="str">
        <f ca="1">IFERROR(__xludf.DUMMYFUNCTION("IFERROR(JOIN("","", UNIQUE(filter({C58; E58}, {C58; E58}&lt;&gt;""""))), """")"),"")</f>
        <v/>
      </c>
      <c r="H58" s="96" t="str">
        <f ca="1">IFERROR(__xludf.DUMMYFUNCTION("""COMPUTED_VALUE"""),"HC-9 Lifeact:mStayGold")</f>
        <v>HC-9 Lifeact:mStayGold</v>
      </c>
      <c r="I58" s="96" t="str">
        <f ca="1">IFERROR(__xludf.DUMMYFUNCTION("""COMPUTED_VALUE"""),"Actin")</f>
        <v>Actin</v>
      </c>
      <c r="J58" s="96" t="str">
        <f ca="1">IFERROR(__xludf.DUMMYFUNCTION("""COMPUTED_VALUE"""),"488")</f>
        <v>488</v>
      </c>
      <c r="K58" s="96"/>
      <c r="L58" s="96"/>
      <c r="M58" s="95" t="str">
        <f ca="1">IFERROR(__xludf.DUMMYFUNCTION("IFERROR(JOIN("","", UNIQUE(filter({I58; K58}, {I58; K58}&lt;&gt;""""))), """")"),"Actin")</f>
        <v>Actin</v>
      </c>
      <c r="N58" s="98"/>
      <c r="O58" s="98"/>
      <c r="P58" s="98"/>
      <c r="Q58" s="98"/>
      <c r="R58" s="98"/>
      <c r="S58" s="95" t="str">
        <f ca="1">IFERROR(__xludf.DUMMYFUNCTION("IFERROR(JOIN("","", UNIQUE(filter({O58; Q58}, {O58; Q58}&lt;&gt;""""))), """")"),"")</f>
        <v/>
      </c>
      <c r="T58" s="99"/>
      <c r="U58" s="99"/>
      <c r="V58" s="99"/>
      <c r="W58" s="99"/>
      <c r="X58" s="99"/>
      <c r="Y58" s="95" t="str">
        <f ca="1">IFERROR(__xludf.DUMMYFUNCTION("IFERROR(JOIN("","", UNIQUE(filter({U58; W58}, {U58; W58}&lt;&gt;""""))), """")"),"")</f>
        <v/>
      </c>
    </row>
    <row r="59" spans="2:25" ht="15.75" customHeight="1" x14ac:dyDescent="0.15">
      <c r="B59" s="10"/>
      <c r="C59" s="10"/>
      <c r="D59" s="10"/>
      <c r="E59" s="10"/>
      <c r="F59" s="10"/>
      <c r="G59" s="95" t="str">
        <f ca="1">IFERROR(__xludf.DUMMYFUNCTION("IFERROR(JOIN("","", UNIQUE(filter({C59; E59}, {C59; E59}&lt;&gt;""""))), """")"),"")</f>
        <v/>
      </c>
      <c r="H59" s="96" t="str">
        <f ca="1">IFERROR(__xludf.DUMMYFUNCTION("""COMPUTED_VALUE"""),"HC-10 4x-Cox8:mStayGold")</f>
        <v>HC-10 4x-Cox8:mStayGold</v>
      </c>
      <c r="I59" s="96" t="str">
        <f ca="1">IFERROR(__xludf.DUMMYFUNCTION("""COMPUTED_VALUE"""),"Mitochondria")</f>
        <v>Mitochondria</v>
      </c>
      <c r="J59" s="96" t="str">
        <f ca="1">IFERROR(__xludf.DUMMYFUNCTION("""COMPUTED_VALUE"""),"488")</f>
        <v>488</v>
      </c>
      <c r="K59" s="96"/>
      <c r="L59" s="96"/>
      <c r="M59" s="95" t="str">
        <f ca="1">IFERROR(__xludf.DUMMYFUNCTION("IFERROR(JOIN("","", UNIQUE(filter({I59; K59}, {I59; K59}&lt;&gt;""""))), """")"),"Mitochondria")</f>
        <v>Mitochondria</v>
      </c>
      <c r="N59" s="98"/>
      <c r="O59" s="98"/>
      <c r="P59" s="98"/>
      <c r="Q59" s="98"/>
      <c r="R59" s="98"/>
      <c r="S59" s="95" t="str">
        <f ca="1">IFERROR(__xludf.DUMMYFUNCTION("IFERROR(JOIN("","", UNIQUE(filter({O59; Q59}, {O59; Q59}&lt;&gt;""""))), """")"),"")</f>
        <v/>
      </c>
      <c r="T59" s="99"/>
      <c r="U59" s="99"/>
      <c r="V59" s="99"/>
      <c r="W59" s="99"/>
      <c r="X59" s="99"/>
      <c r="Y59" s="95" t="str">
        <f ca="1">IFERROR(__xludf.DUMMYFUNCTION("IFERROR(JOIN("","", UNIQUE(filter({U59; W59}, {U59; W59}&lt;&gt;""""))), """")"),"")</f>
        <v/>
      </c>
    </row>
    <row r="60" spans="2:25" ht="15.75" customHeight="1" x14ac:dyDescent="0.15">
      <c r="B60" s="10"/>
      <c r="C60" s="10"/>
      <c r="D60" s="10"/>
      <c r="E60" s="10"/>
      <c r="F60" s="10"/>
      <c r="G60" s="95" t="str">
        <f ca="1">IFERROR(__xludf.DUMMYFUNCTION("IFERROR(JOIN("","", UNIQUE(filter({C60; E60}, {C60; E60}&lt;&gt;""""))), """")"),"")</f>
        <v/>
      </c>
      <c r="H60" s="96" t="str">
        <f ca="1">IFERROR(__xludf.DUMMYFUNCTION("""COMPUTED_VALUE"""),"HC-11 mTagBFP2:SKL")</f>
        <v>HC-11 mTagBFP2:SKL</v>
      </c>
      <c r="I60" s="96" t="str">
        <f ca="1">IFERROR(__xludf.DUMMYFUNCTION("""COMPUTED_VALUE"""),"peroxisomes")</f>
        <v>peroxisomes</v>
      </c>
      <c r="J60" s="96" t="str">
        <f ca="1">IFERROR(__xludf.DUMMYFUNCTION("""COMPUTED_VALUE"""),"405")</f>
        <v>405</v>
      </c>
      <c r="K60" s="96"/>
      <c r="L60" s="96"/>
      <c r="M60" s="95" t="str">
        <f ca="1">IFERROR(__xludf.DUMMYFUNCTION("IFERROR(JOIN("","", UNIQUE(filter({I60; K60}, {I60; K60}&lt;&gt;""""))), """")"),"peroxisomes")</f>
        <v>peroxisomes</v>
      </c>
      <c r="N60" s="98"/>
      <c r="O60" s="98"/>
      <c r="P60" s="98"/>
      <c r="Q60" s="98"/>
      <c r="R60" s="98"/>
      <c r="S60" s="95" t="str">
        <f ca="1">IFERROR(__xludf.DUMMYFUNCTION("IFERROR(JOIN("","", UNIQUE(filter({O60; Q60}, {O60; Q60}&lt;&gt;""""))), """")"),"")</f>
        <v/>
      </c>
      <c r="T60" s="99"/>
      <c r="U60" s="99"/>
      <c r="V60" s="99"/>
      <c r="W60" s="99"/>
      <c r="X60" s="99"/>
      <c r="Y60" s="95" t="str">
        <f ca="1">IFERROR(__xludf.DUMMYFUNCTION("IFERROR(JOIN("","", UNIQUE(filter({U60; W60}, {U60; W60}&lt;&gt;""""))), """")"),"")</f>
        <v/>
      </c>
    </row>
    <row r="61" spans="2:25" ht="15.75" customHeight="1" x14ac:dyDescent="0.15">
      <c r="B61" s="10"/>
      <c r="C61" s="10"/>
      <c r="D61" s="10"/>
      <c r="E61" s="10"/>
      <c r="F61" s="10"/>
      <c r="G61" s="95" t="str">
        <f ca="1">IFERROR(__xludf.DUMMYFUNCTION("IFERROR(JOIN("","", UNIQUE(filter({C61; E61}, {C61; E61}&lt;&gt;""""))), """")"),"")</f>
        <v/>
      </c>
      <c r="H61" s="96" t="str">
        <f ca="1">IFERROR(__xludf.DUMMYFUNCTION("""COMPUTED_VALUE"""),"pDQM172 SP6-2x-cox8A-mSG")</f>
        <v>pDQM172 SP6-2x-cox8A-mSG</v>
      </c>
      <c r="I61" s="96" t="str">
        <f ca="1">IFERROR(__xludf.DUMMYFUNCTION("""COMPUTED_VALUE"""),"Mitochondria")</f>
        <v>Mitochondria</v>
      </c>
      <c r="J61" s="96" t="str">
        <f ca="1">IFERROR(__xludf.DUMMYFUNCTION("""COMPUTED_VALUE"""),"488")</f>
        <v>488</v>
      </c>
      <c r="K61" s="96"/>
      <c r="L61" s="96"/>
      <c r="M61" s="95" t="str">
        <f ca="1">IFERROR(__xludf.DUMMYFUNCTION("IFERROR(JOIN("","", UNIQUE(filter({I61; K61}, {I61; K61}&lt;&gt;""""))), """")"),"Mitochondria")</f>
        <v>Mitochondria</v>
      </c>
      <c r="N61" s="98"/>
      <c r="O61" s="98"/>
      <c r="P61" s="98"/>
      <c r="Q61" s="98"/>
      <c r="R61" s="98"/>
      <c r="S61" s="95" t="str">
        <f ca="1">IFERROR(__xludf.DUMMYFUNCTION("IFERROR(JOIN("","", UNIQUE(filter({O61; Q61}, {O61; Q61}&lt;&gt;""""))), """")"),"")</f>
        <v/>
      </c>
      <c r="T61" s="99"/>
      <c r="U61" s="99"/>
      <c r="V61" s="99"/>
      <c r="W61" s="99"/>
      <c r="X61" s="99"/>
      <c r="Y61" s="95" t="str">
        <f ca="1">IFERROR(__xludf.DUMMYFUNCTION("IFERROR(JOIN("","", UNIQUE(filter({U61; W61}, {U61; W61}&lt;&gt;""""))), """")"),"")</f>
        <v/>
      </c>
    </row>
    <row r="62" spans="2:25" ht="15.75" customHeight="1" x14ac:dyDescent="0.15">
      <c r="B62" s="10"/>
      <c r="C62" s="10"/>
      <c r="D62" s="10"/>
      <c r="E62" s="10"/>
      <c r="F62" s="10"/>
      <c r="G62" s="95" t="str">
        <f ca="1">IFERROR(__xludf.DUMMYFUNCTION("IFERROR(JOIN("","", UNIQUE(filter({C62; E62}, {C62; E62}&lt;&gt;""""))), """")"),"")</f>
        <v/>
      </c>
      <c r="H62" s="96"/>
      <c r="I62" s="96"/>
      <c r="J62" s="96"/>
      <c r="K62" s="96"/>
      <c r="L62" s="96"/>
      <c r="M62" s="95" t="str">
        <f ca="1">IFERROR(__xludf.DUMMYFUNCTION("IFERROR(JOIN("","", UNIQUE(filter({I62; K62}, {I62; K62}&lt;&gt;""""))), """")"),"")</f>
        <v/>
      </c>
      <c r="N62" s="98"/>
      <c r="O62" s="98"/>
      <c r="P62" s="98"/>
      <c r="Q62" s="98"/>
      <c r="R62" s="98"/>
      <c r="S62" s="95" t="str">
        <f ca="1">IFERROR(__xludf.DUMMYFUNCTION("IFERROR(JOIN("","", UNIQUE(filter({O62; Q62}, {O62; Q62}&lt;&gt;""""))), """")"),"")</f>
        <v/>
      </c>
      <c r="T62" s="99"/>
      <c r="U62" s="99"/>
      <c r="V62" s="99"/>
      <c r="W62" s="99"/>
      <c r="X62" s="99"/>
      <c r="Y62" s="95" t="str">
        <f ca="1">IFERROR(__xludf.DUMMYFUNCTION("IFERROR(JOIN("","", UNIQUE(filter({U62; W62}, {U62; W62}&lt;&gt;""""))), """")"),"")</f>
        <v/>
      </c>
    </row>
    <row r="63" spans="2:25" ht="15.75" customHeight="1" x14ac:dyDescent="0.15">
      <c r="B63" s="10"/>
      <c r="C63" s="10"/>
      <c r="D63" s="10"/>
      <c r="E63" s="10"/>
      <c r="F63" s="10"/>
      <c r="G63" s="95" t="str">
        <f ca="1">IFERROR(__xludf.DUMMYFUNCTION("IFERROR(JOIN("","", UNIQUE(filter({C63; E63}, {C63; E63}&lt;&gt;""""))), """")"),"")</f>
        <v/>
      </c>
      <c r="H63" s="96"/>
      <c r="I63" s="96"/>
      <c r="J63" s="96"/>
      <c r="K63" s="96"/>
      <c r="L63" s="96"/>
      <c r="M63" s="95" t="str">
        <f ca="1">IFERROR(__xludf.DUMMYFUNCTION("IFERROR(JOIN("","", UNIQUE(filter({I63; K63}, {I63; K63}&lt;&gt;""""))), """")"),"")</f>
        <v/>
      </c>
      <c r="N63" s="98"/>
      <c r="O63" s="98"/>
      <c r="P63" s="98"/>
      <c r="Q63" s="98"/>
      <c r="R63" s="98"/>
      <c r="S63" s="95" t="str">
        <f ca="1">IFERROR(__xludf.DUMMYFUNCTION("IFERROR(JOIN("","", UNIQUE(filter({O63; Q63}, {O63; Q63}&lt;&gt;""""))), """")"),"")</f>
        <v/>
      </c>
      <c r="T63" s="99"/>
      <c r="U63" s="99"/>
      <c r="V63" s="99"/>
      <c r="W63" s="99"/>
      <c r="X63" s="99"/>
      <c r="Y63" s="95" t="str">
        <f ca="1">IFERROR(__xludf.DUMMYFUNCTION("IFERROR(JOIN("","", UNIQUE(filter({U63; W63}, {U63; W63}&lt;&gt;""""))), """")"),"")</f>
        <v/>
      </c>
    </row>
    <row r="64" spans="2:25" ht="15.75" customHeight="1" x14ac:dyDescent="0.15">
      <c r="B64" s="10"/>
      <c r="C64" s="10"/>
      <c r="D64" s="10"/>
      <c r="E64" s="10"/>
      <c r="F64" s="10"/>
      <c r="G64" s="95" t="str">
        <f ca="1">IFERROR(__xludf.DUMMYFUNCTION("IFERROR(JOIN("","", UNIQUE(filter({C64; E64}, {C64; E64}&lt;&gt;""""))), """")"),"")</f>
        <v/>
      </c>
      <c r="H64" s="96"/>
      <c r="I64" s="96"/>
      <c r="J64" s="96"/>
      <c r="K64" s="96"/>
      <c r="L64" s="96"/>
      <c r="M64" s="95" t="str">
        <f ca="1">IFERROR(__xludf.DUMMYFUNCTION("IFERROR(JOIN("","", UNIQUE(filter({I64; K64}, {I64; K64}&lt;&gt;""""))), """")"),"")</f>
        <v/>
      </c>
      <c r="N64" s="98"/>
      <c r="O64" s="98"/>
      <c r="P64" s="98"/>
      <c r="Q64" s="98"/>
      <c r="R64" s="98"/>
      <c r="S64" s="95" t="str">
        <f ca="1">IFERROR(__xludf.DUMMYFUNCTION("IFERROR(JOIN("","", UNIQUE(filter({O64; Q64}, {O64; Q64}&lt;&gt;""""))), """")"),"")</f>
        <v/>
      </c>
      <c r="T64" s="99"/>
      <c r="U64" s="99"/>
      <c r="V64" s="99"/>
      <c r="W64" s="99"/>
      <c r="X64" s="99"/>
      <c r="Y64" s="95" t="str">
        <f ca="1">IFERROR(__xludf.DUMMYFUNCTION("IFERROR(JOIN("","", UNIQUE(filter({U64; W64}, {U64; W64}&lt;&gt;""""))), """")"),"")</f>
        <v/>
      </c>
    </row>
    <row r="65" spans="2:25" ht="15.75" customHeight="1" x14ac:dyDescent="0.15">
      <c r="B65" s="10"/>
      <c r="C65" s="10"/>
      <c r="D65" s="10"/>
      <c r="E65" s="10"/>
      <c r="F65" s="10"/>
      <c r="G65" s="95" t="str">
        <f ca="1">IFERROR(__xludf.DUMMYFUNCTION("IFERROR(JOIN("","", UNIQUE(filter({C65; E65}, {C65; E65}&lt;&gt;""""))), """")"),"")</f>
        <v/>
      </c>
      <c r="H65" s="96"/>
      <c r="I65" s="96"/>
      <c r="J65" s="96"/>
      <c r="K65" s="96"/>
      <c r="L65" s="96"/>
      <c r="M65" s="95" t="str">
        <f ca="1">IFERROR(__xludf.DUMMYFUNCTION("IFERROR(JOIN("","", UNIQUE(filter({I65; K65}, {I65; K65}&lt;&gt;""""))), """")"),"")</f>
        <v/>
      </c>
      <c r="N65" s="98"/>
      <c r="O65" s="98"/>
      <c r="P65" s="98"/>
      <c r="Q65" s="98"/>
      <c r="R65" s="98"/>
      <c r="S65" s="95" t="str">
        <f ca="1">IFERROR(__xludf.DUMMYFUNCTION("IFERROR(JOIN("","", UNIQUE(filter({O65; Q65}, {O65; Q65}&lt;&gt;""""))), """")"),"")</f>
        <v/>
      </c>
      <c r="T65" s="99"/>
      <c r="U65" s="99"/>
      <c r="V65" s="99"/>
      <c r="W65" s="99"/>
      <c r="X65" s="99"/>
      <c r="Y65" s="95" t="str">
        <f ca="1">IFERROR(__xludf.DUMMYFUNCTION("IFERROR(JOIN("","", UNIQUE(filter({U65; W65}, {U65; W65}&lt;&gt;""""))), """")"),"")</f>
        <v/>
      </c>
    </row>
    <row r="66" spans="2:25" ht="15.75" customHeight="1" x14ac:dyDescent="0.15">
      <c r="B66" s="10"/>
      <c r="C66" s="10"/>
      <c r="D66" s="10"/>
      <c r="E66" s="10"/>
      <c r="F66" s="10"/>
      <c r="G66" s="95" t="str">
        <f ca="1">IFERROR(__xludf.DUMMYFUNCTION("IFERROR(JOIN("","", UNIQUE(filter({C66; E66}, {C66; E66}&lt;&gt;""""))), """")"),"")</f>
        <v/>
      </c>
      <c r="H66" s="96"/>
      <c r="I66" s="96"/>
      <c r="J66" s="96"/>
      <c r="K66" s="96"/>
      <c r="L66" s="96"/>
      <c r="M66" s="95" t="str">
        <f ca="1">IFERROR(__xludf.DUMMYFUNCTION("IFERROR(JOIN("","", UNIQUE(filter({I66; K66}, {I66; K66}&lt;&gt;""""))), """")"),"")</f>
        <v/>
      </c>
      <c r="N66" s="98"/>
      <c r="O66" s="98"/>
      <c r="P66" s="98"/>
      <c r="Q66" s="98"/>
      <c r="R66" s="98"/>
      <c r="S66" s="95" t="str">
        <f ca="1">IFERROR(__xludf.DUMMYFUNCTION("IFERROR(JOIN("","", UNIQUE(filter({O66; Q66}, {O66; Q66}&lt;&gt;""""))), """")"),"")</f>
        <v/>
      </c>
      <c r="T66" s="99"/>
      <c r="U66" s="99"/>
      <c r="V66" s="99"/>
      <c r="W66" s="99"/>
      <c r="X66" s="99"/>
      <c r="Y66" s="95" t="str">
        <f ca="1">IFERROR(__xludf.DUMMYFUNCTION("IFERROR(JOIN("","", UNIQUE(filter({U66; W66}, {U66; W66}&lt;&gt;""""))), """")"),"")</f>
        <v/>
      </c>
    </row>
    <row r="67" spans="2:25" ht="15.75" customHeight="1" x14ac:dyDescent="0.15">
      <c r="B67" s="10"/>
      <c r="C67" s="10"/>
      <c r="D67" s="10"/>
      <c r="E67" s="10"/>
      <c r="F67" s="10"/>
      <c r="G67" s="95" t="str">
        <f ca="1">IFERROR(__xludf.DUMMYFUNCTION("IFERROR(JOIN("","", UNIQUE(filter({C67; E67}, {C67; E67}&lt;&gt;""""))), """")"),"")</f>
        <v/>
      </c>
      <c r="H67" s="96"/>
      <c r="I67" s="96"/>
      <c r="J67" s="96"/>
      <c r="K67" s="96"/>
      <c r="L67" s="96"/>
      <c r="M67" s="95" t="str">
        <f ca="1">IFERROR(__xludf.DUMMYFUNCTION("IFERROR(JOIN("","", UNIQUE(filter({I67; K67}, {I67; K67}&lt;&gt;""""))), """")"),"")</f>
        <v/>
      </c>
      <c r="N67" s="98"/>
      <c r="O67" s="98"/>
      <c r="P67" s="98"/>
      <c r="Q67" s="98"/>
      <c r="R67" s="98"/>
      <c r="S67" s="95" t="str">
        <f ca="1">IFERROR(__xludf.DUMMYFUNCTION("IFERROR(JOIN("","", UNIQUE(filter({O67; Q67}, {O67; Q67}&lt;&gt;""""))), """")"),"")</f>
        <v/>
      </c>
      <c r="T67" s="99"/>
      <c r="U67" s="99"/>
      <c r="V67" s="99"/>
      <c r="W67" s="99"/>
      <c r="X67" s="99"/>
      <c r="Y67" s="95" t="str">
        <f ca="1">IFERROR(__xludf.DUMMYFUNCTION("IFERROR(JOIN("","", UNIQUE(filter({U67; W67}, {U67; W67}&lt;&gt;""""))), """")"),"")</f>
        <v/>
      </c>
    </row>
    <row r="68" spans="2:25" ht="15.75" customHeight="1" x14ac:dyDescent="0.15">
      <c r="B68" s="10"/>
      <c r="C68" s="10"/>
      <c r="D68" s="10"/>
      <c r="E68" s="10"/>
      <c r="F68" s="10"/>
      <c r="G68" s="95" t="str">
        <f ca="1">IFERROR(__xludf.DUMMYFUNCTION("IFERROR(JOIN("","", UNIQUE(filter({C68; E68}, {C68; E68}&lt;&gt;""""))), """")"),"")</f>
        <v/>
      </c>
      <c r="H68" s="96"/>
      <c r="I68" s="96"/>
      <c r="J68" s="96"/>
      <c r="K68" s="96"/>
      <c r="L68" s="96"/>
      <c r="M68" s="95" t="str">
        <f ca="1">IFERROR(__xludf.DUMMYFUNCTION("IFERROR(JOIN("","", UNIQUE(filter({I68; K68}, {I68; K68}&lt;&gt;""""))), """")"),"")</f>
        <v/>
      </c>
      <c r="N68" s="98"/>
      <c r="O68" s="98"/>
      <c r="P68" s="98"/>
      <c r="Q68" s="98"/>
      <c r="R68" s="98"/>
      <c r="S68" s="95" t="str">
        <f ca="1">IFERROR(__xludf.DUMMYFUNCTION("IFERROR(JOIN("","", UNIQUE(filter({O68; Q68}, {O68; Q68}&lt;&gt;""""))), """")"),"")</f>
        <v/>
      </c>
      <c r="T68" s="99"/>
      <c r="U68" s="99"/>
      <c r="V68" s="99"/>
      <c r="W68" s="99"/>
      <c r="X68" s="99"/>
      <c r="Y68" s="95" t="str">
        <f ca="1">IFERROR(__xludf.DUMMYFUNCTION("IFERROR(JOIN("","", UNIQUE(filter({U68; W68}, {U68; W68}&lt;&gt;""""))), """")"),"")</f>
        <v/>
      </c>
    </row>
    <row r="69" spans="2:25" ht="15.75" customHeight="1" x14ac:dyDescent="0.15">
      <c r="B69" s="10"/>
      <c r="C69" s="10"/>
      <c r="D69" s="10"/>
      <c r="E69" s="10"/>
      <c r="F69" s="10"/>
      <c r="G69" s="95" t="str">
        <f ca="1">IFERROR(__xludf.DUMMYFUNCTION("IFERROR(JOIN("","", UNIQUE(filter({C69; E69}, {C69; E69}&lt;&gt;""""))), """")"),"")</f>
        <v/>
      </c>
      <c r="H69" s="96"/>
      <c r="I69" s="96"/>
      <c r="J69" s="96"/>
      <c r="K69" s="96"/>
      <c r="L69" s="96"/>
      <c r="M69" s="95" t="str">
        <f ca="1">IFERROR(__xludf.DUMMYFUNCTION("IFERROR(JOIN("","", UNIQUE(filter({I69; K69}, {I69; K69}&lt;&gt;""""))), """")"),"")</f>
        <v/>
      </c>
      <c r="N69" s="98"/>
      <c r="O69" s="98"/>
      <c r="P69" s="98"/>
      <c r="Q69" s="98"/>
      <c r="R69" s="98"/>
      <c r="S69" s="95" t="str">
        <f ca="1">IFERROR(__xludf.DUMMYFUNCTION("IFERROR(JOIN("","", UNIQUE(filter({O69; Q69}, {O69; Q69}&lt;&gt;""""))), """")"),"")</f>
        <v/>
      </c>
      <c r="T69" s="99"/>
      <c r="U69" s="99"/>
      <c r="V69" s="99"/>
      <c r="W69" s="99"/>
      <c r="X69" s="99"/>
      <c r="Y69" s="95" t="str">
        <f ca="1">IFERROR(__xludf.DUMMYFUNCTION("IFERROR(JOIN("","", UNIQUE(filter({U69; W69}, {U69; W69}&lt;&gt;""""))), """")"),"")</f>
        <v/>
      </c>
    </row>
    <row r="70" spans="2:25" ht="15.75" customHeight="1" x14ac:dyDescent="0.15">
      <c r="B70" s="10"/>
      <c r="C70" s="10"/>
      <c r="D70" s="10"/>
      <c r="E70" s="10"/>
      <c r="F70" s="10"/>
      <c r="G70" s="95" t="str">
        <f ca="1">IFERROR(__xludf.DUMMYFUNCTION("IFERROR(JOIN("","", UNIQUE(filter({C70; E70}, {C70; E70}&lt;&gt;""""))), """")"),"")</f>
        <v/>
      </c>
      <c r="H70" s="96"/>
      <c r="I70" s="96"/>
      <c r="J70" s="96"/>
      <c r="K70" s="96"/>
      <c r="L70" s="96"/>
      <c r="M70" s="95" t="str">
        <f ca="1">IFERROR(__xludf.DUMMYFUNCTION("IFERROR(JOIN("","", UNIQUE(filter({I70; K70}, {I70; K70}&lt;&gt;""""))), """")"),"")</f>
        <v/>
      </c>
      <c r="N70" s="98"/>
      <c r="O70" s="98"/>
      <c r="P70" s="98"/>
      <c r="Q70" s="98"/>
      <c r="R70" s="98"/>
      <c r="S70" s="95" t="str">
        <f ca="1">IFERROR(__xludf.DUMMYFUNCTION("IFERROR(JOIN("","", UNIQUE(filter({O70; Q70}, {O70; Q70}&lt;&gt;""""))), """")"),"")</f>
        <v/>
      </c>
      <c r="T70" s="99"/>
      <c r="U70" s="99"/>
      <c r="V70" s="99"/>
      <c r="W70" s="99"/>
      <c r="X70" s="99"/>
      <c r="Y70" s="95" t="str">
        <f ca="1">IFERROR(__xludf.DUMMYFUNCTION("IFERROR(JOIN("","", UNIQUE(filter({U70; W70}, {U70; W70}&lt;&gt;""""))), """")"),"")</f>
        <v/>
      </c>
    </row>
    <row r="71" spans="2:25" ht="15.75" customHeight="1" x14ac:dyDescent="0.15">
      <c r="B71" s="10"/>
      <c r="C71" s="10"/>
      <c r="D71" s="10"/>
      <c r="E71" s="10"/>
      <c r="F71" s="10"/>
      <c r="G71" s="95" t="str">
        <f ca="1">IFERROR(__xludf.DUMMYFUNCTION("IFERROR(JOIN("","", UNIQUE(filter({C71; E71}, {C71; E71}&lt;&gt;""""))), """")"),"")</f>
        <v/>
      </c>
      <c r="H71" s="96"/>
      <c r="I71" s="96"/>
      <c r="J71" s="96"/>
      <c r="K71" s="96"/>
      <c r="L71" s="96"/>
      <c r="M71" s="95" t="str">
        <f ca="1">IFERROR(__xludf.DUMMYFUNCTION("IFERROR(JOIN("","", UNIQUE(filter({I71; K71}, {I71; K71}&lt;&gt;""""))), """")"),"")</f>
        <v/>
      </c>
      <c r="N71" s="98"/>
      <c r="O71" s="98"/>
      <c r="P71" s="98"/>
      <c r="Q71" s="98"/>
      <c r="R71" s="98"/>
      <c r="S71" s="95" t="str">
        <f ca="1">IFERROR(__xludf.DUMMYFUNCTION("IFERROR(JOIN("","", UNIQUE(filter({O71; Q71}, {O71; Q71}&lt;&gt;""""))), """")"),"")</f>
        <v/>
      </c>
      <c r="T71" s="99"/>
      <c r="U71" s="99"/>
      <c r="V71" s="99"/>
      <c r="W71" s="99"/>
      <c r="X71" s="99"/>
      <c r="Y71" s="95" t="str">
        <f ca="1">IFERROR(__xludf.DUMMYFUNCTION("IFERROR(JOIN("","", UNIQUE(filter({U71; W71}, {U71; W71}&lt;&gt;""""))), """")"),"")</f>
        <v/>
      </c>
    </row>
    <row r="72" spans="2:25" ht="15.75" customHeight="1" x14ac:dyDescent="0.15">
      <c r="B72" s="10"/>
      <c r="C72" s="10"/>
      <c r="D72" s="10"/>
      <c r="E72" s="10"/>
      <c r="F72" s="10"/>
      <c r="G72" s="95" t="str">
        <f ca="1">IFERROR(__xludf.DUMMYFUNCTION("IFERROR(JOIN("","", UNIQUE(filter({C72; E72}, {C72; E72}&lt;&gt;""""))), """")"),"")</f>
        <v/>
      </c>
      <c r="H72" s="96"/>
      <c r="I72" s="96"/>
      <c r="J72" s="96"/>
      <c r="K72" s="96"/>
      <c r="L72" s="96"/>
      <c r="M72" s="95" t="str">
        <f ca="1">IFERROR(__xludf.DUMMYFUNCTION("IFERROR(JOIN("","", UNIQUE(filter({I72; K72}, {I72; K72}&lt;&gt;""""))), """")"),"")</f>
        <v/>
      </c>
      <c r="N72" s="98"/>
      <c r="O72" s="98"/>
      <c r="P72" s="98"/>
      <c r="Q72" s="98"/>
      <c r="R72" s="98"/>
      <c r="S72" s="95" t="str">
        <f ca="1">IFERROR(__xludf.DUMMYFUNCTION("IFERROR(JOIN("","", UNIQUE(filter({O72; Q72}, {O72; Q72}&lt;&gt;""""))), """")"),"")</f>
        <v/>
      </c>
      <c r="T72" s="99"/>
      <c r="U72" s="99"/>
      <c r="V72" s="99"/>
      <c r="W72" s="99"/>
      <c r="X72" s="99"/>
      <c r="Y72" s="95" t="str">
        <f ca="1">IFERROR(__xludf.DUMMYFUNCTION("IFERROR(JOIN("","", UNIQUE(filter({U72; W72}, {U72; W72}&lt;&gt;""""))), """")"),"")</f>
        <v/>
      </c>
    </row>
    <row r="73" spans="2:25" ht="15.75" customHeight="1" x14ac:dyDescent="0.15">
      <c r="B73" s="10"/>
      <c r="C73" s="10"/>
      <c r="D73" s="10"/>
      <c r="E73" s="10"/>
      <c r="F73" s="10"/>
      <c r="G73" s="95" t="str">
        <f ca="1">IFERROR(__xludf.DUMMYFUNCTION("IFERROR(JOIN("","", UNIQUE(filter({C73; E73}, {C73; E73}&lt;&gt;""""))), """")"),"")</f>
        <v/>
      </c>
      <c r="H73" s="96"/>
      <c r="I73" s="96"/>
      <c r="J73" s="96"/>
      <c r="K73" s="96"/>
      <c r="L73" s="96"/>
      <c r="M73" s="95" t="str">
        <f ca="1">IFERROR(__xludf.DUMMYFUNCTION("IFERROR(JOIN("","", UNIQUE(filter({I73; K73}, {I73; K73}&lt;&gt;""""))), """")"),"")</f>
        <v/>
      </c>
      <c r="N73" s="98"/>
      <c r="O73" s="98"/>
      <c r="P73" s="98"/>
      <c r="Q73" s="98"/>
      <c r="R73" s="98"/>
      <c r="S73" s="95" t="str">
        <f ca="1">IFERROR(__xludf.DUMMYFUNCTION("IFERROR(JOIN("","", UNIQUE(filter({O73; Q73}, {O73; Q73}&lt;&gt;""""))), """")"),"")</f>
        <v/>
      </c>
      <c r="T73" s="99"/>
      <c r="U73" s="99"/>
      <c r="V73" s="99"/>
      <c r="W73" s="99"/>
      <c r="X73" s="99"/>
      <c r="Y73" s="95" t="str">
        <f ca="1">IFERROR(__xludf.DUMMYFUNCTION("IFERROR(JOIN("","", UNIQUE(filter({U73; W73}, {U73; W73}&lt;&gt;""""))), """")"),"")</f>
        <v/>
      </c>
    </row>
    <row r="74" spans="2:25" ht="15.75" customHeight="1" x14ac:dyDescent="0.15">
      <c r="B74" s="10"/>
      <c r="C74" s="10"/>
      <c r="D74" s="10"/>
      <c r="E74" s="10"/>
      <c r="F74" s="10"/>
      <c r="G74" s="95" t="str">
        <f ca="1">IFERROR(__xludf.DUMMYFUNCTION("IFERROR(JOIN("","", UNIQUE(filter({C74; E74}, {C74; E74}&lt;&gt;""""))), """")"),"")</f>
        <v/>
      </c>
      <c r="H74" s="96"/>
      <c r="I74" s="96"/>
      <c r="J74" s="96"/>
      <c r="K74" s="96"/>
      <c r="L74" s="96"/>
      <c r="M74" s="95" t="str">
        <f ca="1">IFERROR(__xludf.DUMMYFUNCTION("IFERROR(JOIN("","", UNIQUE(filter({I74; K74}, {I74; K74}&lt;&gt;""""))), """")"),"")</f>
        <v/>
      </c>
      <c r="N74" s="98"/>
      <c r="O74" s="98"/>
      <c r="P74" s="98"/>
      <c r="Q74" s="98"/>
      <c r="R74" s="98"/>
      <c r="S74" s="95" t="str">
        <f ca="1">IFERROR(__xludf.DUMMYFUNCTION("IFERROR(JOIN("","", UNIQUE(filter({O74; Q74}, {O74; Q74}&lt;&gt;""""))), """")"),"")</f>
        <v/>
      </c>
      <c r="T74" s="99"/>
      <c r="U74" s="99"/>
      <c r="V74" s="99"/>
      <c r="W74" s="99"/>
      <c r="X74" s="99"/>
      <c r="Y74" s="95" t="str">
        <f ca="1">IFERROR(__xludf.DUMMYFUNCTION("IFERROR(JOIN("","", UNIQUE(filter({U74; W74}, {U74; W74}&lt;&gt;""""))), """")"),"")</f>
        <v/>
      </c>
    </row>
    <row r="75" spans="2:25" ht="15.75" customHeight="1" x14ac:dyDescent="0.15">
      <c r="B75" s="10"/>
      <c r="C75" s="10"/>
      <c r="D75" s="10"/>
      <c r="E75" s="10"/>
      <c r="F75" s="10"/>
      <c r="G75" s="95" t="str">
        <f ca="1">IFERROR(__xludf.DUMMYFUNCTION("IFERROR(JOIN("","", UNIQUE(filter({C75; E75}, {C75; E75}&lt;&gt;""""))), """")"),"")</f>
        <v/>
      </c>
      <c r="H75" s="96"/>
      <c r="I75" s="96"/>
      <c r="J75" s="96"/>
      <c r="K75" s="96"/>
      <c r="L75" s="96"/>
      <c r="M75" s="95" t="str">
        <f ca="1">IFERROR(__xludf.DUMMYFUNCTION("IFERROR(JOIN("","", UNIQUE(filter({I75; K75}, {I75; K75}&lt;&gt;""""))), """")"),"")</f>
        <v/>
      </c>
      <c r="N75" s="98"/>
      <c r="O75" s="98"/>
      <c r="P75" s="98"/>
      <c r="Q75" s="98"/>
      <c r="R75" s="98"/>
      <c r="S75" s="95" t="str">
        <f ca="1">IFERROR(__xludf.DUMMYFUNCTION("IFERROR(JOIN("","", UNIQUE(filter({O75; Q75}, {O75; Q75}&lt;&gt;""""))), """")"),"")</f>
        <v/>
      </c>
      <c r="T75" s="99"/>
      <c r="U75" s="99"/>
      <c r="V75" s="99"/>
      <c r="W75" s="99"/>
      <c r="X75" s="99"/>
      <c r="Y75" s="95" t="str">
        <f ca="1">IFERROR(__xludf.DUMMYFUNCTION("IFERROR(JOIN("","", UNIQUE(filter({U75; W75}, {U75; W75}&lt;&gt;""""))), """")"),"")</f>
        <v/>
      </c>
    </row>
    <row r="76" spans="2:25" ht="15.75" customHeight="1" x14ac:dyDescent="0.15">
      <c r="B76" s="10"/>
      <c r="C76" s="10"/>
      <c r="D76" s="10"/>
      <c r="E76" s="10"/>
      <c r="F76" s="10"/>
      <c r="G76" s="95" t="str">
        <f ca="1">IFERROR(__xludf.DUMMYFUNCTION("IFERROR(JOIN("","", UNIQUE(filter({C76; E76}, {C76; E76}&lt;&gt;""""))), """")"),"")</f>
        <v/>
      </c>
      <c r="H76" s="96"/>
      <c r="I76" s="96"/>
      <c r="J76" s="96"/>
      <c r="K76" s="96"/>
      <c r="L76" s="96"/>
      <c r="M76" s="95" t="str">
        <f ca="1">IFERROR(__xludf.DUMMYFUNCTION("IFERROR(JOIN("","", UNIQUE(filter({I76; K76}, {I76; K76}&lt;&gt;""""))), """")"),"")</f>
        <v/>
      </c>
      <c r="N76" s="98"/>
      <c r="O76" s="98"/>
      <c r="P76" s="98"/>
      <c r="Q76" s="98"/>
      <c r="R76" s="98"/>
      <c r="S76" s="95" t="str">
        <f ca="1">IFERROR(__xludf.DUMMYFUNCTION("IFERROR(JOIN("","", UNIQUE(filter({O76; Q76}, {O76; Q76}&lt;&gt;""""))), """")"),"")</f>
        <v/>
      </c>
      <c r="T76" s="99"/>
      <c r="U76" s="99"/>
      <c r="V76" s="99"/>
      <c r="W76" s="99"/>
      <c r="X76" s="99"/>
      <c r="Y76" s="95" t="str">
        <f ca="1">IFERROR(__xludf.DUMMYFUNCTION("IFERROR(JOIN("","", UNIQUE(filter({U76; W76}, {U76; W76}&lt;&gt;""""))), """")"),"")</f>
        <v/>
      </c>
    </row>
    <row r="77" spans="2:25" ht="15.75" customHeight="1" x14ac:dyDescent="0.15">
      <c r="B77" s="10"/>
      <c r="C77" s="10"/>
      <c r="D77" s="10"/>
      <c r="E77" s="10"/>
      <c r="F77" s="10"/>
      <c r="G77" s="95" t="str">
        <f ca="1">IFERROR(__xludf.DUMMYFUNCTION("IFERROR(JOIN("","", UNIQUE(filter({C77; E77}, {C77; E77}&lt;&gt;""""))), """")"),"")</f>
        <v/>
      </c>
      <c r="H77" s="96"/>
      <c r="I77" s="96"/>
      <c r="J77" s="96"/>
      <c r="K77" s="96"/>
      <c r="L77" s="96"/>
      <c r="M77" s="95" t="str">
        <f ca="1">IFERROR(__xludf.DUMMYFUNCTION("IFERROR(JOIN("","", UNIQUE(filter({I77; K77}, {I77; K77}&lt;&gt;""""))), """")"),"")</f>
        <v/>
      </c>
      <c r="N77" s="98"/>
      <c r="O77" s="98"/>
      <c r="P77" s="98"/>
      <c r="Q77" s="98"/>
      <c r="R77" s="98"/>
      <c r="S77" s="95" t="str">
        <f ca="1">IFERROR(__xludf.DUMMYFUNCTION("IFERROR(JOIN("","", UNIQUE(filter({O77; Q77}, {O77; Q77}&lt;&gt;""""))), """")"),"")</f>
        <v/>
      </c>
      <c r="T77" s="99"/>
      <c r="U77" s="99"/>
      <c r="V77" s="99"/>
      <c r="W77" s="99"/>
      <c r="X77" s="99"/>
      <c r="Y77" s="95" t="str">
        <f ca="1">IFERROR(__xludf.DUMMYFUNCTION("IFERROR(JOIN("","", UNIQUE(filter({U77; W77}, {U77; W77}&lt;&gt;""""))), """")"),"")</f>
        <v/>
      </c>
    </row>
    <row r="78" spans="2:25" ht="15.75" customHeight="1" x14ac:dyDescent="0.15">
      <c r="B78" s="10"/>
      <c r="C78" s="10"/>
      <c r="D78" s="10"/>
      <c r="E78" s="10"/>
      <c r="F78" s="10"/>
      <c r="G78" s="95" t="str">
        <f ca="1">IFERROR(__xludf.DUMMYFUNCTION("IFERROR(JOIN("","", UNIQUE(filter({C78; E78}, {C78; E78}&lt;&gt;""""))), """")"),"")</f>
        <v/>
      </c>
      <c r="H78" s="96"/>
      <c r="I78" s="96"/>
      <c r="J78" s="96"/>
      <c r="K78" s="96"/>
      <c r="L78" s="96"/>
      <c r="M78" s="95" t="str">
        <f ca="1">IFERROR(__xludf.DUMMYFUNCTION("IFERROR(JOIN("","", UNIQUE(filter({I78; K78}, {I78; K78}&lt;&gt;""""))), """")"),"")</f>
        <v/>
      </c>
      <c r="N78" s="98"/>
      <c r="O78" s="98"/>
      <c r="P78" s="98"/>
      <c r="Q78" s="98"/>
      <c r="R78" s="98"/>
      <c r="S78" s="95" t="str">
        <f ca="1">IFERROR(__xludf.DUMMYFUNCTION("IFERROR(JOIN("","", UNIQUE(filter({O78; Q78}, {O78; Q78}&lt;&gt;""""))), """")"),"")</f>
        <v/>
      </c>
      <c r="T78" s="99"/>
      <c r="U78" s="99"/>
      <c r="V78" s="99"/>
      <c r="W78" s="99"/>
      <c r="X78" s="99"/>
      <c r="Y78" s="95" t="str">
        <f ca="1">IFERROR(__xludf.DUMMYFUNCTION("IFERROR(JOIN("","", UNIQUE(filter({U78; W78}, {U78; W78}&lt;&gt;""""))), """")"),"")</f>
        <v/>
      </c>
    </row>
    <row r="79" spans="2:25" ht="15.75" customHeight="1" x14ac:dyDescent="0.15">
      <c r="B79" s="10"/>
      <c r="C79" s="10"/>
      <c r="D79" s="10"/>
      <c r="E79" s="10"/>
      <c r="F79" s="10"/>
      <c r="G79" s="95" t="str">
        <f ca="1">IFERROR(__xludf.DUMMYFUNCTION("IFERROR(JOIN("","", UNIQUE(filter({C79; E79}, {C79; E79}&lt;&gt;""""))), """")"),"")</f>
        <v/>
      </c>
      <c r="H79" s="96"/>
      <c r="I79" s="96"/>
      <c r="J79" s="96"/>
      <c r="K79" s="96"/>
      <c r="L79" s="96"/>
      <c r="M79" s="95" t="str">
        <f ca="1">IFERROR(__xludf.DUMMYFUNCTION("IFERROR(JOIN("","", UNIQUE(filter({I79; K79}, {I79; K79}&lt;&gt;""""))), """")"),"")</f>
        <v/>
      </c>
      <c r="N79" s="98"/>
      <c r="O79" s="98"/>
      <c r="P79" s="98"/>
      <c r="Q79" s="98"/>
      <c r="R79" s="98"/>
      <c r="S79" s="95" t="str">
        <f ca="1">IFERROR(__xludf.DUMMYFUNCTION("IFERROR(JOIN("","", UNIQUE(filter({O79; Q79}, {O79; Q79}&lt;&gt;""""))), """")"),"")</f>
        <v/>
      </c>
      <c r="T79" s="99"/>
      <c r="U79" s="99"/>
      <c r="V79" s="99"/>
      <c r="W79" s="99"/>
      <c r="X79" s="99"/>
      <c r="Y79" s="95" t="str">
        <f ca="1">IFERROR(__xludf.DUMMYFUNCTION("IFERROR(JOIN("","", UNIQUE(filter({U79; W79}, {U79; W79}&lt;&gt;""""))), """")"),"")</f>
        <v/>
      </c>
    </row>
    <row r="80" spans="2:25" ht="15.75" customHeight="1" x14ac:dyDescent="0.15">
      <c r="B80" s="10"/>
      <c r="C80" s="10"/>
      <c r="D80" s="10"/>
      <c r="E80" s="10"/>
      <c r="F80" s="10"/>
      <c r="G80" s="95" t="str">
        <f ca="1">IFERROR(__xludf.DUMMYFUNCTION("IFERROR(JOIN("","", UNIQUE(filter({C80; E80}, {C80; E80}&lt;&gt;""""))), """")"),"")</f>
        <v/>
      </c>
      <c r="H80" s="96"/>
      <c r="I80" s="96"/>
      <c r="J80" s="96"/>
      <c r="K80" s="96"/>
      <c r="L80" s="96"/>
      <c r="M80" s="95" t="str">
        <f ca="1">IFERROR(__xludf.DUMMYFUNCTION("IFERROR(JOIN("","", UNIQUE(filter({I80; K80}, {I80; K80}&lt;&gt;""""))), """")"),"")</f>
        <v/>
      </c>
      <c r="N80" s="98"/>
      <c r="O80" s="98"/>
      <c r="P80" s="98"/>
      <c r="Q80" s="98"/>
      <c r="R80" s="98"/>
      <c r="S80" s="95" t="str">
        <f ca="1">IFERROR(__xludf.DUMMYFUNCTION("IFERROR(JOIN("","", UNIQUE(filter({O80; Q80}, {O80; Q80}&lt;&gt;""""))), """")"),"")</f>
        <v/>
      </c>
      <c r="T80" s="99"/>
      <c r="U80" s="99"/>
      <c r="V80" s="99"/>
      <c r="W80" s="99"/>
      <c r="X80" s="99"/>
      <c r="Y80" s="95" t="str">
        <f ca="1">IFERROR(__xludf.DUMMYFUNCTION("IFERROR(JOIN("","", UNIQUE(filter({U80; W80}, {U80; W80}&lt;&gt;""""))), """")"),"")</f>
        <v/>
      </c>
    </row>
    <row r="81" spans="2:25" ht="15.75" customHeight="1" x14ac:dyDescent="0.15">
      <c r="B81" s="10"/>
      <c r="C81" s="10"/>
      <c r="D81" s="10"/>
      <c r="E81" s="10"/>
      <c r="F81" s="10"/>
      <c r="G81" s="95" t="str">
        <f ca="1">IFERROR(__xludf.DUMMYFUNCTION("IFERROR(JOIN("","", UNIQUE(filter({C81; E81}, {C81; E81}&lt;&gt;""""))), """")"),"")</f>
        <v/>
      </c>
      <c r="H81" s="96"/>
      <c r="I81" s="96"/>
      <c r="J81" s="96"/>
      <c r="K81" s="96"/>
      <c r="L81" s="96"/>
      <c r="M81" s="95" t="str">
        <f ca="1">IFERROR(__xludf.DUMMYFUNCTION("IFERROR(JOIN("","", UNIQUE(filter({I81; K81}, {I81; K81}&lt;&gt;""""))), """")"),"")</f>
        <v/>
      </c>
      <c r="N81" s="98"/>
      <c r="O81" s="98"/>
      <c r="P81" s="98"/>
      <c r="Q81" s="98"/>
      <c r="R81" s="98"/>
      <c r="S81" s="95" t="str">
        <f ca="1">IFERROR(__xludf.DUMMYFUNCTION("IFERROR(JOIN("","", UNIQUE(filter({O81; Q81}, {O81; Q81}&lt;&gt;""""))), """")"),"")</f>
        <v/>
      </c>
      <c r="T81" s="99"/>
      <c r="U81" s="99"/>
      <c r="V81" s="99"/>
      <c r="W81" s="99"/>
      <c r="X81" s="99"/>
      <c r="Y81" s="95" t="str">
        <f ca="1">IFERROR(__xludf.DUMMYFUNCTION("IFERROR(JOIN("","", UNIQUE(filter({U81; W81}, {U81; W81}&lt;&gt;""""))), """")"),"")</f>
        <v/>
      </c>
    </row>
    <row r="82" spans="2:25" ht="15.75" customHeight="1" x14ac:dyDescent="0.15">
      <c r="B82" s="10"/>
      <c r="C82" s="10"/>
      <c r="D82" s="10"/>
      <c r="E82" s="10"/>
      <c r="F82" s="10"/>
      <c r="G82" s="95" t="str">
        <f ca="1">IFERROR(__xludf.DUMMYFUNCTION("IFERROR(JOIN("","", UNIQUE(filter({C82; E82}, {C82; E82}&lt;&gt;""""))), """")"),"")</f>
        <v/>
      </c>
      <c r="H82" s="96"/>
      <c r="I82" s="96"/>
      <c r="J82" s="96"/>
      <c r="K82" s="96"/>
      <c r="L82" s="96"/>
      <c r="M82" s="95" t="str">
        <f ca="1">IFERROR(__xludf.DUMMYFUNCTION("IFERROR(JOIN("","", UNIQUE(filter({I82; K82}, {I82; K82}&lt;&gt;""""))), """")"),"")</f>
        <v/>
      </c>
      <c r="N82" s="98"/>
      <c r="O82" s="98"/>
      <c r="P82" s="98"/>
      <c r="Q82" s="98"/>
      <c r="R82" s="98"/>
      <c r="S82" s="95" t="str">
        <f ca="1">IFERROR(__xludf.DUMMYFUNCTION("IFERROR(JOIN("","", UNIQUE(filter({O82; Q82}, {O82; Q82}&lt;&gt;""""))), """")"),"")</f>
        <v/>
      </c>
      <c r="T82" s="99"/>
      <c r="U82" s="99"/>
      <c r="V82" s="99"/>
      <c r="W82" s="99"/>
      <c r="X82" s="99"/>
      <c r="Y82" s="95" t="str">
        <f ca="1">IFERROR(__xludf.DUMMYFUNCTION("IFERROR(JOIN("","", UNIQUE(filter({U82; W82}, {U82; W82}&lt;&gt;""""))), """")"),"")</f>
        <v/>
      </c>
    </row>
    <row r="83" spans="2:25" ht="15.75" customHeight="1" x14ac:dyDescent="0.15">
      <c r="B83" s="10"/>
      <c r="C83" s="10"/>
      <c r="D83" s="10"/>
      <c r="E83" s="10"/>
      <c r="F83" s="10"/>
      <c r="G83" s="95" t="str">
        <f ca="1">IFERROR(__xludf.DUMMYFUNCTION("IFERROR(JOIN("","", UNIQUE(filter({C83; E83}, {C83; E83}&lt;&gt;""""))), """")"),"")</f>
        <v/>
      </c>
      <c r="H83" s="96"/>
      <c r="I83" s="96"/>
      <c r="J83" s="96"/>
      <c r="K83" s="96"/>
      <c r="L83" s="96"/>
      <c r="M83" s="95" t="str">
        <f ca="1">IFERROR(__xludf.DUMMYFUNCTION("IFERROR(JOIN("","", UNIQUE(filter({I83; K83}, {I83; K83}&lt;&gt;""""))), """")"),"")</f>
        <v/>
      </c>
      <c r="N83" s="98"/>
      <c r="O83" s="98"/>
      <c r="P83" s="98"/>
      <c r="Q83" s="98"/>
      <c r="R83" s="98"/>
      <c r="S83" s="95" t="str">
        <f ca="1">IFERROR(__xludf.DUMMYFUNCTION("IFERROR(JOIN("","", UNIQUE(filter({O83; Q83}, {O83; Q83}&lt;&gt;""""))), """")"),"")</f>
        <v/>
      </c>
      <c r="T83" s="99"/>
      <c r="U83" s="99"/>
      <c r="V83" s="99"/>
      <c r="W83" s="99"/>
      <c r="X83" s="99"/>
      <c r="Y83" s="95" t="str">
        <f ca="1">IFERROR(__xludf.DUMMYFUNCTION("IFERROR(JOIN("","", UNIQUE(filter({U83; W83}, {U83; W83}&lt;&gt;""""))), """")"),"")</f>
        <v/>
      </c>
    </row>
    <row r="84" spans="2:25" ht="15.75" customHeight="1" x14ac:dyDescent="0.15">
      <c r="B84" s="10"/>
      <c r="C84" s="10"/>
      <c r="D84" s="10"/>
      <c r="E84" s="10"/>
      <c r="F84" s="10"/>
      <c r="G84" s="95" t="str">
        <f ca="1">IFERROR(__xludf.DUMMYFUNCTION("IFERROR(JOIN("","", UNIQUE(filter({C84; E84}, {C84; E84}&lt;&gt;""""))), """")"),"")</f>
        <v/>
      </c>
      <c r="H84" s="96"/>
      <c r="I84" s="96"/>
      <c r="J84" s="96"/>
      <c r="K84" s="96"/>
      <c r="L84" s="96"/>
      <c r="M84" s="95" t="str">
        <f ca="1">IFERROR(__xludf.DUMMYFUNCTION("IFERROR(JOIN("","", UNIQUE(filter({I84; K84}, {I84; K84}&lt;&gt;""""))), """")"),"")</f>
        <v/>
      </c>
      <c r="N84" s="98"/>
      <c r="O84" s="98"/>
      <c r="P84" s="98"/>
      <c r="Q84" s="98"/>
      <c r="R84" s="98"/>
      <c r="S84" s="95" t="str">
        <f ca="1">IFERROR(__xludf.DUMMYFUNCTION("IFERROR(JOIN("","", UNIQUE(filter({O84; Q84}, {O84; Q84}&lt;&gt;""""))), """")"),"")</f>
        <v/>
      </c>
      <c r="T84" s="99"/>
      <c r="U84" s="99"/>
      <c r="V84" s="99"/>
      <c r="W84" s="99"/>
      <c r="X84" s="99"/>
      <c r="Y84" s="95" t="str">
        <f ca="1">IFERROR(__xludf.DUMMYFUNCTION("IFERROR(JOIN("","", UNIQUE(filter({U84; W84}, {U84; W84}&lt;&gt;""""))), """")"),"")</f>
        <v/>
      </c>
    </row>
    <row r="85" spans="2:25" ht="15.75" customHeight="1" x14ac:dyDescent="0.15">
      <c r="B85" s="10"/>
      <c r="C85" s="10"/>
      <c r="D85" s="10"/>
      <c r="E85" s="10"/>
      <c r="F85" s="10"/>
      <c r="G85" s="95" t="str">
        <f ca="1">IFERROR(__xludf.DUMMYFUNCTION("IFERROR(JOIN("","", UNIQUE(filter({C85; E85}, {C85; E85}&lt;&gt;""""))), """")"),"")</f>
        <v/>
      </c>
      <c r="H85" s="96"/>
      <c r="I85" s="96"/>
      <c r="J85" s="96"/>
      <c r="K85" s="96"/>
      <c r="L85" s="96"/>
      <c r="M85" s="95" t="str">
        <f ca="1">IFERROR(__xludf.DUMMYFUNCTION("IFERROR(JOIN("","", UNIQUE(filter({I85; K85}, {I85; K85}&lt;&gt;""""))), """")"),"")</f>
        <v/>
      </c>
      <c r="N85" s="98"/>
      <c r="O85" s="98"/>
      <c r="P85" s="98"/>
      <c r="Q85" s="98"/>
      <c r="R85" s="98"/>
      <c r="S85" s="95" t="str">
        <f ca="1">IFERROR(__xludf.DUMMYFUNCTION("IFERROR(JOIN("","", UNIQUE(filter({O85; Q85}, {O85; Q85}&lt;&gt;""""))), """")"),"")</f>
        <v/>
      </c>
      <c r="T85" s="99"/>
      <c r="U85" s="99"/>
      <c r="V85" s="99"/>
      <c r="W85" s="99"/>
      <c r="X85" s="99"/>
      <c r="Y85" s="95" t="str">
        <f ca="1">IFERROR(__xludf.DUMMYFUNCTION("IFERROR(JOIN("","", UNIQUE(filter({U85; W85}, {U85; W85}&lt;&gt;""""))), """")"),"")</f>
        <v/>
      </c>
    </row>
    <row r="86" spans="2:25" ht="15.75" customHeight="1" x14ac:dyDescent="0.15">
      <c r="B86" s="10"/>
      <c r="C86" s="10"/>
      <c r="D86" s="10"/>
      <c r="E86" s="10"/>
      <c r="F86" s="10"/>
      <c r="G86" s="95" t="str">
        <f ca="1">IFERROR(__xludf.DUMMYFUNCTION("IFERROR(JOIN("","", UNIQUE(filter({C86; E86}, {C86; E86}&lt;&gt;""""))), """")"),"")</f>
        <v/>
      </c>
      <c r="H86" s="96"/>
      <c r="I86" s="96"/>
      <c r="J86" s="96"/>
      <c r="K86" s="96"/>
      <c r="L86" s="96"/>
      <c r="M86" s="95" t="str">
        <f ca="1">IFERROR(__xludf.DUMMYFUNCTION("IFERROR(JOIN("","", UNIQUE(filter({I86; K86}, {I86; K86}&lt;&gt;""""))), """")"),"")</f>
        <v/>
      </c>
      <c r="N86" s="98"/>
      <c r="O86" s="98"/>
      <c r="P86" s="98"/>
      <c r="Q86" s="98"/>
      <c r="R86" s="98"/>
      <c r="S86" s="95" t="str">
        <f ca="1">IFERROR(__xludf.DUMMYFUNCTION("IFERROR(JOIN("","", UNIQUE(filter({O86; Q86}, {O86; Q86}&lt;&gt;""""))), """")"),"")</f>
        <v/>
      </c>
      <c r="T86" s="99"/>
      <c r="U86" s="99"/>
      <c r="V86" s="99"/>
      <c r="W86" s="99"/>
      <c r="X86" s="99"/>
      <c r="Y86" s="95" t="str">
        <f ca="1">IFERROR(__xludf.DUMMYFUNCTION("IFERROR(JOIN("","", UNIQUE(filter({U86; W86}, {U86; W86}&lt;&gt;""""))), """")"),"")</f>
        <v/>
      </c>
    </row>
    <row r="87" spans="2:25" ht="15.75" customHeight="1" x14ac:dyDescent="0.15">
      <c r="B87" s="10"/>
      <c r="C87" s="10"/>
      <c r="D87" s="10"/>
      <c r="E87" s="10"/>
      <c r="F87" s="10"/>
      <c r="G87" s="95" t="str">
        <f ca="1">IFERROR(__xludf.DUMMYFUNCTION("IFERROR(JOIN("","", UNIQUE(filter({C87; E87}, {C87; E87}&lt;&gt;""""))), """")"),"")</f>
        <v/>
      </c>
      <c r="H87" s="96"/>
      <c r="I87" s="96"/>
      <c r="J87" s="96"/>
      <c r="K87" s="96"/>
      <c r="L87" s="96"/>
      <c r="M87" s="95" t="str">
        <f ca="1">IFERROR(__xludf.DUMMYFUNCTION("IFERROR(JOIN("","", UNIQUE(filter({I87; K87}, {I87; K87}&lt;&gt;""""))), """")"),"")</f>
        <v/>
      </c>
      <c r="N87" s="98"/>
      <c r="O87" s="98"/>
      <c r="P87" s="98"/>
      <c r="Q87" s="98"/>
      <c r="R87" s="98"/>
      <c r="S87" s="95" t="str">
        <f ca="1">IFERROR(__xludf.DUMMYFUNCTION("IFERROR(JOIN("","", UNIQUE(filter({O87; Q87}, {O87; Q87}&lt;&gt;""""))), """")"),"")</f>
        <v/>
      </c>
      <c r="T87" s="99"/>
      <c r="U87" s="99"/>
      <c r="V87" s="99"/>
      <c r="W87" s="99"/>
      <c r="X87" s="99"/>
      <c r="Y87" s="95" t="str">
        <f ca="1">IFERROR(__xludf.DUMMYFUNCTION("IFERROR(JOIN("","", UNIQUE(filter({U87; W87}, {U87; W87}&lt;&gt;""""))), """")"),"")</f>
        <v/>
      </c>
    </row>
    <row r="88" spans="2:25" ht="15.75" customHeight="1" x14ac:dyDescent="0.15">
      <c r="B88" s="10"/>
      <c r="C88" s="10"/>
      <c r="D88" s="10"/>
      <c r="E88" s="10"/>
      <c r="F88" s="10"/>
      <c r="G88" s="95" t="str">
        <f ca="1">IFERROR(__xludf.DUMMYFUNCTION("IFERROR(JOIN("","", UNIQUE(filter({C88; E88}, {C88; E88}&lt;&gt;""""))), """")"),"")</f>
        <v/>
      </c>
      <c r="H88" s="96"/>
      <c r="I88" s="96"/>
      <c r="J88" s="96"/>
      <c r="K88" s="96"/>
      <c r="L88" s="96"/>
      <c r="M88" s="95" t="str">
        <f ca="1">IFERROR(__xludf.DUMMYFUNCTION("IFERROR(JOIN("","", UNIQUE(filter({I88; K88}, {I88; K88}&lt;&gt;""""))), """")"),"")</f>
        <v/>
      </c>
      <c r="N88" s="98"/>
      <c r="O88" s="98"/>
      <c r="P88" s="98"/>
      <c r="Q88" s="98"/>
      <c r="R88" s="98"/>
      <c r="S88" s="95" t="str">
        <f ca="1">IFERROR(__xludf.DUMMYFUNCTION("IFERROR(JOIN("","", UNIQUE(filter({O88; Q88}, {O88; Q88}&lt;&gt;""""))), """")"),"")</f>
        <v/>
      </c>
      <c r="T88" s="99"/>
      <c r="U88" s="99"/>
      <c r="V88" s="99"/>
      <c r="W88" s="99"/>
      <c r="X88" s="99"/>
      <c r="Y88" s="95" t="str">
        <f ca="1">IFERROR(__xludf.DUMMYFUNCTION("IFERROR(JOIN("","", UNIQUE(filter({U88; W88}, {U88; W88}&lt;&gt;""""))), """")"),"")</f>
        <v/>
      </c>
    </row>
    <row r="89" spans="2:25" ht="15.75" customHeight="1" x14ac:dyDescent="0.15">
      <c r="B89" s="10"/>
      <c r="C89" s="10"/>
      <c r="D89" s="10"/>
      <c r="E89" s="10"/>
      <c r="F89" s="10"/>
      <c r="G89" s="95" t="str">
        <f ca="1">IFERROR(__xludf.DUMMYFUNCTION("IFERROR(JOIN("","", UNIQUE(filter({C89; E89}, {C89; E89}&lt;&gt;""""))), """")"),"")</f>
        <v/>
      </c>
      <c r="H89" s="96"/>
      <c r="I89" s="96"/>
      <c r="J89" s="96"/>
      <c r="K89" s="96"/>
      <c r="L89" s="96"/>
      <c r="M89" s="95" t="str">
        <f ca="1">IFERROR(__xludf.DUMMYFUNCTION("IFERROR(JOIN("","", UNIQUE(filter({I89; K89}, {I89; K89}&lt;&gt;""""))), """")"),"")</f>
        <v/>
      </c>
      <c r="N89" s="98"/>
      <c r="O89" s="98"/>
      <c r="P89" s="98"/>
      <c r="Q89" s="98"/>
      <c r="R89" s="98"/>
      <c r="S89" s="95" t="str">
        <f ca="1">IFERROR(__xludf.DUMMYFUNCTION("IFERROR(JOIN("","", UNIQUE(filter({O89; Q89}, {O89; Q89}&lt;&gt;""""))), """")"),"")</f>
        <v/>
      </c>
      <c r="T89" s="99"/>
      <c r="U89" s="99"/>
      <c r="V89" s="99"/>
      <c r="W89" s="99"/>
      <c r="X89" s="99"/>
      <c r="Y89" s="95" t="str">
        <f ca="1">IFERROR(__xludf.DUMMYFUNCTION("IFERROR(JOIN("","", UNIQUE(filter({U89; W89}, {U89; W89}&lt;&gt;""""))), """")"),"")</f>
        <v/>
      </c>
    </row>
    <row r="90" spans="2:25" ht="15.75" customHeight="1" x14ac:dyDescent="0.15">
      <c r="B90" s="10"/>
      <c r="C90" s="10"/>
      <c r="D90" s="10"/>
      <c r="E90" s="10"/>
      <c r="F90" s="10"/>
      <c r="G90" s="95" t="str">
        <f ca="1">IFERROR(__xludf.DUMMYFUNCTION("IFERROR(JOIN("","", UNIQUE(filter({C90; E90}, {C90; E90}&lt;&gt;""""))), """")"),"")</f>
        <v/>
      </c>
      <c r="H90" s="96"/>
      <c r="I90" s="96"/>
      <c r="J90" s="96"/>
      <c r="K90" s="96"/>
      <c r="L90" s="96"/>
      <c r="M90" s="95" t="str">
        <f ca="1">IFERROR(__xludf.DUMMYFUNCTION("IFERROR(JOIN("","", UNIQUE(filter({I90; K90}, {I90; K90}&lt;&gt;""""))), """")"),"")</f>
        <v/>
      </c>
      <c r="N90" s="98"/>
      <c r="O90" s="98"/>
      <c r="P90" s="98"/>
      <c r="Q90" s="98"/>
      <c r="R90" s="98"/>
      <c r="S90" s="95" t="str">
        <f ca="1">IFERROR(__xludf.DUMMYFUNCTION("IFERROR(JOIN("","", UNIQUE(filter({O90; Q90}, {O90; Q90}&lt;&gt;""""))), """")"),"")</f>
        <v/>
      </c>
      <c r="T90" s="99"/>
      <c r="U90" s="99"/>
      <c r="V90" s="99"/>
      <c r="W90" s="99"/>
      <c r="X90" s="99"/>
      <c r="Y90" s="95" t="str">
        <f ca="1">IFERROR(__xludf.DUMMYFUNCTION("IFERROR(JOIN("","", UNIQUE(filter({U90; W90}, {U90; W90}&lt;&gt;""""))), """")"),"")</f>
        <v/>
      </c>
    </row>
    <row r="91" spans="2:25" ht="15.75" customHeight="1" x14ac:dyDescent="0.15">
      <c r="B91" s="10"/>
      <c r="C91" s="10"/>
      <c r="D91" s="10"/>
      <c r="E91" s="10"/>
      <c r="F91" s="10"/>
      <c r="G91" s="95" t="str">
        <f ca="1">IFERROR(__xludf.DUMMYFUNCTION("IFERROR(JOIN("","", UNIQUE(filter({C91; E91}, {C91; E91}&lt;&gt;""""))), """")"),"")</f>
        <v/>
      </c>
      <c r="H91" s="96"/>
      <c r="I91" s="96"/>
      <c r="J91" s="96"/>
      <c r="K91" s="96"/>
      <c r="L91" s="96"/>
      <c r="M91" s="95" t="str">
        <f ca="1">IFERROR(__xludf.DUMMYFUNCTION("IFERROR(JOIN("","", UNIQUE(filter({I91; K91}, {I91; K91}&lt;&gt;""""))), """")"),"")</f>
        <v/>
      </c>
      <c r="N91" s="98"/>
      <c r="O91" s="98"/>
      <c r="P91" s="98"/>
      <c r="Q91" s="98"/>
      <c r="R91" s="98"/>
      <c r="S91" s="95" t="str">
        <f ca="1">IFERROR(__xludf.DUMMYFUNCTION("IFERROR(JOIN("","", UNIQUE(filter({O91; Q91}, {O91; Q91}&lt;&gt;""""))), """")"),"")</f>
        <v/>
      </c>
      <c r="T91" s="99"/>
      <c r="U91" s="99"/>
      <c r="V91" s="99"/>
      <c r="W91" s="99"/>
      <c r="X91" s="99"/>
      <c r="Y91" s="95" t="str">
        <f ca="1">IFERROR(__xludf.DUMMYFUNCTION("IFERROR(JOIN("","", UNIQUE(filter({U91; W91}, {U91; W91}&lt;&gt;""""))), """")"),"")</f>
        <v/>
      </c>
    </row>
    <row r="92" spans="2:25" ht="15.75" customHeight="1" x14ac:dyDescent="0.15">
      <c r="B92" s="10"/>
      <c r="C92" s="10"/>
      <c r="D92" s="10"/>
      <c r="E92" s="10"/>
      <c r="F92" s="10"/>
      <c r="G92" s="95" t="str">
        <f ca="1">IFERROR(__xludf.DUMMYFUNCTION("IFERROR(JOIN("","", UNIQUE(filter({C92; E92}, {C92; E92}&lt;&gt;""""))), """")"),"")</f>
        <v/>
      </c>
      <c r="H92" s="96"/>
      <c r="I92" s="96"/>
      <c r="J92" s="96"/>
      <c r="K92" s="96"/>
      <c r="L92" s="96"/>
      <c r="M92" s="95" t="str">
        <f ca="1">IFERROR(__xludf.DUMMYFUNCTION("IFERROR(JOIN("","", UNIQUE(filter({I92; K92}, {I92; K92}&lt;&gt;""""))), """")"),"")</f>
        <v/>
      </c>
      <c r="N92" s="98"/>
      <c r="O92" s="98"/>
      <c r="P92" s="98"/>
      <c r="Q92" s="98"/>
      <c r="R92" s="98"/>
      <c r="S92" s="95" t="str">
        <f ca="1">IFERROR(__xludf.DUMMYFUNCTION("IFERROR(JOIN("","", UNIQUE(filter({O92; Q92}, {O92; Q92}&lt;&gt;""""))), """")"),"")</f>
        <v/>
      </c>
      <c r="T92" s="99"/>
      <c r="U92" s="99"/>
      <c r="V92" s="99"/>
      <c r="W92" s="99"/>
      <c r="X92" s="99"/>
      <c r="Y92" s="95" t="str">
        <f ca="1">IFERROR(__xludf.DUMMYFUNCTION("IFERROR(JOIN("","", UNIQUE(filter({U92; W92}, {U92; W92}&lt;&gt;""""))), """")"),"")</f>
        <v/>
      </c>
    </row>
    <row r="93" spans="2:25" ht="15.75" customHeight="1" x14ac:dyDescent="0.15">
      <c r="B93" s="10"/>
      <c r="C93" s="10"/>
      <c r="D93" s="10"/>
      <c r="E93" s="10"/>
      <c r="F93" s="10"/>
      <c r="G93" s="95" t="str">
        <f ca="1">IFERROR(__xludf.DUMMYFUNCTION("IFERROR(JOIN("","", UNIQUE(filter({C93; E93}, {C93; E93}&lt;&gt;""""))), """")"),"")</f>
        <v/>
      </c>
      <c r="H93" s="96"/>
      <c r="I93" s="96"/>
      <c r="J93" s="96"/>
      <c r="K93" s="96"/>
      <c r="L93" s="96"/>
      <c r="M93" s="95" t="str">
        <f ca="1">IFERROR(__xludf.DUMMYFUNCTION("IFERROR(JOIN("","", UNIQUE(filter({I93; K93}, {I93; K93}&lt;&gt;""""))), """")"),"")</f>
        <v/>
      </c>
      <c r="N93" s="98"/>
      <c r="O93" s="98"/>
      <c r="P93" s="98"/>
      <c r="Q93" s="98"/>
      <c r="R93" s="98"/>
      <c r="S93" s="95" t="str">
        <f ca="1">IFERROR(__xludf.DUMMYFUNCTION("IFERROR(JOIN("","", UNIQUE(filter({O93; Q93}, {O93; Q93}&lt;&gt;""""))), """")"),"")</f>
        <v/>
      </c>
      <c r="T93" s="99"/>
      <c r="U93" s="99"/>
      <c r="V93" s="99"/>
      <c r="W93" s="99"/>
      <c r="X93" s="99"/>
      <c r="Y93" s="95" t="str">
        <f ca="1">IFERROR(__xludf.DUMMYFUNCTION("IFERROR(JOIN("","", UNIQUE(filter({U93; W93}, {U93; W93}&lt;&gt;""""))), """")"),"")</f>
        <v/>
      </c>
    </row>
    <row r="94" spans="2:25" ht="15.75" customHeight="1" x14ac:dyDescent="0.15">
      <c r="B94" s="10"/>
      <c r="C94" s="10"/>
      <c r="D94" s="10"/>
      <c r="E94" s="10"/>
      <c r="F94" s="10"/>
      <c r="G94" s="95" t="str">
        <f ca="1">IFERROR(__xludf.DUMMYFUNCTION("IFERROR(JOIN("","", UNIQUE(filter({C94; E94}, {C94; E94}&lt;&gt;""""))), """")"),"")</f>
        <v/>
      </c>
      <c r="H94" s="96"/>
      <c r="I94" s="96"/>
      <c r="J94" s="96"/>
      <c r="K94" s="96"/>
      <c r="L94" s="96"/>
      <c r="M94" s="95" t="str">
        <f ca="1">IFERROR(__xludf.DUMMYFUNCTION("IFERROR(JOIN("","", UNIQUE(filter({I94; K94}, {I94; K94}&lt;&gt;""""))), """")"),"")</f>
        <v/>
      </c>
      <c r="N94" s="98"/>
      <c r="O94" s="98"/>
      <c r="P94" s="98"/>
      <c r="Q94" s="98"/>
      <c r="R94" s="98"/>
      <c r="S94" s="95" t="str">
        <f ca="1">IFERROR(__xludf.DUMMYFUNCTION("IFERROR(JOIN("","", UNIQUE(filter({O94; Q94}, {O94; Q94}&lt;&gt;""""))), """")"),"")</f>
        <v/>
      </c>
      <c r="T94" s="99"/>
      <c r="U94" s="99"/>
      <c r="V94" s="99"/>
      <c r="W94" s="99"/>
      <c r="X94" s="99"/>
      <c r="Y94" s="95" t="str">
        <f ca="1">IFERROR(__xludf.DUMMYFUNCTION("IFERROR(JOIN("","", UNIQUE(filter({U94; W94}, {U94; W94}&lt;&gt;""""))), """")"),"")</f>
        <v/>
      </c>
    </row>
    <row r="95" spans="2:25" ht="15.75" customHeight="1" x14ac:dyDescent="0.15">
      <c r="B95" s="10"/>
      <c r="C95" s="10"/>
      <c r="D95" s="10"/>
      <c r="E95" s="10"/>
      <c r="F95" s="10"/>
      <c r="G95" s="95" t="str">
        <f ca="1">IFERROR(__xludf.DUMMYFUNCTION("IFERROR(JOIN("","", UNIQUE(filter({C95; E95}, {C95; E95}&lt;&gt;""""))), """")"),"")</f>
        <v/>
      </c>
      <c r="H95" s="96"/>
      <c r="I95" s="96"/>
      <c r="J95" s="96"/>
      <c r="K95" s="96"/>
      <c r="L95" s="96"/>
      <c r="M95" s="95" t="str">
        <f ca="1">IFERROR(__xludf.DUMMYFUNCTION("IFERROR(JOIN("","", UNIQUE(filter({I95; K95}, {I95; K95}&lt;&gt;""""))), """")"),"")</f>
        <v/>
      </c>
      <c r="N95" s="98"/>
      <c r="O95" s="98"/>
      <c r="P95" s="98"/>
      <c r="Q95" s="98"/>
      <c r="R95" s="98"/>
      <c r="S95" s="95" t="str">
        <f ca="1">IFERROR(__xludf.DUMMYFUNCTION("IFERROR(JOIN("","", UNIQUE(filter({O95; Q95}, {O95; Q95}&lt;&gt;""""))), """")"),"")</f>
        <v/>
      </c>
      <c r="T95" s="99"/>
      <c r="U95" s="99"/>
      <c r="V95" s="99"/>
      <c r="W95" s="99"/>
      <c r="X95" s="99"/>
      <c r="Y95" s="95" t="str">
        <f ca="1">IFERROR(__xludf.DUMMYFUNCTION("IFERROR(JOIN("","", UNIQUE(filter({U95; W95}, {U95; W95}&lt;&gt;""""))), """")"),"")</f>
        <v/>
      </c>
    </row>
    <row r="96" spans="2:25" ht="15.75" customHeight="1" x14ac:dyDescent="0.15">
      <c r="B96" s="10"/>
      <c r="C96" s="10"/>
      <c r="D96" s="10"/>
      <c r="E96" s="10"/>
      <c r="F96" s="10"/>
      <c r="G96" s="95" t="str">
        <f ca="1">IFERROR(__xludf.DUMMYFUNCTION("IFERROR(JOIN("","", UNIQUE(filter({C96; E96}, {C96; E96}&lt;&gt;""""))), """")"),"")</f>
        <v/>
      </c>
      <c r="H96" s="96"/>
      <c r="I96" s="96"/>
      <c r="J96" s="96"/>
      <c r="K96" s="96"/>
      <c r="L96" s="96"/>
      <c r="M96" s="95" t="str">
        <f ca="1">IFERROR(__xludf.DUMMYFUNCTION("IFERROR(JOIN("","", UNIQUE(filter({I96; K96}, {I96; K96}&lt;&gt;""""))), """")"),"")</f>
        <v/>
      </c>
      <c r="N96" s="98"/>
      <c r="O96" s="98"/>
      <c r="P96" s="98"/>
      <c r="Q96" s="98"/>
      <c r="R96" s="98"/>
      <c r="S96" s="95" t="str">
        <f ca="1">IFERROR(__xludf.DUMMYFUNCTION("IFERROR(JOIN("","", UNIQUE(filter({O96; Q96}, {O96; Q96}&lt;&gt;""""))), """")"),"")</f>
        <v/>
      </c>
      <c r="T96" s="99"/>
      <c r="U96" s="99"/>
      <c r="V96" s="99"/>
      <c r="W96" s="99"/>
      <c r="X96" s="99"/>
      <c r="Y96" s="95" t="str">
        <f ca="1">IFERROR(__xludf.DUMMYFUNCTION("IFERROR(JOIN("","", UNIQUE(filter({U96; W96}, {U96; W96}&lt;&gt;""""))), """")"),"")</f>
        <v/>
      </c>
    </row>
    <row r="97" spans="2:25" ht="15.75" customHeight="1" x14ac:dyDescent="0.15">
      <c r="B97" s="10"/>
      <c r="C97" s="10"/>
      <c r="D97" s="10"/>
      <c r="E97" s="10"/>
      <c r="F97" s="10"/>
      <c r="G97" s="95" t="str">
        <f ca="1">IFERROR(__xludf.DUMMYFUNCTION("IFERROR(JOIN("","", UNIQUE(filter({C97; E97}, {C97; E97}&lt;&gt;""""))), """")"),"")</f>
        <v/>
      </c>
      <c r="H97" s="96"/>
      <c r="I97" s="96"/>
      <c r="J97" s="96"/>
      <c r="K97" s="96"/>
      <c r="L97" s="96"/>
      <c r="M97" s="95" t="str">
        <f ca="1">IFERROR(__xludf.DUMMYFUNCTION("IFERROR(JOIN("","", UNIQUE(filter({I97; K97}, {I97; K97}&lt;&gt;""""))), """")"),"")</f>
        <v/>
      </c>
      <c r="N97" s="98"/>
      <c r="O97" s="98"/>
      <c r="P97" s="98"/>
      <c r="Q97" s="98"/>
      <c r="R97" s="98"/>
      <c r="S97" s="95" t="str">
        <f ca="1">IFERROR(__xludf.DUMMYFUNCTION("IFERROR(JOIN("","", UNIQUE(filter({O97; Q97}, {O97; Q97}&lt;&gt;""""))), """")"),"")</f>
        <v/>
      </c>
      <c r="T97" s="99"/>
      <c r="U97" s="99"/>
      <c r="V97" s="99"/>
      <c r="W97" s="99"/>
      <c r="X97" s="99"/>
      <c r="Y97" s="95" t="str">
        <f ca="1">IFERROR(__xludf.DUMMYFUNCTION("IFERROR(JOIN("","", UNIQUE(filter({U97; W97}, {U97; W97}&lt;&gt;""""))), """")"),"")</f>
        <v/>
      </c>
    </row>
    <row r="98" spans="2:25" ht="15.75" customHeight="1" x14ac:dyDescent="0.15">
      <c r="B98" s="10"/>
      <c r="C98" s="10"/>
      <c r="D98" s="10"/>
      <c r="E98" s="10"/>
      <c r="F98" s="10"/>
      <c r="G98" s="95" t="str">
        <f ca="1">IFERROR(__xludf.DUMMYFUNCTION("IFERROR(JOIN("","", UNIQUE(filter({C98; E98}, {C98; E98}&lt;&gt;""""))), """")"),"")</f>
        <v/>
      </c>
      <c r="H98" s="96"/>
      <c r="I98" s="96"/>
      <c r="J98" s="96"/>
      <c r="K98" s="96"/>
      <c r="L98" s="96"/>
      <c r="M98" s="95" t="str">
        <f ca="1">IFERROR(__xludf.DUMMYFUNCTION("IFERROR(JOIN("","", UNIQUE(filter({I98; K98}, {I98; K98}&lt;&gt;""""))), """")"),"")</f>
        <v/>
      </c>
      <c r="N98" s="98"/>
      <c r="O98" s="98"/>
      <c r="P98" s="98"/>
      <c r="Q98" s="98"/>
      <c r="R98" s="98"/>
      <c r="S98" s="95" t="str">
        <f ca="1">IFERROR(__xludf.DUMMYFUNCTION("IFERROR(JOIN("","", UNIQUE(filter({O98; Q98}, {O98; Q98}&lt;&gt;""""))), """")"),"")</f>
        <v/>
      </c>
      <c r="T98" s="99"/>
      <c r="U98" s="99"/>
      <c r="V98" s="99"/>
      <c r="W98" s="99"/>
      <c r="X98" s="99"/>
      <c r="Y98" s="95" t="str">
        <f ca="1">IFERROR(__xludf.DUMMYFUNCTION("IFERROR(JOIN("","", UNIQUE(filter({U98; W98}, {U98; W98}&lt;&gt;""""))), """")"),"")</f>
        <v/>
      </c>
    </row>
    <row r="99" spans="2:25" ht="15.75" customHeight="1" x14ac:dyDescent="0.15">
      <c r="B99" s="10"/>
      <c r="C99" s="10"/>
      <c r="D99" s="10"/>
      <c r="E99" s="10"/>
      <c r="F99" s="10"/>
      <c r="G99" s="95" t="str">
        <f ca="1">IFERROR(__xludf.DUMMYFUNCTION("IFERROR(JOIN("","", UNIQUE(filter({C99; E99}, {C99; E99}&lt;&gt;""""))), """")"),"")</f>
        <v/>
      </c>
      <c r="H99" s="96"/>
      <c r="I99" s="96"/>
      <c r="J99" s="96"/>
      <c r="K99" s="96"/>
      <c r="L99" s="96"/>
      <c r="M99" s="95" t="str">
        <f ca="1">IFERROR(__xludf.DUMMYFUNCTION("IFERROR(JOIN("","", UNIQUE(filter({I99; K99}, {I99; K99}&lt;&gt;""""))), """")"),"")</f>
        <v/>
      </c>
      <c r="N99" s="98"/>
      <c r="O99" s="98"/>
      <c r="P99" s="98"/>
      <c r="Q99" s="98"/>
      <c r="R99" s="98"/>
      <c r="S99" s="95" t="str">
        <f ca="1">IFERROR(__xludf.DUMMYFUNCTION("IFERROR(JOIN("","", UNIQUE(filter({O99; Q99}, {O99; Q99}&lt;&gt;""""))), """")"),"")</f>
        <v/>
      </c>
      <c r="T99" s="99"/>
      <c r="U99" s="99"/>
      <c r="V99" s="99"/>
      <c r="W99" s="99"/>
      <c r="X99" s="99"/>
      <c r="Y99" s="95" t="str">
        <f ca="1">IFERROR(__xludf.DUMMYFUNCTION("IFERROR(JOIN("","", UNIQUE(filter({U99; W99}, {U99; W99}&lt;&gt;""""))), """")"),"")</f>
        <v/>
      </c>
    </row>
    <row r="100" spans="2:25" ht="15.75" customHeight="1" x14ac:dyDescent="0.15">
      <c r="B100" s="10"/>
      <c r="C100" s="10"/>
      <c r="D100" s="10"/>
      <c r="E100" s="10"/>
      <c r="F100" s="10"/>
      <c r="G100" s="95" t="str">
        <f ca="1">IFERROR(__xludf.DUMMYFUNCTION("IFERROR(JOIN("","", UNIQUE(filter({C100; E100}, {C100; E100}&lt;&gt;""""))), """")"),"")</f>
        <v/>
      </c>
      <c r="H100" s="96"/>
      <c r="I100" s="96"/>
      <c r="J100" s="96"/>
      <c r="K100" s="96"/>
      <c r="L100" s="96"/>
      <c r="M100" s="95" t="str">
        <f ca="1">IFERROR(__xludf.DUMMYFUNCTION("IFERROR(JOIN("","", UNIQUE(filter({I100; K100}, {I100; K100}&lt;&gt;""""))), """")"),"")</f>
        <v/>
      </c>
      <c r="N100" s="98"/>
      <c r="O100" s="98"/>
      <c r="P100" s="98"/>
      <c r="Q100" s="98"/>
      <c r="R100" s="98"/>
      <c r="S100" s="95" t="str">
        <f ca="1">IFERROR(__xludf.DUMMYFUNCTION("IFERROR(JOIN("","", UNIQUE(filter({O100; Q100}, {O100; Q100}&lt;&gt;""""))), """")"),"")</f>
        <v/>
      </c>
      <c r="T100" s="99"/>
      <c r="U100" s="99"/>
      <c r="V100" s="99"/>
      <c r="W100" s="99"/>
      <c r="X100" s="99"/>
      <c r="Y100" s="95" t="str">
        <f ca="1">IFERROR(__xludf.DUMMYFUNCTION("IFERROR(JOIN("","", UNIQUE(filter({U100; W100}, {U100; W100}&lt;&gt;""""))), """")"),"")</f>
        <v/>
      </c>
    </row>
    <row r="101" spans="2:25" ht="15.75" customHeight="1" x14ac:dyDescent="0.15">
      <c r="B101" s="10"/>
      <c r="C101" s="10"/>
      <c r="D101" s="10"/>
      <c r="E101" s="10"/>
      <c r="F101" s="10"/>
      <c r="G101" s="95" t="str">
        <f ca="1">IFERROR(__xludf.DUMMYFUNCTION("IFERROR(JOIN("","", UNIQUE(filter({C101; E101}, {C101; E101}&lt;&gt;""""))), """")"),"")</f>
        <v/>
      </c>
      <c r="H101" s="96"/>
      <c r="I101" s="96"/>
      <c r="J101" s="96"/>
      <c r="K101" s="96"/>
      <c r="L101" s="96"/>
      <c r="M101" s="95" t="str">
        <f ca="1">IFERROR(__xludf.DUMMYFUNCTION("IFERROR(JOIN("","", UNIQUE(filter({I101; K101}, {I101; K101}&lt;&gt;""""))), """")"),"")</f>
        <v/>
      </c>
      <c r="N101" s="98"/>
      <c r="O101" s="98"/>
      <c r="P101" s="98"/>
      <c r="Q101" s="98"/>
      <c r="R101" s="98"/>
      <c r="S101" s="95" t="str">
        <f ca="1">IFERROR(__xludf.DUMMYFUNCTION("IFERROR(JOIN("","", UNIQUE(filter({O101; Q101}, {O101; Q101}&lt;&gt;""""))), """")"),"")</f>
        <v/>
      </c>
      <c r="T101" s="99"/>
      <c r="U101" s="99"/>
      <c r="V101" s="99"/>
      <c r="W101" s="99"/>
      <c r="X101" s="99"/>
      <c r="Y101" s="95" t="str">
        <f ca="1">IFERROR(__xludf.DUMMYFUNCTION("IFERROR(JOIN("","", UNIQUE(filter({U101; W101}, {U101; W101}&lt;&gt;""""))), """")"),"")</f>
        <v/>
      </c>
    </row>
    <row r="102" spans="2:25" ht="15.75" customHeight="1" x14ac:dyDescent="0.15">
      <c r="B102" s="10"/>
      <c r="C102" s="10"/>
      <c r="D102" s="10"/>
      <c r="E102" s="10"/>
      <c r="F102" s="10"/>
      <c r="G102" s="95" t="str">
        <f ca="1">IFERROR(__xludf.DUMMYFUNCTION("IFERROR(JOIN("","", UNIQUE(filter({C102; E102}, {C102; E102}&lt;&gt;""""))), """")"),"")</f>
        <v/>
      </c>
      <c r="H102" s="96"/>
      <c r="I102" s="96"/>
      <c r="J102" s="96"/>
      <c r="K102" s="96"/>
      <c r="L102" s="96"/>
      <c r="M102" s="95" t="str">
        <f ca="1">IFERROR(__xludf.DUMMYFUNCTION("IFERROR(JOIN("","", UNIQUE(filter({I102; K102}, {I102; K102}&lt;&gt;""""))), """")"),"")</f>
        <v/>
      </c>
      <c r="N102" s="98"/>
      <c r="O102" s="98"/>
      <c r="P102" s="98"/>
      <c r="Q102" s="98"/>
      <c r="R102" s="98"/>
      <c r="S102" s="95" t="str">
        <f ca="1">IFERROR(__xludf.DUMMYFUNCTION("IFERROR(JOIN("","", UNIQUE(filter({O102; Q102}, {O102; Q102}&lt;&gt;""""))), """")"),"")</f>
        <v/>
      </c>
      <c r="T102" s="99"/>
      <c r="U102" s="99"/>
      <c r="V102" s="99"/>
      <c r="W102" s="99"/>
      <c r="X102" s="99"/>
      <c r="Y102" s="95" t="str">
        <f ca="1">IFERROR(__xludf.DUMMYFUNCTION("IFERROR(JOIN("","", UNIQUE(filter({U102; W102}, {U102; W102}&lt;&gt;""""))), """")"),"")</f>
        <v/>
      </c>
    </row>
    <row r="103" spans="2:25" ht="15.75" customHeight="1" x14ac:dyDescent="0.15">
      <c r="B103" s="10"/>
      <c r="C103" s="10"/>
      <c r="D103" s="10"/>
      <c r="E103" s="10"/>
      <c r="F103" s="10"/>
      <c r="G103" s="95" t="str">
        <f ca="1">IFERROR(__xludf.DUMMYFUNCTION("IFERROR(JOIN("","", UNIQUE(filter({C103; E103}, {C103; E103}&lt;&gt;""""))), """")"),"")</f>
        <v/>
      </c>
      <c r="H103" s="96"/>
      <c r="I103" s="96"/>
      <c r="J103" s="96"/>
      <c r="K103" s="96"/>
      <c r="L103" s="96"/>
      <c r="M103" s="95" t="str">
        <f ca="1">IFERROR(__xludf.DUMMYFUNCTION("IFERROR(JOIN("","", UNIQUE(filter({I103; K103}, {I103; K103}&lt;&gt;""""))), """")"),"")</f>
        <v/>
      </c>
      <c r="N103" s="98"/>
      <c r="O103" s="98"/>
      <c r="P103" s="98"/>
      <c r="Q103" s="98"/>
      <c r="R103" s="98"/>
      <c r="S103" s="95" t="str">
        <f ca="1">IFERROR(__xludf.DUMMYFUNCTION("IFERROR(JOIN("","", UNIQUE(filter({O103; Q103}, {O103; Q103}&lt;&gt;""""))), """")"),"")</f>
        <v/>
      </c>
      <c r="T103" s="99"/>
      <c r="U103" s="99"/>
      <c r="V103" s="99"/>
      <c r="W103" s="99"/>
      <c r="X103" s="99"/>
      <c r="Y103" s="95" t="str">
        <f ca="1">IFERROR(__xludf.DUMMYFUNCTION("IFERROR(JOIN("","", UNIQUE(filter({U103; W103}, {U103; W103}&lt;&gt;""""))), """")"),"")</f>
        <v/>
      </c>
    </row>
    <row r="104" spans="2:25" ht="15.75" customHeight="1" x14ac:dyDescent="0.15">
      <c r="B104" s="10"/>
      <c r="C104" s="10"/>
      <c r="D104" s="10"/>
      <c r="E104" s="10"/>
      <c r="F104" s="10"/>
      <c r="G104" s="95" t="str">
        <f ca="1">IFERROR(__xludf.DUMMYFUNCTION("IFERROR(JOIN("","", UNIQUE(filter({C104; E104}, {C104; E104}&lt;&gt;""""))), """")"),"")</f>
        <v/>
      </c>
      <c r="H104" s="96"/>
      <c r="I104" s="96"/>
      <c r="J104" s="96"/>
      <c r="K104" s="96"/>
      <c r="L104" s="96"/>
      <c r="M104" s="95" t="str">
        <f ca="1">IFERROR(__xludf.DUMMYFUNCTION("IFERROR(JOIN("","", UNIQUE(filter({I104; K104}, {I104; K104}&lt;&gt;""""))), """")"),"")</f>
        <v/>
      </c>
      <c r="N104" s="98"/>
      <c r="O104" s="98"/>
      <c r="P104" s="98"/>
      <c r="Q104" s="98"/>
      <c r="R104" s="98"/>
      <c r="S104" s="95" t="str">
        <f ca="1">IFERROR(__xludf.DUMMYFUNCTION("IFERROR(JOIN("","", UNIQUE(filter({O104; Q104}, {O104; Q104}&lt;&gt;""""))), """")"),"")</f>
        <v/>
      </c>
      <c r="T104" s="99"/>
      <c r="U104" s="99"/>
      <c r="V104" s="99"/>
      <c r="W104" s="99"/>
      <c r="X104" s="99"/>
      <c r="Y104" s="95" t="str">
        <f ca="1">IFERROR(__xludf.DUMMYFUNCTION("IFERROR(JOIN("","", UNIQUE(filter({U104; W104}, {U104; W104}&lt;&gt;""""))), """")"),"")</f>
        <v/>
      </c>
    </row>
    <row r="105" spans="2:25" ht="15.75" customHeight="1" x14ac:dyDescent="0.15">
      <c r="B105" s="10"/>
      <c r="C105" s="10"/>
      <c r="D105" s="10"/>
      <c r="E105" s="10"/>
      <c r="F105" s="10"/>
      <c r="G105" s="95" t="str">
        <f ca="1">IFERROR(__xludf.DUMMYFUNCTION("IFERROR(JOIN("","", UNIQUE(filter({C105; E105}, {C105; E105}&lt;&gt;""""))), """")"),"")</f>
        <v/>
      </c>
      <c r="H105" s="96"/>
      <c r="I105" s="96"/>
      <c r="J105" s="96"/>
      <c r="K105" s="96"/>
      <c r="L105" s="96"/>
      <c r="M105" s="95" t="str">
        <f ca="1">IFERROR(__xludf.DUMMYFUNCTION("IFERROR(JOIN("","", UNIQUE(filter({I105; K105}, {I105; K105}&lt;&gt;""""))), """")"),"")</f>
        <v/>
      </c>
      <c r="N105" s="98"/>
      <c r="O105" s="98"/>
      <c r="P105" s="98"/>
      <c r="Q105" s="98"/>
      <c r="R105" s="98"/>
      <c r="S105" s="95" t="str">
        <f ca="1">IFERROR(__xludf.DUMMYFUNCTION("IFERROR(JOIN("","", UNIQUE(filter({O105; Q105}, {O105; Q105}&lt;&gt;""""))), """")"),"")</f>
        <v/>
      </c>
      <c r="T105" s="99"/>
      <c r="U105" s="99"/>
      <c r="V105" s="99"/>
      <c r="W105" s="99"/>
      <c r="X105" s="99"/>
      <c r="Y105" s="95" t="str">
        <f ca="1">IFERROR(__xludf.DUMMYFUNCTION("IFERROR(JOIN("","", UNIQUE(filter({U105; W105}, {U105; W105}&lt;&gt;""""))), """")"),"")</f>
        <v/>
      </c>
    </row>
    <row r="106" spans="2:25" ht="15.75" customHeight="1" x14ac:dyDescent="0.15">
      <c r="B106" s="10"/>
      <c r="C106" s="10"/>
      <c r="D106" s="10"/>
      <c r="E106" s="10"/>
      <c r="F106" s="10"/>
      <c r="G106" s="95" t="str">
        <f ca="1">IFERROR(__xludf.DUMMYFUNCTION("IFERROR(JOIN("","", UNIQUE(filter({C106; E106}, {C106; E106}&lt;&gt;""""))), """")"),"")</f>
        <v/>
      </c>
      <c r="H106" s="96"/>
      <c r="I106" s="96"/>
      <c r="J106" s="96"/>
      <c r="K106" s="96"/>
      <c r="L106" s="96"/>
      <c r="M106" s="95" t="str">
        <f ca="1">IFERROR(__xludf.DUMMYFUNCTION("IFERROR(JOIN("","", UNIQUE(filter({I106; K106}, {I106; K106}&lt;&gt;""""))), """")"),"")</f>
        <v/>
      </c>
      <c r="N106" s="98"/>
      <c r="O106" s="98"/>
      <c r="P106" s="98"/>
      <c r="Q106" s="98"/>
      <c r="R106" s="98"/>
      <c r="S106" s="95" t="str">
        <f ca="1">IFERROR(__xludf.DUMMYFUNCTION("IFERROR(JOIN("","", UNIQUE(filter({O106; Q106}, {O106; Q106}&lt;&gt;""""))), """")"),"")</f>
        <v/>
      </c>
      <c r="T106" s="99"/>
      <c r="U106" s="99"/>
      <c r="V106" s="99"/>
      <c r="W106" s="99"/>
      <c r="X106" s="99"/>
      <c r="Y106" s="95" t="str">
        <f ca="1">IFERROR(__xludf.DUMMYFUNCTION("IFERROR(JOIN("","", UNIQUE(filter({U106; W106}, {U106; W106}&lt;&gt;""""))), """")"),"")</f>
        <v/>
      </c>
    </row>
    <row r="107" spans="2:25" ht="15.75" customHeight="1" x14ac:dyDescent="0.15">
      <c r="B107" s="10"/>
      <c r="C107" s="10"/>
      <c r="D107" s="10"/>
      <c r="E107" s="10"/>
      <c r="F107" s="10"/>
      <c r="G107" s="95" t="str">
        <f ca="1">IFERROR(__xludf.DUMMYFUNCTION("IFERROR(JOIN("","", UNIQUE(filter({C107; E107}, {C107; E107}&lt;&gt;""""))), """")"),"")</f>
        <v/>
      </c>
      <c r="H107" s="96"/>
      <c r="I107" s="96"/>
      <c r="J107" s="96"/>
      <c r="K107" s="96"/>
      <c r="L107" s="96"/>
      <c r="M107" s="95" t="str">
        <f ca="1">IFERROR(__xludf.DUMMYFUNCTION("IFERROR(JOIN("","", UNIQUE(filter({I107; K107}, {I107; K107}&lt;&gt;""""))), """")"),"")</f>
        <v/>
      </c>
      <c r="N107" s="98"/>
      <c r="O107" s="98"/>
      <c r="P107" s="98"/>
      <c r="Q107" s="98"/>
      <c r="R107" s="98"/>
      <c r="S107" s="95" t="str">
        <f ca="1">IFERROR(__xludf.DUMMYFUNCTION("IFERROR(JOIN("","", UNIQUE(filter({O107; Q107}, {O107; Q107}&lt;&gt;""""))), """")"),"")</f>
        <v/>
      </c>
      <c r="T107" s="99"/>
      <c r="U107" s="99"/>
      <c r="V107" s="99"/>
      <c r="W107" s="99"/>
      <c r="X107" s="99"/>
      <c r="Y107" s="95" t="str">
        <f ca="1">IFERROR(__xludf.DUMMYFUNCTION("IFERROR(JOIN("","", UNIQUE(filter({U107; W107}, {U107; W107}&lt;&gt;""""))), """")"),"")</f>
        <v/>
      </c>
    </row>
    <row r="108" spans="2:25" ht="15.75" customHeight="1" x14ac:dyDescent="0.15">
      <c r="B108" s="10"/>
      <c r="C108" s="10"/>
      <c r="D108" s="10"/>
      <c r="E108" s="10"/>
      <c r="F108" s="10"/>
      <c r="G108" s="95" t="str">
        <f ca="1">IFERROR(__xludf.DUMMYFUNCTION("IFERROR(JOIN("","", UNIQUE(filter({C108; E108}, {C108; E108}&lt;&gt;""""))), """")"),"")</f>
        <v/>
      </c>
      <c r="H108" s="96"/>
      <c r="I108" s="96"/>
      <c r="J108" s="96"/>
      <c r="K108" s="96"/>
      <c r="L108" s="96"/>
      <c r="M108" s="95" t="str">
        <f ca="1">IFERROR(__xludf.DUMMYFUNCTION("IFERROR(JOIN("","", UNIQUE(filter({I108; K108}, {I108; K108}&lt;&gt;""""))), """")"),"")</f>
        <v/>
      </c>
      <c r="N108" s="98"/>
      <c r="O108" s="98"/>
      <c r="P108" s="98"/>
      <c r="Q108" s="98"/>
      <c r="R108" s="98"/>
      <c r="S108" s="95" t="str">
        <f ca="1">IFERROR(__xludf.DUMMYFUNCTION("IFERROR(JOIN("","", UNIQUE(filter({O108; Q108}, {O108; Q108}&lt;&gt;""""))), """")"),"")</f>
        <v/>
      </c>
      <c r="T108" s="99"/>
      <c r="U108" s="99"/>
      <c r="V108" s="99"/>
      <c r="W108" s="99"/>
      <c r="X108" s="99"/>
      <c r="Y108" s="95" t="str">
        <f ca="1">IFERROR(__xludf.DUMMYFUNCTION("IFERROR(JOIN("","", UNIQUE(filter({U108; W108}, {U108; W108}&lt;&gt;""""))), """")"),"")</f>
        <v/>
      </c>
    </row>
    <row r="109" spans="2:25" ht="15.75" customHeight="1" x14ac:dyDescent="0.15">
      <c r="B109" s="10"/>
      <c r="C109" s="10"/>
      <c r="D109" s="10"/>
      <c r="E109" s="10"/>
      <c r="F109" s="10"/>
      <c r="G109" s="95" t="str">
        <f ca="1">IFERROR(__xludf.DUMMYFUNCTION("IFERROR(JOIN("","", UNIQUE(filter({C109; E109}, {C109; E109}&lt;&gt;""""))), """")"),"")</f>
        <v/>
      </c>
      <c r="H109" s="96"/>
      <c r="I109" s="96"/>
      <c r="J109" s="96"/>
      <c r="K109" s="96"/>
      <c r="L109" s="96"/>
      <c r="M109" s="95" t="str">
        <f ca="1">IFERROR(__xludf.DUMMYFUNCTION("IFERROR(JOIN("","", UNIQUE(filter({I109; K109}, {I109; K109}&lt;&gt;""""))), """")"),"")</f>
        <v/>
      </c>
      <c r="N109" s="98"/>
      <c r="O109" s="98"/>
      <c r="P109" s="98"/>
      <c r="Q109" s="98"/>
      <c r="R109" s="98"/>
      <c r="S109" s="95" t="str">
        <f ca="1">IFERROR(__xludf.DUMMYFUNCTION("IFERROR(JOIN("","", UNIQUE(filter({O109; Q109}, {O109; Q109}&lt;&gt;""""))), """")"),"")</f>
        <v/>
      </c>
      <c r="T109" s="99"/>
      <c r="U109" s="99"/>
      <c r="V109" s="99"/>
      <c r="W109" s="99"/>
      <c r="X109" s="99"/>
      <c r="Y109" s="95" t="str">
        <f ca="1">IFERROR(__xludf.DUMMYFUNCTION("IFERROR(JOIN("","", UNIQUE(filter({U109; W109}, {U109; W109}&lt;&gt;""""))), """")"),"")</f>
        <v/>
      </c>
    </row>
    <row r="110" spans="2:25" ht="15.75" customHeight="1" x14ac:dyDescent="0.15">
      <c r="B110" s="10"/>
      <c r="C110" s="10"/>
      <c r="D110" s="10"/>
      <c r="E110" s="10"/>
      <c r="F110" s="10"/>
      <c r="G110" s="95" t="str">
        <f ca="1">IFERROR(__xludf.DUMMYFUNCTION("IFERROR(JOIN("","", UNIQUE(filter({C110; E110}, {C110; E110}&lt;&gt;""""))), """")"),"")</f>
        <v/>
      </c>
      <c r="H110" s="96"/>
      <c r="I110" s="96"/>
      <c r="J110" s="96"/>
      <c r="K110" s="96"/>
      <c r="L110" s="96"/>
      <c r="M110" s="95" t="str">
        <f ca="1">IFERROR(__xludf.DUMMYFUNCTION("IFERROR(JOIN("","", UNIQUE(filter({I110; K110}, {I110; K110}&lt;&gt;""""))), """")"),"")</f>
        <v/>
      </c>
      <c r="N110" s="98"/>
      <c r="O110" s="98"/>
      <c r="P110" s="98"/>
      <c r="Q110" s="98"/>
      <c r="R110" s="98"/>
      <c r="S110" s="95" t="str">
        <f ca="1">IFERROR(__xludf.DUMMYFUNCTION("IFERROR(JOIN("","", UNIQUE(filter({O110; Q110}, {O110; Q110}&lt;&gt;""""))), """")"),"")</f>
        <v/>
      </c>
      <c r="T110" s="99"/>
      <c r="U110" s="99"/>
      <c r="V110" s="99"/>
      <c r="W110" s="99"/>
      <c r="X110" s="99"/>
      <c r="Y110" s="95" t="str">
        <f ca="1">IFERROR(__xludf.DUMMYFUNCTION("IFERROR(JOIN("","", UNIQUE(filter({U110; W110}, {U110; W110}&lt;&gt;""""))), """")"),"")</f>
        <v/>
      </c>
    </row>
    <row r="111" spans="2:25" ht="15.75" customHeight="1" x14ac:dyDescent="0.15">
      <c r="B111" s="10"/>
      <c r="C111" s="10"/>
      <c r="D111" s="10"/>
      <c r="E111" s="10"/>
      <c r="F111" s="10"/>
      <c r="G111" s="95" t="str">
        <f ca="1">IFERROR(__xludf.DUMMYFUNCTION("IFERROR(JOIN("","", UNIQUE(filter({C111; E111}, {C111; E111}&lt;&gt;""""))), """")"),"")</f>
        <v/>
      </c>
      <c r="H111" s="96"/>
      <c r="I111" s="96"/>
      <c r="J111" s="96"/>
      <c r="K111" s="96"/>
      <c r="L111" s="96"/>
      <c r="M111" s="95" t="str">
        <f ca="1">IFERROR(__xludf.DUMMYFUNCTION("IFERROR(JOIN("","", UNIQUE(filter({I111; K111}, {I111; K111}&lt;&gt;""""))), """")"),"")</f>
        <v/>
      </c>
      <c r="N111" s="98"/>
      <c r="O111" s="98"/>
      <c r="P111" s="98"/>
      <c r="Q111" s="98"/>
      <c r="R111" s="98"/>
      <c r="S111" s="95" t="str">
        <f ca="1">IFERROR(__xludf.DUMMYFUNCTION("IFERROR(JOIN("","", UNIQUE(filter({O111; Q111}, {O111; Q111}&lt;&gt;""""))), """")"),"")</f>
        <v/>
      </c>
      <c r="T111" s="99"/>
      <c r="U111" s="99"/>
      <c r="V111" s="99"/>
      <c r="W111" s="99"/>
      <c r="X111" s="99"/>
      <c r="Y111" s="95" t="str">
        <f ca="1">IFERROR(__xludf.DUMMYFUNCTION("IFERROR(JOIN("","", UNIQUE(filter({U111; W111}, {U111; W111}&lt;&gt;""""))), """")"),"")</f>
        <v/>
      </c>
    </row>
    <row r="112" spans="2:25" ht="15.75" customHeight="1" x14ac:dyDescent="0.15">
      <c r="B112" s="10"/>
      <c r="C112" s="10"/>
      <c r="D112" s="10"/>
      <c r="E112" s="10"/>
      <c r="F112" s="10"/>
      <c r="G112" s="95" t="str">
        <f ca="1">IFERROR(__xludf.DUMMYFUNCTION("IFERROR(JOIN("","", UNIQUE(filter({C112; E112}, {C112; E112}&lt;&gt;""""))), """")"),"")</f>
        <v/>
      </c>
      <c r="H112" s="96"/>
      <c r="I112" s="96"/>
      <c r="J112" s="96"/>
      <c r="K112" s="96"/>
      <c r="L112" s="96"/>
      <c r="M112" s="95" t="str">
        <f ca="1">IFERROR(__xludf.DUMMYFUNCTION("IFERROR(JOIN("","", UNIQUE(filter({I112; K112}, {I112; K112}&lt;&gt;""""))), """")"),"")</f>
        <v/>
      </c>
      <c r="N112" s="98"/>
      <c r="O112" s="98"/>
      <c r="P112" s="98"/>
      <c r="Q112" s="98"/>
      <c r="R112" s="98"/>
      <c r="S112" s="95" t="str">
        <f ca="1">IFERROR(__xludf.DUMMYFUNCTION("IFERROR(JOIN("","", UNIQUE(filter({O112; Q112}, {O112; Q112}&lt;&gt;""""))), """")"),"")</f>
        <v/>
      </c>
      <c r="T112" s="99"/>
      <c r="U112" s="99"/>
      <c r="V112" s="99"/>
      <c r="W112" s="99"/>
      <c r="X112" s="99"/>
      <c r="Y112" s="95" t="str">
        <f ca="1">IFERROR(__xludf.DUMMYFUNCTION("IFERROR(JOIN("","", UNIQUE(filter({U112; W112}, {U112; W112}&lt;&gt;""""))), """")"),"")</f>
        <v/>
      </c>
    </row>
    <row r="113" spans="2:25" ht="13" x14ac:dyDescent="0.15">
      <c r="B113" s="10"/>
      <c r="C113" s="10"/>
      <c r="D113" s="10"/>
      <c r="E113" s="10"/>
      <c r="F113" s="10"/>
      <c r="G113" s="95" t="str">
        <f ca="1">IFERROR(__xludf.DUMMYFUNCTION("IFERROR(JOIN("","", UNIQUE(filter({C113; E113}, {C113; E113}&lt;&gt;""""))), """")"),"")</f>
        <v/>
      </c>
      <c r="H113" s="96"/>
      <c r="I113" s="96"/>
      <c r="J113" s="96"/>
      <c r="K113" s="96"/>
      <c r="L113" s="96"/>
      <c r="M113" s="95" t="str">
        <f ca="1">IFERROR(__xludf.DUMMYFUNCTION("IFERROR(JOIN("","", UNIQUE(filter({I113; K113}, {I113; K113}&lt;&gt;""""))), """")"),"")</f>
        <v/>
      </c>
      <c r="N113" s="98"/>
      <c r="O113" s="98"/>
      <c r="P113" s="98"/>
      <c r="Q113" s="98"/>
      <c r="R113" s="98"/>
      <c r="S113" s="95" t="str">
        <f ca="1">IFERROR(__xludf.DUMMYFUNCTION("IFERROR(JOIN("","", UNIQUE(filter({O113; Q113}, {O113; Q113}&lt;&gt;""""))), """")"),"")</f>
        <v/>
      </c>
      <c r="T113" s="99"/>
      <c r="U113" s="99"/>
      <c r="V113" s="99"/>
      <c r="W113" s="99"/>
      <c r="X113" s="99"/>
      <c r="Y113" s="95" t="str">
        <f ca="1">IFERROR(__xludf.DUMMYFUNCTION("IFERROR(JOIN("","", UNIQUE(filter({U113; W113}, {U113; W113}&lt;&gt;""""))), """")"),"")</f>
        <v/>
      </c>
    </row>
    <row r="114" spans="2:25" ht="13" x14ac:dyDescent="0.15">
      <c r="B114" s="10"/>
      <c r="C114" s="10"/>
      <c r="D114" s="10"/>
      <c r="E114" s="10"/>
      <c r="F114" s="10"/>
      <c r="G114" s="95" t="str">
        <f ca="1">IFERROR(__xludf.DUMMYFUNCTION("IFERROR(JOIN("","", UNIQUE(filter({C114; E114}, {C114; E114}&lt;&gt;""""))), """")"),"")</f>
        <v/>
      </c>
      <c r="H114" s="96"/>
      <c r="I114" s="96"/>
      <c r="J114" s="96"/>
      <c r="K114" s="96"/>
      <c r="L114" s="96"/>
      <c r="M114" s="95" t="str">
        <f ca="1">IFERROR(__xludf.DUMMYFUNCTION("IFERROR(JOIN("","", UNIQUE(filter({I114; K114}, {I114; K114}&lt;&gt;""""))), """")"),"")</f>
        <v/>
      </c>
      <c r="N114" s="98"/>
      <c r="O114" s="98"/>
      <c r="P114" s="98"/>
      <c r="Q114" s="98"/>
      <c r="R114" s="98"/>
      <c r="S114" s="95" t="str">
        <f ca="1">IFERROR(__xludf.DUMMYFUNCTION("IFERROR(JOIN("","", UNIQUE(filter({O114; Q114}, {O114; Q114}&lt;&gt;""""))), """")"),"")</f>
        <v/>
      </c>
      <c r="T114" s="99"/>
      <c r="U114" s="99"/>
      <c r="V114" s="99"/>
      <c r="W114" s="99"/>
      <c r="X114" s="99"/>
      <c r="Y114" s="95" t="str">
        <f ca="1">IFERROR(__xludf.DUMMYFUNCTION("IFERROR(JOIN("","", UNIQUE(filter({U114; W114}, {U114; W114}&lt;&gt;""""))), """")"),"")</f>
        <v/>
      </c>
    </row>
    <row r="115" spans="2:25" ht="13" x14ac:dyDescent="0.15">
      <c r="B115" s="10"/>
      <c r="C115" s="10"/>
      <c r="D115" s="10"/>
      <c r="E115" s="10"/>
      <c r="F115" s="10"/>
      <c r="G115" s="95" t="str">
        <f ca="1">IFERROR(__xludf.DUMMYFUNCTION("IFERROR(JOIN("","", UNIQUE(filter({C115; E115}, {C115; E115}&lt;&gt;""""))), """")"),"")</f>
        <v/>
      </c>
      <c r="H115" s="96"/>
      <c r="I115" s="96"/>
      <c r="J115" s="96"/>
      <c r="K115" s="96"/>
      <c r="L115" s="96"/>
      <c r="M115" s="95" t="str">
        <f ca="1">IFERROR(__xludf.DUMMYFUNCTION("IFERROR(JOIN("","", UNIQUE(filter({I115; K115}, {I115; K115}&lt;&gt;""""))), """")"),"")</f>
        <v/>
      </c>
      <c r="N115" s="98"/>
      <c r="O115" s="98"/>
      <c r="P115" s="98"/>
      <c r="Q115" s="98"/>
      <c r="R115" s="98"/>
      <c r="S115" s="95" t="str">
        <f ca="1">IFERROR(__xludf.DUMMYFUNCTION("IFERROR(JOIN("","", UNIQUE(filter({O115; Q115}, {O115; Q115}&lt;&gt;""""))), """")"),"")</f>
        <v/>
      </c>
      <c r="T115" s="99"/>
      <c r="U115" s="99"/>
      <c r="V115" s="99"/>
      <c r="W115" s="99"/>
      <c r="X115" s="99"/>
      <c r="Y115" s="95" t="str">
        <f ca="1">IFERROR(__xludf.DUMMYFUNCTION("IFERROR(JOIN("","", UNIQUE(filter({U115; W115}, {U115; W115}&lt;&gt;""""))), """")"),"")</f>
        <v/>
      </c>
    </row>
    <row r="116" spans="2:25" ht="13" x14ac:dyDescent="0.15">
      <c r="B116" s="10"/>
      <c r="C116" s="10"/>
      <c r="D116" s="10"/>
      <c r="E116" s="10"/>
      <c r="F116" s="10"/>
      <c r="G116" s="95" t="str">
        <f ca="1">IFERROR(__xludf.DUMMYFUNCTION("IFERROR(JOIN("","", UNIQUE(filter({C116; E116}, {C116; E116}&lt;&gt;""""))), """")"),"")</f>
        <v/>
      </c>
      <c r="H116" s="96"/>
      <c r="I116" s="96"/>
      <c r="J116" s="96"/>
      <c r="K116" s="96"/>
      <c r="L116" s="96"/>
      <c r="M116" s="95" t="str">
        <f ca="1">IFERROR(__xludf.DUMMYFUNCTION("IFERROR(JOIN("","", UNIQUE(filter({I116; K116}, {I116; K116}&lt;&gt;""""))), """")"),"")</f>
        <v/>
      </c>
      <c r="N116" s="98"/>
      <c r="O116" s="98"/>
      <c r="P116" s="98"/>
      <c r="Q116" s="98"/>
      <c r="R116" s="98"/>
      <c r="S116" s="95" t="str">
        <f ca="1">IFERROR(__xludf.DUMMYFUNCTION("IFERROR(JOIN("","", UNIQUE(filter({O116; Q116}, {O116; Q116}&lt;&gt;""""))), """")"),"")</f>
        <v/>
      </c>
      <c r="T116" s="99"/>
      <c r="U116" s="99"/>
      <c r="V116" s="99"/>
      <c r="W116" s="99"/>
      <c r="X116" s="99"/>
      <c r="Y116" s="95" t="str">
        <f ca="1">IFERROR(__xludf.DUMMYFUNCTION("IFERROR(JOIN("","", UNIQUE(filter({U116; W116}, {U116; W116}&lt;&gt;""""))), """")"),"")</f>
        <v/>
      </c>
    </row>
    <row r="117" spans="2:25" ht="13" x14ac:dyDescent="0.15">
      <c r="B117" s="10"/>
      <c r="C117" s="10"/>
      <c r="D117" s="10"/>
      <c r="E117" s="10"/>
      <c r="F117" s="10"/>
      <c r="G117" s="95" t="str">
        <f ca="1">IFERROR(__xludf.DUMMYFUNCTION("IFERROR(JOIN("","", UNIQUE(filter({C117; E117}, {C117; E117}&lt;&gt;""""))), """")"),"")</f>
        <v/>
      </c>
      <c r="H117" s="96"/>
      <c r="I117" s="96"/>
      <c r="J117" s="96"/>
      <c r="K117" s="96"/>
      <c r="L117" s="96"/>
      <c r="M117" s="95" t="str">
        <f ca="1">IFERROR(__xludf.DUMMYFUNCTION("IFERROR(JOIN("","", UNIQUE(filter({I117; K117}, {I117; K117}&lt;&gt;""""))), """")"),"")</f>
        <v/>
      </c>
      <c r="N117" s="98"/>
      <c r="O117" s="98"/>
      <c r="P117" s="98"/>
      <c r="Q117" s="98"/>
      <c r="R117" s="98"/>
      <c r="S117" s="95" t="str">
        <f ca="1">IFERROR(__xludf.DUMMYFUNCTION("IFERROR(JOIN("","", UNIQUE(filter({O117; Q117}, {O117; Q117}&lt;&gt;""""))), """")"),"")</f>
        <v/>
      </c>
      <c r="T117" s="99"/>
      <c r="U117" s="99"/>
      <c r="V117" s="99"/>
      <c r="W117" s="99"/>
      <c r="X117" s="99"/>
      <c r="Y117" s="95" t="str">
        <f ca="1">IFERROR(__xludf.DUMMYFUNCTION("IFERROR(JOIN("","", UNIQUE(filter({U117; W117}, {U117; W117}&lt;&gt;""""))), """")"),"")</f>
        <v/>
      </c>
    </row>
    <row r="118" spans="2:25" ht="13" x14ac:dyDescent="0.15">
      <c r="B118" s="10"/>
      <c r="C118" s="10"/>
      <c r="D118" s="10"/>
      <c r="E118" s="10"/>
      <c r="F118" s="10"/>
      <c r="G118" s="95" t="str">
        <f ca="1">IFERROR(__xludf.DUMMYFUNCTION("IFERROR(JOIN("","", UNIQUE(filter({C118; E118}, {C118; E118}&lt;&gt;""""))), """")"),"")</f>
        <v/>
      </c>
      <c r="H118" s="96"/>
      <c r="I118" s="96"/>
      <c r="J118" s="96"/>
      <c r="K118" s="96"/>
      <c r="L118" s="96"/>
      <c r="M118" s="95" t="str">
        <f ca="1">IFERROR(__xludf.DUMMYFUNCTION("IFERROR(JOIN("","", UNIQUE(filter({I118; K118}, {I118; K118}&lt;&gt;""""))), """")"),"")</f>
        <v/>
      </c>
      <c r="N118" s="98"/>
      <c r="O118" s="98"/>
      <c r="P118" s="98"/>
      <c r="Q118" s="98"/>
      <c r="R118" s="98"/>
      <c r="S118" s="95" t="str">
        <f ca="1">IFERROR(__xludf.DUMMYFUNCTION("IFERROR(JOIN("","", UNIQUE(filter({O118; Q118}, {O118; Q118}&lt;&gt;""""))), """")"),"")</f>
        <v/>
      </c>
      <c r="T118" s="99"/>
      <c r="U118" s="99"/>
      <c r="V118" s="99"/>
      <c r="W118" s="99"/>
      <c r="X118" s="99"/>
      <c r="Y118" s="95" t="str">
        <f ca="1">IFERROR(__xludf.DUMMYFUNCTION("IFERROR(JOIN("","", UNIQUE(filter({U118; W118}, {U118; W118}&lt;&gt;""""))), """")"),"")</f>
        <v/>
      </c>
    </row>
    <row r="119" spans="2:25" ht="13" x14ac:dyDescent="0.15">
      <c r="B119" s="10"/>
      <c r="C119" s="10"/>
      <c r="D119" s="10"/>
      <c r="E119" s="10"/>
      <c r="F119" s="10"/>
      <c r="G119" s="95" t="str">
        <f ca="1">IFERROR(__xludf.DUMMYFUNCTION("IFERROR(JOIN("","", UNIQUE(filter({C119; E119}, {C119; E119}&lt;&gt;""""))), """")"),"")</f>
        <v/>
      </c>
      <c r="H119" s="96"/>
      <c r="I119" s="96"/>
      <c r="J119" s="96"/>
      <c r="K119" s="96"/>
      <c r="L119" s="96"/>
      <c r="M119" s="95" t="str">
        <f ca="1">IFERROR(__xludf.DUMMYFUNCTION("IFERROR(JOIN("","", UNIQUE(filter({I119; K119}, {I119; K119}&lt;&gt;""""))), """")"),"")</f>
        <v/>
      </c>
      <c r="N119" s="98"/>
      <c r="O119" s="98"/>
      <c r="P119" s="98"/>
      <c r="Q119" s="98"/>
      <c r="R119" s="98"/>
      <c r="S119" s="95" t="str">
        <f ca="1">IFERROR(__xludf.DUMMYFUNCTION("IFERROR(JOIN("","", UNIQUE(filter({O119; Q119}, {O119; Q119}&lt;&gt;""""))), """")"),"")</f>
        <v/>
      </c>
      <c r="T119" s="99"/>
      <c r="U119" s="99"/>
      <c r="V119" s="99"/>
      <c r="W119" s="99"/>
      <c r="X119" s="99"/>
      <c r="Y119" s="95" t="str">
        <f ca="1">IFERROR(__xludf.DUMMYFUNCTION("IFERROR(JOIN("","", UNIQUE(filter({U119; W119}, {U119; W119}&lt;&gt;""""))), """")"),"")</f>
        <v/>
      </c>
    </row>
    <row r="120" spans="2:25" ht="13" x14ac:dyDescent="0.15">
      <c r="B120" s="10"/>
      <c r="C120" s="10"/>
      <c r="D120" s="10"/>
      <c r="E120" s="10"/>
      <c r="F120" s="10"/>
      <c r="G120" s="95" t="str">
        <f ca="1">IFERROR(__xludf.DUMMYFUNCTION("IFERROR(JOIN("","", UNIQUE(filter({C120; E120}, {C120; E120}&lt;&gt;""""))), """")"),"")</f>
        <v/>
      </c>
      <c r="H120" s="96"/>
      <c r="I120" s="96"/>
      <c r="J120" s="96"/>
      <c r="K120" s="96"/>
      <c r="L120" s="96"/>
      <c r="M120" s="95" t="str">
        <f ca="1">IFERROR(__xludf.DUMMYFUNCTION("IFERROR(JOIN("","", UNIQUE(filter({I120; K120}, {I120; K120}&lt;&gt;""""))), """")"),"")</f>
        <v/>
      </c>
      <c r="N120" s="98"/>
      <c r="O120" s="98"/>
      <c r="P120" s="98"/>
      <c r="Q120" s="98"/>
      <c r="R120" s="98"/>
      <c r="S120" s="95" t="str">
        <f ca="1">IFERROR(__xludf.DUMMYFUNCTION("IFERROR(JOIN("","", UNIQUE(filter({O120; Q120}, {O120; Q120}&lt;&gt;""""))), """")"),"")</f>
        <v/>
      </c>
      <c r="T120" s="99"/>
      <c r="U120" s="99"/>
      <c r="V120" s="99"/>
      <c r="W120" s="99"/>
      <c r="X120" s="99"/>
      <c r="Y120" s="95" t="str">
        <f ca="1">IFERROR(__xludf.DUMMYFUNCTION("IFERROR(JOIN("","", UNIQUE(filter({U120; W120}, {U120; W120}&lt;&gt;""""))), """")"),"")</f>
        <v/>
      </c>
    </row>
    <row r="121" spans="2:25" ht="13" x14ac:dyDescent="0.15">
      <c r="B121" s="10"/>
      <c r="C121" s="10"/>
      <c r="D121" s="10"/>
      <c r="E121" s="10"/>
      <c r="F121" s="10"/>
      <c r="G121" s="95" t="str">
        <f ca="1">IFERROR(__xludf.DUMMYFUNCTION("IFERROR(JOIN("","", UNIQUE(filter({C121; E121}, {C121; E121}&lt;&gt;""""))), """")"),"")</f>
        <v/>
      </c>
      <c r="H121" s="96"/>
      <c r="I121" s="96"/>
      <c r="J121" s="96"/>
      <c r="K121" s="96"/>
      <c r="L121" s="96"/>
      <c r="M121" s="95" t="str">
        <f ca="1">IFERROR(__xludf.DUMMYFUNCTION("IFERROR(JOIN("","", UNIQUE(filter({I121; K121}, {I121; K121}&lt;&gt;""""))), """")"),"")</f>
        <v/>
      </c>
      <c r="N121" s="98"/>
      <c r="O121" s="98"/>
      <c r="P121" s="98"/>
      <c r="Q121" s="98"/>
      <c r="R121" s="98"/>
      <c r="S121" s="95" t="str">
        <f ca="1">IFERROR(__xludf.DUMMYFUNCTION("IFERROR(JOIN("","", UNIQUE(filter({O121; Q121}, {O121; Q121}&lt;&gt;""""))), """")"),"")</f>
        <v/>
      </c>
      <c r="T121" s="99"/>
      <c r="U121" s="99"/>
      <c r="V121" s="99"/>
      <c r="W121" s="99"/>
      <c r="X121" s="99"/>
      <c r="Y121" s="95" t="str">
        <f ca="1">IFERROR(__xludf.DUMMYFUNCTION("IFERROR(JOIN("","", UNIQUE(filter({U121; W121}, {U121; W121}&lt;&gt;""""))), """")"),"")</f>
        <v/>
      </c>
    </row>
    <row r="122" spans="2:25" ht="13" x14ac:dyDescent="0.15">
      <c r="B122" s="10"/>
      <c r="C122" s="10"/>
      <c r="D122" s="10"/>
      <c r="E122" s="10"/>
      <c r="F122" s="10"/>
      <c r="G122" s="95" t="str">
        <f ca="1">IFERROR(__xludf.DUMMYFUNCTION("IFERROR(JOIN("","", UNIQUE(filter({C122; E122}, {C122; E122}&lt;&gt;""""))), """")"),"")</f>
        <v/>
      </c>
      <c r="H122" s="96"/>
      <c r="I122" s="96"/>
      <c r="J122" s="96"/>
      <c r="K122" s="96"/>
      <c r="L122" s="96"/>
      <c r="M122" s="95" t="str">
        <f ca="1">IFERROR(__xludf.DUMMYFUNCTION("IFERROR(JOIN("","", UNIQUE(filter({I122; K122}, {I122; K122}&lt;&gt;""""))), """")"),"")</f>
        <v/>
      </c>
      <c r="N122" s="98"/>
      <c r="O122" s="98"/>
      <c r="P122" s="98"/>
      <c r="Q122" s="98"/>
      <c r="R122" s="98"/>
      <c r="S122" s="95" t="str">
        <f ca="1">IFERROR(__xludf.DUMMYFUNCTION("IFERROR(JOIN("","", UNIQUE(filter({O122; Q122}, {O122; Q122}&lt;&gt;""""))), """")"),"")</f>
        <v/>
      </c>
      <c r="T122" s="99"/>
      <c r="U122" s="99"/>
      <c r="V122" s="99"/>
      <c r="W122" s="99"/>
      <c r="X122" s="99"/>
      <c r="Y122" s="95" t="str">
        <f ca="1">IFERROR(__xludf.DUMMYFUNCTION("IFERROR(JOIN("","", UNIQUE(filter({U122; W122}, {U122; W122}&lt;&gt;""""))), """")"),"")</f>
        <v/>
      </c>
    </row>
    <row r="123" spans="2:25" ht="13" x14ac:dyDescent="0.15">
      <c r="B123" s="10"/>
      <c r="C123" s="10"/>
      <c r="D123" s="10"/>
      <c r="E123" s="10"/>
      <c r="F123" s="10"/>
      <c r="G123" s="95" t="str">
        <f ca="1">IFERROR(__xludf.DUMMYFUNCTION("IFERROR(JOIN("","", UNIQUE(filter({C123; E123}, {C123; E123}&lt;&gt;""""))), """")"),"")</f>
        <v/>
      </c>
      <c r="H123" s="96"/>
      <c r="I123" s="96"/>
      <c r="J123" s="96"/>
      <c r="K123" s="96"/>
      <c r="L123" s="96"/>
      <c r="M123" s="95" t="str">
        <f ca="1">IFERROR(__xludf.DUMMYFUNCTION("IFERROR(JOIN("","", UNIQUE(filter({I123; K123}, {I123; K123}&lt;&gt;""""))), """")"),"")</f>
        <v/>
      </c>
      <c r="N123" s="98"/>
      <c r="O123" s="98"/>
      <c r="P123" s="98"/>
      <c r="Q123" s="98"/>
      <c r="R123" s="98"/>
      <c r="S123" s="95" t="str">
        <f ca="1">IFERROR(__xludf.DUMMYFUNCTION("IFERROR(JOIN("","", UNIQUE(filter({O123; Q123}, {O123; Q123}&lt;&gt;""""))), """")"),"")</f>
        <v/>
      </c>
      <c r="T123" s="99"/>
      <c r="U123" s="99"/>
      <c r="V123" s="99"/>
      <c r="W123" s="99"/>
      <c r="X123" s="99"/>
      <c r="Y123" s="95" t="str">
        <f ca="1">IFERROR(__xludf.DUMMYFUNCTION("IFERROR(JOIN("","", UNIQUE(filter({U123; W123}, {U123; W123}&lt;&gt;""""))), """")"),"")</f>
        <v/>
      </c>
    </row>
    <row r="124" spans="2:25" ht="13" x14ac:dyDescent="0.15">
      <c r="B124" s="10"/>
      <c r="C124" s="10"/>
      <c r="D124" s="10"/>
      <c r="E124" s="10"/>
      <c r="F124" s="10"/>
      <c r="G124" s="95" t="str">
        <f ca="1">IFERROR(__xludf.DUMMYFUNCTION("IFERROR(JOIN("","", UNIQUE(filter({C124; E124}, {C124; E124}&lt;&gt;""""))), """")"),"")</f>
        <v/>
      </c>
      <c r="H124" s="96"/>
      <c r="I124" s="96"/>
      <c r="J124" s="96"/>
      <c r="K124" s="96"/>
      <c r="L124" s="96"/>
      <c r="M124" s="95" t="str">
        <f ca="1">IFERROR(__xludf.DUMMYFUNCTION("IFERROR(JOIN("","", UNIQUE(filter({I124; K124}, {I124; K124}&lt;&gt;""""))), """")"),"")</f>
        <v/>
      </c>
      <c r="N124" s="98"/>
      <c r="O124" s="98"/>
      <c r="P124" s="98"/>
      <c r="Q124" s="98"/>
      <c r="R124" s="98"/>
      <c r="S124" s="95" t="str">
        <f ca="1">IFERROR(__xludf.DUMMYFUNCTION("IFERROR(JOIN("","", UNIQUE(filter({O124; Q124}, {O124; Q124}&lt;&gt;""""))), """")"),"")</f>
        <v/>
      </c>
      <c r="T124" s="99"/>
      <c r="U124" s="99"/>
      <c r="V124" s="99"/>
      <c r="W124" s="99"/>
      <c r="X124" s="99"/>
      <c r="Y124" s="95" t="str">
        <f ca="1">IFERROR(__xludf.DUMMYFUNCTION("IFERROR(JOIN("","", UNIQUE(filter({U124; W124}, {U124; W124}&lt;&gt;""""))), """")"),"")</f>
        <v/>
      </c>
    </row>
    <row r="125" spans="2:25" ht="13" x14ac:dyDescent="0.15">
      <c r="B125" s="10"/>
      <c r="C125" s="10"/>
      <c r="D125" s="10"/>
      <c r="E125" s="10"/>
      <c r="F125" s="10"/>
      <c r="G125" s="95" t="str">
        <f ca="1">IFERROR(__xludf.DUMMYFUNCTION("IFERROR(JOIN("","", UNIQUE(filter({C125; E125}, {C125; E125}&lt;&gt;""""))), """")"),"")</f>
        <v/>
      </c>
      <c r="H125" s="96"/>
      <c r="I125" s="96"/>
      <c r="J125" s="96"/>
      <c r="K125" s="96"/>
      <c r="L125" s="96"/>
      <c r="M125" s="95" t="str">
        <f ca="1">IFERROR(__xludf.DUMMYFUNCTION("IFERROR(JOIN("","", UNIQUE(filter({I125; K125}, {I125; K125}&lt;&gt;""""))), """")"),"")</f>
        <v/>
      </c>
      <c r="N125" s="98"/>
      <c r="O125" s="98"/>
      <c r="P125" s="98"/>
      <c r="Q125" s="98"/>
      <c r="R125" s="98"/>
      <c r="S125" s="95" t="str">
        <f ca="1">IFERROR(__xludf.DUMMYFUNCTION("IFERROR(JOIN("","", UNIQUE(filter({O125; Q125}, {O125; Q125}&lt;&gt;""""))), """")"),"")</f>
        <v/>
      </c>
      <c r="T125" s="99"/>
      <c r="U125" s="99"/>
      <c r="V125" s="99"/>
      <c r="W125" s="99"/>
      <c r="X125" s="99"/>
      <c r="Y125" s="95" t="str">
        <f ca="1">IFERROR(__xludf.DUMMYFUNCTION("IFERROR(JOIN("","", UNIQUE(filter({U125; W125}, {U125; W125}&lt;&gt;""""))), """")"),"")</f>
        <v/>
      </c>
    </row>
    <row r="126" spans="2:25" ht="13" x14ac:dyDescent="0.15">
      <c r="B126" s="10"/>
      <c r="C126" s="10"/>
      <c r="D126" s="10"/>
      <c r="E126" s="10"/>
      <c r="F126" s="10"/>
      <c r="G126" s="95" t="str">
        <f ca="1">IFERROR(__xludf.DUMMYFUNCTION("IFERROR(JOIN("","", UNIQUE(filter({C126; E126}, {C126; E126}&lt;&gt;""""))), """")"),"")</f>
        <v/>
      </c>
      <c r="H126" s="96"/>
      <c r="I126" s="96"/>
      <c r="J126" s="96"/>
      <c r="K126" s="96"/>
      <c r="L126" s="96"/>
      <c r="M126" s="95" t="str">
        <f ca="1">IFERROR(__xludf.DUMMYFUNCTION("IFERROR(JOIN("","", UNIQUE(filter({I126; K126}, {I126; K126}&lt;&gt;""""))), """")"),"")</f>
        <v/>
      </c>
      <c r="N126" s="98"/>
      <c r="O126" s="98"/>
      <c r="P126" s="98"/>
      <c r="Q126" s="98"/>
      <c r="R126" s="98"/>
      <c r="S126" s="95" t="str">
        <f ca="1">IFERROR(__xludf.DUMMYFUNCTION("IFERROR(JOIN("","", UNIQUE(filter({O126; Q126}, {O126; Q126}&lt;&gt;""""))), """")"),"")</f>
        <v/>
      </c>
      <c r="T126" s="99"/>
      <c r="U126" s="99"/>
      <c r="V126" s="99"/>
      <c r="W126" s="99"/>
      <c r="X126" s="99"/>
      <c r="Y126" s="95" t="str">
        <f ca="1">IFERROR(__xludf.DUMMYFUNCTION("IFERROR(JOIN("","", UNIQUE(filter({U126; W126}, {U126; W126}&lt;&gt;""""))), """")"),"")</f>
        <v/>
      </c>
    </row>
    <row r="127" spans="2:25" ht="13" x14ac:dyDescent="0.15">
      <c r="B127" s="10"/>
      <c r="C127" s="10"/>
      <c r="D127" s="10"/>
      <c r="E127" s="10"/>
      <c r="F127" s="10"/>
      <c r="G127" s="95" t="str">
        <f ca="1">IFERROR(__xludf.DUMMYFUNCTION("IFERROR(JOIN("","", UNIQUE(filter({C127; E127}, {C127; E127}&lt;&gt;""""))), """")"),"")</f>
        <v/>
      </c>
      <c r="H127" s="96"/>
      <c r="I127" s="96"/>
      <c r="J127" s="96"/>
      <c r="K127" s="96"/>
      <c r="L127" s="96"/>
      <c r="M127" s="95" t="str">
        <f ca="1">IFERROR(__xludf.DUMMYFUNCTION("IFERROR(JOIN("","", UNIQUE(filter({I127; K127}, {I127; K127}&lt;&gt;""""))), """")"),"")</f>
        <v/>
      </c>
      <c r="N127" s="98"/>
      <c r="O127" s="98"/>
      <c r="P127" s="98"/>
      <c r="Q127" s="98"/>
      <c r="R127" s="98"/>
      <c r="S127" s="95" t="str">
        <f ca="1">IFERROR(__xludf.DUMMYFUNCTION("IFERROR(JOIN("","", UNIQUE(filter({O127; Q127}, {O127; Q127}&lt;&gt;""""))), """")"),"")</f>
        <v/>
      </c>
      <c r="T127" s="99"/>
      <c r="U127" s="99"/>
      <c r="V127" s="99"/>
      <c r="W127" s="99"/>
      <c r="X127" s="99"/>
      <c r="Y127" s="95" t="str">
        <f ca="1">IFERROR(__xludf.DUMMYFUNCTION("IFERROR(JOIN("","", UNIQUE(filter({U127; W127}, {U127; W127}&lt;&gt;""""))), """")"),"")</f>
        <v/>
      </c>
    </row>
    <row r="128" spans="2:25" ht="13" x14ac:dyDescent="0.15">
      <c r="B128" s="10"/>
      <c r="C128" s="10"/>
      <c r="D128" s="10"/>
      <c r="E128" s="10"/>
      <c r="F128" s="10"/>
      <c r="G128" s="95" t="str">
        <f ca="1">IFERROR(__xludf.DUMMYFUNCTION("IFERROR(JOIN("","", UNIQUE(filter({C128; E128}, {C128; E128}&lt;&gt;""""))), """")"),"")</f>
        <v/>
      </c>
      <c r="H128" s="96"/>
      <c r="I128" s="96"/>
      <c r="J128" s="96"/>
      <c r="K128" s="96"/>
      <c r="L128" s="96"/>
      <c r="M128" s="95" t="str">
        <f ca="1">IFERROR(__xludf.DUMMYFUNCTION("IFERROR(JOIN("","", UNIQUE(filter({I128; K128}, {I128; K128}&lt;&gt;""""))), """")"),"")</f>
        <v/>
      </c>
      <c r="N128" s="98"/>
      <c r="O128" s="98"/>
      <c r="P128" s="98"/>
      <c r="Q128" s="98"/>
      <c r="R128" s="98"/>
      <c r="S128" s="95" t="str">
        <f ca="1">IFERROR(__xludf.DUMMYFUNCTION("IFERROR(JOIN("","", UNIQUE(filter({O128; Q128}, {O128; Q128}&lt;&gt;""""))), """")"),"")</f>
        <v/>
      </c>
      <c r="T128" s="99"/>
      <c r="U128" s="99"/>
      <c r="V128" s="99"/>
      <c r="W128" s="99"/>
      <c r="X128" s="99"/>
      <c r="Y128" s="95" t="str">
        <f ca="1">IFERROR(__xludf.DUMMYFUNCTION("IFERROR(JOIN("","", UNIQUE(filter({U128; W128}, {U128; W128}&lt;&gt;""""))), """")"),"")</f>
        <v/>
      </c>
    </row>
    <row r="129" spans="2:25" ht="13" x14ac:dyDescent="0.15">
      <c r="B129" s="10"/>
      <c r="C129" s="10"/>
      <c r="D129" s="10"/>
      <c r="E129" s="10"/>
      <c r="F129" s="10"/>
      <c r="G129" s="95" t="str">
        <f ca="1">IFERROR(__xludf.DUMMYFUNCTION("IFERROR(JOIN("","", UNIQUE(filter({C129; E129}, {C129; E129}&lt;&gt;""""))), """")"),"")</f>
        <v/>
      </c>
      <c r="H129" s="96"/>
      <c r="I129" s="96"/>
      <c r="J129" s="96"/>
      <c r="K129" s="96"/>
      <c r="L129" s="96"/>
      <c r="M129" s="95" t="str">
        <f ca="1">IFERROR(__xludf.DUMMYFUNCTION("IFERROR(JOIN("","", UNIQUE(filter({I129; K129}, {I129; K129}&lt;&gt;""""))), """")"),"")</f>
        <v/>
      </c>
      <c r="N129" s="98"/>
      <c r="O129" s="98"/>
      <c r="P129" s="98"/>
      <c r="Q129" s="98"/>
      <c r="R129" s="98"/>
      <c r="S129" s="95" t="str">
        <f ca="1">IFERROR(__xludf.DUMMYFUNCTION("IFERROR(JOIN("","", UNIQUE(filter({O129; Q129}, {O129; Q129}&lt;&gt;""""))), """")"),"")</f>
        <v/>
      </c>
      <c r="T129" s="99"/>
      <c r="U129" s="99"/>
      <c r="V129" s="99"/>
      <c r="W129" s="99"/>
      <c r="X129" s="99"/>
      <c r="Y129" s="95" t="str">
        <f ca="1">IFERROR(__xludf.DUMMYFUNCTION("IFERROR(JOIN("","", UNIQUE(filter({U129; W129}, {U129; W129}&lt;&gt;""""))), """")"),"")</f>
        <v/>
      </c>
    </row>
    <row r="130" spans="2:25" ht="13" x14ac:dyDescent="0.15">
      <c r="B130" s="10"/>
      <c r="C130" s="10"/>
      <c r="D130" s="10"/>
      <c r="E130" s="10"/>
      <c r="F130" s="10"/>
      <c r="G130" s="95" t="str">
        <f ca="1">IFERROR(__xludf.DUMMYFUNCTION("IFERROR(JOIN("","", UNIQUE(filter({C130; E130}, {C130; E130}&lt;&gt;""""))), """")"),"")</f>
        <v/>
      </c>
      <c r="H130" s="96"/>
      <c r="I130" s="96"/>
      <c r="J130" s="96"/>
      <c r="K130" s="96"/>
      <c r="L130" s="96"/>
      <c r="M130" s="95" t="str">
        <f ca="1">IFERROR(__xludf.DUMMYFUNCTION("IFERROR(JOIN("","", UNIQUE(filter({I130; K130}, {I130; K130}&lt;&gt;""""))), """")"),"")</f>
        <v/>
      </c>
      <c r="N130" s="98"/>
      <c r="O130" s="98"/>
      <c r="P130" s="98"/>
      <c r="Q130" s="98"/>
      <c r="R130" s="98"/>
      <c r="S130" s="95" t="str">
        <f ca="1">IFERROR(__xludf.DUMMYFUNCTION("IFERROR(JOIN("","", UNIQUE(filter({O130; Q130}, {O130; Q130}&lt;&gt;""""))), """")"),"")</f>
        <v/>
      </c>
      <c r="T130" s="99"/>
      <c r="U130" s="99"/>
      <c r="V130" s="99"/>
      <c r="W130" s="99"/>
      <c r="X130" s="99"/>
      <c r="Y130" s="95" t="str">
        <f ca="1">IFERROR(__xludf.DUMMYFUNCTION("IFERROR(JOIN("","", UNIQUE(filter({U130; W130}, {U130; W130}&lt;&gt;""""))), """")"),"")</f>
        <v/>
      </c>
    </row>
    <row r="131" spans="2:25" ht="13" x14ac:dyDescent="0.15">
      <c r="B131" s="10"/>
      <c r="C131" s="10"/>
      <c r="D131" s="10"/>
      <c r="E131" s="10"/>
      <c r="F131" s="10"/>
      <c r="G131" s="95" t="str">
        <f ca="1">IFERROR(__xludf.DUMMYFUNCTION("IFERROR(JOIN("","", UNIQUE(filter({C131; E131}, {C131; E131}&lt;&gt;""""))), """")"),"")</f>
        <v/>
      </c>
      <c r="H131" s="96"/>
      <c r="I131" s="96"/>
      <c r="J131" s="96"/>
      <c r="K131" s="96"/>
      <c r="L131" s="96"/>
      <c r="M131" s="95" t="str">
        <f ca="1">IFERROR(__xludf.DUMMYFUNCTION("IFERROR(JOIN("","", UNIQUE(filter({I131; K131}, {I131; K131}&lt;&gt;""""))), """")"),"")</f>
        <v/>
      </c>
      <c r="N131" s="98"/>
      <c r="O131" s="98"/>
      <c r="P131" s="98"/>
      <c r="Q131" s="98"/>
      <c r="R131" s="98"/>
      <c r="S131" s="95" t="str">
        <f ca="1">IFERROR(__xludf.DUMMYFUNCTION("IFERROR(JOIN("","", UNIQUE(filter({O131; Q131}, {O131; Q131}&lt;&gt;""""))), """")"),"")</f>
        <v/>
      </c>
      <c r="T131" s="99"/>
      <c r="U131" s="99"/>
      <c r="V131" s="99"/>
      <c r="W131" s="99"/>
      <c r="X131" s="99"/>
      <c r="Y131" s="95" t="str">
        <f ca="1">IFERROR(__xludf.DUMMYFUNCTION("IFERROR(JOIN("","", UNIQUE(filter({U131; W131}, {U131; W131}&lt;&gt;""""))), """")"),"")</f>
        <v/>
      </c>
    </row>
    <row r="132" spans="2:25" ht="13" x14ac:dyDescent="0.15">
      <c r="B132" s="10"/>
      <c r="C132" s="10"/>
      <c r="D132" s="10"/>
      <c r="E132" s="10"/>
      <c r="F132" s="10"/>
      <c r="G132" s="95" t="str">
        <f ca="1">IFERROR(__xludf.DUMMYFUNCTION("IFERROR(JOIN("","", UNIQUE(filter({C132; E132}, {C132; E132}&lt;&gt;""""))), """")"),"")</f>
        <v/>
      </c>
      <c r="H132" s="96"/>
      <c r="I132" s="96"/>
      <c r="J132" s="96"/>
      <c r="K132" s="96"/>
      <c r="L132" s="96"/>
      <c r="M132" s="95" t="str">
        <f ca="1">IFERROR(__xludf.DUMMYFUNCTION("IFERROR(JOIN("","", UNIQUE(filter({I132; K132}, {I132; K132}&lt;&gt;""""))), """")"),"")</f>
        <v/>
      </c>
      <c r="N132" s="98"/>
      <c r="O132" s="98"/>
      <c r="P132" s="98"/>
      <c r="Q132" s="98"/>
      <c r="R132" s="98"/>
      <c r="S132" s="95" t="str">
        <f ca="1">IFERROR(__xludf.DUMMYFUNCTION("IFERROR(JOIN("","", UNIQUE(filter({O132; Q132}, {O132; Q132}&lt;&gt;""""))), """")"),"")</f>
        <v/>
      </c>
      <c r="T132" s="99"/>
      <c r="U132" s="99"/>
      <c r="V132" s="99"/>
      <c r="W132" s="99"/>
      <c r="X132" s="99"/>
      <c r="Y132" s="95" t="str">
        <f ca="1">IFERROR(__xludf.DUMMYFUNCTION("IFERROR(JOIN("","", UNIQUE(filter({U132; W132}, {U132; W132}&lt;&gt;""""))), """")"),"")</f>
        <v/>
      </c>
    </row>
    <row r="133" spans="2:25" ht="13" x14ac:dyDescent="0.15">
      <c r="B133" s="10"/>
      <c r="C133" s="10"/>
      <c r="D133" s="10"/>
      <c r="E133" s="10"/>
      <c r="F133" s="10"/>
      <c r="G133" s="95" t="str">
        <f ca="1">IFERROR(__xludf.DUMMYFUNCTION("IFERROR(JOIN("","", UNIQUE(filter({C133; E133}, {C133; E133}&lt;&gt;""""))), """")"),"")</f>
        <v/>
      </c>
      <c r="H133" s="96"/>
      <c r="I133" s="96"/>
      <c r="J133" s="96"/>
      <c r="K133" s="96"/>
      <c r="L133" s="96"/>
      <c r="M133" s="95" t="str">
        <f ca="1">IFERROR(__xludf.DUMMYFUNCTION("IFERROR(JOIN("","", UNIQUE(filter({I133; K133}, {I133; K133}&lt;&gt;""""))), """")"),"")</f>
        <v/>
      </c>
      <c r="N133" s="98"/>
      <c r="O133" s="98"/>
      <c r="P133" s="98"/>
      <c r="Q133" s="98"/>
      <c r="R133" s="98"/>
      <c r="S133" s="95" t="str">
        <f ca="1">IFERROR(__xludf.DUMMYFUNCTION("IFERROR(JOIN("","", UNIQUE(filter({O133; Q133}, {O133; Q133}&lt;&gt;""""))), """")"),"")</f>
        <v/>
      </c>
      <c r="T133" s="99"/>
      <c r="U133" s="99"/>
      <c r="V133" s="99"/>
      <c r="W133" s="99"/>
      <c r="X133" s="99"/>
      <c r="Y133" s="95" t="str">
        <f ca="1">IFERROR(__xludf.DUMMYFUNCTION("IFERROR(JOIN("","", UNIQUE(filter({U133; W133}, {U133; W133}&lt;&gt;""""))), """")"),"")</f>
        <v/>
      </c>
    </row>
    <row r="134" spans="2:25" ht="13" x14ac:dyDescent="0.15">
      <c r="B134" s="10"/>
      <c r="C134" s="10"/>
      <c r="D134" s="10"/>
      <c r="E134" s="10"/>
      <c r="F134" s="10"/>
      <c r="G134" s="95" t="str">
        <f ca="1">IFERROR(__xludf.DUMMYFUNCTION("IFERROR(JOIN("","", UNIQUE(filter({C134; E134}, {C134; E134}&lt;&gt;""""))), """")"),"")</f>
        <v/>
      </c>
      <c r="H134" s="96"/>
      <c r="I134" s="96"/>
      <c r="J134" s="96"/>
      <c r="K134" s="96"/>
      <c r="L134" s="96"/>
      <c r="M134" s="95" t="str">
        <f ca="1">IFERROR(__xludf.DUMMYFUNCTION("IFERROR(JOIN("","", UNIQUE(filter({I134; K134}, {I134; K134}&lt;&gt;""""))), """")"),"")</f>
        <v/>
      </c>
      <c r="N134" s="98"/>
      <c r="O134" s="98"/>
      <c r="P134" s="98"/>
      <c r="Q134" s="98"/>
      <c r="R134" s="98"/>
      <c r="S134" s="95" t="str">
        <f ca="1">IFERROR(__xludf.DUMMYFUNCTION("IFERROR(JOIN("","", UNIQUE(filter({O134; Q134}, {O134; Q134}&lt;&gt;""""))), """")"),"")</f>
        <v/>
      </c>
      <c r="T134" s="99"/>
      <c r="U134" s="99"/>
      <c r="V134" s="99"/>
      <c r="W134" s="99"/>
      <c r="X134" s="99"/>
      <c r="Y134" s="95" t="str">
        <f ca="1">IFERROR(__xludf.DUMMYFUNCTION("IFERROR(JOIN("","", UNIQUE(filter({U134; W134}, {U134; W134}&lt;&gt;""""))), """")"),"")</f>
        <v/>
      </c>
    </row>
    <row r="135" spans="2:25" ht="13" x14ac:dyDescent="0.15">
      <c r="B135" s="10"/>
      <c r="C135" s="10"/>
      <c r="D135" s="10"/>
      <c r="E135" s="10"/>
      <c r="F135" s="10"/>
      <c r="G135" s="95" t="str">
        <f ca="1">IFERROR(__xludf.DUMMYFUNCTION("IFERROR(JOIN("","", UNIQUE(filter({C135; E135}, {C135; E135}&lt;&gt;""""))), """")"),"")</f>
        <v/>
      </c>
      <c r="H135" s="96"/>
      <c r="I135" s="96"/>
      <c r="J135" s="96"/>
      <c r="K135" s="96"/>
      <c r="L135" s="96"/>
      <c r="M135" s="95" t="str">
        <f ca="1">IFERROR(__xludf.DUMMYFUNCTION("IFERROR(JOIN("","", UNIQUE(filter({I135; K135}, {I135; K135}&lt;&gt;""""))), """")"),"")</f>
        <v/>
      </c>
      <c r="N135" s="98"/>
      <c r="O135" s="98"/>
      <c r="P135" s="98"/>
      <c r="Q135" s="98"/>
      <c r="R135" s="98"/>
      <c r="S135" s="95" t="str">
        <f ca="1">IFERROR(__xludf.DUMMYFUNCTION("IFERROR(JOIN("","", UNIQUE(filter({O135; Q135}, {O135; Q135}&lt;&gt;""""))), """")"),"")</f>
        <v/>
      </c>
      <c r="T135" s="99"/>
      <c r="U135" s="99"/>
      <c r="V135" s="99"/>
      <c r="W135" s="99"/>
      <c r="X135" s="99"/>
      <c r="Y135" s="95" t="str">
        <f ca="1">IFERROR(__xludf.DUMMYFUNCTION("IFERROR(JOIN("","", UNIQUE(filter({U135; W135}, {U135; W135}&lt;&gt;""""))), """")"),"")</f>
        <v/>
      </c>
    </row>
    <row r="136" spans="2:25" ht="13" x14ac:dyDescent="0.15">
      <c r="B136" s="10"/>
      <c r="C136" s="10"/>
      <c r="D136" s="10"/>
      <c r="E136" s="10"/>
      <c r="F136" s="10"/>
      <c r="G136" s="95" t="str">
        <f ca="1">IFERROR(__xludf.DUMMYFUNCTION("IFERROR(JOIN("","", UNIQUE(filter({C136; E136}, {C136; E136}&lt;&gt;""""))), """")"),"")</f>
        <v/>
      </c>
      <c r="H136" s="96"/>
      <c r="I136" s="96"/>
      <c r="J136" s="96"/>
      <c r="K136" s="96"/>
      <c r="L136" s="96"/>
      <c r="M136" s="95" t="str">
        <f ca="1">IFERROR(__xludf.DUMMYFUNCTION("IFERROR(JOIN("","", UNIQUE(filter({I136; K136}, {I136; K136}&lt;&gt;""""))), """")"),"")</f>
        <v/>
      </c>
      <c r="N136" s="98"/>
      <c r="O136" s="98"/>
      <c r="P136" s="98"/>
      <c r="Q136" s="98"/>
      <c r="R136" s="98"/>
      <c r="S136" s="95" t="str">
        <f ca="1">IFERROR(__xludf.DUMMYFUNCTION("IFERROR(JOIN("","", UNIQUE(filter({O136; Q136}, {O136; Q136}&lt;&gt;""""))), """")"),"")</f>
        <v/>
      </c>
      <c r="T136" s="99"/>
      <c r="U136" s="99"/>
      <c r="V136" s="99"/>
      <c r="W136" s="99"/>
      <c r="X136" s="99"/>
      <c r="Y136" s="95" t="str">
        <f ca="1">IFERROR(__xludf.DUMMYFUNCTION("IFERROR(JOIN("","", UNIQUE(filter({U136; W136}, {U136; W136}&lt;&gt;""""))), """")"),"")</f>
        <v/>
      </c>
    </row>
    <row r="137" spans="2:25" ht="13" x14ac:dyDescent="0.15">
      <c r="B137" s="10"/>
      <c r="C137" s="10"/>
      <c r="D137" s="10"/>
      <c r="E137" s="10"/>
      <c r="F137" s="10"/>
      <c r="G137" s="95" t="str">
        <f ca="1">IFERROR(__xludf.DUMMYFUNCTION("IFERROR(JOIN("","", UNIQUE(filter({C137; E137}, {C137; E137}&lt;&gt;""""))), """")"),"")</f>
        <v/>
      </c>
      <c r="H137" s="96"/>
      <c r="I137" s="96"/>
      <c r="J137" s="96"/>
      <c r="K137" s="96"/>
      <c r="L137" s="96"/>
      <c r="M137" s="95" t="str">
        <f ca="1">IFERROR(__xludf.DUMMYFUNCTION("IFERROR(JOIN("","", UNIQUE(filter({I137; K137}, {I137; K137}&lt;&gt;""""))), """")"),"")</f>
        <v/>
      </c>
      <c r="N137" s="98"/>
      <c r="O137" s="98"/>
      <c r="P137" s="98"/>
      <c r="Q137" s="98"/>
      <c r="R137" s="98"/>
      <c r="S137" s="95" t="str">
        <f ca="1">IFERROR(__xludf.DUMMYFUNCTION("IFERROR(JOIN("","", UNIQUE(filter({O137; Q137}, {O137; Q137}&lt;&gt;""""))), """")"),"")</f>
        <v/>
      </c>
      <c r="T137" s="99"/>
      <c r="U137" s="99"/>
      <c r="V137" s="99"/>
      <c r="W137" s="99"/>
      <c r="X137" s="99"/>
      <c r="Y137" s="95" t="str">
        <f ca="1">IFERROR(__xludf.DUMMYFUNCTION("IFERROR(JOIN("","", UNIQUE(filter({U137; W137}, {U137; W137}&lt;&gt;""""))), """")"),"")</f>
        <v/>
      </c>
    </row>
    <row r="138" spans="2:25" ht="13" x14ac:dyDescent="0.15">
      <c r="B138" s="10"/>
      <c r="C138" s="10"/>
      <c r="D138" s="10"/>
      <c r="E138" s="10"/>
      <c r="F138" s="10"/>
      <c r="G138" s="95" t="str">
        <f ca="1">IFERROR(__xludf.DUMMYFUNCTION("IFERROR(JOIN("","", UNIQUE(filter({C138; E138}, {C138; E138}&lt;&gt;""""))), """")"),"")</f>
        <v/>
      </c>
      <c r="H138" s="96"/>
      <c r="I138" s="96"/>
      <c r="J138" s="96"/>
      <c r="K138" s="96"/>
      <c r="L138" s="96"/>
      <c r="M138" s="95" t="str">
        <f ca="1">IFERROR(__xludf.DUMMYFUNCTION("IFERROR(JOIN("","", UNIQUE(filter({I138; K138}, {I138; K138}&lt;&gt;""""))), """")"),"")</f>
        <v/>
      </c>
      <c r="N138" s="98"/>
      <c r="O138" s="98"/>
      <c r="P138" s="98"/>
      <c r="Q138" s="98"/>
      <c r="R138" s="98"/>
      <c r="S138" s="95" t="str">
        <f ca="1">IFERROR(__xludf.DUMMYFUNCTION("IFERROR(JOIN("","", UNIQUE(filter({O138; Q138}, {O138; Q138}&lt;&gt;""""))), """")"),"")</f>
        <v/>
      </c>
      <c r="T138" s="99"/>
      <c r="U138" s="99"/>
      <c r="V138" s="99"/>
      <c r="W138" s="99"/>
      <c r="X138" s="99"/>
      <c r="Y138" s="95" t="str">
        <f ca="1">IFERROR(__xludf.DUMMYFUNCTION("IFERROR(JOIN("","", UNIQUE(filter({U138; W138}, {U138; W138}&lt;&gt;""""))), """")"),"")</f>
        <v/>
      </c>
    </row>
    <row r="139" spans="2:25" ht="13" x14ac:dyDescent="0.15">
      <c r="B139" s="10"/>
      <c r="C139" s="10"/>
      <c r="D139" s="10"/>
      <c r="E139" s="10"/>
      <c r="F139" s="10"/>
      <c r="G139" s="95" t="str">
        <f ca="1">IFERROR(__xludf.DUMMYFUNCTION("IFERROR(JOIN("","", UNIQUE(filter({C139; E139}, {C139; E139}&lt;&gt;""""))), """")"),"")</f>
        <v/>
      </c>
      <c r="H139" s="96"/>
      <c r="I139" s="96"/>
      <c r="J139" s="96"/>
      <c r="K139" s="96"/>
      <c r="L139" s="96"/>
      <c r="M139" s="95" t="str">
        <f ca="1">IFERROR(__xludf.DUMMYFUNCTION("IFERROR(JOIN("","", UNIQUE(filter({I139; K139}, {I139; K139}&lt;&gt;""""))), """")"),"")</f>
        <v/>
      </c>
      <c r="N139" s="98"/>
      <c r="O139" s="98"/>
      <c r="P139" s="98"/>
      <c r="Q139" s="98"/>
      <c r="R139" s="98"/>
      <c r="S139" s="95" t="str">
        <f ca="1">IFERROR(__xludf.DUMMYFUNCTION("IFERROR(JOIN("","", UNIQUE(filter({O139; Q139}, {O139; Q139}&lt;&gt;""""))), """")"),"")</f>
        <v/>
      </c>
      <c r="T139" s="99"/>
      <c r="U139" s="99"/>
      <c r="V139" s="99"/>
      <c r="W139" s="99"/>
      <c r="X139" s="99"/>
      <c r="Y139" s="95" t="str">
        <f ca="1">IFERROR(__xludf.DUMMYFUNCTION("IFERROR(JOIN("","", UNIQUE(filter({U139; W139}, {U139; W139}&lt;&gt;""""))), """")"),"")</f>
        <v/>
      </c>
    </row>
    <row r="140" spans="2:25" ht="13" x14ac:dyDescent="0.15">
      <c r="B140" s="10"/>
      <c r="C140" s="10"/>
      <c r="D140" s="10"/>
      <c r="E140" s="10"/>
      <c r="F140" s="10"/>
      <c r="G140" s="95" t="str">
        <f ca="1">IFERROR(__xludf.DUMMYFUNCTION("IFERROR(JOIN("","", UNIQUE(filter({C140; E140}, {C140; E140}&lt;&gt;""""))), """")"),"")</f>
        <v/>
      </c>
      <c r="H140" s="96"/>
      <c r="I140" s="96"/>
      <c r="J140" s="96"/>
      <c r="K140" s="96"/>
      <c r="L140" s="96"/>
      <c r="M140" s="95" t="str">
        <f ca="1">IFERROR(__xludf.DUMMYFUNCTION("IFERROR(JOIN("","", UNIQUE(filter({I140; K140}, {I140; K140}&lt;&gt;""""))), """")"),"")</f>
        <v/>
      </c>
      <c r="N140" s="98"/>
      <c r="O140" s="98"/>
      <c r="P140" s="98"/>
      <c r="Q140" s="98"/>
      <c r="R140" s="98"/>
      <c r="S140" s="95" t="str">
        <f ca="1">IFERROR(__xludf.DUMMYFUNCTION("IFERROR(JOIN("","", UNIQUE(filter({O140; Q140}, {O140; Q140}&lt;&gt;""""))), """")"),"")</f>
        <v/>
      </c>
      <c r="T140" s="99"/>
      <c r="U140" s="99"/>
      <c r="V140" s="99"/>
      <c r="W140" s="99"/>
      <c r="X140" s="99"/>
      <c r="Y140" s="95" t="str">
        <f ca="1">IFERROR(__xludf.DUMMYFUNCTION("IFERROR(JOIN("","", UNIQUE(filter({U140; W140}, {U140; W140}&lt;&gt;""""))), """")"),"")</f>
        <v/>
      </c>
    </row>
    <row r="141" spans="2:25" ht="13" x14ac:dyDescent="0.15">
      <c r="B141" s="10"/>
      <c r="C141" s="10"/>
      <c r="D141" s="10"/>
      <c r="E141" s="10"/>
      <c r="F141" s="10"/>
      <c r="G141" s="95" t="str">
        <f ca="1">IFERROR(__xludf.DUMMYFUNCTION("IFERROR(JOIN("","", UNIQUE(filter({C141; E141}, {C141; E141}&lt;&gt;""""))), """")"),"")</f>
        <v/>
      </c>
      <c r="H141" s="96"/>
      <c r="I141" s="96"/>
      <c r="J141" s="96"/>
      <c r="K141" s="96"/>
      <c r="L141" s="96"/>
      <c r="M141" s="95" t="str">
        <f ca="1">IFERROR(__xludf.DUMMYFUNCTION("IFERROR(JOIN("","", UNIQUE(filter({I141; K141}, {I141; K141}&lt;&gt;""""))), """")"),"")</f>
        <v/>
      </c>
      <c r="N141" s="98"/>
      <c r="O141" s="98"/>
      <c r="P141" s="98"/>
      <c r="Q141" s="98"/>
      <c r="R141" s="98"/>
      <c r="S141" s="95" t="str">
        <f ca="1">IFERROR(__xludf.DUMMYFUNCTION("IFERROR(JOIN("","", UNIQUE(filter({O141; Q141}, {O141; Q141}&lt;&gt;""""))), """")"),"")</f>
        <v/>
      </c>
      <c r="T141" s="99"/>
      <c r="U141" s="99"/>
      <c r="V141" s="99"/>
      <c r="W141" s="99"/>
      <c r="X141" s="99"/>
      <c r="Y141" s="95" t="str">
        <f ca="1">IFERROR(__xludf.DUMMYFUNCTION("IFERROR(JOIN("","", UNIQUE(filter({U141; W141}, {U141; W141}&lt;&gt;""""))), """")"),"")</f>
        <v/>
      </c>
    </row>
    <row r="142" spans="2:25" ht="13" x14ac:dyDescent="0.15">
      <c r="B142" s="10"/>
      <c r="C142" s="10"/>
      <c r="D142" s="10"/>
      <c r="E142" s="10"/>
      <c r="F142" s="10"/>
      <c r="G142" s="95" t="str">
        <f ca="1">IFERROR(__xludf.DUMMYFUNCTION("IFERROR(JOIN("","", UNIQUE(filter({C142; E142}, {C142; E142}&lt;&gt;""""))), """")"),"")</f>
        <v/>
      </c>
      <c r="H142" s="96"/>
      <c r="I142" s="96"/>
      <c r="J142" s="96"/>
      <c r="K142" s="96"/>
      <c r="L142" s="96"/>
      <c r="M142" s="95" t="str">
        <f ca="1">IFERROR(__xludf.DUMMYFUNCTION("IFERROR(JOIN("","", UNIQUE(filter({I142; K142}, {I142; K142}&lt;&gt;""""))), """")"),"")</f>
        <v/>
      </c>
      <c r="N142" s="98"/>
      <c r="O142" s="98"/>
      <c r="P142" s="98"/>
      <c r="Q142" s="98"/>
      <c r="R142" s="98"/>
      <c r="S142" s="95" t="str">
        <f ca="1">IFERROR(__xludf.DUMMYFUNCTION("IFERROR(JOIN("","", UNIQUE(filter({O142; Q142}, {O142; Q142}&lt;&gt;""""))), """")"),"")</f>
        <v/>
      </c>
      <c r="T142" s="99"/>
      <c r="U142" s="99"/>
      <c r="V142" s="99"/>
      <c r="W142" s="99"/>
      <c r="X142" s="99"/>
      <c r="Y142" s="95" t="str">
        <f ca="1">IFERROR(__xludf.DUMMYFUNCTION("IFERROR(JOIN("","", UNIQUE(filter({U142; W142}, {U142; W142}&lt;&gt;""""))), """")"),"")</f>
        <v/>
      </c>
    </row>
    <row r="143" spans="2:25" ht="13" x14ac:dyDescent="0.15">
      <c r="B143" s="10"/>
      <c r="C143" s="10"/>
      <c r="D143" s="10"/>
      <c r="E143" s="10"/>
      <c r="F143" s="10"/>
      <c r="G143" s="95" t="str">
        <f ca="1">IFERROR(__xludf.DUMMYFUNCTION("IFERROR(JOIN("","", UNIQUE(filter({C143; E143}, {C143; E143}&lt;&gt;""""))), """")"),"")</f>
        <v/>
      </c>
      <c r="H143" s="96"/>
      <c r="I143" s="96"/>
      <c r="J143" s="96"/>
      <c r="K143" s="96"/>
      <c r="L143" s="96"/>
      <c r="M143" s="95" t="str">
        <f ca="1">IFERROR(__xludf.DUMMYFUNCTION("IFERROR(JOIN("","", UNIQUE(filter({I143; K143}, {I143; K143}&lt;&gt;""""))), """")"),"")</f>
        <v/>
      </c>
      <c r="N143" s="98"/>
      <c r="O143" s="98"/>
      <c r="P143" s="98"/>
      <c r="Q143" s="98"/>
      <c r="R143" s="98"/>
      <c r="S143" s="95" t="str">
        <f ca="1">IFERROR(__xludf.DUMMYFUNCTION("IFERROR(JOIN("","", UNIQUE(filter({O143; Q143}, {O143; Q143}&lt;&gt;""""))), """")"),"")</f>
        <v/>
      </c>
      <c r="T143" s="99"/>
      <c r="U143" s="99"/>
      <c r="V143" s="99"/>
      <c r="W143" s="99"/>
      <c r="X143" s="99"/>
      <c r="Y143" s="95" t="str">
        <f ca="1">IFERROR(__xludf.DUMMYFUNCTION("IFERROR(JOIN("","", UNIQUE(filter({U143; W143}, {U143; W143}&lt;&gt;""""))), """")"),"")</f>
        <v/>
      </c>
    </row>
    <row r="144" spans="2:25" ht="13" x14ac:dyDescent="0.15">
      <c r="B144" s="10"/>
      <c r="C144" s="10"/>
      <c r="D144" s="10"/>
      <c r="E144" s="10"/>
      <c r="F144" s="10"/>
      <c r="G144" s="95" t="str">
        <f ca="1">IFERROR(__xludf.DUMMYFUNCTION("IFERROR(JOIN("","", UNIQUE(filter({C144; E144}, {C144; E144}&lt;&gt;""""))), """")"),"")</f>
        <v/>
      </c>
      <c r="H144" s="96"/>
      <c r="I144" s="96"/>
      <c r="J144" s="96"/>
      <c r="K144" s="96"/>
      <c r="L144" s="96"/>
      <c r="M144" s="95" t="str">
        <f ca="1">IFERROR(__xludf.DUMMYFUNCTION("IFERROR(JOIN("","", UNIQUE(filter({I144; K144}, {I144; K144}&lt;&gt;""""))), """")"),"")</f>
        <v/>
      </c>
      <c r="N144" s="98"/>
      <c r="O144" s="98"/>
      <c r="P144" s="98"/>
      <c r="Q144" s="98"/>
      <c r="R144" s="98"/>
      <c r="S144" s="95" t="str">
        <f ca="1">IFERROR(__xludf.DUMMYFUNCTION("IFERROR(JOIN("","", UNIQUE(filter({O144; Q144}, {O144; Q144}&lt;&gt;""""))), """")"),"")</f>
        <v/>
      </c>
      <c r="T144" s="99"/>
      <c r="U144" s="99"/>
      <c r="V144" s="99"/>
      <c r="W144" s="99"/>
      <c r="X144" s="99"/>
      <c r="Y144" s="95" t="str">
        <f ca="1">IFERROR(__xludf.DUMMYFUNCTION("IFERROR(JOIN("","", UNIQUE(filter({U144; W144}, {U144; W144}&lt;&gt;""""))), """")"),"")</f>
        <v/>
      </c>
    </row>
    <row r="145" spans="2:25" ht="13" x14ac:dyDescent="0.15">
      <c r="B145" s="10"/>
      <c r="C145" s="10"/>
      <c r="D145" s="10"/>
      <c r="E145" s="10"/>
      <c r="F145" s="10"/>
      <c r="G145" s="95" t="str">
        <f ca="1">IFERROR(__xludf.DUMMYFUNCTION("IFERROR(JOIN("","", UNIQUE(filter({C145; E145}, {C145; E145}&lt;&gt;""""))), """")"),"")</f>
        <v/>
      </c>
      <c r="H145" s="96"/>
      <c r="I145" s="96"/>
      <c r="J145" s="96"/>
      <c r="K145" s="96"/>
      <c r="L145" s="96"/>
      <c r="M145" s="95" t="str">
        <f ca="1">IFERROR(__xludf.DUMMYFUNCTION("IFERROR(JOIN("","", UNIQUE(filter({I145; K145}, {I145; K145}&lt;&gt;""""))), """")"),"")</f>
        <v/>
      </c>
      <c r="N145" s="98"/>
      <c r="O145" s="98"/>
      <c r="P145" s="98"/>
      <c r="Q145" s="98"/>
      <c r="R145" s="98"/>
      <c r="S145" s="95" t="str">
        <f ca="1">IFERROR(__xludf.DUMMYFUNCTION("IFERROR(JOIN("","", UNIQUE(filter({O145; Q145}, {O145; Q145}&lt;&gt;""""))), """")"),"")</f>
        <v/>
      </c>
      <c r="T145" s="99"/>
      <c r="U145" s="99"/>
      <c r="V145" s="99"/>
      <c r="W145" s="99"/>
      <c r="X145" s="99"/>
      <c r="Y145" s="95" t="str">
        <f ca="1">IFERROR(__xludf.DUMMYFUNCTION("IFERROR(JOIN("","", UNIQUE(filter({U145; W145}, {U145; W145}&lt;&gt;""""))), """")"),"")</f>
        <v/>
      </c>
    </row>
    <row r="146" spans="2:25" ht="13" x14ac:dyDescent="0.15">
      <c r="B146" s="10"/>
      <c r="C146" s="10"/>
      <c r="D146" s="10"/>
      <c r="E146" s="10"/>
      <c r="F146" s="10"/>
      <c r="G146" s="95" t="str">
        <f ca="1">IFERROR(__xludf.DUMMYFUNCTION("IFERROR(JOIN("","", UNIQUE(filter({C146; E146}, {C146; E146}&lt;&gt;""""))), """")"),"")</f>
        <v/>
      </c>
      <c r="H146" s="96"/>
      <c r="I146" s="96"/>
      <c r="J146" s="96"/>
      <c r="K146" s="96"/>
      <c r="L146" s="96"/>
      <c r="M146" s="95" t="str">
        <f ca="1">IFERROR(__xludf.DUMMYFUNCTION("IFERROR(JOIN("","", UNIQUE(filter({I146; K146}, {I146; K146}&lt;&gt;""""))), """")"),"")</f>
        <v/>
      </c>
      <c r="N146" s="98"/>
      <c r="O146" s="98"/>
      <c r="P146" s="98"/>
      <c r="Q146" s="98"/>
      <c r="R146" s="98"/>
      <c r="S146" s="95" t="str">
        <f ca="1">IFERROR(__xludf.DUMMYFUNCTION("IFERROR(JOIN("","", UNIQUE(filter({O146; Q146}, {O146; Q146}&lt;&gt;""""))), """")"),"")</f>
        <v/>
      </c>
      <c r="T146" s="99"/>
      <c r="U146" s="99"/>
      <c r="V146" s="99"/>
      <c r="W146" s="99"/>
      <c r="X146" s="99"/>
      <c r="Y146" s="95" t="str">
        <f ca="1">IFERROR(__xludf.DUMMYFUNCTION("IFERROR(JOIN("","", UNIQUE(filter({U146; W146}, {U146; W146}&lt;&gt;""""))), """")"),"")</f>
        <v/>
      </c>
    </row>
    <row r="147" spans="2:25" ht="13" x14ac:dyDescent="0.15">
      <c r="B147" s="10"/>
      <c r="C147" s="10"/>
      <c r="D147" s="10"/>
      <c r="E147" s="10"/>
      <c r="F147" s="10"/>
      <c r="G147" s="95" t="str">
        <f ca="1">IFERROR(__xludf.DUMMYFUNCTION("IFERROR(JOIN("","", UNIQUE(filter({C147; E147}, {C147; E147}&lt;&gt;""""))), """")"),"")</f>
        <v/>
      </c>
      <c r="H147" s="96"/>
      <c r="I147" s="96"/>
      <c r="J147" s="96"/>
      <c r="K147" s="96"/>
      <c r="L147" s="96"/>
      <c r="M147" s="95" t="str">
        <f ca="1">IFERROR(__xludf.DUMMYFUNCTION("IFERROR(JOIN("","", UNIQUE(filter({I147; K147}, {I147; K147}&lt;&gt;""""))), """")"),"")</f>
        <v/>
      </c>
      <c r="N147" s="98"/>
      <c r="O147" s="98"/>
      <c r="P147" s="98"/>
      <c r="Q147" s="98"/>
      <c r="R147" s="98"/>
      <c r="S147" s="95" t="str">
        <f ca="1">IFERROR(__xludf.DUMMYFUNCTION("IFERROR(JOIN("","", UNIQUE(filter({O147; Q147}, {O147; Q147}&lt;&gt;""""))), """")"),"")</f>
        <v/>
      </c>
      <c r="T147" s="99"/>
      <c r="U147" s="99"/>
      <c r="V147" s="99"/>
      <c r="W147" s="99"/>
      <c r="X147" s="99"/>
      <c r="Y147" s="95" t="str">
        <f ca="1">IFERROR(__xludf.DUMMYFUNCTION("IFERROR(JOIN("","", UNIQUE(filter({U147; W147}, {U147; W147}&lt;&gt;""""))), """")"),"")</f>
        <v/>
      </c>
    </row>
    <row r="148" spans="2:25" ht="13" x14ac:dyDescent="0.15">
      <c r="B148" s="10"/>
      <c r="C148" s="10"/>
      <c r="D148" s="10"/>
      <c r="E148" s="10"/>
      <c r="F148" s="10"/>
      <c r="G148" s="95" t="str">
        <f ca="1">IFERROR(__xludf.DUMMYFUNCTION("IFERROR(JOIN("","", UNIQUE(filter({C148; E148}, {C148; E148}&lt;&gt;""""))), """")"),"")</f>
        <v/>
      </c>
      <c r="H148" s="96"/>
      <c r="I148" s="96"/>
      <c r="J148" s="96"/>
      <c r="K148" s="96"/>
      <c r="L148" s="96"/>
      <c r="M148" s="95" t="str">
        <f ca="1">IFERROR(__xludf.DUMMYFUNCTION("IFERROR(JOIN("","", UNIQUE(filter({I148; K148}, {I148; K148}&lt;&gt;""""))), """")"),"")</f>
        <v/>
      </c>
      <c r="N148" s="98"/>
      <c r="O148" s="98"/>
      <c r="P148" s="98"/>
      <c r="Q148" s="98"/>
      <c r="R148" s="98"/>
      <c r="S148" s="95" t="str">
        <f ca="1">IFERROR(__xludf.DUMMYFUNCTION("IFERROR(JOIN("","", UNIQUE(filter({O148; Q148}, {O148; Q148}&lt;&gt;""""))), """")"),"")</f>
        <v/>
      </c>
      <c r="T148" s="99"/>
      <c r="U148" s="99"/>
      <c r="V148" s="99"/>
      <c r="W148" s="99"/>
      <c r="X148" s="99"/>
      <c r="Y148" s="95" t="str">
        <f ca="1">IFERROR(__xludf.DUMMYFUNCTION("IFERROR(JOIN("","", UNIQUE(filter({U148; W148}, {U148; W148}&lt;&gt;""""))), """")"),"")</f>
        <v/>
      </c>
    </row>
    <row r="149" spans="2:25" ht="13" x14ac:dyDescent="0.15">
      <c r="B149" s="10"/>
      <c r="C149" s="10"/>
      <c r="D149" s="10"/>
      <c r="E149" s="10"/>
      <c r="F149" s="10"/>
      <c r="G149" s="95" t="str">
        <f ca="1">IFERROR(__xludf.DUMMYFUNCTION("IFERROR(JOIN("","", UNIQUE(filter({C149; E149}, {C149; E149}&lt;&gt;""""))), """")"),"")</f>
        <v/>
      </c>
      <c r="H149" s="96"/>
      <c r="I149" s="96"/>
      <c r="J149" s="96"/>
      <c r="K149" s="96"/>
      <c r="L149" s="96"/>
      <c r="M149" s="95" t="str">
        <f ca="1">IFERROR(__xludf.DUMMYFUNCTION("IFERROR(JOIN("","", UNIQUE(filter({I149; K149}, {I149; K149}&lt;&gt;""""))), """")"),"")</f>
        <v/>
      </c>
      <c r="N149" s="98"/>
      <c r="O149" s="98"/>
      <c r="P149" s="98"/>
      <c r="Q149" s="98"/>
      <c r="R149" s="98"/>
      <c r="S149" s="95" t="str">
        <f ca="1">IFERROR(__xludf.DUMMYFUNCTION("IFERROR(JOIN("","", UNIQUE(filter({O149; Q149}, {O149; Q149}&lt;&gt;""""))), """")"),"")</f>
        <v/>
      </c>
      <c r="T149" s="99"/>
      <c r="U149" s="99"/>
      <c r="V149" s="99"/>
      <c r="W149" s="99"/>
      <c r="X149" s="99"/>
      <c r="Y149" s="95" t="str">
        <f ca="1">IFERROR(__xludf.DUMMYFUNCTION("IFERROR(JOIN("","", UNIQUE(filter({U149; W149}, {U149; W149}&lt;&gt;""""))), """")"),"")</f>
        <v/>
      </c>
    </row>
    <row r="150" spans="2:25" ht="13" x14ac:dyDescent="0.15">
      <c r="B150" s="10"/>
      <c r="C150" s="10"/>
      <c r="D150" s="10"/>
      <c r="E150" s="10"/>
      <c r="F150" s="10"/>
      <c r="G150" s="95" t="str">
        <f ca="1">IFERROR(__xludf.DUMMYFUNCTION("IFERROR(JOIN("","", UNIQUE(filter({C150; E150}, {C150; E150}&lt;&gt;""""))), """")"),"")</f>
        <v/>
      </c>
      <c r="H150" s="96"/>
      <c r="I150" s="96"/>
      <c r="J150" s="96"/>
      <c r="K150" s="96"/>
      <c r="L150" s="96"/>
      <c r="M150" s="95" t="str">
        <f ca="1">IFERROR(__xludf.DUMMYFUNCTION("IFERROR(JOIN("","", UNIQUE(filter({I150; K150}, {I150; K150}&lt;&gt;""""))), """")"),"")</f>
        <v/>
      </c>
      <c r="N150" s="98"/>
      <c r="O150" s="98"/>
      <c r="P150" s="98"/>
      <c r="Q150" s="98"/>
      <c r="R150" s="98"/>
      <c r="S150" s="95" t="str">
        <f ca="1">IFERROR(__xludf.DUMMYFUNCTION("IFERROR(JOIN("","", UNIQUE(filter({O150; Q150}, {O150; Q150}&lt;&gt;""""))), """")"),"")</f>
        <v/>
      </c>
      <c r="T150" s="99"/>
      <c r="U150" s="99"/>
      <c r="V150" s="99"/>
      <c r="W150" s="99"/>
      <c r="X150" s="99"/>
      <c r="Y150" s="95" t="str">
        <f ca="1">IFERROR(__xludf.DUMMYFUNCTION("IFERROR(JOIN("","", UNIQUE(filter({U150; W150}, {U150; W150}&lt;&gt;""""))), """")"),"")</f>
        <v/>
      </c>
    </row>
    <row r="151" spans="2:25" ht="13" x14ac:dyDescent="0.15">
      <c r="B151" s="10"/>
      <c r="C151" s="10"/>
      <c r="D151" s="10"/>
      <c r="E151" s="10"/>
      <c r="F151" s="10"/>
      <c r="G151" s="95" t="str">
        <f ca="1">IFERROR(__xludf.DUMMYFUNCTION("IFERROR(JOIN("","", UNIQUE(filter({C151; E151}, {C151; E151}&lt;&gt;""""))), """")"),"")</f>
        <v/>
      </c>
      <c r="H151" s="96"/>
      <c r="I151" s="96"/>
      <c r="J151" s="96"/>
      <c r="K151" s="96"/>
      <c r="L151" s="96"/>
      <c r="M151" s="95" t="str">
        <f ca="1">IFERROR(__xludf.DUMMYFUNCTION("IFERROR(JOIN("","", UNIQUE(filter({I151; K151}, {I151; K151}&lt;&gt;""""))), """")"),"")</f>
        <v/>
      </c>
      <c r="N151" s="98"/>
      <c r="O151" s="98"/>
      <c r="P151" s="98"/>
      <c r="Q151" s="98"/>
      <c r="R151" s="98"/>
      <c r="S151" s="95" t="str">
        <f ca="1">IFERROR(__xludf.DUMMYFUNCTION("IFERROR(JOIN("","", UNIQUE(filter({O151; Q151}, {O151; Q151}&lt;&gt;""""))), """")"),"")</f>
        <v/>
      </c>
      <c r="T151" s="99"/>
      <c r="U151" s="99"/>
      <c r="V151" s="99"/>
      <c r="W151" s="99"/>
      <c r="X151" s="99"/>
      <c r="Y151" s="95" t="str">
        <f ca="1">IFERROR(__xludf.DUMMYFUNCTION("IFERROR(JOIN("","", UNIQUE(filter({U151; W151}, {U151; W151}&lt;&gt;""""))), """")"),"")</f>
        <v/>
      </c>
    </row>
    <row r="152" spans="2:25" ht="13" x14ac:dyDescent="0.15">
      <c r="B152" s="10"/>
      <c r="C152" s="10"/>
      <c r="D152" s="10"/>
      <c r="E152" s="10"/>
      <c r="F152" s="10"/>
      <c r="G152" s="95" t="str">
        <f ca="1">IFERROR(__xludf.DUMMYFUNCTION("IFERROR(JOIN("","", UNIQUE(filter({C152; E152}, {C152; E152}&lt;&gt;""""))), """")"),"")</f>
        <v/>
      </c>
      <c r="H152" s="96"/>
      <c r="I152" s="96"/>
      <c r="J152" s="96"/>
      <c r="K152" s="96"/>
      <c r="L152" s="96"/>
      <c r="M152" s="95" t="str">
        <f ca="1">IFERROR(__xludf.DUMMYFUNCTION("IFERROR(JOIN("","", UNIQUE(filter({I152; K152}, {I152; K152}&lt;&gt;""""))), """")"),"")</f>
        <v/>
      </c>
      <c r="N152" s="98"/>
      <c r="O152" s="98"/>
      <c r="P152" s="98"/>
      <c r="Q152" s="98"/>
      <c r="R152" s="98"/>
      <c r="S152" s="95" t="str">
        <f ca="1">IFERROR(__xludf.DUMMYFUNCTION("IFERROR(JOIN("","", UNIQUE(filter({O152; Q152}, {O152; Q152}&lt;&gt;""""))), """")"),"")</f>
        <v/>
      </c>
      <c r="T152" s="99"/>
      <c r="U152" s="99"/>
      <c r="V152" s="99"/>
      <c r="W152" s="99"/>
      <c r="X152" s="99"/>
      <c r="Y152" s="95" t="str">
        <f ca="1">IFERROR(__xludf.DUMMYFUNCTION("IFERROR(JOIN("","", UNIQUE(filter({U152; W152}, {U152; W152}&lt;&gt;""""))), """")"),"")</f>
        <v/>
      </c>
    </row>
    <row r="153" spans="2:25" ht="13" x14ac:dyDescent="0.15">
      <c r="B153" s="10"/>
      <c r="C153" s="10"/>
      <c r="D153" s="10"/>
      <c r="E153" s="10"/>
      <c r="F153" s="10"/>
      <c r="G153" s="95" t="str">
        <f ca="1">IFERROR(__xludf.DUMMYFUNCTION("IFERROR(JOIN("","", UNIQUE(filter({C153; E153}, {C153; E153}&lt;&gt;""""))), """")"),"")</f>
        <v/>
      </c>
      <c r="H153" s="96"/>
      <c r="I153" s="96"/>
      <c r="J153" s="96"/>
      <c r="K153" s="96"/>
      <c r="L153" s="96"/>
      <c r="M153" s="95" t="str">
        <f ca="1">IFERROR(__xludf.DUMMYFUNCTION("IFERROR(JOIN("","", UNIQUE(filter({I153; K153}, {I153; K153}&lt;&gt;""""))), """")"),"")</f>
        <v/>
      </c>
      <c r="N153" s="98"/>
      <c r="O153" s="98"/>
      <c r="P153" s="98"/>
      <c r="Q153" s="98"/>
      <c r="R153" s="98"/>
      <c r="S153" s="95" t="str">
        <f ca="1">IFERROR(__xludf.DUMMYFUNCTION("IFERROR(JOIN("","", UNIQUE(filter({O153; Q153}, {O153; Q153}&lt;&gt;""""))), """")"),"")</f>
        <v/>
      </c>
      <c r="T153" s="99"/>
      <c r="U153" s="99"/>
      <c r="V153" s="99"/>
      <c r="W153" s="99"/>
      <c r="X153" s="99"/>
      <c r="Y153" s="95" t="str">
        <f ca="1">IFERROR(__xludf.DUMMYFUNCTION("IFERROR(JOIN("","", UNIQUE(filter({U153; W153}, {U153; W153}&lt;&gt;""""))), """")"),"")</f>
        <v/>
      </c>
    </row>
    <row r="154" spans="2:25" ht="13" x14ac:dyDescent="0.15">
      <c r="B154" s="10"/>
      <c r="C154" s="10"/>
      <c r="D154" s="10"/>
      <c r="E154" s="10"/>
      <c r="F154" s="10"/>
      <c r="G154" s="95" t="str">
        <f ca="1">IFERROR(__xludf.DUMMYFUNCTION("IFERROR(JOIN("","", UNIQUE(filter({C154; E154}, {C154; E154}&lt;&gt;""""))), """")"),"")</f>
        <v/>
      </c>
      <c r="H154" s="96"/>
      <c r="I154" s="96"/>
      <c r="J154" s="96"/>
      <c r="K154" s="96"/>
      <c r="L154" s="96"/>
      <c r="M154" s="95" t="str">
        <f ca="1">IFERROR(__xludf.DUMMYFUNCTION("IFERROR(JOIN("","", UNIQUE(filter({I154; K154}, {I154; K154}&lt;&gt;""""))), """")"),"")</f>
        <v/>
      </c>
      <c r="N154" s="98"/>
      <c r="O154" s="98"/>
      <c r="P154" s="98"/>
      <c r="Q154" s="98"/>
      <c r="R154" s="98"/>
      <c r="S154" s="95" t="str">
        <f ca="1">IFERROR(__xludf.DUMMYFUNCTION("IFERROR(JOIN("","", UNIQUE(filter({O154; Q154}, {O154; Q154}&lt;&gt;""""))), """")"),"")</f>
        <v/>
      </c>
      <c r="T154" s="99"/>
      <c r="U154" s="99"/>
      <c r="V154" s="99"/>
      <c r="W154" s="99"/>
      <c r="X154" s="99"/>
      <c r="Y154" s="95" t="str">
        <f ca="1">IFERROR(__xludf.DUMMYFUNCTION("IFERROR(JOIN("","", UNIQUE(filter({U154; W154}, {U154; W154}&lt;&gt;""""))), """")"),"")</f>
        <v/>
      </c>
    </row>
    <row r="155" spans="2:25" ht="13" x14ac:dyDescent="0.15">
      <c r="B155" s="10"/>
      <c r="C155" s="10"/>
      <c r="D155" s="10"/>
      <c r="E155" s="10"/>
      <c r="F155" s="10"/>
      <c r="G155" s="95" t="str">
        <f ca="1">IFERROR(__xludf.DUMMYFUNCTION("IFERROR(JOIN("","", UNIQUE(filter({C155; E155}, {C155; E155}&lt;&gt;""""))), """")"),"")</f>
        <v/>
      </c>
      <c r="H155" s="96"/>
      <c r="I155" s="96"/>
      <c r="J155" s="96"/>
      <c r="K155" s="96"/>
      <c r="L155" s="96"/>
      <c r="M155" s="95" t="str">
        <f ca="1">IFERROR(__xludf.DUMMYFUNCTION("IFERROR(JOIN("","", UNIQUE(filter({I155; K155}, {I155; K155}&lt;&gt;""""))), """")"),"")</f>
        <v/>
      </c>
      <c r="N155" s="98"/>
      <c r="O155" s="98"/>
      <c r="P155" s="98"/>
      <c r="Q155" s="98"/>
      <c r="R155" s="98"/>
      <c r="S155" s="95" t="str">
        <f ca="1">IFERROR(__xludf.DUMMYFUNCTION("IFERROR(JOIN("","", UNIQUE(filter({O155; Q155}, {O155; Q155}&lt;&gt;""""))), """")"),"")</f>
        <v/>
      </c>
      <c r="T155" s="99"/>
      <c r="U155" s="99"/>
      <c r="V155" s="99"/>
      <c r="W155" s="99"/>
      <c r="X155" s="99"/>
      <c r="Y155" s="95" t="str">
        <f ca="1">IFERROR(__xludf.DUMMYFUNCTION("IFERROR(JOIN("","", UNIQUE(filter({U155; W155}, {U155; W155}&lt;&gt;""""))), """")"),"")</f>
        <v/>
      </c>
    </row>
    <row r="156" spans="2:25" ht="13" x14ac:dyDescent="0.15">
      <c r="B156" s="10"/>
      <c r="C156" s="10"/>
      <c r="D156" s="10"/>
      <c r="E156" s="10"/>
      <c r="F156" s="10"/>
      <c r="G156" s="95" t="str">
        <f ca="1">IFERROR(__xludf.DUMMYFUNCTION("IFERROR(JOIN("","", UNIQUE(filter({C156; E156}, {C156; E156}&lt;&gt;""""))), """")"),"")</f>
        <v/>
      </c>
      <c r="H156" s="96"/>
      <c r="I156" s="96"/>
      <c r="J156" s="96"/>
      <c r="K156" s="96"/>
      <c r="L156" s="96"/>
      <c r="M156" s="95" t="str">
        <f ca="1">IFERROR(__xludf.DUMMYFUNCTION("IFERROR(JOIN("","", UNIQUE(filter({I156; K156}, {I156; K156}&lt;&gt;""""))), """")"),"")</f>
        <v/>
      </c>
      <c r="N156" s="98"/>
      <c r="O156" s="98"/>
      <c r="P156" s="98"/>
      <c r="Q156" s="98"/>
      <c r="R156" s="98"/>
      <c r="S156" s="95" t="str">
        <f ca="1">IFERROR(__xludf.DUMMYFUNCTION("IFERROR(JOIN("","", UNIQUE(filter({O156; Q156}, {O156; Q156}&lt;&gt;""""))), """")"),"")</f>
        <v/>
      </c>
      <c r="T156" s="99"/>
      <c r="U156" s="99"/>
      <c r="V156" s="99"/>
      <c r="W156" s="99"/>
      <c r="X156" s="99"/>
      <c r="Y156" s="95" t="str">
        <f ca="1">IFERROR(__xludf.DUMMYFUNCTION("IFERROR(JOIN("","", UNIQUE(filter({U156; W156}, {U156; W156}&lt;&gt;""""))), """")"),"")</f>
        <v/>
      </c>
    </row>
    <row r="157" spans="2:25" ht="13" x14ac:dyDescent="0.15">
      <c r="B157" s="10"/>
      <c r="C157" s="10"/>
      <c r="D157" s="10"/>
      <c r="E157" s="10"/>
      <c r="F157" s="10"/>
      <c r="G157" s="95" t="str">
        <f ca="1">IFERROR(__xludf.DUMMYFUNCTION("IFERROR(JOIN("","", UNIQUE(filter({C157; E157}, {C157; E157}&lt;&gt;""""))), """")"),"")</f>
        <v/>
      </c>
      <c r="H157" s="96"/>
      <c r="I157" s="96"/>
      <c r="J157" s="96"/>
      <c r="K157" s="96"/>
      <c r="L157" s="96"/>
      <c r="M157" s="95" t="str">
        <f ca="1">IFERROR(__xludf.DUMMYFUNCTION("IFERROR(JOIN("","", UNIQUE(filter({I157; K157}, {I157; K157}&lt;&gt;""""))), """")"),"")</f>
        <v/>
      </c>
      <c r="N157" s="98"/>
      <c r="O157" s="98"/>
      <c r="P157" s="98"/>
      <c r="Q157" s="98"/>
      <c r="R157" s="98"/>
      <c r="S157" s="95" t="str">
        <f ca="1">IFERROR(__xludf.DUMMYFUNCTION("IFERROR(JOIN("","", UNIQUE(filter({O157; Q157}, {O157; Q157}&lt;&gt;""""))), """")"),"")</f>
        <v/>
      </c>
      <c r="T157" s="99"/>
      <c r="U157" s="99"/>
      <c r="V157" s="99"/>
      <c r="W157" s="99"/>
      <c r="X157" s="99"/>
      <c r="Y157" s="95" t="str">
        <f ca="1">IFERROR(__xludf.DUMMYFUNCTION("IFERROR(JOIN("","", UNIQUE(filter({U157; W157}, {U157; W157}&lt;&gt;""""))), """")"),"")</f>
        <v/>
      </c>
    </row>
    <row r="158" spans="2:25" ht="13" x14ac:dyDescent="0.15">
      <c r="B158" s="10"/>
      <c r="C158" s="10"/>
      <c r="D158" s="10"/>
      <c r="E158" s="10"/>
      <c r="F158" s="10"/>
      <c r="G158" s="95" t="str">
        <f ca="1">IFERROR(__xludf.DUMMYFUNCTION("IFERROR(JOIN("","", UNIQUE(filter({C158; E158}, {C158; E158}&lt;&gt;""""))), """")"),"")</f>
        <v/>
      </c>
      <c r="H158" s="96"/>
      <c r="I158" s="96"/>
      <c r="J158" s="96"/>
      <c r="K158" s="96"/>
      <c r="L158" s="96"/>
      <c r="M158" s="95" t="str">
        <f ca="1">IFERROR(__xludf.DUMMYFUNCTION("IFERROR(JOIN("","", UNIQUE(filter({I158; K158}, {I158; K158}&lt;&gt;""""))), """")"),"")</f>
        <v/>
      </c>
      <c r="N158" s="98"/>
      <c r="O158" s="98"/>
      <c r="P158" s="98"/>
      <c r="Q158" s="98"/>
      <c r="R158" s="98"/>
      <c r="S158" s="95" t="str">
        <f ca="1">IFERROR(__xludf.DUMMYFUNCTION("IFERROR(JOIN("","", UNIQUE(filter({O158; Q158}, {O158; Q158}&lt;&gt;""""))), """")"),"")</f>
        <v/>
      </c>
      <c r="T158" s="99"/>
      <c r="U158" s="99"/>
      <c r="V158" s="99"/>
      <c r="W158" s="99"/>
      <c r="X158" s="99"/>
      <c r="Y158" s="95" t="str">
        <f ca="1">IFERROR(__xludf.DUMMYFUNCTION("IFERROR(JOIN("","", UNIQUE(filter({U158; W158}, {U158; W158}&lt;&gt;""""))), """")"),"")</f>
        <v/>
      </c>
    </row>
    <row r="159" spans="2:25" ht="13" x14ac:dyDescent="0.15">
      <c r="B159" s="10"/>
      <c r="C159" s="10"/>
      <c r="D159" s="10"/>
      <c r="E159" s="10"/>
      <c r="F159" s="10"/>
      <c r="G159" s="95" t="str">
        <f ca="1">IFERROR(__xludf.DUMMYFUNCTION("IFERROR(JOIN("","", UNIQUE(filter({C159; E159}, {C159; E159}&lt;&gt;""""))), """")"),"")</f>
        <v/>
      </c>
      <c r="H159" s="96"/>
      <c r="I159" s="96"/>
      <c r="J159" s="96"/>
      <c r="K159" s="96"/>
      <c r="L159" s="96"/>
      <c r="M159" s="95" t="str">
        <f ca="1">IFERROR(__xludf.DUMMYFUNCTION("IFERROR(JOIN("","", UNIQUE(filter({I159; K159}, {I159; K159}&lt;&gt;""""))), """")"),"")</f>
        <v/>
      </c>
      <c r="N159" s="98"/>
      <c r="O159" s="98"/>
      <c r="P159" s="98"/>
      <c r="Q159" s="98"/>
      <c r="R159" s="98"/>
      <c r="S159" s="95" t="str">
        <f ca="1">IFERROR(__xludf.DUMMYFUNCTION("IFERROR(JOIN("","", UNIQUE(filter({O159; Q159}, {O159; Q159}&lt;&gt;""""))), """")"),"")</f>
        <v/>
      </c>
      <c r="T159" s="99"/>
      <c r="U159" s="99"/>
      <c r="V159" s="99"/>
      <c r="W159" s="99"/>
      <c r="X159" s="99"/>
      <c r="Y159" s="95" t="str">
        <f ca="1">IFERROR(__xludf.DUMMYFUNCTION("IFERROR(JOIN("","", UNIQUE(filter({U159; W159}, {U159; W159}&lt;&gt;""""))), """")"),"")</f>
        <v/>
      </c>
    </row>
    <row r="160" spans="2:25" ht="13" x14ac:dyDescent="0.15">
      <c r="B160" s="10"/>
      <c r="C160" s="10"/>
      <c r="D160" s="10"/>
      <c r="E160" s="10"/>
      <c r="F160" s="10"/>
      <c r="G160" s="95" t="str">
        <f ca="1">IFERROR(__xludf.DUMMYFUNCTION("IFERROR(JOIN("","", UNIQUE(filter({C160; E160}, {C160; E160}&lt;&gt;""""))), """")"),"")</f>
        <v/>
      </c>
      <c r="H160" s="96"/>
      <c r="I160" s="96"/>
      <c r="J160" s="96"/>
      <c r="K160" s="96"/>
      <c r="L160" s="96"/>
      <c r="M160" s="95" t="str">
        <f ca="1">IFERROR(__xludf.DUMMYFUNCTION("IFERROR(JOIN("","", UNIQUE(filter({I160; K160}, {I160; K160}&lt;&gt;""""))), """")"),"")</f>
        <v/>
      </c>
      <c r="N160" s="98"/>
      <c r="O160" s="98"/>
      <c r="P160" s="98"/>
      <c r="Q160" s="98"/>
      <c r="R160" s="98"/>
      <c r="S160" s="95" t="str">
        <f ca="1">IFERROR(__xludf.DUMMYFUNCTION("IFERROR(JOIN("","", UNIQUE(filter({O160; Q160}, {O160; Q160}&lt;&gt;""""))), """")"),"")</f>
        <v/>
      </c>
      <c r="T160" s="99"/>
      <c r="U160" s="99"/>
      <c r="V160" s="99"/>
      <c r="W160" s="99"/>
      <c r="X160" s="99"/>
      <c r="Y160" s="95" t="str">
        <f ca="1">IFERROR(__xludf.DUMMYFUNCTION("IFERROR(JOIN("","", UNIQUE(filter({U160; W160}, {U160; W160}&lt;&gt;""""))), """")"),"")</f>
        <v/>
      </c>
    </row>
    <row r="161" spans="2:25" ht="13" x14ac:dyDescent="0.15">
      <c r="B161" s="10"/>
      <c r="C161" s="10"/>
      <c r="D161" s="10"/>
      <c r="E161" s="10"/>
      <c r="F161" s="10"/>
      <c r="G161" s="95" t="str">
        <f ca="1">IFERROR(__xludf.DUMMYFUNCTION("IFERROR(JOIN("","", UNIQUE(filter({C161; E161}, {C161; E161}&lt;&gt;""""))), """")"),"")</f>
        <v/>
      </c>
      <c r="H161" s="96"/>
      <c r="I161" s="96"/>
      <c r="J161" s="96"/>
      <c r="K161" s="96"/>
      <c r="L161" s="96"/>
      <c r="M161" s="95" t="str">
        <f ca="1">IFERROR(__xludf.DUMMYFUNCTION("IFERROR(JOIN("","", UNIQUE(filter({I161; K161}, {I161; K161}&lt;&gt;""""))), """")"),"")</f>
        <v/>
      </c>
      <c r="N161" s="98"/>
      <c r="O161" s="98"/>
      <c r="P161" s="98"/>
      <c r="Q161" s="98"/>
      <c r="R161" s="98"/>
      <c r="S161" s="95" t="str">
        <f ca="1">IFERROR(__xludf.DUMMYFUNCTION("IFERROR(JOIN("","", UNIQUE(filter({O161; Q161}, {O161; Q161}&lt;&gt;""""))), """")"),"")</f>
        <v/>
      </c>
      <c r="T161" s="99"/>
      <c r="U161" s="99"/>
      <c r="V161" s="99"/>
      <c r="W161" s="99"/>
      <c r="X161" s="99"/>
      <c r="Y161" s="95" t="str">
        <f ca="1">IFERROR(__xludf.DUMMYFUNCTION("IFERROR(JOIN("","", UNIQUE(filter({U161; W161}, {U161; W161}&lt;&gt;""""))), """")"),"")</f>
        <v/>
      </c>
    </row>
    <row r="162" spans="2:25" ht="13" x14ac:dyDescent="0.15">
      <c r="B162" s="10"/>
      <c r="C162" s="10"/>
      <c r="D162" s="10"/>
      <c r="E162" s="10"/>
      <c r="F162" s="10"/>
      <c r="G162" s="95" t="str">
        <f ca="1">IFERROR(__xludf.DUMMYFUNCTION("IFERROR(JOIN("","", UNIQUE(filter({C162; E162}, {C162; E162}&lt;&gt;""""))), """")"),"")</f>
        <v/>
      </c>
      <c r="H162" s="96"/>
      <c r="I162" s="96"/>
      <c r="J162" s="96"/>
      <c r="K162" s="96"/>
      <c r="L162" s="96"/>
      <c r="M162" s="95" t="str">
        <f ca="1">IFERROR(__xludf.DUMMYFUNCTION("IFERROR(JOIN("","", UNIQUE(filter({I162; K162}, {I162; K162}&lt;&gt;""""))), """")"),"")</f>
        <v/>
      </c>
      <c r="N162" s="98"/>
      <c r="O162" s="98"/>
      <c r="P162" s="98"/>
      <c r="Q162" s="98"/>
      <c r="R162" s="98"/>
      <c r="S162" s="95" t="str">
        <f ca="1">IFERROR(__xludf.DUMMYFUNCTION("IFERROR(JOIN("","", UNIQUE(filter({O162; Q162}, {O162; Q162}&lt;&gt;""""))), """")"),"")</f>
        <v/>
      </c>
      <c r="T162" s="99"/>
      <c r="U162" s="99"/>
      <c r="V162" s="99"/>
      <c r="W162" s="99"/>
      <c r="X162" s="99"/>
      <c r="Y162" s="95" t="str">
        <f ca="1">IFERROR(__xludf.DUMMYFUNCTION("IFERROR(JOIN("","", UNIQUE(filter({U162; W162}, {U162; W162}&lt;&gt;""""))), """")"),"")</f>
        <v/>
      </c>
    </row>
    <row r="163" spans="2:25" ht="13" x14ac:dyDescent="0.15">
      <c r="B163" s="10"/>
      <c r="C163" s="10"/>
      <c r="D163" s="10"/>
      <c r="E163" s="10"/>
      <c r="F163" s="10"/>
      <c r="G163" s="95" t="str">
        <f ca="1">IFERROR(__xludf.DUMMYFUNCTION("IFERROR(JOIN("","", UNIQUE(filter({C163; E163}, {C163; E163}&lt;&gt;""""))), """")"),"")</f>
        <v/>
      </c>
      <c r="H163" s="96"/>
      <c r="I163" s="96"/>
      <c r="J163" s="96"/>
      <c r="K163" s="96"/>
      <c r="L163" s="96"/>
      <c r="M163" s="95" t="str">
        <f ca="1">IFERROR(__xludf.DUMMYFUNCTION("IFERROR(JOIN("","", UNIQUE(filter({I163; K163}, {I163; K163}&lt;&gt;""""))), """")"),"")</f>
        <v/>
      </c>
      <c r="N163" s="98"/>
      <c r="O163" s="98"/>
      <c r="P163" s="98"/>
      <c r="Q163" s="98"/>
      <c r="R163" s="98"/>
      <c r="S163" s="95" t="str">
        <f ca="1">IFERROR(__xludf.DUMMYFUNCTION("IFERROR(JOIN("","", UNIQUE(filter({O163; Q163}, {O163; Q163}&lt;&gt;""""))), """")"),"")</f>
        <v/>
      </c>
      <c r="T163" s="99"/>
      <c r="U163" s="99"/>
      <c r="V163" s="99"/>
      <c r="W163" s="99"/>
      <c r="X163" s="99"/>
      <c r="Y163" s="95" t="str">
        <f ca="1">IFERROR(__xludf.DUMMYFUNCTION("IFERROR(JOIN("","", UNIQUE(filter({U163; W163}, {U163; W163}&lt;&gt;""""))), """")"),"")</f>
        <v/>
      </c>
    </row>
    <row r="164" spans="2:25" ht="13" x14ac:dyDescent="0.15">
      <c r="B164" s="10"/>
      <c r="C164" s="10"/>
      <c r="D164" s="10"/>
      <c r="E164" s="10"/>
      <c r="F164" s="10"/>
      <c r="G164" s="95" t="str">
        <f ca="1">IFERROR(__xludf.DUMMYFUNCTION("IFERROR(JOIN("","", UNIQUE(filter({C164; E164}, {C164; E164}&lt;&gt;""""))), """")"),"")</f>
        <v/>
      </c>
      <c r="H164" s="96"/>
      <c r="I164" s="96"/>
      <c r="J164" s="96"/>
      <c r="K164" s="96"/>
      <c r="L164" s="96"/>
      <c r="M164" s="95" t="str">
        <f ca="1">IFERROR(__xludf.DUMMYFUNCTION("IFERROR(JOIN("","", UNIQUE(filter({I164; K164}, {I164; K164}&lt;&gt;""""))), """")"),"")</f>
        <v/>
      </c>
      <c r="N164" s="98"/>
      <c r="O164" s="98"/>
      <c r="P164" s="98"/>
      <c r="Q164" s="98"/>
      <c r="R164" s="98"/>
      <c r="S164" s="95" t="str">
        <f ca="1">IFERROR(__xludf.DUMMYFUNCTION("IFERROR(JOIN("","", UNIQUE(filter({O164; Q164}, {O164; Q164}&lt;&gt;""""))), """")"),"")</f>
        <v/>
      </c>
      <c r="T164" s="99"/>
      <c r="U164" s="99"/>
      <c r="V164" s="99"/>
      <c r="W164" s="99"/>
      <c r="X164" s="99"/>
      <c r="Y164" s="95" t="str">
        <f ca="1">IFERROR(__xludf.DUMMYFUNCTION("IFERROR(JOIN("","", UNIQUE(filter({U164; W164}, {U164; W164}&lt;&gt;""""))), """")"),"")</f>
        <v/>
      </c>
    </row>
    <row r="165" spans="2:25" ht="13" x14ac:dyDescent="0.15">
      <c r="B165" s="10"/>
      <c r="C165" s="10"/>
      <c r="D165" s="10"/>
      <c r="E165" s="10"/>
      <c r="F165" s="10"/>
      <c r="G165" s="95" t="str">
        <f ca="1">IFERROR(__xludf.DUMMYFUNCTION("IFERROR(JOIN("","", UNIQUE(filter({C165; E165}, {C165; E165}&lt;&gt;""""))), """")"),"")</f>
        <v/>
      </c>
      <c r="H165" s="96"/>
      <c r="I165" s="96"/>
      <c r="J165" s="96"/>
      <c r="K165" s="96"/>
      <c r="L165" s="96"/>
      <c r="M165" s="95" t="str">
        <f ca="1">IFERROR(__xludf.DUMMYFUNCTION("IFERROR(JOIN("","", UNIQUE(filter({I165; K165}, {I165; K165}&lt;&gt;""""))), """")"),"")</f>
        <v/>
      </c>
      <c r="N165" s="98"/>
      <c r="O165" s="98"/>
      <c r="P165" s="98"/>
      <c r="Q165" s="98"/>
      <c r="R165" s="98"/>
      <c r="S165" s="95" t="str">
        <f ca="1">IFERROR(__xludf.DUMMYFUNCTION("IFERROR(JOIN("","", UNIQUE(filter({O165; Q165}, {O165; Q165}&lt;&gt;""""))), """")"),"")</f>
        <v/>
      </c>
      <c r="T165" s="99"/>
      <c r="U165" s="99"/>
      <c r="V165" s="99"/>
      <c r="W165" s="99"/>
      <c r="X165" s="99"/>
      <c r="Y165" s="95" t="str">
        <f ca="1">IFERROR(__xludf.DUMMYFUNCTION("IFERROR(JOIN("","", UNIQUE(filter({U165; W165}, {U165; W165}&lt;&gt;""""))), """")"),"")</f>
        <v/>
      </c>
    </row>
    <row r="166" spans="2:25" ht="13" x14ac:dyDescent="0.15">
      <c r="B166" s="10"/>
      <c r="C166" s="10"/>
      <c r="D166" s="10"/>
      <c r="E166" s="10"/>
      <c r="F166" s="10"/>
      <c r="G166" s="95" t="str">
        <f ca="1">IFERROR(__xludf.DUMMYFUNCTION("IFERROR(JOIN("","", UNIQUE(filter({C166; E166}, {C166; E166}&lt;&gt;""""))), """")"),"")</f>
        <v/>
      </c>
      <c r="H166" s="96"/>
      <c r="I166" s="96"/>
      <c r="J166" s="96"/>
      <c r="K166" s="96"/>
      <c r="L166" s="96"/>
      <c r="M166" s="95" t="str">
        <f ca="1">IFERROR(__xludf.DUMMYFUNCTION("IFERROR(JOIN("","", UNIQUE(filter({I166; K166}, {I166; K166}&lt;&gt;""""))), """")"),"")</f>
        <v/>
      </c>
      <c r="N166" s="98"/>
      <c r="O166" s="98"/>
      <c r="P166" s="98"/>
      <c r="Q166" s="98"/>
      <c r="R166" s="98"/>
      <c r="S166" s="95" t="str">
        <f ca="1">IFERROR(__xludf.DUMMYFUNCTION("IFERROR(JOIN("","", UNIQUE(filter({O166; Q166}, {O166; Q166}&lt;&gt;""""))), """")"),"")</f>
        <v/>
      </c>
      <c r="T166" s="99"/>
      <c r="U166" s="99"/>
      <c r="V166" s="99"/>
      <c r="W166" s="99"/>
      <c r="X166" s="99"/>
      <c r="Y166" s="95" t="str">
        <f ca="1">IFERROR(__xludf.DUMMYFUNCTION("IFERROR(JOIN("","", UNIQUE(filter({U166; W166}, {U166; W166}&lt;&gt;""""))), """")"),"")</f>
        <v/>
      </c>
    </row>
    <row r="167" spans="2:25" ht="13" x14ac:dyDescent="0.15">
      <c r="B167" s="10"/>
      <c r="C167" s="10"/>
      <c r="D167" s="10"/>
      <c r="E167" s="10"/>
      <c r="F167" s="10"/>
      <c r="G167" s="95" t="str">
        <f ca="1">IFERROR(__xludf.DUMMYFUNCTION("IFERROR(JOIN("","", UNIQUE(filter({C167; E167}, {C167; E167}&lt;&gt;""""))), """")"),"")</f>
        <v/>
      </c>
      <c r="H167" s="96"/>
      <c r="I167" s="96"/>
      <c r="J167" s="96"/>
      <c r="K167" s="96"/>
      <c r="L167" s="96"/>
      <c r="M167" s="95" t="str">
        <f ca="1">IFERROR(__xludf.DUMMYFUNCTION("IFERROR(JOIN("","", UNIQUE(filter({I167; K167}, {I167; K167}&lt;&gt;""""))), """")"),"")</f>
        <v/>
      </c>
      <c r="N167" s="98"/>
      <c r="O167" s="98"/>
      <c r="P167" s="98"/>
      <c r="Q167" s="98"/>
      <c r="R167" s="98"/>
      <c r="S167" s="95" t="str">
        <f ca="1">IFERROR(__xludf.DUMMYFUNCTION("IFERROR(JOIN("","", UNIQUE(filter({O167; Q167}, {O167; Q167}&lt;&gt;""""))), """")"),"")</f>
        <v/>
      </c>
      <c r="T167" s="99"/>
      <c r="U167" s="99"/>
      <c r="V167" s="99"/>
      <c r="W167" s="99"/>
      <c r="X167" s="99"/>
      <c r="Y167" s="95" t="str">
        <f ca="1">IFERROR(__xludf.DUMMYFUNCTION("IFERROR(JOIN("","", UNIQUE(filter({U167; W167}, {U167; W167}&lt;&gt;""""))), """")"),"")</f>
        <v/>
      </c>
    </row>
    <row r="168" spans="2:25" ht="13" x14ac:dyDescent="0.15">
      <c r="B168" s="10"/>
      <c r="C168" s="10"/>
      <c r="D168" s="10"/>
      <c r="E168" s="10"/>
      <c r="F168" s="10"/>
      <c r="G168" s="95" t="str">
        <f ca="1">IFERROR(__xludf.DUMMYFUNCTION("IFERROR(JOIN("","", UNIQUE(filter({C168; E168}, {C168; E168}&lt;&gt;""""))), """")"),"")</f>
        <v/>
      </c>
      <c r="H168" s="96"/>
      <c r="I168" s="96"/>
      <c r="J168" s="96"/>
      <c r="K168" s="96"/>
      <c r="L168" s="96"/>
      <c r="M168" s="95" t="str">
        <f ca="1">IFERROR(__xludf.DUMMYFUNCTION("IFERROR(JOIN("","", UNIQUE(filter({I168; K168}, {I168; K168}&lt;&gt;""""))), """")"),"")</f>
        <v/>
      </c>
      <c r="N168" s="98"/>
      <c r="O168" s="98"/>
      <c r="P168" s="98"/>
      <c r="Q168" s="98"/>
      <c r="R168" s="98"/>
      <c r="S168" s="95" t="str">
        <f ca="1">IFERROR(__xludf.DUMMYFUNCTION("IFERROR(JOIN("","", UNIQUE(filter({O168; Q168}, {O168; Q168}&lt;&gt;""""))), """")"),"")</f>
        <v/>
      </c>
      <c r="T168" s="99"/>
      <c r="U168" s="99"/>
      <c r="V168" s="99"/>
      <c r="W168" s="99"/>
      <c r="X168" s="99"/>
      <c r="Y168" s="95" t="str">
        <f ca="1">IFERROR(__xludf.DUMMYFUNCTION("IFERROR(JOIN("","", UNIQUE(filter({U168; W168}, {U168; W168}&lt;&gt;""""))), """")"),"")</f>
        <v/>
      </c>
    </row>
    <row r="169" spans="2:25" ht="13" x14ac:dyDescent="0.15">
      <c r="B169" s="10"/>
      <c r="C169" s="10"/>
      <c r="D169" s="10"/>
      <c r="E169" s="10"/>
      <c r="F169" s="10"/>
      <c r="G169" s="95" t="str">
        <f ca="1">IFERROR(__xludf.DUMMYFUNCTION("IFERROR(JOIN("","", UNIQUE(filter({C169; E169}, {C169; E169}&lt;&gt;""""))), """")"),"")</f>
        <v/>
      </c>
      <c r="H169" s="96"/>
      <c r="I169" s="96"/>
      <c r="J169" s="96"/>
      <c r="K169" s="96"/>
      <c r="L169" s="96"/>
      <c r="M169" s="95" t="str">
        <f ca="1">IFERROR(__xludf.DUMMYFUNCTION("IFERROR(JOIN("","", UNIQUE(filter({I169; K169}, {I169; K169}&lt;&gt;""""))), """")"),"")</f>
        <v/>
      </c>
      <c r="N169" s="98"/>
      <c r="O169" s="98"/>
      <c r="P169" s="98"/>
      <c r="Q169" s="98"/>
      <c r="R169" s="98"/>
      <c r="S169" s="95" t="str">
        <f ca="1">IFERROR(__xludf.DUMMYFUNCTION("IFERROR(JOIN("","", UNIQUE(filter({O169; Q169}, {O169; Q169}&lt;&gt;""""))), """")"),"")</f>
        <v/>
      </c>
      <c r="T169" s="99"/>
      <c r="U169" s="99"/>
      <c r="V169" s="99"/>
      <c r="W169" s="99"/>
      <c r="X169" s="99"/>
      <c r="Y169" s="95" t="str">
        <f ca="1">IFERROR(__xludf.DUMMYFUNCTION("IFERROR(JOIN("","", UNIQUE(filter({U169; W169}, {U169; W169}&lt;&gt;""""))), """")"),"")</f>
        <v/>
      </c>
    </row>
    <row r="170" spans="2:25" ht="13" x14ac:dyDescent="0.15">
      <c r="B170" s="10"/>
      <c r="C170" s="10"/>
      <c r="D170" s="10"/>
      <c r="E170" s="10"/>
      <c r="F170" s="10"/>
      <c r="G170" s="95" t="str">
        <f ca="1">IFERROR(__xludf.DUMMYFUNCTION("IFERROR(JOIN("","", UNIQUE(filter({C170; E170}, {C170; E170}&lt;&gt;""""))), """")"),"")</f>
        <v/>
      </c>
      <c r="H170" s="96"/>
      <c r="I170" s="96"/>
      <c r="J170" s="96"/>
      <c r="K170" s="96"/>
      <c r="L170" s="96"/>
      <c r="M170" s="95" t="str">
        <f ca="1">IFERROR(__xludf.DUMMYFUNCTION("IFERROR(JOIN("","", UNIQUE(filter({I170; K170}, {I170; K170}&lt;&gt;""""))), """")"),"")</f>
        <v/>
      </c>
      <c r="N170" s="98"/>
      <c r="O170" s="98"/>
      <c r="P170" s="98"/>
      <c r="Q170" s="98"/>
      <c r="R170" s="98"/>
      <c r="S170" s="95" t="str">
        <f ca="1">IFERROR(__xludf.DUMMYFUNCTION("IFERROR(JOIN("","", UNIQUE(filter({O170; Q170}, {O170; Q170}&lt;&gt;""""))), """")"),"")</f>
        <v/>
      </c>
      <c r="T170" s="99"/>
      <c r="U170" s="99"/>
      <c r="V170" s="99"/>
      <c r="W170" s="99"/>
      <c r="X170" s="99"/>
      <c r="Y170" s="95" t="str">
        <f ca="1">IFERROR(__xludf.DUMMYFUNCTION("IFERROR(JOIN("","", UNIQUE(filter({U170; W170}, {U170; W170}&lt;&gt;""""))), """")"),"")</f>
        <v/>
      </c>
    </row>
    <row r="171" spans="2:25" ht="13" x14ac:dyDescent="0.15">
      <c r="B171" s="10"/>
      <c r="C171" s="10"/>
      <c r="D171" s="10"/>
      <c r="E171" s="10"/>
      <c r="F171" s="10"/>
      <c r="G171" s="95" t="str">
        <f ca="1">IFERROR(__xludf.DUMMYFUNCTION("IFERROR(JOIN("","", UNIQUE(filter({C171; E171}, {C171; E171}&lt;&gt;""""))), """")"),"")</f>
        <v/>
      </c>
      <c r="H171" s="96"/>
      <c r="I171" s="96"/>
      <c r="J171" s="96"/>
      <c r="K171" s="96"/>
      <c r="L171" s="96"/>
      <c r="M171" s="95" t="str">
        <f ca="1">IFERROR(__xludf.DUMMYFUNCTION("IFERROR(JOIN("","", UNIQUE(filter({I171; K171}, {I171; K171}&lt;&gt;""""))), """")"),"")</f>
        <v/>
      </c>
      <c r="N171" s="98"/>
      <c r="O171" s="98"/>
      <c r="P171" s="98"/>
      <c r="Q171" s="98"/>
      <c r="R171" s="98"/>
      <c r="S171" s="95" t="str">
        <f ca="1">IFERROR(__xludf.DUMMYFUNCTION("IFERROR(JOIN("","", UNIQUE(filter({O171; Q171}, {O171; Q171}&lt;&gt;""""))), """")"),"")</f>
        <v/>
      </c>
      <c r="T171" s="99"/>
      <c r="U171" s="99"/>
      <c r="V171" s="99"/>
      <c r="W171" s="99"/>
      <c r="X171" s="99"/>
      <c r="Y171" s="95" t="str">
        <f ca="1">IFERROR(__xludf.DUMMYFUNCTION("IFERROR(JOIN("","", UNIQUE(filter({U171; W171}, {U171; W171}&lt;&gt;""""))), """")"),"")</f>
        <v/>
      </c>
    </row>
    <row r="172" spans="2:25" ht="13" x14ac:dyDescent="0.15">
      <c r="B172" s="10"/>
      <c r="C172" s="10"/>
      <c r="D172" s="10"/>
      <c r="E172" s="10"/>
      <c r="F172" s="10"/>
      <c r="G172" s="95" t="str">
        <f ca="1">IFERROR(__xludf.DUMMYFUNCTION("IFERROR(JOIN("","", UNIQUE(filter({C172; E172}, {C172; E172}&lt;&gt;""""))), """")"),"")</f>
        <v/>
      </c>
      <c r="H172" s="96"/>
      <c r="I172" s="96"/>
      <c r="J172" s="96"/>
      <c r="K172" s="96"/>
      <c r="L172" s="96"/>
      <c r="M172" s="95" t="str">
        <f ca="1">IFERROR(__xludf.DUMMYFUNCTION("IFERROR(JOIN("","", UNIQUE(filter({I172; K172}, {I172; K172}&lt;&gt;""""))), """")"),"")</f>
        <v/>
      </c>
      <c r="N172" s="98"/>
      <c r="O172" s="98"/>
      <c r="P172" s="98"/>
      <c r="Q172" s="98"/>
      <c r="R172" s="98"/>
      <c r="S172" s="95" t="str">
        <f ca="1">IFERROR(__xludf.DUMMYFUNCTION("IFERROR(JOIN("","", UNIQUE(filter({O172; Q172}, {O172; Q172}&lt;&gt;""""))), """")"),"")</f>
        <v/>
      </c>
      <c r="T172" s="99"/>
      <c r="U172" s="99"/>
      <c r="V172" s="99"/>
      <c r="W172" s="99"/>
      <c r="X172" s="99"/>
      <c r="Y172" s="95" t="str">
        <f ca="1">IFERROR(__xludf.DUMMYFUNCTION("IFERROR(JOIN("","", UNIQUE(filter({U172; W172}, {U172; W172}&lt;&gt;""""))), """")"),"")</f>
        <v/>
      </c>
    </row>
    <row r="173" spans="2:25" ht="13" x14ac:dyDescent="0.15">
      <c r="B173" s="10"/>
      <c r="C173" s="10"/>
      <c r="D173" s="10"/>
      <c r="E173" s="10"/>
      <c r="F173" s="10"/>
      <c r="G173" s="95" t="str">
        <f ca="1">IFERROR(__xludf.DUMMYFUNCTION("IFERROR(JOIN("","", UNIQUE(filter({C173; E173}, {C173; E173}&lt;&gt;""""))), """")"),"")</f>
        <v/>
      </c>
      <c r="H173" s="96"/>
      <c r="I173" s="96"/>
      <c r="J173" s="96"/>
      <c r="K173" s="96"/>
      <c r="L173" s="96"/>
      <c r="M173" s="95" t="str">
        <f ca="1">IFERROR(__xludf.DUMMYFUNCTION("IFERROR(JOIN("","", UNIQUE(filter({I173; K173}, {I173; K173}&lt;&gt;""""))), """")"),"")</f>
        <v/>
      </c>
      <c r="N173" s="98"/>
      <c r="O173" s="98"/>
      <c r="P173" s="98"/>
      <c r="Q173" s="98"/>
      <c r="R173" s="98"/>
      <c r="S173" s="95" t="str">
        <f ca="1">IFERROR(__xludf.DUMMYFUNCTION("IFERROR(JOIN("","", UNIQUE(filter({O173; Q173}, {O173; Q173}&lt;&gt;""""))), """")"),"")</f>
        <v/>
      </c>
      <c r="T173" s="99"/>
      <c r="U173" s="99"/>
      <c r="V173" s="99"/>
      <c r="W173" s="99"/>
      <c r="X173" s="99"/>
      <c r="Y173" s="95" t="str">
        <f ca="1">IFERROR(__xludf.DUMMYFUNCTION("IFERROR(JOIN("","", UNIQUE(filter({U173; W173}, {U173; W173}&lt;&gt;""""))), """")"),"")</f>
        <v/>
      </c>
    </row>
    <row r="174" spans="2:25" ht="13" x14ac:dyDescent="0.15">
      <c r="B174" s="10"/>
      <c r="C174" s="10"/>
      <c r="D174" s="10"/>
      <c r="E174" s="10"/>
      <c r="F174" s="10"/>
      <c r="G174" s="95" t="str">
        <f ca="1">IFERROR(__xludf.DUMMYFUNCTION("IFERROR(JOIN("","", UNIQUE(filter({C174; E174}, {C174; E174}&lt;&gt;""""))), """")"),"")</f>
        <v/>
      </c>
      <c r="H174" s="96"/>
      <c r="I174" s="96"/>
      <c r="J174" s="96"/>
      <c r="K174" s="96"/>
      <c r="L174" s="96"/>
      <c r="M174" s="95" t="str">
        <f ca="1">IFERROR(__xludf.DUMMYFUNCTION("IFERROR(JOIN("","", UNIQUE(filter({I174; K174}, {I174; K174}&lt;&gt;""""))), """")"),"")</f>
        <v/>
      </c>
      <c r="N174" s="98"/>
      <c r="O174" s="98"/>
      <c r="P174" s="98"/>
      <c r="Q174" s="98"/>
      <c r="R174" s="98"/>
      <c r="S174" s="95" t="str">
        <f ca="1">IFERROR(__xludf.DUMMYFUNCTION("IFERROR(JOIN("","", UNIQUE(filter({O174; Q174}, {O174; Q174}&lt;&gt;""""))), """")"),"")</f>
        <v/>
      </c>
      <c r="T174" s="99"/>
      <c r="U174" s="99"/>
      <c r="V174" s="99"/>
      <c r="W174" s="99"/>
      <c r="X174" s="99"/>
      <c r="Y174" s="95" t="str">
        <f ca="1">IFERROR(__xludf.DUMMYFUNCTION("IFERROR(JOIN("","", UNIQUE(filter({U174; W174}, {U174; W174}&lt;&gt;""""))), """")"),"")</f>
        <v/>
      </c>
    </row>
    <row r="175" spans="2:25" ht="13" x14ac:dyDescent="0.15">
      <c r="B175" s="10"/>
      <c r="C175" s="10"/>
      <c r="D175" s="10"/>
      <c r="E175" s="10"/>
      <c r="F175" s="10"/>
      <c r="G175" s="95" t="str">
        <f ca="1">IFERROR(__xludf.DUMMYFUNCTION("IFERROR(JOIN("","", UNIQUE(filter({C175; E175}, {C175; E175}&lt;&gt;""""))), """")"),"")</f>
        <v/>
      </c>
      <c r="H175" s="96"/>
      <c r="I175" s="96"/>
      <c r="J175" s="96"/>
      <c r="K175" s="96"/>
      <c r="L175" s="96"/>
      <c r="M175" s="95" t="str">
        <f ca="1">IFERROR(__xludf.DUMMYFUNCTION("IFERROR(JOIN("","", UNIQUE(filter({I175; K175}, {I175; K175}&lt;&gt;""""))), """")"),"")</f>
        <v/>
      </c>
      <c r="N175" s="98"/>
      <c r="O175" s="98"/>
      <c r="P175" s="98"/>
      <c r="Q175" s="98"/>
      <c r="R175" s="98"/>
      <c r="S175" s="95" t="str">
        <f ca="1">IFERROR(__xludf.DUMMYFUNCTION("IFERROR(JOIN("","", UNIQUE(filter({O175; Q175}, {O175; Q175}&lt;&gt;""""))), """")"),"")</f>
        <v/>
      </c>
      <c r="T175" s="99"/>
      <c r="U175" s="99"/>
      <c r="V175" s="99"/>
      <c r="W175" s="99"/>
      <c r="X175" s="99"/>
      <c r="Y175" s="95" t="str">
        <f ca="1">IFERROR(__xludf.DUMMYFUNCTION("IFERROR(JOIN("","", UNIQUE(filter({U175; W175}, {U175; W175}&lt;&gt;""""))), """")"),"")</f>
        <v/>
      </c>
    </row>
    <row r="176" spans="2:25" ht="13" x14ac:dyDescent="0.15">
      <c r="B176" s="10"/>
      <c r="C176" s="10"/>
      <c r="D176" s="10"/>
      <c r="E176" s="10"/>
      <c r="F176" s="10"/>
      <c r="G176" s="95" t="str">
        <f ca="1">IFERROR(__xludf.DUMMYFUNCTION("IFERROR(JOIN("","", UNIQUE(filter({C176; E176}, {C176; E176}&lt;&gt;""""))), """")"),"")</f>
        <v/>
      </c>
      <c r="H176" s="96"/>
      <c r="I176" s="96"/>
      <c r="J176" s="96"/>
      <c r="K176" s="96"/>
      <c r="L176" s="96"/>
      <c r="M176" s="95" t="str">
        <f ca="1">IFERROR(__xludf.DUMMYFUNCTION("IFERROR(JOIN("","", UNIQUE(filter({I176; K176}, {I176; K176}&lt;&gt;""""))), """")"),"")</f>
        <v/>
      </c>
      <c r="N176" s="98"/>
      <c r="O176" s="98"/>
      <c r="P176" s="98"/>
      <c r="Q176" s="98"/>
      <c r="R176" s="98"/>
      <c r="S176" s="95" t="str">
        <f ca="1">IFERROR(__xludf.DUMMYFUNCTION("IFERROR(JOIN("","", UNIQUE(filter({O176; Q176}, {O176; Q176}&lt;&gt;""""))), """")"),"")</f>
        <v/>
      </c>
      <c r="T176" s="99"/>
      <c r="U176" s="99"/>
      <c r="V176" s="99"/>
      <c r="W176" s="99"/>
      <c r="X176" s="99"/>
      <c r="Y176" s="95" t="str">
        <f ca="1">IFERROR(__xludf.DUMMYFUNCTION("IFERROR(JOIN("","", UNIQUE(filter({U176; W176}, {U176; W176}&lt;&gt;""""))), """")"),"")</f>
        <v/>
      </c>
    </row>
    <row r="177" spans="2:25" ht="13" x14ac:dyDescent="0.15">
      <c r="B177" s="10"/>
      <c r="C177" s="10"/>
      <c r="D177" s="10"/>
      <c r="E177" s="10"/>
      <c r="F177" s="10"/>
      <c r="G177" s="95" t="str">
        <f ca="1">IFERROR(__xludf.DUMMYFUNCTION("IFERROR(JOIN("","", UNIQUE(filter({C177; E177}, {C177; E177}&lt;&gt;""""))), """")"),"")</f>
        <v/>
      </c>
      <c r="H177" s="96"/>
      <c r="I177" s="96"/>
      <c r="J177" s="96"/>
      <c r="K177" s="96"/>
      <c r="L177" s="96"/>
      <c r="M177" s="95" t="str">
        <f ca="1">IFERROR(__xludf.DUMMYFUNCTION("IFERROR(JOIN("","", UNIQUE(filter({I177; K177}, {I177; K177}&lt;&gt;""""))), """")"),"")</f>
        <v/>
      </c>
      <c r="N177" s="98"/>
      <c r="O177" s="98"/>
      <c r="P177" s="98"/>
      <c r="Q177" s="98"/>
      <c r="R177" s="98"/>
      <c r="S177" s="95" t="str">
        <f ca="1">IFERROR(__xludf.DUMMYFUNCTION("IFERROR(JOIN("","", UNIQUE(filter({O177; Q177}, {O177; Q177}&lt;&gt;""""))), """")"),"")</f>
        <v/>
      </c>
      <c r="T177" s="99"/>
      <c r="U177" s="99"/>
      <c r="V177" s="99"/>
      <c r="W177" s="99"/>
      <c r="X177" s="99"/>
      <c r="Y177" s="95" t="str">
        <f ca="1">IFERROR(__xludf.DUMMYFUNCTION("IFERROR(JOIN("","", UNIQUE(filter({U177; W177}, {U177; W177}&lt;&gt;""""))), """")"),"")</f>
        <v/>
      </c>
    </row>
    <row r="178" spans="2:25" ht="13" x14ac:dyDescent="0.15">
      <c r="B178" s="10"/>
      <c r="C178" s="10"/>
      <c r="D178" s="10"/>
      <c r="E178" s="10"/>
      <c r="F178" s="10"/>
      <c r="G178" s="95" t="str">
        <f ca="1">IFERROR(__xludf.DUMMYFUNCTION("IFERROR(JOIN("","", UNIQUE(filter({C178; E178}, {C178; E178}&lt;&gt;""""))), """")"),"")</f>
        <v/>
      </c>
      <c r="H178" s="96"/>
      <c r="I178" s="96"/>
      <c r="J178" s="96"/>
      <c r="K178" s="96"/>
      <c r="L178" s="96"/>
      <c r="M178" s="95" t="str">
        <f ca="1">IFERROR(__xludf.DUMMYFUNCTION("IFERROR(JOIN("","", UNIQUE(filter({I178; K178}, {I178; K178}&lt;&gt;""""))), """")"),"")</f>
        <v/>
      </c>
      <c r="N178" s="98"/>
      <c r="O178" s="98"/>
      <c r="P178" s="98"/>
      <c r="Q178" s="98"/>
      <c r="R178" s="98"/>
      <c r="S178" s="95" t="str">
        <f ca="1">IFERROR(__xludf.DUMMYFUNCTION("IFERROR(JOIN("","", UNIQUE(filter({O178; Q178}, {O178; Q178}&lt;&gt;""""))), """")"),"")</f>
        <v/>
      </c>
      <c r="T178" s="99"/>
      <c r="U178" s="99"/>
      <c r="V178" s="99"/>
      <c r="W178" s="99"/>
      <c r="X178" s="99"/>
      <c r="Y178" s="95" t="str">
        <f ca="1">IFERROR(__xludf.DUMMYFUNCTION("IFERROR(JOIN("","", UNIQUE(filter({U178; W178}, {U178; W178}&lt;&gt;""""))), """")"),"")</f>
        <v/>
      </c>
    </row>
    <row r="179" spans="2:25" ht="13" x14ac:dyDescent="0.15">
      <c r="B179" s="10"/>
      <c r="C179" s="10"/>
      <c r="D179" s="10"/>
      <c r="E179" s="10"/>
      <c r="F179" s="10"/>
      <c r="G179" s="95" t="str">
        <f ca="1">IFERROR(__xludf.DUMMYFUNCTION("IFERROR(JOIN("","", UNIQUE(filter({C179; E179}, {C179; E179}&lt;&gt;""""))), """")"),"")</f>
        <v/>
      </c>
      <c r="H179" s="96"/>
      <c r="I179" s="96"/>
      <c r="J179" s="96"/>
      <c r="K179" s="96"/>
      <c r="L179" s="96"/>
      <c r="M179" s="95" t="str">
        <f ca="1">IFERROR(__xludf.DUMMYFUNCTION("IFERROR(JOIN("","", UNIQUE(filter({I179; K179}, {I179; K179}&lt;&gt;""""))), """")"),"")</f>
        <v/>
      </c>
      <c r="N179" s="98"/>
      <c r="O179" s="98"/>
      <c r="P179" s="98"/>
      <c r="Q179" s="98"/>
      <c r="R179" s="98"/>
      <c r="S179" s="95" t="str">
        <f ca="1">IFERROR(__xludf.DUMMYFUNCTION("IFERROR(JOIN("","", UNIQUE(filter({O179; Q179}, {O179; Q179}&lt;&gt;""""))), """")"),"")</f>
        <v/>
      </c>
      <c r="T179" s="99"/>
      <c r="U179" s="99"/>
      <c r="V179" s="99"/>
      <c r="W179" s="99"/>
      <c r="X179" s="99"/>
      <c r="Y179" s="95" t="str">
        <f ca="1">IFERROR(__xludf.DUMMYFUNCTION("IFERROR(JOIN("","", UNIQUE(filter({U179; W179}, {U179; W179}&lt;&gt;""""))), """")"),"")</f>
        <v/>
      </c>
    </row>
    <row r="180" spans="2:25" ht="13" x14ac:dyDescent="0.15">
      <c r="B180" s="10"/>
      <c r="C180" s="10"/>
      <c r="D180" s="10"/>
      <c r="E180" s="10"/>
      <c r="F180" s="10"/>
      <c r="G180" s="95" t="str">
        <f ca="1">IFERROR(__xludf.DUMMYFUNCTION("IFERROR(JOIN("","", UNIQUE(filter({C180; E180}, {C180; E180}&lt;&gt;""""))), """")"),"")</f>
        <v/>
      </c>
      <c r="H180" s="96"/>
      <c r="I180" s="96"/>
      <c r="J180" s="96"/>
      <c r="K180" s="96"/>
      <c r="L180" s="96"/>
      <c r="M180" s="95" t="str">
        <f ca="1">IFERROR(__xludf.DUMMYFUNCTION("IFERROR(JOIN("","", UNIQUE(filter({I180; K180}, {I180; K180}&lt;&gt;""""))), """")"),"")</f>
        <v/>
      </c>
      <c r="N180" s="98"/>
      <c r="O180" s="98"/>
      <c r="P180" s="98"/>
      <c r="Q180" s="98"/>
      <c r="R180" s="98"/>
      <c r="S180" s="95" t="str">
        <f ca="1">IFERROR(__xludf.DUMMYFUNCTION("IFERROR(JOIN("","", UNIQUE(filter({O180; Q180}, {O180; Q180}&lt;&gt;""""))), """")"),"")</f>
        <v/>
      </c>
      <c r="T180" s="99"/>
      <c r="U180" s="99"/>
      <c r="V180" s="99"/>
      <c r="W180" s="99"/>
      <c r="X180" s="99"/>
      <c r="Y180" s="95" t="str">
        <f ca="1">IFERROR(__xludf.DUMMYFUNCTION("IFERROR(JOIN("","", UNIQUE(filter({U180; W180}, {U180; W180}&lt;&gt;""""))), """")"),"")</f>
        <v/>
      </c>
    </row>
    <row r="181" spans="2:25" ht="13" x14ac:dyDescent="0.15">
      <c r="B181" s="10"/>
      <c r="C181" s="10"/>
      <c r="D181" s="10"/>
      <c r="E181" s="10"/>
      <c r="F181" s="10"/>
      <c r="G181" s="95" t="str">
        <f ca="1">IFERROR(__xludf.DUMMYFUNCTION("IFERROR(JOIN("","", UNIQUE(filter({C181; E181}, {C181; E181}&lt;&gt;""""))), """")"),"")</f>
        <v/>
      </c>
      <c r="H181" s="96"/>
      <c r="I181" s="96"/>
      <c r="J181" s="96"/>
      <c r="K181" s="96"/>
      <c r="L181" s="96"/>
      <c r="M181" s="95" t="str">
        <f ca="1">IFERROR(__xludf.DUMMYFUNCTION("IFERROR(JOIN("","", UNIQUE(filter({I181; K181}, {I181; K181}&lt;&gt;""""))), """")"),"")</f>
        <v/>
      </c>
      <c r="N181" s="98"/>
      <c r="O181" s="98"/>
      <c r="P181" s="98"/>
      <c r="Q181" s="98"/>
      <c r="R181" s="98"/>
      <c r="S181" s="95" t="str">
        <f ca="1">IFERROR(__xludf.DUMMYFUNCTION("IFERROR(JOIN("","", UNIQUE(filter({O181; Q181}, {O181; Q181}&lt;&gt;""""))), """")"),"")</f>
        <v/>
      </c>
      <c r="T181" s="99"/>
      <c r="U181" s="99"/>
      <c r="V181" s="99"/>
      <c r="W181" s="99"/>
      <c r="X181" s="99"/>
      <c r="Y181" s="95" t="str">
        <f ca="1">IFERROR(__xludf.DUMMYFUNCTION("IFERROR(JOIN("","", UNIQUE(filter({U181; W181}, {U181; W181}&lt;&gt;""""))), """")"),"")</f>
        <v/>
      </c>
    </row>
    <row r="182" spans="2:25" ht="13" x14ac:dyDescent="0.15">
      <c r="B182" s="10"/>
      <c r="C182" s="10"/>
      <c r="D182" s="10"/>
      <c r="E182" s="10"/>
      <c r="F182" s="10"/>
      <c r="G182" s="95" t="str">
        <f ca="1">IFERROR(__xludf.DUMMYFUNCTION("IFERROR(JOIN("","", UNIQUE(filter({C182; E182}, {C182; E182}&lt;&gt;""""))), """")"),"")</f>
        <v/>
      </c>
      <c r="H182" s="96"/>
      <c r="I182" s="96"/>
      <c r="J182" s="96"/>
      <c r="K182" s="96"/>
      <c r="L182" s="96"/>
      <c r="M182" s="95" t="str">
        <f ca="1">IFERROR(__xludf.DUMMYFUNCTION("IFERROR(JOIN("","", UNIQUE(filter({I182; K182}, {I182; K182}&lt;&gt;""""))), """")"),"")</f>
        <v/>
      </c>
      <c r="N182" s="98"/>
      <c r="O182" s="98"/>
      <c r="P182" s="98"/>
      <c r="Q182" s="98"/>
      <c r="R182" s="98"/>
      <c r="S182" s="95" t="str">
        <f ca="1">IFERROR(__xludf.DUMMYFUNCTION("IFERROR(JOIN("","", UNIQUE(filter({O182; Q182}, {O182; Q182}&lt;&gt;""""))), """")"),"")</f>
        <v/>
      </c>
      <c r="T182" s="99"/>
      <c r="U182" s="99"/>
      <c r="V182" s="99"/>
      <c r="W182" s="99"/>
      <c r="X182" s="99"/>
      <c r="Y182" s="95" t="str">
        <f ca="1">IFERROR(__xludf.DUMMYFUNCTION("IFERROR(JOIN("","", UNIQUE(filter({U182; W182}, {U182; W182}&lt;&gt;""""))), """")"),"")</f>
        <v/>
      </c>
    </row>
    <row r="183" spans="2:25" ht="13" x14ac:dyDescent="0.15">
      <c r="B183" s="10"/>
      <c r="C183" s="10"/>
      <c r="D183" s="10"/>
      <c r="E183" s="10"/>
      <c r="F183" s="10"/>
      <c r="G183" s="95" t="str">
        <f ca="1">IFERROR(__xludf.DUMMYFUNCTION("IFERROR(JOIN("","", UNIQUE(filter({C183; E183}, {C183; E183}&lt;&gt;""""))), """")"),"")</f>
        <v/>
      </c>
      <c r="H183" s="96"/>
      <c r="I183" s="96"/>
      <c r="J183" s="96"/>
      <c r="K183" s="96"/>
      <c r="L183" s="96"/>
      <c r="M183" s="95" t="str">
        <f ca="1">IFERROR(__xludf.DUMMYFUNCTION("IFERROR(JOIN("","", UNIQUE(filter({I183; K183}, {I183; K183}&lt;&gt;""""))), """")"),"")</f>
        <v/>
      </c>
      <c r="N183" s="98"/>
      <c r="O183" s="98"/>
      <c r="P183" s="98"/>
      <c r="Q183" s="98"/>
      <c r="R183" s="98"/>
      <c r="S183" s="95" t="str">
        <f ca="1">IFERROR(__xludf.DUMMYFUNCTION("IFERROR(JOIN("","", UNIQUE(filter({O183; Q183}, {O183; Q183}&lt;&gt;""""))), """")"),"")</f>
        <v/>
      </c>
      <c r="T183" s="99"/>
      <c r="U183" s="99"/>
      <c r="V183" s="99"/>
      <c r="W183" s="99"/>
      <c r="X183" s="99"/>
      <c r="Y183" s="95" t="str">
        <f ca="1">IFERROR(__xludf.DUMMYFUNCTION("IFERROR(JOIN("","", UNIQUE(filter({U183; W183}, {U183; W183}&lt;&gt;""""))), """")"),"")</f>
        <v/>
      </c>
    </row>
    <row r="184" spans="2:25" ht="13" x14ac:dyDescent="0.15">
      <c r="B184" s="10"/>
      <c r="C184" s="10"/>
      <c r="D184" s="10"/>
      <c r="E184" s="10"/>
      <c r="F184" s="10"/>
      <c r="G184" s="95" t="str">
        <f ca="1">IFERROR(__xludf.DUMMYFUNCTION("IFERROR(JOIN("","", UNIQUE(filter({C184; E184}, {C184; E184}&lt;&gt;""""))), """")"),"")</f>
        <v/>
      </c>
      <c r="H184" s="96"/>
      <c r="I184" s="96"/>
      <c r="J184" s="96"/>
      <c r="K184" s="96"/>
      <c r="L184" s="96"/>
      <c r="M184" s="95" t="str">
        <f ca="1">IFERROR(__xludf.DUMMYFUNCTION("IFERROR(JOIN("","", UNIQUE(filter({I184; K184}, {I184; K184}&lt;&gt;""""))), """")"),"")</f>
        <v/>
      </c>
      <c r="N184" s="98"/>
      <c r="O184" s="98"/>
      <c r="P184" s="98"/>
      <c r="Q184" s="98"/>
      <c r="R184" s="98"/>
      <c r="S184" s="95" t="str">
        <f ca="1">IFERROR(__xludf.DUMMYFUNCTION("IFERROR(JOIN("","", UNIQUE(filter({O184; Q184}, {O184; Q184}&lt;&gt;""""))), """")"),"")</f>
        <v/>
      </c>
      <c r="T184" s="99"/>
      <c r="U184" s="99"/>
      <c r="V184" s="99"/>
      <c r="W184" s="99"/>
      <c r="X184" s="99"/>
      <c r="Y184" s="95" t="str">
        <f ca="1">IFERROR(__xludf.DUMMYFUNCTION("IFERROR(JOIN("","", UNIQUE(filter({U184; W184}, {U184; W184}&lt;&gt;""""))), """")"),"")</f>
        <v/>
      </c>
    </row>
    <row r="185" spans="2:25" ht="13" x14ac:dyDescent="0.15">
      <c r="B185" s="10"/>
      <c r="C185" s="10"/>
      <c r="D185" s="10"/>
      <c r="E185" s="10"/>
      <c r="F185" s="10"/>
      <c r="G185" s="95" t="str">
        <f ca="1">IFERROR(__xludf.DUMMYFUNCTION("IFERROR(JOIN("","", UNIQUE(filter({C185; E185}, {C185; E185}&lt;&gt;""""))), """")"),"")</f>
        <v/>
      </c>
      <c r="H185" s="96"/>
      <c r="I185" s="96"/>
      <c r="J185" s="96"/>
      <c r="K185" s="96"/>
      <c r="L185" s="96"/>
      <c r="M185" s="95" t="str">
        <f ca="1">IFERROR(__xludf.DUMMYFUNCTION("IFERROR(JOIN("","", UNIQUE(filter({I185; K185}, {I185; K185}&lt;&gt;""""))), """")"),"")</f>
        <v/>
      </c>
      <c r="N185" s="98"/>
      <c r="O185" s="98"/>
      <c r="P185" s="98"/>
      <c r="Q185" s="98"/>
      <c r="R185" s="98"/>
      <c r="S185" s="95" t="str">
        <f ca="1">IFERROR(__xludf.DUMMYFUNCTION("IFERROR(JOIN("","", UNIQUE(filter({O185; Q185}, {O185; Q185}&lt;&gt;""""))), """")"),"")</f>
        <v/>
      </c>
      <c r="T185" s="99"/>
      <c r="U185" s="99"/>
      <c r="V185" s="99"/>
      <c r="W185" s="99"/>
      <c r="X185" s="99"/>
      <c r="Y185" s="95" t="str">
        <f ca="1">IFERROR(__xludf.DUMMYFUNCTION("IFERROR(JOIN("","", UNIQUE(filter({U185; W185}, {U185; W185}&lt;&gt;""""))), """")"),"")</f>
        <v/>
      </c>
    </row>
    <row r="186" spans="2:25" ht="13" x14ac:dyDescent="0.15">
      <c r="B186" s="10"/>
      <c r="C186" s="10"/>
      <c r="D186" s="10"/>
      <c r="E186" s="10"/>
      <c r="F186" s="10"/>
      <c r="G186" s="95" t="str">
        <f ca="1">IFERROR(__xludf.DUMMYFUNCTION("IFERROR(JOIN("","", UNIQUE(filter({C186; E186}, {C186; E186}&lt;&gt;""""))), """")"),"")</f>
        <v/>
      </c>
      <c r="H186" s="96"/>
      <c r="I186" s="96"/>
      <c r="J186" s="96"/>
      <c r="K186" s="96"/>
      <c r="L186" s="96"/>
      <c r="M186" s="95" t="str">
        <f ca="1">IFERROR(__xludf.DUMMYFUNCTION("IFERROR(JOIN("","", UNIQUE(filter({I186; K186}, {I186; K186}&lt;&gt;""""))), """")"),"")</f>
        <v/>
      </c>
      <c r="N186" s="98"/>
      <c r="O186" s="98"/>
      <c r="P186" s="98"/>
      <c r="Q186" s="98"/>
      <c r="R186" s="98"/>
      <c r="S186" s="95" t="str">
        <f ca="1">IFERROR(__xludf.DUMMYFUNCTION("IFERROR(JOIN("","", UNIQUE(filter({O186; Q186}, {O186; Q186}&lt;&gt;""""))), """")"),"")</f>
        <v/>
      </c>
      <c r="T186" s="99"/>
      <c r="U186" s="99"/>
      <c r="V186" s="99"/>
      <c r="W186" s="99"/>
      <c r="X186" s="99"/>
      <c r="Y186" s="95" t="str">
        <f ca="1">IFERROR(__xludf.DUMMYFUNCTION("IFERROR(JOIN("","", UNIQUE(filter({U186; W186}, {U186; W186}&lt;&gt;""""))), """")"),"")</f>
        <v/>
      </c>
    </row>
    <row r="187" spans="2:25" ht="13" x14ac:dyDescent="0.15">
      <c r="B187" s="10"/>
      <c r="C187" s="10"/>
      <c r="D187" s="10"/>
      <c r="E187" s="10"/>
      <c r="F187" s="10"/>
      <c r="G187" s="95" t="str">
        <f ca="1">IFERROR(__xludf.DUMMYFUNCTION("IFERROR(JOIN("","", UNIQUE(filter({C187; E187}, {C187; E187}&lt;&gt;""""))), """")"),"")</f>
        <v/>
      </c>
      <c r="H187" s="96"/>
      <c r="I187" s="96"/>
      <c r="J187" s="96"/>
      <c r="K187" s="96"/>
      <c r="L187" s="96"/>
      <c r="M187" s="95" t="str">
        <f ca="1">IFERROR(__xludf.DUMMYFUNCTION("IFERROR(JOIN("","", UNIQUE(filter({I187; K187}, {I187; K187}&lt;&gt;""""))), """")"),"")</f>
        <v/>
      </c>
      <c r="N187" s="98"/>
      <c r="O187" s="98"/>
      <c r="P187" s="98"/>
      <c r="Q187" s="98"/>
      <c r="R187" s="98"/>
      <c r="S187" s="95" t="str">
        <f ca="1">IFERROR(__xludf.DUMMYFUNCTION("IFERROR(JOIN("","", UNIQUE(filter({O187; Q187}, {O187; Q187}&lt;&gt;""""))), """")"),"")</f>
        <v/>
      </c>
      <c r="T187" s="99"/>
      <c r="U187" s="99"/>
      <c r="V187" s="99"/>
      <c r="W187" s="99"/>
      <c r="X187" s="99"/>
      <c r="Y187" s="95" t="str">
        <f ca="1">IFERROR(__xludf.DUMMYFUNCTION("IFERROR(JOIN("","", UNIQUE(filter({U187; W187}, {U187; W187}&lt;&gt;""""))), """")"),"")</f>
        <v/>
      </c>
    </row>
    <row r="188" spans="2:25" ht="13" x14ac:dyDescent="0.15">
      <c r="B188" s="10"/>
      <c r="C188" s="10"/>
      <c r="D188" s="10"/>
      <c r="E188" s="10"/>
      <c r="F188" s="10"/>
      <c r="G188" s="95" t="str">
        <f ca="1">IFERROR(__xludf.DUMMYFUNCTION("IFERROR(JOIN("","", UNIQUE(filter({C188; E188}, {C188; E188}&lt;&gt;""""))), """")"),"")</f>
        <v/>
      </c>
      <c r="H188" s="96"/>
      <c r="I188" s="96"/>
      <c r="J188" s="96"/>
      <c r="K188" s="96"/>
      <c r="L188" s="96"/>
      <c r="M188" s="95" t="str">
        <f ca="1">IFERROR(__xludf.DUMMYFUNCTION("IFERROR(JOIN("","", UNIQUE(filter({I188; K188}, {I188; K188}&lt;&gt;""""))), """")"),"")</f>
        <v/>
      </c>
      <c r="N188" s="98"/>
      <c r="O188" s="98"/>
      <c r="P188" s="98"/>
      <c r="Q188" s="98"/>
      <c r="R188" s="98"/>
      <c r="S188" s="95" t="str">
        <f ca="1">IFERROR(__xludf.DUMMYFUNCTION("IFERROR(JOIN("","", UNIQUE(filter({O188; Q188}, {O188; Q188}&lt;&gt;""""))), """")"),"")</f>
        <v/>
      </c>
      <c r="T188" s="99"/>
      <c r="U188" s="99"/>
      <c r="V188" s="99"/>
      <c r="W188" s="99"/>
      <c r="X188" s="99"/>
      <c r="Y188" s="95" t="str">
        <f ca="1">IFERROR(__xludf.DUMMYFUNCTION("IFERROR(JOIN("","", UNIQUE(filter({U188; W188}, {U188; W188}&lt;&gt;""""))), """")"),"")</f>
        <v/>
      </c>
    </row>
    <row r="189" spans="2:25" ht="13" x14ac:dyDescent="0.15">
      <c r="B189" s="10"/>
      <c r="C189" s="10"/>
      <c r="D189" s="10"/>
      <c r="E189" s="10"/>
      <c r="F189" s="10"/>
      <c r="G189" s="95" t="str">
        <f ca="1">IFERROR(__xludf.DUMMYFUNCTION("IFERROR(JOIN("","", UNIQUE(filter({C189; E189}, {C189; E189}&lt;&gt;""""))), """")"),"")</f>
        <v/>
      </c>
      <c r="H189" s="96"/>
      <c r="I189" s="96"/>
      <c r="J189" s="96"/>
      <c r="K189" s="96"/>
      <c r="L189" s="96"/>
      <c r="M189" s="95" t="str">
        <f ca="1">IFERROR(__xludf.DUMMYFUNCTION("IFERROR(JOIN("","", UNIQUE(filter({I189; K189}, {I189; K189}&lt;&gt;""""))), """")"),"")</f>
        <v/>
      </c>
      <c r="N189" s="98"/>
      <c r="O189" s="98"/>
      <c r="P189" s="98"/>
      <c r="Q189" s="98"/>
      <c r="R189" s="98"/>
      <c r="S189" s="95" t="str">
        <f ca="1">IFERROR(__xludf.DUMMYFUNCTION("IFERROR(JOIN("","", UNIQUE(filter({O189; Q189}, {O189; Q189}&lt;&gt;""""))), """")"),"")</f>
        <v/>
      </c>
      <c r="T189" s="99"/>
      <c r="U189" s="99"/>
      <c r="V189" s="99"/>
      <c r="W189" s="99"/>
      <c r="X189" s="99"/>
      <c r="Y189" s="95" t="str">
        <f ca="1">IFERROR(__xludf.DUMMYFUNCTION("IFERROR(JOIN("","", UNIQUE(filter({U189; W189}, {U189; W189}&lt;&gt;""""))), """")"),"")</f>
        <v/>
      </c>
    </row>
    <row r="190" spans="2:25" ht="13" x14ac:dyDescent="0.15">
      <c r="B190" s="10"/>
      <c r="C190" s="10"/>
      <c r="D190" s="10"/>
      <c r="E190" s="10"/>
      <c r="F190" s="10"/>
      <c r="G190" s="95" t="str">
        <f ca="1">IFERROR(__xludf.DUMMYFUNCTION("IFERROR(JOIN("","", UNIQUE(filter({C190; E190}, {C190; E190}&lt;&gt;""""))), """")"),"")</f>
        <v/>
      </c>
      <c r="H190" s="96"/>
      <c r="I190" s="96"/>
      <c r="J190" s="96"/>
      <c r="K190" s="96"/>
      <c r="L190" s="96"/>
      <c r="M190" s="95" t="str">
        <f ca="1">IFERROR(__xludf.DUMMYFUNCTION("IFERROR(JOIN("","", UNIQUE(filter({I190; K190}, {I190; K190}&lt;&gt;""""))), """")"),"")</f>
        <v/>
      </c>
      <c r="N190" s="98"/>
      <c r="O190" s="98"/>
      <c r="P190" s="98"/>
      <c r="Q190" s="98"/>
      <c r="R190" s="98"/>
      <c r="S190" s="95" t="str">
        <f ca="1">IFERROR(__xludf.DUMMYFUNCTION("IFERROR(JOIN("","", UNIQUE(filter({O190; Q190}, {O190; Q190}&lt;&gt;""""))), """")"),"")</f>
        <v/>
      </c>
      <c r="T190" s="99"/>
      <c r="U190" s="99"/>
      <c r="V190" s="99"/>
      <c r="W190" s="99"/>
      <c r="X190" s="99"/>
      <c r="Y190" s="95" t="str">
        <f ca="1">IFERROR(__xludf.DUMMYFUNCTION("IFERROR(JOIN("","", UNIQUE(filter({U190; W190}, {U190; W190}&lt;&gt;""""))), """")"),"")</f>
        <v/>
      </c>
    </row>
    <row r="191" spans="2:25" ht="13" x14ac:dyDescent="0.15">
      <c r="B191" s="10"/>
      <c r="C191" s="10"/>
      <c r="D191" s="10"/>
      <c r="E191" s="10"/>
      <c r="F191" s="10"/>
      <c r="G191" s="95" t="str">
        <f ca="1">IFERROR(__xludf.DUMMYFUNCTION("IFERROR(JOIN("","", UNIQUE(filter({C191; E191}, {C191; E191}&lt;&gt;""""))), """")"),"")</f>
        <v/>
      </c>
      <c r="H191" s="96"/>
      <c r="I191" s="96"/>
      <c r="J191" s="96"/>
      <c r="K191" s="96"/>
      <c r="L191" s="96"/>
      <c r="M191" s="95" t="str">
        <f ca="1">IFERROR(__xludf.DUMMYFUNCTION("IFERROR(JOIN("","", UNIQUE(filter({I191; K191}, {I191; K191}&lt;&gt;""""))), """")"),"")</f>
        <v/>
      </c>
      <c r="N191" s="98"/>
      <c r="O191" s="98"/>
      <c r="P191" s="98"/>
      <c r="Q191" s="98"/>
      <c r="R191" s="98"/>
      <c r="S191" s="95" t="str">
        <f ca="1">IFERROR(__xludf.DUMMYFUNCTION("IFERROR(JOIN("","", UNIQUE(filter({O191; Q191}, {O191; Q191}&lt;&gt;""""))), """")"),"")</f>
        <v/>
      </c>
      <c r="T191" s="99"/>
      <c r="U191" s="99"/>
      <c r="V191" s="99"/>
      <c r="W191" s="99"/>
      <c r="X191" s="99"/>
      <c r="Y191" s="95" t="str">
        <f ca="1">IFERROR(__xludf.DUMMYFUNCTION("IFERROR(JOIN("","", UNIQUE(filter({U191; W191}, {U191; W191}&lt;&gt;""""))), """")"),"")</f>
        <v/>
      </c>
    </row>
    <row r="192" spans="2:25" ht="13" x14ac:dyDescent="0.15">
      <c r="B192" s="10"/>
      <c r="C192" s="10"/>
      <c r="D192" s="10"/>
      <c r="E192" s="10"/>
      <c r="F192" s="10"/>
      <c r="G192" s="95" t="str">
        <f ca="1">IFERROR(__xludf.DUMMYFUNCTION("IFERROR(JOIN("","", UNIQUE(filter({C192; E192}, {C192; E192}&lt;&gt;""""))), """")"),"")</f>
        <v/>
      </c>
      <c r="H192" s="96"/>
      <c r="I192" s="96"/>
      <c r="J192" s="96"/>
      <c r="K192" s="96"/>
      <c r="L192" s="96"/>
      <c r="M192" s="95" t="str">
        <f ca="1">IFERROR(__xludf.DUMMYFUNCTION("IFERROR(JOIN("","", UNIQUE(filter({I192; K192}, {I192; K192}&lt;&gt;""""))), """")"),"")</f>
        <v/>
      </c>
      <c r="N192" s="98"/>
      <c r="O192" s="98"/>
      <c r="P192" s="98"/>
      <c r="Q192" s="98"/>
      <c r="R192" s="98"/>
      <c r="S192" s="95" t="str">
        <f ca="1">IFERROR(__xludf.DUMMYFUNCTION("IFERROR(JOIN("","", UNIQUE(filter({O192; Q192}, {O192; Q192}&lt;&gt;""""))), """")"),"")</f>
        <v/>
      </c>
      <c r="T192" s="99"/>
      <c r="U192" s="99"/>
      <c r="V192" s="99"/>
      <c r="W192" s="99"/>
      <c r="X192" s="99"/>
      <c r="Y192" s="95" t="str">
        <f ca="1">IFERROR(__xludf.DUMMYFUNCTION("IFERROR(JOIN("","", UNIQUE(filter({U192; W192}, {U192; W192}&lt;&gt;""""))), """")"),"")</f>
        <v/>
      </c>
    </row>
    <row r="193" spans="2:25" ht="13" x14ac:dyDescent="0.15">
      <c r="B193" s="10"/>
      <c r="C193" s="10"/>
      <c r="D193" s="10"/>
      <c r="E193" s="10"/>
      <c r="F193" s="10"/>
      <c r="G193" s="95" t="str">
        <f ca="1">IFERROR(__xludf.DUMMYFUNCTION("IFERROR(JOIN("","", UNIQUE(filter({C193; E193}, {C193; E193}&lt;&gt;""""))), """")"),"")</f>
        <v/>
      </c>
      <c r="H193" s="96"/>
      <c r="I193" s="96"/>
      <c r="J193" s="96"/>
      <c r="K193" s="96"/>
      <c r="L193" s="96"/>
      <c r="M193" s="95" t="str">
        <f ca="1">IFERROR(__xludf.DUMMYFUNCTION("IFERROR(JOIN("","", UNIQUE(filter({I193; K193}, {I193; K193}&lt;&gt;""""))), """")"),"")</f>
        <v/>
      </c>
      <c r="N193" s="98"/>
      <c r="O193" s="98"/>
      <c r="P193" s="98"/>
      <c r="Q193" s="98"/>
      <c r="R193" s="98"/>
      <c r="S193" s="95" t="str">
        <f ca="1">IFERROR(__xludf.DUMMYFUNCTION("IFERROR(JOIN("","", UNIQUE(filter({O193; Q193}, {O193; Q193}&lt;&gt;""""))), """")"),"")</f>
        <v/>
      </c>
      <c r="T193" s="99"/>
      <c r="U193" s="99"/>
      <c r="V193" s="99"/>
      <c r="W193" s="99"/>
      <c r="X193" s="99"/>
      <c r="Y193" s="95" t="str">
        <f ca="1">IFERROR(__xludf.DUMMYFUNCTION("IFERROR(JOIN("","", UNIQUE(filter({U193; W193}, {U193; W193}&lt;&gt;""""))), """")"),"")</f>
        <v/>
      </c>
    </row>
    <row r="194" spans="2:25" ht="13" x14ac:dyDescent="0.15">
      <c r="B194" s="10"/>
      <c r="C194" s="10"/>
      <c r="D194" s="10"/>
      <c r="E194" s="10"/>
      <c r="F194" s="10"/>
      <c r="G194" s="95" t="str">
        <f ca="1">IFERROR(__xludf.DUMMYFUNCTION("IFERROR(JOIN("","", UNIQUE(filter({C194; E194}, {C194; E194}&lt;&gt;""""))), """")"),"")</f>
        <v/>
      </c>
      <c r="H194" s="96"/>
      <c r="I194" s="96"/>
      <c r="J194" s="96"/>
      <c r="K194" s="96"/>
      <c r="L194" s="96"/>
      <c r="M194" s="95" t="str">
        <f ca="1">IFERROR(__xludf.DUMMYFUNCTION("IFERROR(JOIN("","", UNIQUE(filter({I194; K194}, {I194; K194}&lt;&gt;""""))), """")"),"")</f>
        <v/>
      </c>
      <c r="N194" s="98"/>
      <c r="O194" s="98"/>
      <c r="P194" s="98"/>
      <c r="Q194" s="98"/>
      <c r="R194" s="98"/>
      <c r="S194" s="95" t="str">
        <f ca="1">IFERROR(__xludf.DUMMYFUNCTION("IFERROR(JOIN("","", UNIQUE(filter({O194; Q194}, {O194; Q194}&lt;&gt;""""))), """")"),"")</f>
        <v/>
      </c>
      <c r="T194" s="99"/>
      <c r="U194" s="99"/>
      <c r="V194" s="99"/>
      <c r="W194" s="99"/>
      <c r="X194" s="99"/>
      <c r="Y194" s="95" t="str">
        <f ca="1">IFERROR(__xludf.DUMMYFUNCTION("IFERROR(JOIN("","", UNIQUE(filter({U194; W194}, {U194; W194}&lt;&gt;""""))), """")"),"")</f>
        <v/>
      </c>
    </row>
    <row r="195" spans="2:25" ht="13" x14ac:dyDescent="0.15">
      <c r="B195" s="10"/>
      <c r="C195" s="10"/>
      <c r="D195" s="10"/>
      <c r="E195" s="10"/>
      <c r="F195" s="10"/>
      <c r="G195" s="95" t="str">
        <f ca="1">IFERROR(__xludf.DUMMYFUNCTION("IFERROR(JOIN("","", UNIQUE(filter({C195; E195}, {C195; E195}&lt;&gt;""""))), """")"),"")</f>
        <v/>
      </c>
      <c r="H195" s="96"/>
      <c r="I195" s="96"/>
      <c r="J195" s="96"/>
      <c r="K195" s="96"/>
      <c r="L195" s="96"/>
      <c r="M195" s="95" t="str">
        <f ca="1">IFERROR(__xludf.DUMMYFUNCTION("IFERROR(JOIN("","", UNIQUE(filter({I195; K195}, {I195; K195}&lt;&gt;""""))), """")"),"")</f>
        <v/>
      </c>
      <c r="N195" s="98"/>
      <c r="O195" s="98"/>
      <c r="P195" s="98"/>
      <c r="Q195" s="98"/>
      <c r="R195" s="98"/>
      <c r="S195" s="95" t="str">
        <f ca="1">IFERROR(__xludf.DUMMYFUNCTION("IFERROR(JOIN("","", UNIQUE(filter({O195; Q195}, {O195; Q195}&lt;&gt;""""))), """")"),"")</f>
        <v/>
      </c>
      <c r="T195" s="99"/>
      <c r="U195" s="99"/>
      <c r="V195" s="99"/>
      <c r="W195" s="99"/>
      <c r="X195" s="99"/>
      <c r="Y195" s="95" t="str">
        <f ca="1">IFERROR(__xludf.DUMMYFUNCTION("IFERROR(JOIN("","", UNIQUE(filter({U195; W195}, {U195; W195}&lt;&gt;""""))), """")"),"")</f>
        <v/>
      </c>
    </row>
    <row r="196" spans="2:25" ht="13" x14ac:dyDescent="0.15">
      <c r="B196" s="10"/>
      <c r="C196" s="10"/>
      <c r="D196" s="10"/>
      <c r="E196" s="10"/>
      <c r="F196" s="10"/>
      <c r="G196" s="95" t="str">
        <f ca="1">IFERROR(__xludf.DUMMYFUNCTION("IFERROR(JOIN("","", UNIQUE(filter({C196; E196}, {C196; E196}&lt;&gt;""""))), """")"),"")</f>
        <v/>
      </c>
      <c r="H196" s="96"/>
      <c r="I196" s="96"/>
      <c r="J196" s="96"/>
      <c r="K196" s="96"/>
      <c r="L196" s="96"/>
      <c r="M196" s="95" t="str">
        <f ca="1">IFERROR(__xludf.DUMMYFUNCTION("IFERROR(JOIN("","", UNIQUE(filter({I196; K196}, {I196; K196}&lt;&gt;""""))), """")"),"")</f>
        <v/>
      </c>
      <c r="N196" s="98"/>
      <c r="O196" s="98"/>
      <c r="P196" s="98"/>
      <c r="Q196" s="98"/>
      <c r="R196" s="98"/>
      <c r="S196" s="95" t="str">
        <f ca="1">IFERROR(__xludf.DUMMYFUNCTION("IFERROR(JOIN("","", UNIQUE(filter({O196; Q196}, {O196; Q196}&lt;&gt;""""))), """")"),"")</f>
        <v/>
      </c>
      <c r="T196" s="99"/>
      <c r="U196" s="99"/>
      <c r="V196" s="99"/>
      <c r="W196" s="99"/>
      <c r="X196" s="99"/>
      <c r="Y196" s="95" t="str">
        <f ca="1">IFERROR(__xludf.DUMMYFUNCTION("IFERROR(JOIN("","", UNIQUE(filter({U196; W196}, {U196; W196}&lt;&gt;""""))), """")"),"")</f>
        <v/>
      </c>
    </row>
    <row r="197" spans="2:25" ht="13" x14ac:dyDescent="0.15">
      <c r="B197" s="10"/>
      <c r="C197" s="10"/>
      <c r="D197" s="10"/>
      <c r="E197" s="10"/>
      <c r="F197" s="10"/>
      <c r="G197" s="95" t="str">
        <f ca="1">IFERROR(__xludf.DUMMYFUNCTION("IFERROR(JOIN("","", UNIQUE(filter({C197; E197}, {C197; E197}&lt;&gt;""""))), """")"),"")</f>
        <v/>
      </c>
      <c r="H197" s="96"/>
      <c r="I197" s="96"/>
      <c r="J197" s="96"/>
      <c r="K197" s="96"/>
      <c r="L197" s="96"/>
      <c r="M197" s="95" t="str">
        <f ca="1">IFERROR(__xludf.DUMMYFUNCTION("IFERROR(JOIN("","", UNIQUE(filter({I197; K197}, {I197; K197}&lt;&gt;""""))), """")"),"")</f>
        <v/>
      </c>
      <c r="N197" s="98"/>
      <c r="O197" s="98"/>
      <c r="P197" s="98"/>
      <c r="Q197" s="98"/>
      <c r="R197" s="98"/>
      <c r="S197" s="95" t="str">
        <f ca="1">IFERROR(__xludf.DUMMYFUNCTION("IFERROR(JOIN("","", UNIQUE(filter({O197; Q197}, {O197; Q197}&lt;&gt;""""))), """")"),"")</f>
        <v/>
      </c>
      <c r="T197" s="99"/>
      <c r="U197" s="99"/>
      <c r="V197" s="99"/>
      <c r="W197" s="99"/>
      <c r="X197" s="99"/>
      <c r="Y197" s="95" t="str">
        <f ca="1">IFERROR(__xludf.DUMMYFUNCTION("IFERROR(JOIN("","", UNIQUE(filter({U197; W197}, {U197; W197}&lt;&gt;""""))), """")"),"")</f>
        <v/>
      </c>
    </row>
    <row r="198" spans="2:25" ht="13" x14ac:dyDescent="0.15">
      <c r="B198" s="10"/>
      <c r="C198" s="10"/>
      <c r="D198" s="10"/>
      <c r="E198" s="10"/>
      <c r="F198" s="10"/>
      <c r="G198" s="95" t="str">
        <f ca="1">IFERROR(__xludf.DUMMYFUNCTION("IFERROR(JOIN("","", UNIQUE(filter({C198; E198}, {C198; E198}&lt;&gt;""""))), """")"),"")</f>
        <v/>
      </c>
      <c r="H198" s="96"/>
      <c r="I198" s="96"/>
      <c r="J198" s="96"/>
      <c r="K198" s="96"/>
      <c r="L198" s="96"/>
      <c r="M198" s="95" t="str">
        <f ca="1">IFERROR(__xludf.DUMMYFUNCTION("IFERROR(JOIN("","", UNIQUE(filter({I198; K198}, {I198; K198}&lt;&gt;""""))), """")"),"")</f>
        <v/>
      </c>
      <c r="N198" s="98"/>
      <c r="O198" s="98"/>
      <c r="P198" s="98"/>
      <c r="Q198" s="98"/>
      <c r="R198" s="98"/>
      <c r="S198" s="95" t="str">
        <f ca="1">IFERROR(__xludf.DUMMYFUNCTION("IFERROR(JOIN("","", UNIQUE(filter({O198; Q198}, {O198; Q198}&lt;&gt;""""))), """")"),"")</f>
        <v/>
      </c>
      <c r="T198" s="99"/>
      <c r="U198" s="99"/>
      <c r="V198" s="99"/>
      <c r="W198" s="99"/>
      <c r="X198" s="99"/>
      <c r="Y198" s="95" t="str">
        <f ca="1">IFERROR(__xludf.DUMMYFUNCTION("IFERROR(JOIN("","", UNIQUE(filter({U198; W198}, {U198; W198}&lt;&gt;""""))), """")"),"")</f>
        <v/>
      </c>
    </row>
    <row r="199" spans="2:25" ht="13" x14ac:dyDescent="0.15">
      <c r="B199" s="10"/>
      <c r="C199" s="10"/>
      <c r="D199" s="10"/>
      <c r="E199" s="10"/>
      <c r="F199" s="10"/>
      <c r="G199" s="95" t="str">
        <f ca="1">IFERROR(__xludf.DUMMYFUNCTION("IFERROR(JOIN("","", UNIQUE(filter({C199; E199}, {C199; E199}&lt;&gt;""""))), """")"),"")</f>
        <v/>
      </c>
      <c r="H199" s="96"/>
      <c r="I199" s="96"/>
      <c r="J199" s="96"/>
      <c r="K199" s="96"/>
      <c r="L199" s="96"/>
      <c r="M199" s="95" t="str">
        <f ca="1">IFERROR(__xludf.DUMMYFUNCTION("IFERROR(JOIN("","", UNIQUE(filter({I199; K199}, {I199; K199}&lt;&gt;""""))), """")"),"")</f>
        <v/>
      </c>
      <c r="N199" s="98"/>
      <c r="O199" s="98"/>
      <c r="P199" s="98"/>
      <c r="Q199" s="98"/>
      <c r="R199" s="98"/>
      <c r="S199" s="95" t="str">
        <f ca="1">IFERROR(__xludf.DUMMYFUNCTION("IFERROR(JOIN("","", UNIQUE(filter({O199; Q199}, {O199; Q199}&lt;&gt;""""))), """")"),"")</f>
        <v/>
      </c>
      <c r="T199" s="99"/>
      <c r="U199" s="99"/>
      <c r="V199" s="99"/>
      <c r="W199" s="99"/>
      <c r="X199" s="99"/>
      <c r="Y199" s="95" t="str">
        <f ca="1">IFERROR(__xludf.DUMMYFUNCTION("IFERROR(JOIN("","", UNIQUE(filter({U199; W199}, {U199; W199}&lt;&gt;""""))), """")"),"")</f>
        <v/>
      </c>
    </row>
    <row r="200" spans="2:25" ht="13" x14ac:dyDescent="0.15">
      <c r="B200" s="10"/>
      <c r="C200" s="10"/>
      <c r="D200" s="10"/>
      <c r="E200" s="10"/>
      <c r="F200" s="10"/>
      <c r="G200" s="95" t="str">
        <f ca="1">IFERROR(__xludf.DUMMYFUNCTION("IFERROR(JOIN("","", UNIQUE(filter({C200; E200}, {C200; E200}&lt;&gt;""""))), """")"),"")</f>
        <v/>
      </c>
      <c r="H200" s="96"/>
      <c r="I200" s="96"/>
      <c r="J200" s="96"/>
      <c r="K200" s="96"/>
      <c r="L200" s="96"/>
      <c r="M200" s="95" t="str">
        <f ca="1">IFERROR(__xludf.DUMMYFUNCTION("IFERROR(JOIN("","", UNIQUE(filter({I200; K200}, {I200; K200}&lt;&gt;""""))), """")"),"")</f>
        <v/>
      </c>
      <c r="N200" s="98"/>
      <c r="O200" s="98"/>
      <c r="P200" s="98"/>
      <c r="Q200" s="98"/>
      <c r="R200" s="98"/>
      <c r="S200" s="95" t="str">
        <f ca="1">IFERROR(__xludf.DUMMYFUNCTION("IFERROR(JOIN("","", UNIQUE(filter({O200; Q200}, {O200; Q200}&lt;&gt;""""))), """")"),"")</f>
        <v/>
      </c>
      <c r="T200" s="99"/>
      <c r="U200" s="99"/>
      <c r="V200" s="99"/>
      <c r="W200" s="99"/>
      <c r="X200" s="99"/>
      <c r="Y200" s="95" t="str">
        <f ca="1">IFERROR(__xludf.DUMMYFUNCTION("IFERROR(JOIN("","", UNIQUE(filter({U200; W200}, {U200; W200}&lt;&gt;""""))), """")"),"")</f>
        <v/>
      </c>
    </row>
    <row r="201" spans="2:25" ht="13" x14ac:dyDescent="0.15">
      <c r="B201" s="10"/>
      <c r="C201" s="10"/>
      <c r="D201" s="10"/>
      <c r="E201" s="10"/>
      <c r="F201" s="10"/>
      <c r="G201" s="95" t="str">
        <f ca="1">IFERROR(__xludf.DUMMYFUNCTION("IFERROR(JOIN("","", UNIQUE(filter({C201; E201}, {C201; E201}&lt;&gt;""""))), """")"),"")</f>
        <v/>
      </c>
      <c r="H201" s="96"/>
      <c r="I201" s="96"/>
      <c r="J201" s="96"/>
      <c r="K201" s="96"/>
      <c r="L201" s="96"/>
      <c r="M201" s="95" t="str">
        <f ca="1">IFERROR(__xludf.DUMMYFUNCTION("IFERROR(JOIN("","", UNIQUE(filter({I201; K201}, {I201; K201}&lt;&gt;""""))), """")"),"")</f>
        <v/>
      </c>
      <c r="N201" s="98"/>
      <c r="O201" s="98"/>
      <c r="P201" s="98"/>
      <c r="Q201" s="98"/>
      <c r="R201" s="98"/>
      <c r="S201" s="95" t="str">
        <f ca="1">IFERROR(__xludf.DUMMYFUNCTION("IFERROR(JOIN("","", UNIQUE(filter({O201; Q201}, {O201; Q201}&lt;&gt;""""))), """")"),"")</f>
        <v/>
      </c>
      <c r="T201" s="99"/>
      <c r="U201" s="99"/>
      <c r="V201" s="99"/>
      <c r="W201" s="99"/>
      <c r="X201" s="99"/>
      <c r="Y201" s="95" t="str">
        <f ca="1">IFERROR(__xludf.DUMMYFUNCTION("IFERROR(JOIN("","", UNIQUE(filter({U201; W201}, {U201; W201}&lt;&gt;""""))), """")"),"")</f>
        <v/>
      </c>
    </row>
    <row r="202" spans="2:25" ht="13" x14ac:dyDescent="0.15">
      <c r="B202" s="10"/>
      <c r="C202" s="10"/>
      <c r="D202" s="10"/>
      <c r="E202" s="10"/>
      <c r="F202" s="10"/>
      <c r="G202" s="95" t="str">
        <f ca="1">IFERROR(__xludf.DUMMYFUNCTION("IFERROR(JOIN("","", UNIQUE(filter({C202; E202}, {C202; E202}&lt;&gt;""""))), """")"),"")</f>
        <v/>
      </c>
      <c r="H202" s="96"/>
      <c r="I202" s="96"/>
      <c r="J202" s="96"/>
      <c r="K202" s="96"/>
      <c r="L202" s="96"/>
      <c r="M202" s="95" t="str">
        <f ca="1">IFERROR(__xludf.DUMMYFUNCTION("IFERROR(JOIN("","", UNIQUE(filter({I202; K202}, {I202; K202}&lt;&gt;""""))), """")"),"")</f>
        <v/>
      </c>
      <c r="N202" s="98"/>
      <c r="O202" s="98"/>
      <c r="P202" s="98"/>
      <c r="Q202" s="98"/>
      <c r="R202" s="98"/>
      <c r="S202" s="95" t="str">
        <f ca="1">IFERROR(__xludf.DUMMYFUNCTION("IFERROR(JOIN("","", UNIQUE(filter({O202; Q202}, {O202; Q202}&lt;&gt;""""))), """")"),"")</f>
        <v/>
      </c>
      <c r="T202" s="99"/>
      <c r="U202" s="99"/>
      <c r="V202" s="99"/>
      <c r="W202" s="99"/>
      <c r="X202" s="99"/>
      <c r="Y202" s="95" t="str">
        <f ca="1">IFERROR(__xludf.DUMMYFUNCTION("IFERROR(JOIN("","", UNIQUE(filter({U202; W202}, {U202; W202}&lt;&gt;""""))), """")"),"")</f>
        <v/>
      </c>
    </row>
    <row r="203" spans="2:25" ht="13" x14ac:dyDescent="0.15">
      <c r="B203" s="10"/>
      <c r="C203" s="10"/>
      <c r="D203" s="10"/>
      <c r="E203" s="10"/>
      <c r="F203" s="10"/>
      <c r="G203" s="95" t="str">
        <f ca="1">IFERROR(__xludf.DUMMYFUNCTION("IFERROR(JOIN("","", UNIQUE(filter({C203; E203}, {C203; E203}&lt;&gt;""""))), """")"),"")</f>
        <v/>
      </c>
      <c r="H203" s="96"/>
      <c r="I203" s="96"/>
      <c r="J203" s="96"/>
      <c r="K203" s="96"/>
      <c r="L203" s="96"/>
      <c r="M203" s="95" t="str">
        <f ca="1">IFERROR(__xludf.DUMMYFUNCTION("IFERROR(JOIN("","", UNIQUE(filter({I203; K203}, {I203; K203}&lt;&gt;""""))), """")"),"")</f>
        <v/>
      </c>
      <c r="N203" s="98"/>
      <c r="O203" s="98"/>
      <c r="P203" s="98"/>
      <c r="Q203" s="98"/>
      <c r="R203" s="98"/>
      <c r="S203" s="95" t="str">
        <f ca="1">IFERROR(__xludf.DUMMYFUNCTION("IFERROR(JOIN("","", UNIQUE(filter({O203; Q203}, {O203; Q203}&lt;&gt;""""))), """")"),"")</f>
        <v/>
      </c>
      <c r="T203" s="99"/>
      <c r="U203" s="99"/>
      <c r="V203" s="99"/>
      <c r="W203" s="99"/>
      <c r="X203" s="99"/>
      <c r="Y203" s="95" t="str">
        <f ca="1">IFERROR(__xludf.DUMMYFUNCTION("IFERROR(JOIN("","", UNIQUE(filter({U203; W203}, {U203; W203}&lt;&gt;""""))), """")"),"")</f>
        <v/>
      </c>
    </row>
    <row r="204" spans="2:25" ht="13" x14ac:dyDescent="0.15">
      <c r="B204" s="10"/>
      <c r="C204" s="10"/>
      <c r="D204" s="10"/>
      <c r="E204" s="10"/>
      <c r="F204" s="10"/>
      <c r="G204" s="95" t="str">
        <f ca="1">IFERROR(__xludf.DUMMYFUNCTION("IFERROR(JOIN("","", UNIQUE(filter({C204; E204}, {C204; E204}&lt;&gt;""""))), """")"),"")</f>
        <v/>
      </c>
      <c r="H204" s="96"/>
      <c r="I204" s="96"/>
      <c r="J204" s="96"/>
      <c r="K204" s="96"/>
      <c r="L204" s="96"/>
      <c r="M204" s="95" t="str">
        <f ca="1">IFERROR(__xludf.DUMMYFUNCTION("IFERROR(JOIN("","", UNIQUE(filter({I204; K204}, {I204; K204}&lt;&gt;""""))), """")"),"")</f>
        <v/>
      </c>
      <c r="N204" s="98"/>
      <c r="O204" s="98"/>
      <c r="P204" s="98"/>
      <c r="Q204" s="98"/>
      <c r="R204" s="98"/>
      <c r="S204" s="95" t="str">
        <f ca="1">IFERROR(__xludf.DUMMYFUNCTION("IFERROR(JOIN("","", UNIQUE(filter({O204; Q204}, {O204; Q204}&lt;&gt;""""))), """")"),"")</f>
        <v/>
      </c>
      <c r="T204" s="99"/>
      <c r="U204" s="99"/>
      <c r="V204" s="99"/>
      <c r="W204" s="99"/>
      <c r="X204" s="99"/>
      <c r="Y204" s="95" t="str">
        <f ca="1">IFERROR(__xludf.DUMMYFUNCTION("IFERROR(JOIN("","", UNIQUE(filter({U204; W204}, {U204; W204}&lt;&gt;""""))), """")"),"")</f>
        <v/>
      </c>
    </row>
    <row r="205" spans="2:25" ht="13" x14ac:dyDescent="0.15">
      <c r="B205" s="10"/>
      <c r="C205" s="10"/>
      <c r="D205" s="10"/>
      <c r="E205" s="10"/>
      <c r="F205" s="10"/>
      <c r="G205" s="95" t="str">
        <f ca="1">IFERROR(__xludf.DUMMYFUNCTION("IFERROR(JOIN("","", UNIQUE(filter({C205; E205}, {C205; E205}&lt;&gt;""""))), """")"),"")</f>
        <v/>
      </c>
      <c r="H205" s="96"/>
      <c r="I205" s="96"/>
      <c r="J205" s="96"/>
      <c r="K205" s="96"/>
      <c r="L205" s="96"/>
      <c r="M205" s="95" t="str">
        <f ca="1">IFERROR(__xludf.DUMMYFUNCTION("IFERROR(JOIN("","", UNIQUE(filter({I205; K205}, {I205; K205}&lt;&gt;""""))), """")"),"")</f>
        <v/>
      </c>
      <c r="N205" s="98"/>
      <c r="O205" s="98"/>
      <c r="P205" s="98"/>
      <c r="Q205" s="98"/>
      <c r="R205" s="98"/>
      <c r="S205" s="95" t="str">
        <f ca="1">IFERROR(__xludf.DUMMYFUNCTION("IFERROR(JOIN("","", UNIQUE(filter({O205; Q205}, {O205; Q205}&lt;&gt;""""))), """")"),"")</f>
        <v/>
      </c>
      <c r="T205" s="99"/>
      <c r="U205" s="99"/>
      <c r="V205" s="99"/>
      <c r="W205" s="99"/>
      <c r="X205" s="99"/>
      <c r="Y205" s="95" t="str">
        <f ca="1">IFERROR(__xludf.DUMMYFUNCTION("IFERROR(JOIN("","", UNIQUE(filter({U205; W205}, {U205; W205}&lt;&gt;""""))), """")"),"")</f>
        <v/>
      </c>
    </row>
    <row r="206" spans="2:25" ht="13" x14ac:dyDescent="0.15">
      <c r="B206" s="10"/>
      <c r="C206" s="10"/>
      <c r="D206" s="10"/>
      <c r="E206" s="10"/>
      <c r="F206" s="10"/>
      <c r="G206" s="95" t="str">
        <f ca="1">IFERROR(__xludf.DUMMYFUNCTION("IFERROR(JOIN("","", UNIQUE(filter({C206; E206}, {C206; E206}&lt;&gt;""""))), """")"),"")</f>
        <v/>
      </c>
      <c r="H206" s="96"/>
      <c r="I206" s="96"/>
      <c r="J206" s="96"/>
      <c r="K206" s="96"/>
      <c r="L206" s="96"/>
      <c r="M206" s="95" t="str">
        <f ca="1">IFERROR(__xludf.DUMMYFUNCTION("IFERROR(JOIN("","", UNIQUE(filter({I206; K206}, {I206; K206}&lt;&gt;""""))), """")"),"")</f>
        <v/>
      </c>
      <c r="N206" s="98"/>
      <c r="O206" s="98"/>
      <c r="P206" s="98"/>
      <c r="Q206" s="98"/>
      <c r="R206" s="98"/>
      <c r="S206" s="95" t="str">
        <f ca="1">IFERROR(__xludf.DUMMYFUNCTION("IFERROR(JOIN("","", UNIQUE(filter({O206; Q206}, {O206; Q206}&lt;&gt;""""))), """")"),"")</f>
        <v/>
      </c>
      <c r="T206" s="99"/>
      <c r="U206" s="99"/>
      <c r="V206" s="99"/>
      <c r="W206" s="99"/>
      <c r="X206" s="99"/>
      <c r="Y206" s="95" t="str">
        <f ca="1">IFERROR(__xludf.DUMMYFUNCTION("IFERROR(JOIN("","", UNIQUE(filter({U206; W206}, {U206; W206}&lt;&gt;""""))), """")"),"")</f>
        <v/>
      </c>
    </row>
    <row r="207" spans="2:25" ht="13" x14ac:dyDescent="0.15">
      <c r="B207" s="10"/>
      <c r="C207" s="10"/>
      <c r="D207" s="10"/>
      <c r="E207" s="10"/>
      <c r="F207" s="10"/>
      <c r="G207" s="95" t="str">
        <f ca="1">IFERROR(__xludf.DUMMYFUNCTION("IFERROR(JOIN("","", UNIQUE(filter({C207; E207}, {C207; E207}&lt;&gt;""""))), """")"),"")</f>
        <v/>
      </c>
      <c r="H207" s="96"/>
      <c r="I207" s="96"/>
      <c r="J207" s="96"/>
      <c r="K207" s="96"/>
      <c r="L207" s="96"/>
      <c r="M207" s="95" t="str">
        <f ca="1">IFERROR(__xludf.DUMMYFUNCTION("IFERROR(JOIN("","", UNIQUE(filter({I207; K207}, {I207; K207}&lt;&gt;""""))), """")"),"")</f>
        <v/>
      </c>
      <c r="N207" s="98"/>
      <c r="O207" s="98"/>
      <c r="P207" s="98"/>
      <c r="Q207" s="98"/>
      <c r="R207" s="98"/>
      <c r="S207" s="95" t="str">
        <f ca="1">IFERROR(__xludf.DUMMYFUNCTION("IFERROR(JOIN("","", UNIQUE(filter({O207; Q207}, {O207; Q207}&lt;&gt;""""))), """")"),"")</f>
        <v/>
      </c>
      <c r="T207" s="99"/>
      <c r="U207" s="99"/>
      <c r="V207" s="99"/>
      <c r="W207" s="99"/>
      <c r="X207" s="99"/>
      <c r="Y207" s="95" t="str">
        <f ca="1">IFERROR(__xludf.DUMMYFUNCTION("IFERROR(JOIN("","", UNIQUE(filter({U207; W207}, {U207; W207}&lt;&gt;""""))), """")"),"")</f>
        <v/>
      </c>
    </row>
    <row r="208" spans="2:25" ht="13" x14ac:dyDescent="0.15">
      <c r="B208" s="10"/>
      <c r="C208" s="10"/>
      <c r="D208" s="10"/>
      <c r="E208" s="10"/>
      <c r="F208" s="10"/>
      <c r="G208" s="95" t="str">
        <f ca="1">IFERROR(__xludf.DUMMYFUNCTION("IFERROR(JOIN("","", UNIQUE(filter({C208; E208}, {C208; E208}&lt;&gt;""""))), """")"),"")</f>
        <v/>
      </c>
      <c r="H208" s="96"/>
      <c r="I208" s="96"/>
      <c r="J208" s="96"/>
      <c r="K208" s="96"/>
      <c r="L208" s="96"/>
      <c r="M208" s="95" t="str">
        <f ca="1">IFERROR(__xludf.DUMMYFUNCTION("IFERROR(JOIN("","", UNIQUE(filter({I208; K208}, {I208; K208}&lt;&gt;""""))), """")"),"")</f>
        <v/>
      </c>
      <c r="N208" s="98"/>
      <c r="O208" s="98"/>
      <c r="P208" s="98"/>
      <c r="Q208" s="98"/>
      <c r="R208" s="98"/>
      <c r="S208" s="95" t="str">
        <f ca="1">IFERROR(__xludf.DUMMYFUNCTION("IFERROR(JOIN("","", UNIQUE(filter({O208; Q208}, {O208; Q208}&lt;&gt;""""))), """")"),"")</f>
        <v/>
      </c>
      <c r="T208" s="99"/>
      <c r="U208" s="99"/>
      <c r="V208" s="99"/>
      <c r="W208" s="99"/>
      <c r="X208" s="99"/>
      <c r="Y208" s="95" t="str">
        <f ca="1">IFERROR(__xludf.DUMMYFUNCTION("IFERROR(JOIN("","", UNIQUE(filter({U208; W208}, {U208; W208}&lt;&gt;""""))), """")"),"")</f>
        <v/>
      </c>
    </row>
    <row r="209" spans="2:25" ht="13" x14ac:dyDescent="0.15">
      <c r="B209" s="10"/>
      <c r="C209" s="10"/>
      <c r="D209" s="10"/>
      <c r="E209" s="10"/>
      <c r="F209" s="10"/>
      <c r="G209" s="95" t="str">
        <f ca="1">IFERROR(__xludf.DUMMYFUNCTION("IFERROR(JOIN("","", UNIQUE(filter({C209; E209}, {C209; E209}&lt;&gt;""""))), """")"),"")</f>
        <v/>
      </c>
      <c r="H209" s="96"/>
      <c r="I209" s="96"/>
      <c r="J209" s="96"/>
      <c r="K209" s="96"/>
      <c r="L209" s="96"/>
      <c r="M209" s="95" t="str">
        <f ca="1">IFERROR(__xludf.DUMMYFUNCTION("IFERROR(JOIN("","", UNIQUE(filter({I209; K209}, {I209; K209}&lt;&gt;""""))), """")"),"")</f>
        <v/>
      </c>
      <c r="N209" s="98"/>
      <c r="O209" s="98"/>
      <c r="P209" s="98"/>
      <c r="Q209" s="98"/>
      <c r="R209" s="98"/>
      <c r="S209" s="95" t="str">
        <f ca="1">IFERROR(__xludf.DUMMYFUNCTION("IFERROR(JOIN("","", UNIQUE(filter({O209; Q209}, {O209; Q209}&lt;&gt;""""))), """")"),"")</f>
        <v/>
      </c>
      <c r="T209" s="99"/>
      <c r="U209" s="99"/>
      <c r="V209" s="99"/>
      <c r="W209" s="99"/>
      <c r="X209" s="99"/>
      <c r="Y209" s="95" t="str">
        <f ca="1">IFERROR(__xludf.DUMMYFUNCTION("IFERROR(JOIN("","", UNIQUE(filter({U209; W209}, {U209; W209}&lt;&gt;""""))), """")"),"")</f>
        <v/>
      </c>
    </row>
    <row r="210" spans="2:25" ht="13" x14ac:dyDescent="0.15">
      <c r="B210" s="10"/>
      <c r="C210" s="10"/>
      <c r="D210" s="10"/>
      <c r="E210" s="10"/>
      <c r="F210" s="10"/>
      <c r="G210" s="95" t="str">
        <f ca="1">IFERROR(__xludf.DUMMYFUNCTION("IFERROR(JOIN("","", UNIQUE(filter({C210; E210}, {C210; E210}&lt;&gt;""""))), """")"),"")</f>
        <v/>
      </c>
      <c r="H210" s="96"/>
      <c r="I210" s="96"/>
      <c r="J210" s="96"/>
      <c r="K210" s="96"/>
      <c r="L210" s="96"/>
      <c r="M210" s="95" t="str">
        <f ca="1">IFERROR(__xludf.DUMMYFUNCTION("IFERROR(JOIN("","", UNIQUE(filter({I210; K210}, {I210; K210}&lt;&gt;""""))), """")"),"")</f>
        <v/>
      </c>
      <c r="N210" s="98"/>
      <c r="O210" s="98"/>
      <c r="P210" s="98"/>
      <c r="Q210" s="98"/>
      <c r="R210" s="98"/>
      <c r="S210" s="95" t="str">
        <f ca="1">IFERROR(__xludf.DUMMYFUNCTION("IFERROR(JOIN("","", UNIQUE(filter({O210; Q210}, {O210; Q210}&lt;&gt;""""))), """")"),"")</f>
        <v/>
      </c>
      <c r="T210" s="99"/>
      <c r="U210" s="99"/>
      <c r="V210" s="99"/>
      <c r="W210" s="99"/>
      <c r="X210" s="99"/>
      <c r="Y210" s="95" t="str">
        <f ca="1">IFERROR(__xludf.DUMMYFUNCTION("IFERROR(JOIN("","", UNIQUE(filter({U210; W210}, {U210; W210}&lt;&gt;""""))), """")"),"")</f>
        <v/>
      </c>
    </row>
    <row r="211" spans="2:25" ht="13" x14ac:dyDescent="0.15">
      <c r="B211" s="10"/>
      <c r="C211" s="10"/>
      <c r="D211" s="10"/>
      <c r="E211" s="10"/>
      <c r="F211" s="10"/>
      <c r="G211" s="95" t="str">
        <f ca="1">IFERROR(__xludf.DUMMYFUNCTION("IFERROR(JOIN("","", UNIQUE(filter({C211; E211}, {C211; E211}&lt;&gt;""""))), """")"),"")</f>
        <v/>
      </c>
      <c r="H211" s="96"/>
      <c r="I211" s="96"/>
      <c r="J211" s="96"/>
      <c r="K211" s="96"/>
      <c r="L211" s="96"/>
      <c r="M211" s="95" t="str">
        <f ca="1">IFERROR(__xludf.DUMMYFUNCTION("IFERROR(JOIN("","", UNIQUE(filter({I211; K211}, {I211; K211}&lt;&gt;""""))), """")"),"")</f>
        <v/>
      </c>
      <c r="N211" s="98"/>
      <c r="O211" s="98"/>
      <c r="P211" s="98"/>
      <c r="Q211" s="98"/>
      <c r="R211" s="98"/>
      <c r="S211" s="95" t="str">
        <f ca="1">IFERROR(__xludf.DUMMYFUNCTION("IFERROR(JOIN("","", UNIQUE(filter({O211; Q211}, {O211; Q211}&lt;&gt;""""))), """")"),"")</f>
        <v/>
      </c>
      <c r="T211" s="99"/>
      <c r="U211" s="99"/>
      <c r="V211" s="99"/>
      <c r="W211" s="99"/>
      <c r="X211" s="99"/>
      <c r="Y211" s="95" t="str">
        <f ca="1">IFERROR(__xludf.DUMMYFUNCTION("IFERROR(JOIN("","", UNIQUE(filter({U211; W211}, {U211; W211}&lt;&gt;""""))), """")"),"")</f>
        <v/>
      </c>
    </row>
    <row r="212" spans="2:25" ht="13" x14ac:dyDescent="0.15">
      <c r="B212" s="10"/>
      <c r="C212" s="10"/>
      <c r="D212" s="10"/>
      <c r="E212" s="10"/>
      <c r="F212" s="10"/>
      <c r="G212" s="95" t="str">
        <f ca="1">IFERROR(__xludf.DUMMYFUNCTION("IFERROR(JOIN("","", UNIQUE(filter({C212; E212}, {C212; E212}&lt;&gt;""""))), """")"),"")</f>
        <v/>
      </c>
      <c r="H212" s="96"/>
      <c r="I212" s="96"/>
      <c r="J212" s="96"/>
      <c r="K212" s="96"/>
      <c r="L212" s="96"/>
      <c r="M212" s="95" t="str">
        <f ca="1">IFERROR(__xludf.DUMMYFUNCTION("IFERROR(JOIN("","", UNIQUE(filter({I212; K212}, {I212; K212}&lt;&gt;""""))), """")"),"")</f>
        <v/>
      </c>
      <c r="N212" s="98"/>
      <c r="O212" s="98"/>
      <c r="P212" s="98"/>
      <c r="Q212" s="98"/>
      <c r="R212" s="98"/>
      <c r="S212" s="95" t="str">
        <f ca="1">IFERROR(__xludf.DUMMYFUNCTION("IFERROR(JOIN("","", UNIQUE(filter({O212; Q212}, {O212; Q212}&lt;&gt;""""))), """")"),"")</f>
        <v/>
      </c>
      <c r="T212" s="99"/>
      <c r="U212" s="99"/>
      <c r="V212" s="99"/>
      <c r="W212" s="99"/>
      <c r="X212" s="99"/>
      <c r="Y212" s="95" t="str">
        <f ca="1">IFERROR(__xludf.DUMMYFUNCTION("IFERROR(JOIN("","", UNIQUE(filter({U212; W212}, {U212; W212}&lt;&gt;""""))), """")"),"")</f>
        <v/>
      </c>
    </row>
    <row r="213" spans="2:25" ht="13" x14ac:dyDescent="0.15">
      <c r="B213" s="10"/>
      <c r="C213" s="10"/>
      <c r="D213" s="10"/>
      <c r="E213" s="10"/>
      <c r="F213" s="10"/>
      <c r="G213" s="95" t="str">
        <f ca="1">IFERROR(__xludf.DUMMYFUNCTION("IFERROR(JOIN("","", UNIQUE(filter({C213; E213}, {C213; E213}&lt;&gt;""""))), """")"),"")</f>
        <v/>
      </c>
      <c r="H213" s="96"/>
      <c r="I213" s="96"/>
      <c r="J213" s="96"/>
      <c r="K213" s="96"/>
      <c r="L213" s="96"/>
      <c r="M213" s="95" t="str">
        <f ca="1">IFERROR(__xludf.DUMMYFUNCTION("IFERROR(JOIN("","", UNIQUE(filter({I213; K213}, {I213; K213}&lt;&gt;""""))), """")"),"")</f>
        <v/>
      </c>
      <c r="N213" s="98"/>
      <c r="O213" s="98"/>
      <c r="P213" s="98"/>
      <c r="Q213" s="98"/>
      <c r="R213" s="98"/>
      <c r="S213" s="95" t="str">
        <f ca="1">IFERROR(__xludf.DUMMYFUNCTION("IFERROR(JOIN("","", UNIQUE(filter({O213; Q213}, {O213; Q213}&lt;&gt;""""))), """")"),"")</f>
        <v/>
      </c>
      <c r="T213" s="99"/>
      <c r="U213" s="99"/>
      <c r="V213" s="99"/>
      <c r="W213" s="99"/>
      <c r="X213" s="99"/>
      <c r="Y213" s="95" t="str">
        <f ca="1">IFERROR(__xludf.DUMMYFUNCTION("IFERROR(JOIN("","", UNIQUE(filter({U213; W213}, {U213; W213}&lt;&gt;""""))), """")"),"")</f>
        <v/>
      </c>
    </row>
    <row r="214" spans="2:25" ht="13" x14ac:dyDescent="0.15">
      <c r="B214" s="10"/>
      <c r="C214" s="10"/>
      <c r="D214" s="10"/>
      <c r="E214" s="10"/>
      <c r="F214" s="10"/>
      <c r="G214" s="95" t="str">
        <f ca="1">IFERROR(__xludf.DUMMYFUNCTION("IFERROR(JOIN("","", UNIQUE(filter({C214; E214}, {C214; E214}&lt;&gt;""""))), """")"),"")</f>
        <v/>
      </c>
      <c r="H214" s="96"/>
      <c r="I214" s="96"/>
      <c r="J214" s="96"/>
      <c r="K214" s="96"/>
      <c r="L214" s="96"/>
      <c r="M214" s="95" t="str">
        <f ca="1">IFERROR(__xludf.DUMMYFUNCTION("IFERROR(JOIN("","", UNIQUE(filter({I214; K214}, {I214; K214}&lt;&gt;""""))), """")"),"")</f>
        <v/>
      </c>
      <c r="N214" s="98"/>
      <c r="O214" s="98"/>
      <c r="P214" s="98"/>
      <c r="Q214" s="98"/>
      <c r="R214" s="98"/>
      <c r="S214" s="95" t="str">
        <f ca="1">IFERROR(__xludf.DUMMYFUNCTION("IFERROR(JOIN("","", UNIQUE(filter({O214; Q214}, {O214; Q214}&lt;&gt;""""))), """")"),"")</f>
        <v/>
      </c>
      <c r="T214" s="99"/>
      <c r="U214" s="99"/>
      <c r="V214" s="99"/>
      <c r="W214" s="99"/>
      <c r="X214" s="99"/>
      <c r="Y214" s="95" t="str">
        <f ca="1">IFERROR(__xludf.DUMMYFUNCTION("IFERROR(JOIN("","", UNIQUE(filter({U214; W214}, {U214; W214}&lt;&gt;""""))), """")"),"")</f>
        <v/>
      </c>
    </row>
    <row r="215" spans="2:25" ht="13" x14ac:dyDescent="0.15">
      <c r="B215" s="10"/>
      <c r="C215" s="10"/>
      <c r="D215" s="10"/>
      <c r="E215" s="10"/>
      <c r="F215" s="10"/>
      <c r="G215" s="95" t="str">
        <f ca="1">IFERROR(__xludf.DUMMYFUNCTION("IFERROR(JOIN("","", UNIQUE(filter({C215; E215}, {C215; E215}&lt;&gt;""""))), """")"),"")</f>
        <v/>
      </c>
      <c r="H215" s="96"/>
      <c r="I215" s="96"/>
      <c r="J215" s="96"/>
      <c r="K215" s="96"/>
      <c r="L215" s="96"/>
      <c r="M215" s="95" t="str">
        <f ca="1">IFERROR(__xludf.DUMMYFUNCTION("IFERROR(JOIN("","", UNIQUE(filter({I215; K215}, {I215; K215}&lt;&gt;""""))), """")"),"")</f>
        <v/>
      </c>
      <c r="N215" s="98"/>
      <c r="O215" s="98"/>
      <c r="P215" s="98"/>
      <c r="Q215" s="98"/>
      <c r="R215" s="98"/>
      <c r="S215" s="95" t="str">
        <f ca="1">IFERROR(__xludf.DUMMYFUNCTION("IFERROR(JOIN("","", UNIQUE(filter({O215; Q215}, {O215; Q215}&lt;&gt;""""))), """")"),"")</f>
        <v/>
      </c>
      <c r="T215" s="99"/>
      <c r="U215" s="99"/>
      <c r="V215" s="99"/>
      <c r="W215" s="99"/>
      <c r="X215" s="99"/>
      <c r="Y215" s="95" t="str">
        <f ca="1">IFERROR(__xludf.DUMMYFUNCTION("IFERROR(JOIN("","", UNIQUE(filter({U215; W215}, {U215; W215}&lt;&gt;""""))), """")"),"")</f>
        <v/>
      </c>
    </row>
    <row r="216" spans="2:25" ht="13" x14ac:dyDescent="0.15">
      <c r="B216" s="10"/>
      <c r="C216" s="10"/>
      <c r="D216" s="10"/>
      <c r="E216" s="10"/>
      <c r="F216" s="10"/>
      <c r="G216" s="95" t="str">
        <f ca="1">IFERROR(__xludf.DUMMYFUNCTION("IFERROR(JOIN("","", UNIQUE(filter({C216; E216}, {C216; E216}&lt;&gt;""""))), """")"),"")</f>
        <v/>
      </c>
      <c r="H216" s="96"/>
      <c r="I216" s="96"/>
      <c r="J216" s="96"/>
      <c r="K216" s="96"/>
      <c r="L216" s="96"/>
      <c r="M216" s="95" t="str">
        <f ca="1">IFERROR(__xludf.DUMMYFUNCTION("IFERROR(JOIN("","", UNIQUE(filter({I216; K216}, {I216; K216}&lt;&gt;""""))), """")"),"")</f>
        <v/>
      </c>
      <c r="N216" s="98"/>
      <c r="O216" s="98"/>
      <c r="P216" s="98"/>
      <c r="Q216" s="98"/>
      <c r="R216" s="98"/>
      <c r="S216" s="95" t="str">
        <f ca="1">IFERROR(__xludf.DUMMYFUNCTION("IFERROR(JOIN("","", UNIQUE(filter({O216; Q216}, {O216; Q216}&lt;&gt;""""))), """")"),"")</f>
        <v/>
      </c>
      <c r="T216" s="99"/>
      <c r="U216" s="99"/>
      <c r="V216" s="99"/>
      <c r="W216" s="99"/>
      <c r="X216" s="99"/>
      <c r="Y216" s="95" t="str">
        <f ca="1">IFERROR(__xludf.DUMMYFUNCTION("IFERROR(JOIN("","", UNIQUE(filter({U216; W216}, {U216; W216}&lt;&gt;""""))), """")"),"")</f>
        <v/>
      </c>
    </row>
    <row r="217" spans="2:25" ht="13" x14ac:dyDescent="0.15">
      <c r="B217" s="10"/>
      <c r="C217" s="10"/>
      <c r="D217" s="10"/>
      <c r="E217" s="10"/>
      <c r="F217" s="10"/>
      <c r="G217" s="95" t="str">
        <f ca="1">IFERROR(__xludf.DUMMYFUNCTION("IFERROR(JOIN("","", UNIQUE(filter({C217; E217}, {C217; E217}&lt;&gt;""""))), """")"),"")</f>
        <v/>
      </c>
      <c r="H217" s="96"/>
      <c r="I217" s="96"/>
      <c r="J217" s="96"/>
      <c r="K217" s="96"/>
      <c r="L217" s="96"/>
      <c r="M217" s="95" t="str">
        <f ca="1">IFERROR(__xludf.DUMMYFUNCTION("IFERROR(JOIN("","", UNIQUE(filter({I217; K217}, {I217; K217}&lt;&gt;""""))), """")"),"")</f>
        <v/>
      </c>
      <c r="N217" s="98"/>
      <c r="O217" s="98"/>
      <c r="P217" s="98"/>
      <c r="Q217" s="98"/>
      <c r="R217" s="98"/>
      <c r="S217" s="95" t="str">
        <f ca="1">IFERROR(__xludf.DUMMYFUNCTION("IFERROR(JOIN("","", UNIQUE(filter({O217; Q217}, {O217; Q217}&lt;&gt;""""))), """")"),"")</f>
        <v/>
      </c>
      <c r="T217" s="99"/>
      <c r="U217" s="99"/>
      <c r="V217" s="99"/>
      <c r="W217" s="99"/>
      <c r="X217" s="99"/>
      <c r="Y217" s="95" t="str">
        <f ca="1">IFERROR(__xludf.DUMMYFUNCTION("IFERROR(JOIN("","", UNIQUE(filter({U217; W217}, {U217; W217}&lt;&gt;""""))), """")"),"")</f>
        <v/>
      </c>
    </row>
    <row r="218" spans="2:25" ht="13" x14ac:dyDescent="0.15">
      <c r="B218" s="10"/>
      <c r="C218" s="10"/>
      <c r="D218" s="10"/>
      <c r="E218" s="10"/>
      <c r="F218" s="10"/>
      <c r="G218" s="95" t="str">
        <f ca="1">IFERROR(__xludf.DUMMYFUNCTION("IFERROR(JOIN("","", UNIQUE(filter({C218; E218}, {C218; E218}&lt;&gt;""""))), """")"),"")</f>
        <v/>
      </c>
      <c r="H218" s="96"/>
      <c r="I218" s="96"/>
      <c r="J218" s="96"/>
      <c r="K218" s="96"/>
      <c r="L218" s="96"/>
      <c r="M218" s="95" t="str">
        <f ca="1">IFERROR(__xludf.DUMMYFUNCTION("IFERROR(JOIN("","", UNIQUE(filter({I218; K218}, {I218; K218}&lt;&gt;""""))), """")"),"")</f>
        <v/>
      </c>
      <c r="N218" s="98"/>
      <c r="O218" s="98"/>
      <c r="P218" s="98"/>
      <c r="Q218" s="98"/>
      <c r="R218" s="98"/>
      <c r="S218" s="95" t="str">
        <f ca="1">IFERROR(__xludf.DUMMYFUNCTION("IFERROR(JOIN("","", UNIQUE(filter({O218; Q218}, {O218; Q218}&lt;&gt;""""))), """")"),"")</f>
        <v/>
      </c>
      <c r="T218" s="99"/>
      <c r="U218" s="99"/>
      <c r="V218" s="99"/>
      <c r="W218" s="99"/>
      <c r="X218" s="99"/>
      <c r="Y218" s="95" t="str">
        <f ca="1">IFERROR(__xludf.DUMMYFUNCTION("IFERROR(JOIN("","", UNIQUE(filter({U218; W218}, {U218; W218}&lt;&gt;""""))), """")"),"")</f>
        <v/>
      </c>
    </row>
    <row r="219" spans="2:25" ht="13" x14ac:dyDescent="0.15">
      <c r="B219" s="10"/>
      <c r="C219" s="10"/>
      <c r="D219" s="10"/>
      <c r="E219" s="10"/>
      <c r="F219" s="10"/>
      <c r="G219" s="95" t="str">
        <f ca="1">IFERROR(__xludf.DUMMYFUNCTION("IFERROR(JOIN("","", UNIQUE(filter({C219; E219}, {C219; E219}&lt;&gt;""""))), """")"),"")</f>
        <v/>
      </c>
      <c r="H219" s="96"/>
      <c r="I219" s="96"/>
      <c r="J219" s="96"/>
      <c r="K219" s="96"/>
      <c r="L219" s="96"/>
      <c r="M219" s="95" t="str">
        <f ca="1">IFERROR(__xludf.DUMMYFUNCTION("IFERROR(JOIN("","", UNIQUE(filter({I219; K219}, {I219; K219}&lt;&gt;""""))), """")"),"")</f>
        <v/>
      </c>
      <c r="N219" s="98"/>
      <c r="O219" s="98"/>
      <c r="P219" s="98"/>
      <c r="Q219" s="98"/>
      <c r="R219" s="98"/>
      <c r="S219" s="95" t="str">
        <f ca="1">IFERROR(__xludf.DUMMYFUNCTION("IFERROR(JOIN("","", UNIQUE(filter({O219; Q219}, {O219; Q219}&lt;&gt;""""))), """")"),"")</f>
        <v/>
      </c>
      <c r="T219" s="99"/>
      <c r="U219" s="99"/>
      <c r="V219" s="99"/>
      <c r="W219" s="99"/>
      <c r="X219" s="99"/>
      <c r="Y219" s="95" t="str">
        <f ca="1">IFERROR(__xludf.DUMMYFUNCTION("IFERROR(JOIN("","", UNIQUE(filter({U219; W219}, {U219; W219}&lt;&gt;""""))), """")"),"")</f>
        <v/>
      </c>
    </row>
    <row r="220" spans="2:25" ht="13" x14ac:dyDescent="0.15">
      <c r="B220" s="10"/>
      <c r="C220" s="10"/>
      <c r="D220" s="10"/>
      <c r="E220" s="10"/>
      <c r="F220" s="10"/>
      <c r="G220" s="95" t="str">
        <f ca="1">IFERROR(__xludf.DUMMYFUNCTION("IFERROR(JOIN("","", UNIQUE(filter({C220; E220}, {C220; E220}&lt;&gt;""""))), """")"),"")</f>
        <v/>
      </c>
      <c r="H220" s="96"/>
      <c r="I220" s="96"/>
      <c r="J220" s="96"/>
      <c r="K220" s="96"/>
      <c r="L220" s="96"/>
      <c r="M220" s="95" t="str">
        <f ca="1">IFERROR(__xludf.DUMMYFUNCTION("IFERROR(JOIN("","", UNIQUE(filter({I220; K220}, {I220; K220}&lt;&gt;""""))), """")"),"")</f>
        <v/>
      </c>
      <c r="N220" s="98"/>
      <c r="O220" s="98"/>
      <c r="P220" s="98"/>
      <c r="Q220" s="98"/>
      <c r="R220" s="98"/>
      <c r="S220" s="95" t="str">
        <f ca="1">IFERROR(__xludf.DUMMYFUNCTION("IFERROR(JOIN("","", UNIQUE(filter({O220; Q220}, {O220; Q220}&lt;&gt;""""))), """")"),"")</f>
        <v/>
      </c>
      <c r="T220" s="99"/>
      <c r="U220" s="99"/>
      <c r="V220" s="99"/>
      <c r="W220" s="99"/>
      <c r="X220" s="99"/>
      <c r="Y220" s="95" t="str">
        <f ca="1">IFERROR(__xludf.DUMMYFUNCTION("IFERROR(JOIN("","", UNIQUE(filter({U220; W220}, {U220; W220}&lt;&gt;""""))), """")"),"")</f>
        <v/>
      </c>
    </row>
    <row r="221" spans="2:25" ht="13" x14ac:dyDescent="0.15">
      <c r="B221" s="10"/>
      <c r="C221" s="10"/>
      <c r="D221" s="10"/>
      <c r="E221" s="10"/>
      <c r="F221" s="10"/>
      <c r="G221" s="95" t="str">
        <f ca="1">IFERROR(__xludf.DUMMYFUNCTION("IFERROR(JOIN("","", UNIQUE(filter({C221; E221}, {C221; E221}&lt;&gt;""""))), """")"),"")</f>
        <v/>
      </c>
      <c r="H221" s="96"/>
      <c r="I221" s="96"/>
      <c r="J221" s="96"/>
      <c r="K221" s="96"/>
      <c r="L221" s="96"/>
      <c r="M221" s="95" t="str">
        <f ca="1">IFERROR(__xludf.DUMMYFUNCTION("IFERROR(JOIN("","", UNIQUE(filter({I221; K221}, {I221; K221}&lt;&gt;""""))), """")"),"")</f>
        <v/>
      </c>
      <c r="N221" s="98"/>
      <c r="O221" s="98"/>
      <c r="P221" s="98"/>
      <c r="Q221" s="98"/>
      <c r="R221" s="98"/>
      <c r="S221" s="95" t="str">
        <f ca="1">IFERROR(__xludf.DUMMYFUNCTION("IFERROR(JOIN("","", UNIQUE(filter({O221; Q221}, {O221; Q221}&lt;&gt;""""))), """")"),"")</f>
        <v/>
      </c>
      <c r="T221" s="99"/>
      <c r="U221" s="99"/>
      <c r="V221" s="99"/>
      <c r="W221" s="99"/>
      <c r="X221" s="99"/>
      <c r="Y221" s="95" t="str">
        <f ca="1">IFERROR(__xludf.DUMMYFUNCTION("IFERROR(JOIN("","", UNIQUE(filter({U221; W221}, {U221; W221}&lt;&gt;""""))), """")"),"")</f>
        <v/>
      </c>
    </row>
    <row r="222" spans="2:25" ht="13" x14ac:dyDescent="0.15">
      <c r="B222" s="10"/>
      <c r="C222" s="10"/>
      <c r="D222" s="10"/>
      <c r="E222" s="10"/>
      <c r="F222" s="10"/>
      <c r="G222" s="95" t="str">
        <f ca="1">IFERROR(__xludf.DUMMYFUNCTION("IFERROR(JOIN("","", UNIQUE(filter({C222; E222}, {C222; E222}&lt;&gt;""""))), """")"),"")</f>
        <v/>
      </c>
      <c r="H222" s="96"/>
      <c r="I222" s="96"/>
      <c r="J222" s="96"/>
      <c r="K222" s="96"/>
      <c r="L222" s="96"/>
      <c r="M222" s="95" t="str">
        <f ca="1">IFERROR(__xludf.DUMMYFUNCTION("IFERROR(JOIN("","", UNIQUE(filter({I222; K222}, {I222; K222}&lt;&gt;""""))), """")"),"")</f>
        <v/>
      </c>
      <c r="N222" s="98"/>
      <c r="O222" s="98"/>
      <c r="P222" s="98"/>
      <c r="Q222" s="98"/>
      <c r="R222" s="98"/>
      <c r="S222" s="95" t="str">
        <f ca="1">IFERROR(__xludf.DUMMYFUNCTION("IFERROR(JOIN("","", UNIQUE(filter({O222; Q222}, {O222; Q222}&lt;&gt;""""))), """")"),"")</f>
        <v/>
      </c>
      <c r="T222" s="99"/>
      <c r="U222" s="99"/>
      <c r="V222" s="99"/>
      <c r="W222" s="99"/>
      <c r="X222" s="99"/>
      <c r="Y222" s="95" t="str">
        <f ca="1">IFERROR(__xludf.DUMMYFUNCTION("IFERROR(JOIN("","", UNIQUE(filter({U222; W222}, {U222; W222}&lt;&gt;""""))), """")"),"")</f>
        <v/>
      </c>
    </row>
    <row r="223" spans="2:25" ht="13" x14ac:dyDescent="0.15">
      <c r="B223" s="10"/>
      <c r="C223" s="10"/>
      <c r="D223" s="10"/>
      <c r="E223" s="10"/>
      <c r="F223" s="10"/>
      <c r="G223" s="95" t="str">
        <f ca="1">IFERROR(__xludf.DUMMYFUNCTION("IFERROR(JOIN("","", UNIQUE(filter({C223; E223}, {C223; E223}&lt;&gt;""""))), """")"),"")</f>
        <v/>
      </c>
      <c r="H223" s="96"/>
      <c r="I223" s="96"/>
      <c r="J223" s="96"/>
      <c r="K223" s="96"/>
      <c r="L223" s="96"/>
      <c r="M223" s="95" t="str">
        <f ca="1">IFERROR(__xludf.DUMMYFUNCTION("IFERROR(JOIN("","", UNIQUE(filter({I223; K223}, {I223; K223}&lt;&gt;""""))), """")"),"")</f>
        <v/>
      </c>
      <c r="N223" s="98"/>
      <c r="O223" s="98"/>
      <c r="P223" s="98"/>
      <c r="Q223" s="98"/>
      <c r="R223" s="98"/>
      <c r="S223" s="95" t="str">
        <f ca="1">IFERROR(__xludf.DUMMYFUNCTION("IFERROR(JOIN("","", UNIQUE(filter({O223; Q223}, {O223; Q223}&lt;&gt;""""))), """")"),"")</f>
        <v/>
      </c>
      <c r="T223" s="99"/>
      <c r="U223" s="99"/>
      <c r="V223" s="99"/>
      <c r="W223" s="99"/>
      <c r="X223" s="99"/>
      <c r="Y223" s="95" t="str">
        <f ca="1">IFERROR(__xludf.DUMMYFUNCTION("IFERROR(JOIN("","", UNIQUE(filter({U223; W223}, {U223; W223}&lt;&gt;""""))), """")"),"")</f>
        <v/>
      </c>
    </row>
    <row r="224" spans="2:25" ht="13" x14ac:dyDescent="0.15">
      <c r="B224" s="10"/>
      <c r="C224" s="10"/>
      <c r="D224" s="10"/>
      <c r="E224" s="10"/>
      <c r="F224" s="10"/>
      <c r="G224" s="95" t="str">
        <f ca="1">IFERROR(__xludf.DUMMYFUNCTION("IFERROR(JOIN("","", UNIQUE(filter({C224; E224}, {C224; E224}&lt;&gt;""""))), """")"),"")</f>
        <v/>
      </c>
      <c r="H224" s="96"/>
      <c r="I224" s="96"/>
      <c r="J224" s="96"/>
      <c r="K224" s="96"/>
      <c r="L224" s="96"/>
      <c r="M224" s="95" t="str">
        <f ca="1">IFERROR(__xludf.DUMMYFUNCTION("IFERROR(JOIN("","", UNIQUE(filter({I224; K224}, {I224; K224}&lt;&gt;""""))), """")"),"")</f>
        <v/>
      </c>
      <c r="N224" s="98"/>
      <c r="O224" s="98"/>
      <c r="P224" s="98"/>
      <c r="Q224" s="98"/>
      <c r="R224" s="98"/>
      <c r="S224" s="95" t="str">
        <f ca="1">IFERROR(__xludf.DUMMYFUNCTION("IFERROR(JOIN("","", UNIQUE(filter({O224; Q224}, {O224; Q224}&lt;&gt;""""))), """")"),"")</f>
        <v/>
      </c>
      <c r="T224" s="99"/>
      <c r="U224" s="99"/>
      <c r="V224" s="99"/>
      <c r="W224" s="99"/>
      <c r="X224" s="99"/>
      <c r="Y224" s="95" t="str">
        <f ca="1">IFERROR(__xludf.DUMMYFUNCTION("IFERROR(JOIN("","", UNIQUE(filter({U224; W224}, {U224; W224}&lt;&gt;""""))), """")"),"")</f>
        <v/>
      </c>
    </row>
    <row r="225" spans="2:25" ht="13" x14ac:dyDescent="0.15">
      <c r="B225" s="10"/>
      <c r="C225" s="10"/>
      <c r="D225" s="10"/>
      <c r="E225" s="10"/>
      <c r="F225" s="10"/>
      <c r="G225" s="95" t="str">
        <f ca="1">IFERROR(__xludf.DUMMYFUNCTION("IFERROR(JOIN("","", UNIQUE(filter({C225; E225}, {C225; E225}&lt;&gt;""""))), """")"),"")</f>
        <v/>
      </c>
      <c r="H225" s="96"/>
      <c r="I225" s="96"/>
      <c r="J225" s="96"/>
      <c r="K225" s="96"/>
      <c r="L225" s="96"/>
      <c r="M225" s="95" t="str">
        <f ca="1">IFERROR(__xludf.DUMMYFUNCTION("IFERROR(JOIN("","", UNIQUE(filter({I225; K225}, {I225; K225}&lt;&gt;""""))), """")"),"")</f>
        <v/>
      </c>
      <c r="N225" s="98"/>
      <c r="O225" s="98"/>
      <c r="P225" s="98"/>
      <c r="Q225" s="98"/>
      <c r="R225" s="98"/>
      <c r="S225" s="95" t="str">
        <f ca="1">IFERROR(__xludf.DUMMYFUNCTION("IFERROR(JOIN("","", UNIQUE(filter({O225; Q225}, {O225; Q225}&lt;&gt;""""))), """")"),"")</f>
        <v/>
      </c>
      <c r="T225" s="99"/>
      <c r="U225" s="99"/>
      <c r="V225" s="99"/>
      <c r="W225" s="99"/>
      <c r="X225" s="99"/>
      <c r="Y225" s="95" t="str">
        <f ca="1">IFERROR(__xludf.DUMMYFUNCTION("IFERROR(JOIN("","", UNIQUE(filter({U225; W225}, {U225; W225}&lt;&gt;""""))), """")"),"")</f>
        <v/>
      </c>
    </row>
    <row r="226" spans="2:25" ht="13" x14ac:dyDescent="0.15">
      <c r="B226" s="10"/>
      <c r="C226" s="10"/>
      <c r="D226" s="10"/>
      <c r="E226" s="10"/>
      <c r="F226" s="10"/>
      <c r="G226" s="95" t="str">
        <f ca="1">IFERROR(__xludf.DUMMYFUNCTION("IFERROR(JOIN("","", UNIQUE(filter({C226; E226}, {C226; E226}&lt;&gt;""""))), """")"),"")</f>
        <v/>
      </c>
      <c r="H226" s="96"/>
      <c r="I226" s="96"/>
      <c r="J226" s="96"/>
      <c r="K226" s="96"/>
      <c r="L226" s="96"/>
      <c r="M226" s="95" t="str">
        <f ca="1">IFERROR(__xludf.DUMMYFUNCTION("IFERROR(JOIN("","", UNIQUE(filter({I226; K226}, {I226; K226}&lt;&gt;""""))), """")"),"")</f>
        <v/>
      </c>
      <c r="N226" s="98"/>
      <c r="O226" s="98"/>
      <c r="P226" s="98"/>
      <c r="Q226" s="98"/>
      <c r="R226" s="98"/>
      <c r="S226" s="95" t="str">
        <f ca="1">IFERROR(__xludf.DUMMYFUNCTION("IFERROR(JOIN("","", UNIQUE(filter({O226; Q226}, {O226; Q226}&lt;&gt;""""))), """")"),"")</f>
        <v/>
      </c>
      <c r="T226" s="99"/>
      <c r="U226" s="99"/>
      <c r="V226" s="99"/>
      <c r="W226" s="99"/>
      <c r="X226" s="99"/>
      <c r="Y226" s="95" t="str">
        <f ca="1">IFERROR(__xludf.DUMMYFUNCTION("IFERROR(JOIN("","", UNIQUE(filter({U226; W226}, {U226; W226}&lt;&gt;""""))), """")"),"")</f>
        <v/>
      </c>
    </row>
    <row r="227" spans="2:25" ht="13" x14ac:dyDescent="0.15">
      <c r="B227" s="10"/>
      <c r="C227" s="10"/>
      <c r="D227" s="10"/>
      <c r="E227" s="10"/>
      <c r="F227" s="10"/>
      <c r="G227" s="95" t="str">
        <f ca="1">IFERROR(__xludf.DUMMYFUNCTION("IFERROR(JOIN("","", UNIQUE(filter({C227; E227}, {C227; E227}&lt;&gt;""""))), """")"),"")</f>
        <v/>
      </c>
      <c r="H227" s="96"/>
      <c r="I227" s="96"/>
      <c r="J227" s="96"/>
      <c r="K227" s="96"/>
      <c r="L227" s="96"/>
      <c r="M227" s="95" t="str">
        <f ca="1">IFERROR(__xludf.DUMMYFUNCTION("IFERROR(JOIN("","", UNIQUE(filter({I227; K227}, {I227; K227}&lt;&gt;""""))), """")"),"")</f>
        <v/>
      </c>
      <c r="N227" s="98"/>
      <c r="O227" s="98"/>
      <c r="P227" s="98"/>
      <c r="Q227" s="98"/>
      <c r="R227" s="98"/>
      <c r="S227" s="95" t="str">
        <f ca="1">IFERROR(__xludf.DUMMYFUNCTION("IFERROR(JOIN("","", UNIQUE(filter({O227; Q227}, {O227; Q227}&lt;&gt;""""))), """")"),"")</f>
        <v/>
      </c>
      <c r="T227" s="99"/>
      <c r="U227" s="99"/>
      <c r="V227" s="99"/>
      <c r="W227" s="99"/>
      <c r="X227" s="99"/>
      <c r="Y227" s="95" t="str">
        <f ca="1">IFERROR(__xludf.DUMMYFUNCTION("IFERROR(JOIN("","", UNIQUE(filter({U227; W227}, {U227; W227}&lt;&gt;""""))), """")"),"")</f>
        <v/>
      </c>
    </row>
    <row r="228" spans="2:25" ht="13" x14ac:dyDescent="0.15">
      <c r="B228" s="10"/>
      <c r="C228" s="10"/>
      <c r="D228" s="10"/>
      <c r="E228" s="10"/>
      <c r="F228" s="10"/>
      <c r="G228" s="95" t="str">
        <f ca="1">IFERROR(__xludf.DUMMYFUNCTION("IFERROR(JOIN("","", UNIQUE(filter({C228; E228}, {C228; E228}&lt;&gt;""""))), """")"),"")</f>
        <v/>
      </c>
      <c r="H228" s="96"/>
      <c r="I228" s="96"/>
      <c r="J228" s="96"/>
      <c r="K228" s="96"/>
      <c r="L228" s="96"/>
      <c r="M228" s="95" t="str">
        <f ca="1">IFERROR(__xludf.DUMMYFUNCTION("IFERROR(JOIN("","", UNIQUE(filter({I228; K228}, {I228; K228}&lt;&gt;""""))), """")"),"")</f>
        <v/>
      </c>
      <c r="N228" s="98"/>
      <c r="O228" s="98"/>
      <c r="P228" s="98"/>
      <c r="Q228" s="98"/>
      <c r="R228" s="98"/>
      <c r="S228" s="95" t="str">
        <f ca="1">IFERROR(__xludf.DUMMYFUNCTION("IFERROR(JOIN("","", UNIQUE(filter({O228; Q228}, {O228; Q228}&lt;&gt;""""))), """")"),"")</f>
        <v/>
      </c>
      <c r="T228" s="99"/>
      <c r="U228" s="99"/>
      <c r="V228" s="99"/>
      <c r="W228" s="99"/>
      <c r="X228" s="99"/>
      <c r="Y228" s="95" t="str">
        <f ca="1">IFERROR(__xludf.DUMMYFUNCTION("IFERROR(JOIN("","", UNIQUE(filter({U228; W228}, {U228; W228}&lt;&gt;""""))), """")"),"")</f>
        <v/>
      </c>
    </row>
    <row r="229" spans="2:25" ht="13" x14ac:dyDescent="0.15">
      <c r="B229" s="10"/>
      <c r="C229" s="10"/>
      <c r="D229" s="10"/>
      <c r="E229" s="10"/>
      <c r="F229" s="10"/>
      <c r="G229" s="95" t="str">
        <f ca="1">IFERROR(__xludf.DUMMYFUNCTION("IFERROR(JOIN("","", UNIQUE(filter({C229; E229}, {C229; E229}&lt;&gt;""""))), """")"),"")</f>
        <v/>
      </c>
      <c r="H229" s="96"/>
      <c r="I229" s="96"/>
      <c r="J229" s="96"/>
      <c r="K229" s="96"/>
      <c r="L229" s="96"/>
      <c r="M229" s="95" t="str">
        <f ca="1">IFERROR(__xludf.DUMMYFUNCTION("IFERROR(JOIN("","", UNIQUE(filter({I229; K229}, {I229; K229}&lt;&gt;""""))), """")"),"")</f>
        <v/>
      </c>
      <c r="N229" s="98"/>
      <c r="O229" s="98"/>
      <c r="P229" s="98"/>
      <c r="Q229" s="98"/>
      <c r="R229" s="98"/>
      <c r="S229" s="95" t="str">
        <f ca="1">IFERROR(__xludf.DUMMYFUNCTION("IFERROR(JOIN("","", UNIQUE(filter({O229; Q229}, {O229; Q229}&lt;&gt;""""))), """")"),"")</f>
        <v/>
      </c>
      <c r="T229" s="99"/>
      <c r="U229" s="99"/>
      <c r="V229" s="99"/>
      <c r="W229" s="99"/>
      <c r="X229" s="99"/>
      <c r="Y229" s="95" t="str">
        <f ca="1">IFERROR(__xludf.DUMMYFUNCTION("IFERROR(JOIN("","", UNIQUE(filter({U229; W229}, {U229; W229}&lt;&gt;""""))), """")"),"")</f>
        <v/>
      </c>
    </row>
    <row r="230" spans="2:25" ht="13" x14ac:dyDescent="0.15">
      <c r="B230" s="10"/>
      <c r="C230" s="10"/>
      <c r="D230" s="10"/>
      <c r="E230" s="10"/>
      <c r="F230" s="10"/>
      <c r="G230" s="95" t="str">
        <f ca="1">IFERROR(__xludf.DUMMYFUNCTION("IFERROR(JOIN("","", UNIQUE(filter({C230; E230}, {C230; E230}&lt;&gt;""""))), """")"),"")</f>
        <v/>
      </c>
      <c r="H230" s="96"/>
      <c r="I230" s="96"/>
      <c r="J230" s="96"/>
      <c r="K230" s="96"/>
      <c r="L230" s="96"/>
      <c r="M230" s="95" t="str">
        <f ca="1">IFERROR(__xludf.DUMMYFUNCTION("IFERROR(JOIN("","", UNIQUE(filter({I230; K230}, {I230; K230}&lt;&gt;""""))), """")"),"")</f>
        <v/>
      </c>
      <c r="N230" s="98"/>
      <c r="O230" s="98"/>
      <c r="P230" s="98"/>
      <c r="Q230" s="98"/>
      <c r="R230" s="98"/>
      <c r="S230" s="95" t="str">
        <f ca="1">IFERROR(__xludf.DUMMYFUNCTION("IFERROR(JOIN("","", UNIQUE(filter({O230; Q230}, {O230; Q230}&lt;&gt;""""))), """")"),"")</f>
        <v/>
      </c>
      <c r="T230" s="99"/>
      <c r="U230" s="99"/>
      <c r="V230" s="99"/>
      <c r="W230" s="99"/>
      <c r="X230" s="99"/>
      <c r="Y230" s="95" t="str">
        <f ca="1">IFERROR(__xludf.DUMMYFUNCTION("IFERROR(JOIN("","", UNIQUE(filter({U230; W230}, {U230; W230}&lt;&gt;""""))), """")"),"")</f>
        <v/>
      </c>
    </row>
    <row r="231" spans="2:25" ht="13" x14ac:dyDescent="0.15">
      <c r="B231" s="10"/>
      <c r="C231" s="10"/>
      <c r="D231" s="10"/>
      <c r="E231" s="10"/>
      <c r="F231" s="10"/>
      <c r="G231" s="95" t="str">
        <f ca="1">IFERROR(__xludf.DUMMYFUNCTION("IFERROR(JOIN("","", UNIQUE(filter({C231; E231}, {C231; E231}&lt;&gt;""""))), """")"),"")</f>
        <v/>
      </c>
      <c r="H231" s="96"/>
      <c r="I231" s="96"/>
      <c r="J231" s="96"/>
      <c r="K231" s="96"/>
      <c r="L231" s="96"/>
      <c r="M231" s="95" t="str">
        <f ca="1">IFERROR(__xludf.DUMMYFUNCTION("IFERROR(JOIN("","", UNIQUE(filter({I231; K231}, {I231; K231}&lt;&gt;""""))), """")"),"")</f>
        <v/>
      </c>
      <c r="N231" s="98"/>
      <c r="O231" s="98"/>
      <c r="P231" s="98"/>
      <c r="Q231" s="98"/>
      <c r="R231" s="98"/>
      <c r="S231" s="95" t="str">
        <f ca="1">IFERROR(__xludf.DUMMYFUNCTION("IFERROR(JOIN("","", UNIQUE(filter({O231; Q231}, {O231; Q231}&lt;&gt;""""))), """")"),"")</f>
        <v/>
      </c>
      <c r="T231" s="99"/>
      <c r="U231" s="99"/>
      <c r="V231" s="99"/>
      <c r="W231" s="99"/>
      <c r="X231" s="99"/>
      <c r="Y231" s="95" t="str">
        <f ca="1">IFERROR(__xludf.DUMMYFUNCTION("IFERROR(JOIN("","", UNIQUE(filter({U231; W231}, {U231; W231}&lt;&gt;""""))), """")"),"")</f>
        <v/>
      </c>
    </row>
    <row r="232" spans="2:25" ht="13" x14ac:dyDescent="0.15">
      <c r="B232" s="10"/>
      <c r="C232" s="10"/>
      <c r="D232" s="10"/>
      <c r="E232" s="10"/>
      <c r="F232" s="10"/>
      <c r="G232" s="95" t="str">
        <f ca="1">IFERROR(__xludf.DUMMYFUNCTION("IFERROR(JOIN("","", UNIQUE(filter({C232; E232}, {C232; E232}&lt;&gt;""""))), """")"),"")</f>
        <v/>
      </c>
      <c r="H232" s="96"/>
      <c r="I232" s="96"/>
      <c r="J232" s="96"/>
      <c r="K232" s="96"/>
      <c r="L232" s="96"/>
      <c r="M232" s="95" t="str">
        <f ca="1">IFERROR(__xludf.DUMMYFUNCTION("IFERROR(JOIN("","", UNIQUE(filter({I232; K232}, {I232; K232}&lt;&gt;""""))), """")"),"")</f>
        <v/>
      </c>
      <c r="N232" s="98"/>
      <c r="O232" s="98"/>
      <c r="P232" s="98"/>
      <c r="Q232" s="98"/>
      <c r="R232" s="98"/>
      <c r="S232" s="95" t="str">
        <f ca="1">IFERROR(__xludf.DUMMYFUNCTION("IFERROR(JOIN("","", UNIQUE(filter({O232; Q232}, {O232; Q232}&lt;&gt;""""))), """")"),"")</f>
        <v/>
      </c>
      <c r="T232" s="99"/>
      <c r="U232" s="99"/>
      <c r="V232" s="99"/>
      <c r="W232" s="99"/>
      <c r="X232" s="99"/>
      <c r="Y232" s="95" t="str">
        <f ca="1">IFERROR(__xludf.DUMMYFUNCTION("IFERROR(JOIN("","", UNIQUE(filter({U232; W232}, {U232; W232}&lt;&gt;""""))), """")"),"")</f>
        <v/>
      </c>
    </row>
    <row r="233" spans="2:25" ht="13" x14ac:dyDescent="0.15">
      <c r="B233" s="10"/>
      <c r="C233" s="10"/>
      <c r="D233" s="10"/>
      <c r="E233" s="10"/>
      <c r="F233" s="10"/>
      <c r="G233" s="95" t="str">
        <f ca="1">IFERROR(__xludf.DUMMYFUNCTION("IFERROR(JOIN("","", UNIQUE(filter({C233; E233}, {C233; E233}&lt;&gt;""""))), """")"),"")</f>
        <v/>
      </c>
      <c r="H233" s="96"/>
      <c r="I233" s="96"/>
      <c r="J233" s="96"/>
      <c r="K233" s="96"/>
      <c r="L233" s="96"/>
      <c r="M233" s="95" t="str">
        <f ca="1">IFERROR(__xludf.DUMMYFUNCTION("IFERROR(JOIN("","", UNIQUE(filter({I233; K233}, {I233; K233}&lt;&gt;""""))), """")"),"")</f>
        <v/>
      </c>
      <c r="N233" s="98"/>
      <c r="O233" s="98"/>
      <c r="P233" s="98"/>
      <c r="Q233" s="98"/>
      <c r="R233" s="98"/>
      <c r="S233" s="95" t="str">
        <f ca="1">IFERROR(__xludf.DUMMYFUNCTION("IFERROR(JOIN("","", UNIQUE(filter({O233; Q233}, {O233; Q233}&lt;&gt;""""))), """")"),"")</f>
        <v/>
      </c>
      <c r="T233" s="99"/>
      <c r="U233" s="99"/>
      <c r="V233" s="99"/>
      <c r="W233" s="99"/>
      <c r="X233" s="99"/>
      <c r="Y233" s="95" t="str">
        <f ca="1">IFERROR(__xludf.DUMMYFUNCTION("IFERROR(JOIN("","", UNIQUE(filter({U233; W233}, {U233; W233}&lt;&gt;""""))), """")"),"")</f>
        <v/>
      </c>
    </row>
    <row r="234" spans="2:25" ht="13" x14ac:dyDescent="0.15">
      <c r="B234" s="10"/>
      <c r="C234" s="10"/>
      <c r="D234" s="10"/>
      <c r="E234" s="10"/>
      <c r="F234" s="10"/>
      <c r="G234" s="95" t="str">
        <f ca="1">IFERROR(__xludf.DUMMYFUNCTION("IFERROR(JOIN("","", UNIQUE(filter({C234; E234}, {C234; E234}&lt;&gt;""""))), """")"),"")</f>
        <v/>
      </c>
      <c r="H234" s="96"/>
      <c r="I234" s="96"/>
      <c r="J234" s="96"/>
      <c r="K234" s="96"/>
      <c r="L234" s="96"/>
      <c r="M234" s="95" t="str">
        <f ca="1">IFERROR(__xludf.DUMMYFUNCTION("IFERROR(JOIN("","", UNIQUE(filter({I234; K234}, {I234; K234}&lt;&gt;""""))), """")"),"")</f>
        <v/>
      </c>
      <c r="N234" s="98"/>
      <c r="O234" s="98"/>
      <c r="P234" s="98"/>
      <c r="Q234" s="98"/>
      <c r="R234" s="98"/>
      <c r="S234" s="95" t="str">
        <f ca="1">IFERROR(__xludf.DUMMYFUNCTION("IFERROR(JOIN("","", UNIQUE(filter({O234; Q234}, {O234; Q234}&lt;&gt;""""))), """")"),"")</f>
        <v/>
      </c>
      <c r="T234" s="99"/>
      <c r="U234" s="99"/>
      <c r="V234" s="99"/>
      <c r="W234" s="99"/>
      <c r="X234" s="99"/>
      <c r="Y234" s="95" t="str">
        <f ca="1">IFERROR(__xludf.DUMMYFUNCTION("IFERROR(JOIN("","", UNIQUE(filter({U234; W234}, {U234; W234}&lt;&gt;""""))), """")"),"")</f>
        <v/>
      </c>
    </row>
    <row r="235" spans="2:25" ht="13" x14ac:dyDescent="0.15">
      <c r="B235" s="10"/>
      <c r="C235" s="10"/>
      <c r="D235" s="10"/>
      <c r="E235" s="10"/>
      <c r="F235" s="10"/>
      <c r="G235" s="95" t="str">
        <f ca="1">IFERROR(__xludf.DUMMYFUNCTION("IFERROR(JOIN("","", UNIQUE(filter({C235; E235}, {C235; E235}&lt;&gt;""""))), """")"),"")</f>
        <v/>
      </c>
      <c r="H235" s="96"/>
      <c r="I235" s="96"/>
      <c r="J235" s="96"/>
      <c r="K235" s="96"/>
      <c r="L235" s="96"/>
      <c r="M235" s="95" t="str">
        <f ca="1">IFERROR(__xludf.DUMMYFUNCTION("IFERROR(JOIN("","", UNIQUE(filter({I235; K235}, {I235; K235}&lt;&gt;""""))), """")"),"")</f>
        <v/>
      </c>
      <c r="N235" s="98"/>
      <c r="O235" s="98"/>
      <c r="P235" s="98"/>
      <c r="Q235" s="98"/>
      <c r="R235" s="98"/>
      <c r="S235" s="95" t="str">
        <f ca="1">IFERROR(__xludf.DUMMYFUNCTION("IFERROR(JOIN("","", UNIQUE(filter({O235; Q235}, {O235; Q235}&lt;&gt;""""))), """")"),"")</f>
        <v/>
      </c>
      <c r="T235" s="99"/>
      <c r="U235" s="99"/>
      <c r="V235" s="99"/>
      <c r="W235" s="99"/>
      <c r="X235" s="99"/>
      <c r="Y235" s="95" t="str">
        <f ca="1">IFERROR(__xludf.DUMMYFUNCTION("IFERROR(JOIN("","", UNIQUE(filter({U235; W235}, {U235; W235}&lt;&gt;""""))), """")"),"")</f>
        <v/>
      </c>
    </row>
    <row r="236" spans="2:25" ht="13" x14ac:dyDescent="0.15">
      <c r="B236" s="10"/>
      <c r="C236" s="10"/>
      <c r="D236" s="10"/>
      <c r="E236" s="10"/>
      <c r="F236" s="10"/>
      <c r="G236" s="95" t="str">
        <f ca="1">IFERROR(__xludf.DUMMYFUNCTION("IFERROR(JOIN("","", UNIQUE(filter({C236; E236}, {C236; E236}&lt;&gt;""""))), """")"),"")</f>
        <v/>
      </c>
      <c r="H236" s="96"/>
      <c r="I236" s="96"/>
      <c r="J236" s="96"/>
      <c r="K236" s="96"/>
      <c r="L236" s="96"/>
      <c r="M236" s="95" t="str">
        <f ca="1">IFERROR(__xludf.DUMMYFUNCTION("IFERROR(JOIN("","", UNIQUE(filter({I236; K236}, {I236; K236}&lt;&gt;""""))), """")"),"")</f>
        <v/>
      </c>
      <c r="N236" s="98"/>
      <c r="O236" s="98"/>
      <c r="P236" s="98"/>
      <c r="Q236" s="98"/>
      <c r="R236" s="98"/>
      <c r="S236" s="95" t="str">
        <f ca="1">IFERROR(__xludf.DUMMYFUNCTION("IFERROR(JOIN("","", UNIQUE(filter({O236; Q236}, {O236; Q236}&lt;&gt;""""))), """")"),"")</f>
        <v/>
      </c>
      <c r="T236" s="99"/>
      <c r="U236" s="99"/>
      <c r="V236" s="99"/>
      <c r="W236" s="99"/>
      <c r="X236" s="99"/>
      <c r="Y236" s="95" t="str">
        <f ca="1">IFERROR(__xludf.DUMMYFUNCTION("IFERROR(JOIN("","", UNIQUE(filter({U236; W236}, {U236; W236}&lt;&gt;""""))), """")"),"")</f>
        <v/>
      </c>
    </row>
    <row r="237" spans="2:25" ht="13" x14ac:dyDescent="0.15">
      <c r="B237" s="10"/>
      <c r="C237" s="10"/>
      <c r="D237" s="10"/>
      <c r="E237" s="10"/>
      <c r="F237" s="10"/>
      <c r="G237" s="95" t="str">
        <f ca="1">IFERROR(__xludf.DUMMYFUNCTION("IFERROR(JOIN("","", UNIQUE(filter({C237; E237}, {C237; E237}&lt;&gt;""""))), """")"),"")</f>
        <v/>
      </c>
      <c r="H237" s="96"/>
      <c r="I237" s="96"/>
      <c r="J237" s="96"/>
      <c r="K237" s="96"/>
      <c r="L237" s="96"/>
      <c r="M237" s="95" t="str">
        <f ca="1">IFERROR(__xludf.DUMMYFUNCTION("IFERROR(JOIN("","", UNIQUE(filter({I237; K237}, {I237; K237}&lt;&gt;""""))), """")"),"")</f>
        <v/>
      </c>
      <c r="N237" s="98"/>
      <c r="O237" s="98"/>
      <c r="P237" s="98"/>
      <c r="Q237" s="98"/>
      <c r="R237" s="98"/>
      <c r="S237" s="95" t="str">
        <f ca="1">IFERROR(__xludf.DUMMYFUNCTION("IFERROR(JOIN("","", UNIQUE(filter({O237; Q237}, {O237; Q237}&lt;&gt;""""))), """")"),"")</f>
        <v/>
      </c>
      <c r="T237" s="99"/>
      <c r="U237" s="99"/>
      <c r="V237" s="99"/>
      <c r="W237" s="99"/>
      <c r="X237" s="99"/>
      <c r="Y237" s="95" t="str">
        <f ca="1">IFERROR(__xludf.DUMMYFUNCTION("IFERROR(JOIN("","", UNIQUE(filter({U237; W237}, {U237; W237}&lt;&gt;""""))), """")"),"")</f>
        <v/>
      </c>
    </row>
    <row r="238" spans="2:25" ht="13" x14ac:dyDescent="0.15">
      <c r="B238" s="10"/>
      <c r="C238" s="10"/>
      <c r="D238" s="10"/>
      <c r="E238" s="10"/>
      <c r="F238" s="10"/>
      <c r="G238" s="95" t="str">
        <f ca="1">IFERROR(__xludf.DUMMYFUNCTION("IFERROR(JOIN("","", UNIQUE(filter({C238; E238}, {C238; E238}&lt;&gt;""""))), """")"),"")</f>
        <v/>
      </c>
      <c r="H238" s="96"/>
      <c r="I238" s="96"/>
      <c r="J238" s="96"/>
      <c r="K238" s="96"/>
      <c r="L238" s="96"/>
      <c r="M238" s="95" t="str">
        <f ca="1">IFERROR(__xludf.DUMMYFUNCTION("IFERROR(JOIN("","", UNIQUE(filter({I238; K238}, {I238; K238}&lt;&gt;""""))), """")"),"")</f>
        <v/>
      </c>
      <c r="N238" s="98"/>
      <c r="O238" s="98"/>
      <c r="P238" s="98"/>
      <c r="Q238" s="98"/>
      <c r="R238" s="98"/>
      <c r="S238" s="95" t="str">
        <f ca="1">IFERROR(__xludf.DUMMYFUNCTION("IFERROR(JOIN("","", UNIQUE(filter({O238; Q238}, {O238; Q238}&lt;&gt;""""))), """")"),"")</f>
        <v/>
      </c>
      <c r="T238" s="99"/>
      <c r="U238" s="99"/>
      <c r="V238" s="99"/>
      <c r="W238" s="99"/>
      <c r="X238" s="99"/>
      <c r="Y238" s="95" t="str">
        <f ca="1">IFERROR(__xludf.DUMMYFUNCTION("IFERROR(JOIN("","", UNIQUE(filter({U238; W238}, {U238; W238}&lt;&gt;""""))), """")"),"")</f>
        <v/>
      </c>
    </row>
    <row r="239" spans="2:25" ht="13" x14ac:dyDescent="0.15">
      <c r="B239" s="10"/>
      <c r="C239" s="10"/>
      <c r="D239" s="10"/>
      <c r="E239" s="10"/>
      <c r="F239" s="10"/>
      <c r="G239" s="95" t="str">
        <f ca="1">IFERROR(__xludf.DUMMYFUNCTION("IFERROR(JOIN("","", UNIQUE(filter({C239; E239}, {C239; E239}&lt;&gt;""""))), """")"),"")</f>
        <v/>
      </c>
      <c r="H239" s="96"/>
      <c r="I239" s="96"/>
      <c r="J239" s="96"/>
      <c r="K239" s="96"/>
      <c r="L239" s="96"/>
      <c r="M239" s="95" t="str">
        <f ca="1">IFERROR(__xludf.DUMMYFUNCTION("IFERROR(JOIN("","", UNIQUE(filter({I239; K239}, {I239; K239}&lt;&gt;""""))), """")"),"")</f>
        <v/>
      </c>
      <c r="N239" s="98"/>
      <c r="O239" s="98"/>
      <c r="P239" s="98"/>
      <c r="Q239" s="98"/>
      <c r="R239" s="98"/>
      <c r="S239" s="95" t="str">
        <f ca="1">IFERROR(__xludf.DUMMYFUNCTION("IFERROR(JOIN("","", UNIQUE(filter({O239; Q239}, {O239; Q239}&lt;&gt;""""))), """")"),"")</f>
        <v/>
      </c>
      <c r="T239" s="99"/>
      <c r="U239" s="99"/>
      <c r="V239" s="99"/>
      <c r="W239" s="99"/>
      <c r="X239" s="99"/>
      <c r="Y239" s="95" t="str">
        <f ca="1">IFERROR(__xludf.DUMMYFUNCTION("IFERROR(JOIN("","", UNIQUE(filter({U239; W239}, {U239; W239}&lt;&gt;""""))), """")"),"")</f>
        <v/>
      </c>
    </row>
    <row r="240" spans="2:25" ht="13" x14ac:dyDescent="0.15">
      <c r="B240" s="10"/>
      <c r="C240" s="10"/>
      <c r="D240" s="10"/>
      <c r="E240" s="10"/>
      <c r="F240" s="10"/>
      <c r="G240" s="95" t="str">
        <f ca="1">IFERROR(__xludf.DUMMYFUNCTION("IFERROR(JOIN("","", UNIQUE(filter({C240; E240}, {C240; E240}&lt;&gt;""""))), """")"),"")</f>
        <v/>
      </c>
      <c r="H240" s="96"/>
      <c r="I240" s="96"/>
      <c r="J240" s="96"/>
      <c r="K240" s="96"/>
      <c r="L240" s="96"/>
      <c r="M240" s="95" t="str">
        <f ca="1">IFERROR(__xludf.DUMMYFUNCTION("IFERROR(JOIN("","", UNIQUE(filter({I240; K240}, {I240; K240}&lt;&gt;""""))), """")"),"")</f>
        <v/>
      </c>
      <c r="N240" s="98"/>
      <c r="O240" s="98"/>
      <c r="P240" s="98"/>
      <c r="Q240" s="98"/>
      <c r="R240" s="98"/>
      <c r="S240" s="95" t="str">
        <f ca="1">IFERROR(__xludf.DUMMYFUNCTION("IFERROR(JOIN("","", UNIQUE(filter({O240; Q240}, {O240; Q240}&lt;&gt;""""))), """")"),"")</f>
        <v/>
      </c>
      <c r="T240" s="99"/>
      <c r="U240" s="99"/>
      <c r="V240" s="99"/>
      <c r="W240" s="99"/>
      <c r="X240" s="99"/>
      <c r="Y240" s="95" t="str">
        <f ca="1">IFERROR(__xludf.DUMMYFUNCTION("IFERROR(JOIN("","", UNIQUE(filter({U240; W240}, {U240; W240}&lt;&gt;""""))), """")"),"")</f>
        <v/>
      </c>
    </row>
    <row r="241" spans="2:25" ht="13" x14ac:dyDescent="0.15">
      <c r="B241" s="10"/>
      <c r="C241" s="10"/>
      <c r="D241" s="10"/>
      <c r="E241" s="10"/>
      <c r="F241" s="10"/>
      <c r="G241" s="95" t="str">
        <f ca="1">IFERROR(__xludf.DUMMYFUNCTION("IFERROR(JOIN("","", UNIQUE(filter({C241; E241}, {C241; E241}&lt;&gt;""""))), """")"),"")</f>
        <v/>
      </c>
      <c r="H241" s="96"/>
      <c r="I241" s="96"/>
      <c r="J241" s="96"/>
      <c r="K241" s="96"/>
      <c r="L241" s="96"/>
      <c r="M241" s="95" t="str">
        <f ca="1">IFERROR(__xludf.DUMMYFUNCTION("IFERROR(JOIN("","", UNIQUE(filter({I241; K241}, {I241; K241}&lt;&gt;""""))), """")"),"")</f>
        <v/>
      </c>
      <c r="N241" s="98"/>
      <c r="O241" s="98"/>
      <c r="P241" s="98"/>
      <c r="Q241" s="98"/>
      <c r="R241" s="98"/>
      <c r="S241" s="95" t="str">
        <f ca="1">IFERROR(__xludf.DUMMYFUNCTION("IFERROR(JOIN("","", UNIQUE(filter({O241; Q241}, {O241; Q241}&lt;&gt;""""))), """")"),"")</f>
        <v/>
      </c>
      <c r="T241" s="99"/>
      <c r="U241" s="99"/>
      <c r="V241" s="99"/>
      <c r="W241" s="99"/>
      <c r="X241" s="99"/>
      <c r="Y241" s="95" t="str">
        <f ca="1">IFERROR(__xludf.DUMMYFUNCTION("IFERROR(JOIN("","", UNIQUE(filter({U241; W241}, {U241; W241}&lt;&gt;""""))), """")"),"")</f>
        <v/>
      </c>
    </row>
    <row r="242" spans="2:25" ht="13" x14ac:dyDescent="0.15">
      <c r="B242" s="10"/>
      <c r="C242" s="10"/>
      <c r="D242" s="10"/>
      <c r="E242" s="10"/>
      <c r="F242" s="10"/>
      <c r="G242" s="95" t="str">
        <f ca="1">IFERROR(__xludf.DUMMYFUNCTION("IFERROR(JOIN("","", UNIQUE(filter({C242; E242}, {C242; E242}&lt;&gt;""""))), """")"),"")</f>
        <v/>
      </c>
      <c r="H242" s="96"/>
      <c r="I242" s="96"/>
      <c r="J242" s="96"/>
      <c r="K242" s="96"/>
      <c r="L242" s="96"/>
      <c r="M242" s="95" t="str">
        <f ca="1">IFERROR(__xludf.DUMMYFUNCTION("IFERROR(JOIN("","", UNIQUE(filter({I242; K242}, {I242; K242}&lt;&gt;""""))), """")"),"")</f>
        <v/>
      </c>
      <c r="N242" s="98"/>
      <c r="O242" s="98"/>
      <c r="P242" s="98"/>
      <c r="Q242" s="98"/>
      <c r="R242" s="98"/>
      <c r="S242" s="95" t="str">
        <f ca="1">IFERROR(__xludf.DUMMYFUNCTION("IFERROR(JOIN("","", UNIQUE(filter({O242; Q242}, {O242; Q242}&lt;&gt;""""))), """")"),"")</f>
        <v/>
      </c>
      <c r="T242" s="99"/>
      <c r="U242" s="99"/>
      <c r="V242" s="99"/>
      <c r="W242" s="99"/>
      <c r="X242" s="99"/>
      <c r="Y242" s="95" t="str">
        <f ca="1">IFERROR(__xludf.DUMMYFUNCTION("IFERROR(JOIN("","", UNIQUE(filter({U242; W242}, {U242; W242}&lt;&gt;""""))), """")"),"")</f>
        <v/>
      </c>
    </row>
    <row r="243" spans="2:25" ht="13" x14ac:dyDescent="0.15">
      <c r="B243" s="10"/>
      <c r="C243" s="10"/>
      <c r="D243" s="10"/>
      <c r="E243" s="10"/>
      <c r="F243" s="10"/>
      <c r="G243" s="95" t="str">
        <f ca="1">IFERROR(__xludf.DUMMYFUNCTION("IFERROR(JOIN("","", UNIQUE(filter({C243; E243}, {C243; E243}&lt;&gt;""""))), """")"),"")</f>
        <v/>
      </c>
      <c r="H243" s="96"/>
      <c r="I243" s="96"/>
      <c r="J243" s="96"/>
      <c r="K243" s="96"/>
      <c r="L243" s="96"/>
      <c r="M243" s="95" t="str">
        <f ca="1">IFERROR(__xludf.DUMMYFUNCTION("IFERROR(JOIN("","", UNIQUE(filter({I243; K243}, {I243; K243}&lt;&gt;""""))), """")"),"")</f>
        <v/>
      </c>
      <c r="N243" s="98"/>
      <c r="O243" s="98"/>
      <c r="P243" s="98"/>
      <c r="Q243" s="98"/>
      <c r="R243" s="98"/>
      <c r="S243" s="95" t="str">
        <f ca="1">IFERROR(__xludf.DUMMYFUNCTION("IFERROR(JOIN("","", UNIQUE(filter({O243; Q243}, {O243; Q243}&lt;&gt;""""))), """")"),"")</f>
        <v/>
      </c>
      <c r="T243" s="99"/>
      <c r="U243" s="99"/>
      <c r="V243" s="99"/>
      <c r="W243" s="99"/>
      <c r="X243" s="99"/>
      <c r="Y243" s="95" t="str">
        <f ca="1">IFERROR(__xludf.DUMMYFUNCTION("IFERROR(JOIN("","", UNIQUE(filter({U243; W243}, {U243; W243}&lt;&gt;""""))), """")"),"")</f>
        <v/>
      </c>
    </row>
    <row r="244" spans="2:25" ht="13" x14ac:dyDescent="0.15">
      <c r="B244" s="10"/>
      <c r="C244" s="10"/>
      <c r="D244" s="10"/>
      <c r="E244" s="10"/>
      <c r="F244" s="10"/>
      <c r="G244" s="95" t="str">
        <f ca="1">IFERROR(__xludf.DUMMYFUNCTION("IFERROR(JOIN("","", UNIQUE(filter({C244; E244}, {C244; E244}&lt;&gt;""""))), """")"),"")</f>
        <v/>
      </c>
      <c r="H244" s="96"/>
      <c r="I244" s="96"/>
      <c r="J244" s="96"/>
      <c r="K244" s="96"/>
      <c r="L244" s="96"/>
      <c r="M244" s="95" t="str">
        <f ca="1">IFERROR(__xludf.DUMMYFUNCTION("IFERROR(JOIN("","", UNIQUE(filter({I244; K244}, {I244; K244}&lt;&gt;""""))), """")"),"")</f>
        <v/>
      </c>
      <c r="N244" s="98"/>
      <c r="O244" s="98"/>
      <c r="P244" s="98"/>
      <c r="Q244" s="98"/>
      <c r="R244" s="98"/>
      <c r="S244" s="95" t="str">
        <f ca="1">IFERROR(__xludf.DUMMYFUNCTION("IFERROR(JOIN("","", UNIQUE(filter({O244; Q244}, {O244; Q244}&lt;&gt;""""))), """")"),"")</f>
        <v/>
      </c>
      <c r="T244" s="99"/>
      <c r="U244" s="99"/>
      <c r="V244" s="99"/>
      <c r="W244" s="99"/>
      <c r="X244" s="99"/>
      <c r="Y244" s="95" t="str">
        <f ca="1">IFERROR(__xludf.DUMMYFUNCTION("IFERROR(JOIN("","", UNIQUE(filter({U244; W244}, {U244; W244}&lt;&gt;""""))), """")"),"")</f>
        <v/>
      </c>
    </row>
    <row r="245" spans="2:25" ht="13" x14ac:dyDescent="0.15">
      <c r="B245" s="10"/>
      <c r="C245" s="10"/>
      <c r="D245" s="10"/>
      <c r="E245" s="10"/>
      <c r="F245" s="10"/>
      <c r="G245" s="95" t="str">
        <f ca="1">IFERROR(__xludf.DUMMYFUNCTION("IFERROR(JOIN("","", UNIQUE(filter({C245; E245}, {C245; E245}&lt;&gt;""""))), """")"),"")</f>
        <v/>
      </c>
      <c r="H245" s="96"/>
      <c r="I245" s="96"/>
      <c r="J245" s="96"/>
      <c r="K245" s="96"/>
      <c r="L245" s="96"/>
      <c r="M245" s="95" t="str">
        <f ca="1">IFERROR(__xludf.DUMMYFUNCTION("IFERROR(JOIN("","", UNIQUE(filter({I245; K245}, {I245; K245}&lt;&gt;""""))), """")"),"")</f>
        <v/>
      </c>
      <c r="N245" s="98"/>
      <c r="O245" s="98"/>
      <c r="P245" s="98"/>
      <c r="Q245" s="98"/>
      <c r="R245" s="98"/>
      <c r="S245" s="95" t="str">
        <f ca="1">IFERROR(__xludf.DUMMYFUNCTION("IFERROR(JOIN("","", UNIQUE(filter({O245; Q245}, {O245; Q245}&lt;&gt;""""))), """")"),"")</f>
        <v/>
      </c>
      <c r="T245" s="99"/>
      <c r="U245" s="99"/>
      <c r="V245" s="99"/>
      <c r="W245" s="99"/>
      <c r="X245" s="99"/>
      <c r="Y245" s="95" t="str">
        <f ca="1">IFERROR(__xludf.DUMMYFUNCTION("IFERROR(JOIN("","", UNIQUE(filter({U245; W245}, {U245; W245}&lt;&gt;""""))), """")"),"")</f>
        <v/>
      </c>
    </row>
    <row r="246" spans="2:25" ht="13" x14ac:dyDescent="0.15">
      <c r="B246" s="10"/>
      <c r="C246" s="10"/>
      <c r="D246" s="10"/>
      <c r="E246" s="10"/>
      <c r="F246" s="10"/>
      <c r="G246" s="95" t="str">
        <f ca="1">IFERROR(__xludf.DUMMYFUNCTION("IFERROR(JOIN("","", UNIQUE(filter({C246; E246}, {C246; E246}&lt;&gt;""""))), """")"),"")</f>
        <v/>
      </c>
      <c r="H246" s="96"/>
      <c r="I246" s="96"/>
      <c r="J246" s="96"/>
      <c r="K246" s="96"/>
      <c r="L246" s="96"/>
      <c r="M246" s="95" t="str">
        <f ca="1">IFERROR(__xludf.DUMMYFUNCTION("IFERROR(JOIN("","", UNIQUE(filter({I246; K246}, {I246; K246}&lt;&gt;""""))), """")"),"")</f>
        <v/>
      </c>
      <c r="N246" s="98"/>
      <c r="O246" s="98"/>
      <c r="P246" s="98"/>
      <c r="Q246" s="98"/>
      <c r="R246" s="98"/>
      <c r="S246" s="95" t="str">
        <f ca="1">IFERROR(__xludf.DUMMYFUNCTION("IFERROR(JOIN("","", UNIQUE(filter({O246; Q246}, {O246; Q246}&lt;&gt;""""))), """")"),"")</f>
        <v/>
      </c>
      <c r="T246" s="99"/>
      <c r="U246" s="99"/>
      <c r="V246" s="99"/>
      <c r="W246" s="99"/>
      <c r="X246" s="99"/>
      <c r="Y246" s="95" t="str">
        <f ca="1">IFERROR(__xludf.DUMMYFUNCTION("IFERROR(JOIN("","", UNIQUE(filter({U246; W246}, {U246; W246}&lt;&gt;""""))), """")"),"")</f>
        <v/>
      </c>
    </row>
    <row r="247" spans="2:25" ht="13" x14ac:dyDescent="0.15">
      <c r="B247" s="10"/>
      <c r="C247" s="10"/>
      <c r="D247" s="10"/>
      <c r="E247" s="10"/>
      <c r="F247" s="10"/>
      <c r="G247" s="95" t="str">
        <f ca="1">IFERROR(__xludf.DUMMYFUNCTION("IFERROR(JOIN("","", UNIQUE(filter({C247; E247}, {C247; E247}&lt;&gt;""""))), """")"),"")</f>
        <v/>
      </c>
      <c r="H247" s="96"/>
      <c r="I247" s="96"/>
      <c r="J247" s="96"/>
      <c r="K247" s="96"/>
      <c r="L247" s="96"/>
      <c r="M247" s="95" t="str">
        <f ca="1">IFERROR(__xludf.DUMMYFUNCTION("IFERROR(JOIN("","", UNIQUE(filter({I247; K247}, {I247; K247}&lt;&gt;""""))), """")"),"")</f>
        <v/>
      </c>
      <c r="N247" s="98"/>
      <c r="O247" s="98"/>
      <c r="P247" s="98"/>
      <c r="Q247" s="98"/>
      <c r="R247" s="98"/>
      <c r="S247" s="95" t="str">
        <f ca="1">IFERROR(__xludf.DUMMYFUNCTION("IFERROR(JOIN("","", UNIQUE(filter({O247; Q247}, {O247; Q247}&lt;&gt;""""))), """")"),"")</f>
        <v/>
      </c>
      <c r="T247" s="99"/>
      <c r="U247" s="99"/>
      <c r="V247" s="99"/>
      <c r="W247" s="99"/>
      <c r="X247" s="99"/>
      <c r="Y247" s="95" t="str">
        <f ca="1">IFERROR(__xludf.DUMMYFUNCTION("IFERROR(JOIN("","", UNIQUE(filter({U247; W247}, {U247; W247}&lt;&gt;""""))), """")"),"")</f>
        <v/>
      </c>
    </row>
    <row r="248" spans="2:25" ht="13" x14ac:dyDescent="0.15">
      <c r="B248" s="10"/>
      <c r="C248" s="10"/>
      <c r="D248" s="10"/>
      <c r="E248" s="10"/>
      <c r="F248" s="10"/>
      <c r="G248" s="95" t="str">
        <f ca="1">IFERROR(__xludf.DUMMYFUNCTION("IFERROR(JOIN("","", UNIQUE(filter({C248; E248}, {C248; E248}&lt;&gt;""""))), """")"),"")</f>
        <v/>
      </c>
      <c r="H248" s="96"/>
      <c r="I248" s="96"/>
      <c r="J248" s="96"/>
      <c r="K248" s="96"/>
      <c r="L248" s="96"/>
      <c r="M248" s="95" t="str">
        <f ca="1">IFERROR(__xludf.DUMMYFUNCTION("IFERROR(JOIN("","", UNIQUE(filter({I248; K248}, {I248; K248}&lt;&gt;""""))), """")"),"")</f>
        <v/>
      </c>
      <c r="N248" s="98"/>
      <c r="O248" s="98"/>
      <c r="P248" s="98"/>
      <c r="Q248" s="98"/>
      <c r="R248" s="98"/>
      <c r="S248" s="95" t="str">
        <f ca="1">IFERROR(__xludf.DUMMYFUNCTION("IFERROR(JOIN("","", UNIQUE(filter({O248; Q248}, {O248; Q248}&lt;&gt;""""))), """")"),"")</f>
        <v/>
      </c>
      <c r="T248" s="99"/>
      <c r="U248" s="99"/>
      <c r="V248" s="99"/>
      <c r="W248" s="99"/>
      <c r="X248" s="99"/>
      <c r="Y248" s="95" t="str">
        <f ca="1">IFERROR(__xludf.DUMMYFUNCTION("IFERROR(JOIN("","", UNIQUE(filter({U248; W248}, {U248; W248}&lt;&gt;""""))), """")"),"")</f>
        <v/>
      </c>
    </row>
    <row r="249" spans="2:25" ht="13" x14ac:dyDescent="0.15">
      <c r="B249" s="10"/>
      <c r="C249" s="10"/>
      <c r="D249" s="10"/>
      <c r="E249" s="10"/>
      <c r="F249" s="10"/>
      <c r="G249" s="95" t="str">
        <f ca="1">IFERROR(__xludf.DUMMYFUNCTION("IFERROR(JOIN("","", UNIQUE(filter({C249; E249}, {C249; E249}&lt;&gt;""""))), """")"),"")</f>
        <v/>
      </c>
      <c r="H249" s="96"/>
      <c r="I249" s="96"/>
      <c r="J249" s="96"/>
      <c r="K249" s="96"/>
      <c r="L249" s="96"/>
      <c r="M249" s="95" t="str">
        <f ca="1">IFERROR(__xludf.DUMMYFUNCTION("IFERROR(JOIN("","", UNIQUE(filter({I249; K249}, {I249; K249}&lt;&gt;""""))), """")"),"")</f>
        <v/>
      </c>
      <c r="N249" s="98"/>
      <c r="O249" s="98"/>
      <c r="P249" s="98"/>
      <c r="Q249" s="98"/>
      <c r="R249" s="98"/>
      <c r="S249" s="95" t="str">
        <f ca="1">IFERROR(__xludf.DUMMYFUNCTION("IFERROR(JOIN("","", UNIQUE(filter({O249; Q249}, {O249; Q249}&lt;&gt;""""))), """")"),"")</f>
        <v/>
      </c>
      <c r="T249" s="99"/>
      <c r="U249" s="99"/>
      <c r="V249" s="99"/>
      <c r="W249" s="99"/>
      <c r="X249" s="99"/>
      <c r="Y249" s="95" t="str">
        <f ca="1">IFERROR(__xludf.DUMMYFUNCTION("IFERROR(JOIN("","", UNIQUE(filter({U249; W249}, {U249; W249}&lt;&gt;""""))), """")"),"")</f>
        <v/>
      </c>
    </row>
    <row r="250" spans="2:25" ht="13" x14ac:dyDescent="0.15">
      <c r="B250" s="10"/>
      <c r="C250" s="10"/>
      <c r="D250" s="10"/>
      <c r="E250" s="10"/>
      <c r="F250" s="10"/>
      <c r="G250" s="95" t="str">
        <f ca="1">IFERROR(__xludf.DUMMYFUNCTION("IFERROR(JOIN("","", UNIQUE(filter({C250; E250}, {C250; E250}&lt;&gt;""""))), """")"),"")</f>
        <v/>
      </c>
      <c r="H250" s="96"/>
      <c r="I250" s="96"/>
      <c r="J250" s="96"/>
      <c r="K250" s="96"/>
      <c r="L250" s="96"/>
      <c r="M250" s="95" t="str">
        <f ca="1">IFERROR(__xludf.DUMMYFUNCTION("IFERROR(JOIN("","", UNIQUE(filter({I250; K250}, {I250; K250}&lt;&gt;""""))), """")"),"")</f>
        <v/>
      </c>
      <c r="N250" s="98"/>
      <c r="O250" s="98"/>
      <c r="P250" s="98"/>
      <c r="Q250" s="98"/>
      <c r="R250" s="98"/>
      <c r="S250" s="95" t="str">
        <f ca="1">IFERROR(__xludf.DUMMYFUNCTION("IFERROR(JOIN("","", UNIQUE(filter({O250; Q250}, {O250; Q250}&lt;&gt;""""))), """")"),"")</f>
        <v/>
      </c>
      <c r="T250" s="99"/>
      <c r="U250" s="99"/>
      <c r="V250" s="99"/>
      <c r="W250" s="99"/>
      <c r="X250" s="99"/>
      <c r="Y250" s="95" t="str">
        <f ca="1">IFERROR(__xludf.DUMMYFUNCTION("IFERROR(JOIN("","", UNIQUE(filter({U250; W250}, {U250; W250}&lt;&gt;""""))), """")"),"")</f>
        <v/>
      </c>
    </row>
    <row r="251" spans="2:25" ht="13" x14ac:dyDescent="0.15">
      <c r="B251" s="10"/>
      <c r="C251" s="10"/>
      <c r="D251" s="10"/>
      <c r="E251" s="10"/>
      <c r="F251" s="10"/>
      <c r="G251" s="95" t="str">
        <f ca="1">IFERROR(__xludf.DUMMYFUNCTION("IFERROR(JOIN("","", UNIQUE(filter({C251; E251}, {C251; E251}&lt;&gt;""""))), """")"),"")</f>
        <v/>
      </c>
      <c r="H251" s="96"/>
      <c r="I251" s="96"/>
      <c r="J251" s="96"/>
      <c r="K251" s="96"/>
      <c r="L251" s="96"/>
      <c r="M251" s="95" t="str">
        <f ca="1">IFERROR(__xludf.DUMMYFUNCTION("IFERROR(JOIN("","", UNIQUE(filter({I251; K251}, {I251; K251}&lt;&gt;""""))), """")"),"")</f>
        <v/>
      </c>
      <c r="N251" s="98"/>
      <c r="O251" s="98"/>
      <c r="P251" s="98"/>
      <c r="Q251" s="98"/>
      <c r="R251" s="98"/>
      <c r="S251" s="95" t="str">
        <f ca="1">IFERROR(__xludf.DUMMYFUNCTION("IFERROR(JOIN("","", UNIQUE(filter({O251; Q251}, {O251; Q251}&lt;&gt;""""))), """")"),"")</f>
        <v/>
      </c>
      <c r="T251" s="99"/>
      <c r="U251" s="99"/>
      <c r="V251" s="99"/>
      <c r="W251" s="99"/>
      <c r="X251" s="99"/>
      <c r="Y251" s="95" t="str">
        <f ca="1">IFERROR(__xludf.DUMMYFUNCTION("IFERROR(JOIN("","", UNIQUE(filter({U251; W251}, {U251; W251}&lt;&gt;""""))), """")"),"")</f>
        <v/>
      </c>
    </row>
    <row r="252" spans="2:25" ht="13" x14ac:dyDescent="0.15">
      <c r="B252" s="10"/>
      <c r="C252" s="10"/>
      <c r="D252" s="10"/>
      <c r="E252" s="10"/>
      <c r="F252" s="10"/>
      <c r="G252" s="95" t="str">
        <f ca="1">IFERROR(__xludf.DUMMYFUNCTION("IFERROR(JOIN("","", UNIQUE(filter({C252; E252}, {C252; E252}&lt;&gt;""""))), """")"),"")</f>
        <v/>
      </c>
      <c r="H252" s="96"/>
      <c r="I252" s="96"/>
      <c r="J252" s="96"/>
      <c r="K252" s="96"/>
      <c r="L252" s="96"/>
      <c r="M252" s="95" t="str">
        <f ca="1">IFERROR(__xludf.DUMMYFUNCTION("IFERROR(JOIN("","", UNIQUE(filter({I252; K252}, {I252; K252}&lt;&gt;""""))), """")"),"")</f>
        <v/>
      </c>
      <c r="N252" s="98"/>
      <c r="O252" s="98"/>
      <c r="P252" s="98"/>
      <c r="Q252" s="98"/>
      <c r="R252" s="98"/>
      <c r="S252" s="95" t="str">
        <f ca="1">IFERROR(__xludf.DUMMYFUNCTION("IFERROR(JOIN("","", UNIQUE(filter({O252; Q252}, {O252; Q252}&lt;&gt;""""))), """")"),"")</f>
        <v/>
      </c>
      <c r="T252" s="99"/>
      <c r="U252" s="99"/>
      <c r="V252" s="99"/>
      <c r="W252" s="99"/>
      <c r="X252" s="99"/>
      <c r="Y252" s="95" t="str">
        <f ca="1">IFERROR(__xludf.DUMMYFUNCTION("IFERROR(JOIN("","", UNIQUE(filter({U252; W252}, {U252; W252}&lt;&gt;""""))), """")"),"")</f>
        <v/>
      </c>
    </row>
    <row r="253" spans="2:25" ht="13" x14ac:dyDescent="0.15">
      <c r="B253" s="10"/>
      <c r="C253" s="10"/>
      <c r="D253" s="10"/>
      <c r="E253" s="10"/>
      <c r="F253" s="10"/>
      <c r="G253" s="95" t="str">
        <f ca="1">IFERROR(__xludf.DUMMYFUNCTION("IFERROR(JOIN("","", UNIQUE(filter({C253; E253}, {C253; E253}&lt;&gt;""""))), """")"),"")</f>
        <v/>
      </c>
      <c r="H253" s="96"/>
      <c r="I253" s="96"/>
      <c r="J253" s="96"/>
      <c r="K253" s="96"/>
      <c r="L253" s="96"/>
      <c r="M253" s="95" t="str">
        <f ca="1">IFERROR(__xludf.DUMMYFUNCTION("IFERROR(JOIN("","", UNIQUE(filter({I253; K253}, {I253; K253}&lt;&gt;""""))), """")"),"")</f>
        <v/>
      </c>
      <c r="N253" s="98"/>
      <c r="O253" s="98"/>
      <c r="P253" s="98"/>
      <c r="Q253" s="98"/>
      <c r="R253" s="98"/>
      <c r="S253" s="95" t="str">
        <f ca="1">IFERROR(__xludf.DUMMYFUNCTION("IFERROR(JOIN("","", UNIQUE(filter({O253; Q253}, {O253; Q253}&lt;&gt;""""))), """")"),"")</f>
        <v/>
      </c>
      <c r="T253" s="99"/>
      <c r="U253" s="99"/>
      <c r="V253" s="99"/>
      <c r="W253" s="99"/>
      <c r="X253" s="99"/>
      <c r="Y253" s="95" t="str">
        <f ca="1">IFERROR(__xludf.DUMMYFUNCTION("IFERROR(JOIN("","", UNIQUE(filter({U253; W253}, {U253; W253}&lt;&gt;""""))), """")"),"")</f>
        <v/>
      </c>
    </row>
    <row r="254" spans="2:25" ht="13" x14ac:dyDescent="0.15">
      <c r="B254" s="10"/>
      <c r="C254" s="10"/>
      <c r="D254" s="10"/>
      <c r="E254" s="10"/>
      <c r="F254" s="10"/>
      <c r="G254" s="95" t="str">
        <f ca="1">IFERROR(__xludf.DUMMYFUNCTION("IFERROR(JOIN("","", UNIQUE(filter({C254; E254}, {C254; E254}&lt;&gt;""""))), """")"),"")</f>
        <v/>
      </c>
      <c r="H254" s="96"/>
      <c r="I254" s="96"/>
      <c r="J254" s="96"/>
      <c r="K254" s="96"/>
      <c r="L254" s="96"/>
      <c r="M254" s="95" t="str">
        <f ca="1">IFERROR(__xludf.DUMMYFUNCTION("IFERROR(JOIN("","", UNIQUE(filter({I254; K254}, {I254; K254}&lt;&gt;""""))), """")"),"")</f>
        <v/>
      </c>
      <c r="N254" s="98"/>
      <c r="O254" s="98"/>
      <c r="P254" s="98"/>
      <c r="Q254" s="98"/>
      <c r="R254" s="98"/>
      <c r="S254" s="95" t="str">
        <f ca="1">IFERROR(__xludf.DUMMYFUNCTION("IFERROR(JOIN("","", UNIQUE(filter({O254; Q254}, {O254; Q254}&lt;&gt;""""))), """")"),"")</f>
        <v/>
      </c>
      <c r="T254" s="99"/>
      <c r="U254" s="99"/>
      <c r="V254" s="99"/>
      <c r="W254" s="99"/>
      <c r="X254" s="99"/>
      <c r="Y254" s="95" t="str">
        <f ca="1">IFERROR(__xludf.DUMMYFUNCTION("IFERROR(JOIN("","", UNIQUE(filter({U254; W254}, {U254; W254}&lt;&gt;""""))), """")"),"")</f>
        <v/>
      </c>
    </row>
    <row r="255" spans="2:25" ht="13" x14ac:dyDescent="0.15">
      <c r="B255" s="10"/>
      <c r="C255" s="10"/>
      <c r="D255" s="10"/>
      <c r="E255" s="10"/>
      <c r="F255" s="10"/>
      <c r="G255" s="95" t="str">
        <f ca="1">IFERROR(__xludf.DUMMYFUNCTION("IFERROR(JOIN("","", UNIQUE(filter({C255; E255}, {C255; E255}&lt;&gt;""""))), """")"),"")</f>
        <v/>
      </c>
      <c r="H255" s="96"/>
      <c r="I255" s="96"/>
      <c r="J255" s="96"/>
      <c r="K255" s="96"/>
      <c r="L255" s="96"/>
      <c r="M255" s="95" t="str">
        <f ca="1">IFERROR(__xludf.DUMMYFUNCTION("IFERROR(JOIN("","", UNIQUE(filter({I255; K255}, {I255; K255}&lt;&gt;""""))), """")"),"")</f>
        <v/>
      </c>
      <c r="N255" s="98"/>
      <c r="O255" s="98"/>
      <c r="P255" s="98"/>
      <c r="Q255" s="98"/>
      <c r="R255" s="98"/>
      <c r="S255" s="95" t="str">
        <f ca="1">IFERROR(__xludf.DUMMYFUNCTION("IFERROR(JOIN("","", UNIQUE(filter({O255; Q255}, {O255; Q255}&lt;&gt;""""))), """")"),"")</f>
        <v/>
      </c>
      <c r="T255" s="99"/>
      <c r="U255" s="99"/>
      <c r="V255" s="99"/>
      <c r="W255" s="99"/>
      <c r="X255" s="99"/>
      <c r="Y255" s="95" t="str">
        <f ca="1">IFERROR(__xludf.DUMMYFUNCTION("IFERROR(JOIN("","", UNIQUE(filter({U255; W255}, {U255; W255}&lt;&gt;""""))), """")"),"")</f>
        <v/>
      </c>
    </row>
    <row r="256" spans="2:25" ht="13" x14ac:dyDescent="0.15">
      <c r="B256" s="10"/>
      <c r="C256" s="10"/>
      <c r="D256" s="10"/>
      <c r="E256" s="10"/>
      <c r="F256" s="10"/>
      <c r="G256" s="95" t="str">
        <f ca="1">IFERROR(__xludf.DUMMYFUNCTION("IFERROR(JOIN("","", UNIQUE(filter({C256; E256}, {C256; E256}&lt;&gt;""""))), """")"),"")</f>
        <v/>
      </c>
      <c r="H256" s="96"/>
      <c r="I256" s="96"/>
      <c r="J256" s="96"/>
      <c r="K256" s="96"/>
      <c r="L256" s="96"/>
      <c r="M256" s="95" t="str">
        <f ca="1">IFERROR(__xludf.DUMMYFUNCTION("IFERROR(JOIN("","", UNIQUE(filter({I256; K256}, {I256; K256}&lt;&gt;""""))), """")"),"")</f>
        <v/>
      </c>
      <c r="N256" s="98"/>
      <c r="O256" s="98"/>
      <c r="P256" s="98"/>
      <c r="Q256" s="98"/>
      <c r="R256" s="98"/>
      <c r="S256" s="95" t="str">
        <f ca="1">IFERROR(__xludf.DUMMYFUNCTION("IFERROR(JOIN("","", UNIQUE(filter({O256; Q256}, {O256; Q256}&lt;&gt;""""))), """")"),"")</f>
        <v/>
      </c>
      <c r="T256" s="99"/>
      <c r="U256" s="99"/>
      <c r="V256" s="99"/>
      <c r="W256" s="99"/>
      <c r="X256" s="99"/>
      <c r="Y256" s="95" t="str">
        <f ca="1">IFERROR(__xludf.DUMMYFUNCTION("IFERROR(JOIN("","", UNIQUE(filter({U256; W256}, {U256; W256}&lt;&gt;""""))), """")"),"")</f>
        <v/>
      </c>
    </row>
    <row r="257" spans="2:25" ht="13" x14ac:dyDescent="0.15">
      <c r="B257" s="10"/>
      <c r="C257" s="10"/>
      <c r="D257" s="10"/>
      <c r="E257" s="10"/>
      <c r="F257" s="10"/>
      <c r="G257" s="95" t="str">
        <f ca="1">IFERROR(__xludf.DUMMYFUNCTION("IFERROR(JOIN("","", UNIQUE(filter({C257; E257}, {C257; E257}&lt;&gt;""""))), """")"),"")</f>
        <v/>
      </c>
      <c r="H257" s="96"/>
      <c r="I257" s="96"/>
      <c r="J257" s="96"/>
      <c r="K257" s="96"/>
      <c r="L257" s="96"/>
      <c r="M257" s="95" t="str">
        <f ca="1">IFERROR(__xludf.DUMMYFUNCTION("IFERROR(JOIN("","", UNIQUE(filter({I257; K257}, {I257; K257}&lt;&gt;""""))), """")"),"")</f>
        <v/>
      </c>
      <c r="N257" s="98"/>
      <c r="O257" s="98"/>
      <c r="P257" s="98"/>
      <c r="Q257" s="98"/>
      <c r="R257" s="98"/>
      <c r="S257" s="95" t="str">
        <f ca="1">IFERROR(__xludf.DUMMYFUNCTION("IFERROR(JOIN("","", UNIQUE(filter({O257; Q257}, {O257; Q257}&lt;&gt;""""))), """")"),"")</f>
        <v/>
      </c>
      <c r="T257" s="99"/>
      <c r="U257" s="99"/>
      <c r="V257" s="99"/>
      <c r="W257" s="99"/>
      <c r="X257" s="99"/>
      <c r="Y257" s="95" t="str">
        <f ca="1">IFERROR(__xludf.DUMMYFUNCTION("IFERROR(JOIN("","", UNIQUE(filter({U257; W257}, {U257; W257}&lt;&gt;""""))), """")"),"")</f>
        <v/>
      </c>
    </row>
    <row r="258" spans="2:25" ht="13" x14ac:dyDescent="0.15">
      <c r="B258" s="10"/>
      <c r="C258" s="10"/>
      <c r="D258" s="10"/>
      <c r="E258" s="10"/>
      <c r="F258" s="10"/>
      <c r="G258" s="95" t="str">
        <f ca="1">IFERROR(__xludf.DUMMYFUNCTION("IFERROR(JOIN("","", UNIQUE(filter({C258; E258}, {C258; E258}&lt;&gt;""""))), """")"),"")</f>
        <v/>
      </c>
      <c r="H258" s="96"/>
      <c r="I258" s="96"/>
      <c r="J258" s="96"/>
      <c r="K258" s="96"/>
      <c r="L258" s="96"/>
      <c r="M258" s="95" t="str">
        <f ca="1">IFERROR(__xludf.DUMMYFUNCTION("IFERROR(JOIN("","", UNIQUE(filter({I258; K258}, {I258; K258}&lt;&gt;""""))), """")"),"")</f>
        <v/>
      </c>
      <c r="N258" s="98"/>
      <c r="O258" s="98"/>
      <c r="P258" s="98"/>
      <c r="Q258" s="98"/>
      <c r="R258" s="98"/>
      <c r="S258" s="95" t="str">
        <f ca="1">IFERROR(__xludf.DUMMYFUNCTION("IFERROR(JOIN("","", UNIQUE(filter({O258; Q258}, {O258; Q258}&lt;&gt;""""))), """")"),"")</f>
        <v/>
      </c>
      <c r="T258" s="99"/>
      <c r="U258" s="99"/>
      <c r="V258" s="99"/>
      <c r="W258" s="99"/>
      <c r="X258" s="99"/>
      <c r="Y258" s="95" t="str">
        <f ca="1">IFERROR(__xludf.DUMMYFUNCTION("IFERROR(JOIN("","", UNIQUE(filter({U258; W258}, {U258; W258}&lt;&gt;""""))), """")"),"")</f>
        <v/>
      </c>
    </row>
    <row r="259" spans="2:25" ht="13" x14ac:dyDescent="0.15">
      <c r="B259" s="10"/>
      <c r="C259" s="10"/>
      <c r="D259" s="10"/>
      <c r="E259" s="10"/>
      <c r="F259" s="10"/>
      <c r="G259" s="95" t="str">
        <f ca="1">IFERROR(__xludf.DUMMYFUNCTION("IFERROR(JOIN("","", UNIQUE(filter({C259; E259}, {C259; E259}&lt;&gt;""""))), """")"),"")</f>
        <v/>
      </c>
      <c r="H259" s="96"/>
      <c r="I259" s="96"/>
      <c r="J259" s="96"/>
      <c r="K259" s="96"/>
      <c r="L259" s="96"/>
      <c r="M259" s="95" t="str">
        <f ca="1">IFERROR(__xludf.DUMMYFUNCTION("IFERROR(JOIN("","", UNIQUE(filter({I259; K259}, {I259; K259}&lt;&gt;""""))), """")"),"")</f>
        <v/>
      </c>
      <c r="N259" s="98"/>
      <c r="O259" s="98"/>
      <c r="P259" s="98"/>
      <c r="Q259" s="98"/>
      <c r="R259" s="98"/>
      <c r="S259" s="95" t="str">
        <f ca="1">IFERROR(__xludf.DUMMYFUNCTION("IFERROR(JOIN("","", UNIQUE(filter({O259; Q259}, {O259; Q259}&lt;&gt;""""))), """")"),"")</f>
        <v/>
      </c>
      <c r="T259" s="99"/>
      <c r="U259" s="99"/>
      <c r="V259" s="99"/>
      <c r="W259" s="99"/>
      <c r="X259" s="99"/>
      <c r="Y259" s="95" t="str">
        <f ca="1">IFERROR(__xludf.DUMMYFUNCTION("IFERROR(JOIN("","", UNIQUE(filter({U259; W259}, {U259; W259}&lt;&gt;""""))), """")"),"")</f>
        <v/>
      </c>
    </row>
    <row r="260" spans="2:25" ht="13" x14ac:dyDescent="0.15">
      <c r="B260" s="10"/>
      <c r="C260" s="10"/>
      <c r="D260" s="10"/>
      <c r="E260" s="10"/>
      <c r="F260" s="10"/>
      <c r="G260" s="95" t="str">
        <f ca="1">IFERROR(__xludf.DUMMYFUNCTION("IFERROR(JOIN("","", UNIQUE(filter({C260; E260}, {C260; E260}&lt;&gt;""""))), """")"),"")</f>
        <v/>
      </c>
      <c r="H260" s="96"/>
      <c r="I260" s="96"/>
      <c r="J260" s="96"/>
      <c r="K260" s="96"/>
      <c r="L260" s="96"/>
      <c r="M260" s="95" t="str">
        <f ca="1">IFERROR(__xludf.DUMMYFUNCTION("IFERROR(JOIN("","", UNIQUE(filter({I260; K260}, {I260; K260}&lt;&gt;""""))), """")"),"")</f>
        <v/>
      </c>
      <c r="N260" s="98"/>
      <c r="O260" s="98"/>
      <c r="P260" s="98"/>
      <c r="Q260" s="98"/>
      <c r="R260" s="98"/>
      <c r="S260" s="95" t="str">
        <f ca="1">IFERROR(__xludf.DUMMYFUNCTION("IFERROR(JOIN("","", UNIQUE(filter({O260; Q260}, {O260; Q260}&lt;&gt;""""))), """")"),"")</f>
        <v/>
      </c>
      <c r="T260" s="99"/>
      <c r="U260" s="99"/>
      <c r="V260" s="99"/>
      <c r="W260" s="99"/>
      <c r="X260" s="99"/>
      <c r="Y260" s="95" t="str">
        <f ca="1">IFERROR(__xludf.DUMMYFUNCTION("IFERROR(JOIN("","", UNIQUE(filter({U260; W260}, {U260; W260}&lt;&gt;""""))), """")"),"")</f>
        <v/>
      </c>
    </row>
    <row r="261" spans="2:25" ht="13" x14ac:dyDescent="0.15">
      <c r="B261" s="10"/>
      <c r="C261" s="10"/>
      <c r="D261" s="10"/>
      <c r="E261" s="10"/>
      <c r="F261" s="10"/>
      <c r="G261" s="95" t="str">
        <f ca="1">IFERROR(__xludf.DUMMYFUNCTION("IFERROR(JOIN("","", UNIQUE(filter({C261; E261}, {C261; E261}&lt;&gt;""""))), """")"),"")</f>
        <v/>
      </c>
      <c r="H261" s="96"/>
      <c r="I261" s="96"/>
      <c r="J261" s="96"/>
      <c r="K261" s="96"/>
      <c r="L261" s="96"/>
      <c r="M261" s="95" t="str">
        <f ca="1">IFERROR(__xludf.DUMMYFUNCTION("IFERROR(JOIN("","", UNIQUE(filter({I261; K261}, {I261; K261}&lt;&gt;""""))), """")"),"")</f>
        <v/>
      </c>
      <c r="N261" s="98"/>
      <c r="O261" s="98"/>
      <c r="P261" s="98"/>
      <c r="Q261" s="98"/>
      <c r="R261" s="98"/>
      <c r="S261" s="95" t="str">
        <f ca="1">IFERROR(__xludf.DUMMYFUNCTION("IFERROR(JOIN("","", UNIQUE(filter({O261; Q261}, {O261; Q261}&lt;&gt;""""))), """")"),"")</f>
        <v/>
      </c>
      <c r="T261" s="99"/>
      <c r="U261" s="99"/>
      <c r="V261" s="99"/>
      <c r="W261" s="99"/>
      <c r="X261" s="99"/>
      <c r="Y261" s="95" t="str">
        <f ca="1">IFERROR(__xludf.DUMMYFUNCTION("IFERROR(JOIN("","", UNIQUE(filter({U261; W261}, {U261; W261}&lt;&gt;""""))), """")"),"")</f>
        <v/>
      </c>
    </row>
    <row r="262" spans="2:25" ht="13" x14ac:dyDescent="0.15">
      <c r="B262" s="10"/>
      <c r="C262" s="10"/>
      <c r="D262" s="10"/>
      <c r="E262" s="10"/>
      <c r="F262" s="10"/>
      <c r="G262" s="95" t="str">
        <f ca="1">IFERROR(__xludf.DUMMYFUNCTION("IFERROR(JOIN("","", UNIQUE(filter({C262; E262}, {C262; E262}&lt;&gt;""""))), """")"),"")</f>
        <v/>
      </c>
      <c r="H262" s="96"/>
      <c r="I262" s="96"/>
      <c r="J262" s="96"/>
      <c r="K262" s="96"/>
      <c r="L262" s="96"/>
      <c r="M262" s="95" t="str">
        <f ca="1">IFERROR(__xludf.DUMMYFUNCTION("IFERROR(JOIN("","", UNIQUE(filter({I262; K262}, {I262; K262}&lt;&gt;""""))), """")"),"")</f>
        <v/>
      </c>
      <c r="N262" s="98"/>
      <c r="O262" s="98"/>
      <c r="P262" s="98"/>
      <c r="Q262" s="98"/>
      <c r="R262" s="98"/>
      <c r="S262" s="95" t="str">
        <f ca="1">IFERROR(__xludf.DUMMYFUNCTION("IFERROR(JOIN("","", UNIQUE(filter({O262; Q262}, {O262; Q262}&lt;&gt;""""))), """")"),"")</f>
        <v/>
      </c>
      <c r="T262" s="99"/>
      <c r="U262" s="99"/>
      <c r="V262" s="99"/>
      <c r="W262" s="99"/>
      <c r="X262" s="99"/>
      <c r="Y262" s="95" t="str">
        <f ca="1">IFERROR(__xludf.DUMMYFUNCTION("IFERROR(JOIN("","", UNIQUE(filter({U262; W262}, {U262; W262}&lt;&gt;""""))), """")"),"")</f>
        <v/>
      </c>
    </row>
    <row r="263" spans="2:25" ht="13" x14ac:dyDescent="0.15">
      <c r="B263" s="10"/>
      <c r="C263" s="10"/>
      <c r="D263" s="10"/>
      <c r="E263" s="10"/>
      <c r="F263" s="10"/>
      <c r="G263" s="95" t="str">
        <f ca="1">IFERROR(__xludf.DUMMYFUNCTION("IFERROR(JOIN("","", UNIQUE(filter({C263; E263}, {C263; E263}&lt;&gt;""""))), """")"),"")</f>
        <v/>
      </c>
      <c r="H263" s="96"/>
      <c r="I263" s="96"/>
      <c r="J263" s="96"/>
      <c r="K263" s="96"/>
      <c r="L263" s="96"/>
      <c r="M263" s="95" t="str">
        <f ca="1">IFERROR(__xludf.DUMMYFUNCTION("IFERROR(JOIN("","", UNIQUE(filter({I263; K263}, {I263; K263}&lt;&gt;""""))), """")"),"")</f>
        <v/>
      </c>
      <c r="N263" s="98"/>
      <c r="O263" s="98"/>
      <c r="P263" s="98"/>
      <c r="Q263" s="98"/>
      <c r="R263" s="98"/>
      <c r="S263" s="95" t="str">
        <f ca="1">IFERROR(__xludf.DUMMYFUNCTION("IFERROR(JOIN("","", UNIQUE(filter({O263; Q263}, {O263; Q263}&lt;&gt;""""))), """")"),"")</f>
        <v/>
      </c>
      <c r="T263" s="99"/>
      <c r="U263" s="99"/>
      <c r="V263" s="99"/>
      <c r="W263" s="99"/>
      <c r="X263" s="99"/>
      <c r="Y263" s="95" t="str">
        <f ca="1">IFERROR(__xludf.DUMMYFUNCTION("IFERROR(JOIN("","", UNIQUE(filter({U263; W263}, {U263; W263}&lt;&gt;""""))), """")"),"")</f>
        <v/>
      </c>
    </row>
    <row r="264" spans="2:25" ht="13" x14ac:dyDescent="0.15">
      <c r="B264" s="10"/>
      <c r="C264" s="10"/>
      <c r="D264" s="10"/>
      <c r="E264" s="10"/>
      <c r="F264" s="10"/>
      <c r="G264" s="95" t="str">
        <f ca="1">IFERROR(__xludf.DUMMYFUNCTION("IFERROR(JOIN("","", UNIQUE(filter({C264; E264}, {C264; E264}&lt;&gt;""""))), """")"),"")</f>
        <v/>
      </c>
      <c r="H264" s="96"/>
      <c r="I264" s="96"/>
      <c r="J264" s="96"/>
      <c r="K264" s="96"/>
      <c r="L264" s="96"/>
      <c r="M264" s="95" t="str">
        <f ca="1">IFERROR(__xludf.DUMMYFUNCTION("IFERROR(JOIN("","", UNIQUE(filter({I264; K264}, {I264; K264}&lt;&gt;""""))), """")"),"")</f>
        <v/>
      </c>
      <c r="N264" s="98"/>
      <c r="O264" s="98"/>
      <c r="P264" s="98"/>
      <c r="Q264" s="98"/>
      <c r="R264" s="98"/>
      <c r="S264" s="95" t="str">
        <f ca="1">IFERROR(__xludf.DUMMYFUNCTION("IFERROR(JOIN("","", UNIQUE(filter({O264; Q264}, {O264; Q264}&lt;&gt;""""))), """")"),"")</f>
        <v/>
      </c>
      <c r="T264" s="99"/>
      <c r="U264" s="99"/>
      <c r="V264" s="99"/>
      <c r="W264" s="99"/>
      <c r="X264" s="99"/>
      <c r="Y264" s="95" t="str">
        <f ca="1">IFERROR(__xludf.DUMMYFUNCTION("IFERROR(JOIN("","", UNIQUE(filter({U264; W264}, {U264; W264}&lt;&gt;""""))), """")"),"")</f>
        <v/>
      </c>
    </row>
    <row r="265" spans="2:25" ht="13" x14ac:dyDescent="0.15">
      <c r="B265" s="10"/>
      <c r="C265" s="10"/>
      <c r="D265" s="10"/>
      <c r="E265" s="10"/>
      <c r="F265" s="10"/>
      <c r="G265" s="95" t="str">
        <f ca="1">IFERROR(__xludf.DUMMYFUNCTION("IFERROR(JOIN("","", UNIQUE(filter({C265; E265}, {C265; E265}&lt;&gt;""""))), """")"),"")</f>
        <v/>
      </c>
      <c r="H265" s="96"/>
      <c r="I265" s="96"/>
      <c r="J265" s="96"/>
      <c r="K265" s="96"/>
      <c r="L265" s="96"/>
      <c r="M265" s="95" t="str">
        <f ca="1">IFERROR(__xludf.DUMMYFUNCTION("IFERROR(JOIN("","", UNIQUE(filter({I265; K265}, {I265; K265}&lt;&gt;""""))), """")"),"")</f>
        <v/>
      </c>
      <c r="N265" s="98"/>
      <c r="O265" s="98"/>
      <c r="P265" s="98"/>
      <c r="Q265" s="98"/>
      <c r="R265" s="98"/>
      <c r="S265" s="95" t="str">
        <f ca="1">IFERROR(__xludf.DUMMYFUNCTION("IFERROR(JOIN("","", UNIQUE(filter({O265; Q265}, {O265; Q265}&lt;&gt;""""))), """")"),"")</f>
        <v/>
      </c>
      <c r="T265" s="99"/>
      <c r="U265" s="99"/>
      <c r="V265" s="99"/>
      <c r="W265" s="99"/>
      <c r="X265" s="99"/>
      <c r="Y265" s="95" t="str">
        <f ca="1">IFERROR(__xludf.DUMMYFUNCTION("IFERROR(JOIN("","", UNIQUE(filter({U265; W265}, {U265; W265}&lt;&gt;""""))), """")"),"")</f>
        <v/>
      </c>
    </row>
    <row r="266" spans="2:25" ht="13" x14ac:dyDescent="0.15">
      <c r="B266" s="10"/>
      <c r="C266" s="10"/>
      <c r="D266" s="10"/>
      <c r="E266" s="10"/>
      <c r="F266" s="10"/>
      <c r="G266" s="95" t="str">
        <f ca="1">IFERROR(__xludf.DUMMYFUNCTION("IFERROR(JOIN("","", UNIQUE(filter({C266; E266}, {C266; E266}&lt;&gt;""""))), """")"),"")</f>
        <v/>
      </c>
      <c r="H266" s="96"/>
      <c r="I266" s="96"/>
      <c r="J266" s="96"/>
      <c r="K266" s="96"/>
      <c r="L266" s="96"/>
      <c r="M266" s="95" t="str">
        <f ca="1">IFERROR(__xludf.DUMMYFUNCTION("IFERROR(JOIN("","", UNIQUE(filter({I266; K266}, {I266; K266}&lt;&gt;""""))), """")"),"")</f>
        <v/>
      </c>
      <c r="N266" s="98"/>
      <c r="O266" s="98"/>
      <c r="P266" s="98"/>
      <c r="Q266" s="98"/>
      <c r="R266" s="98"/>
      <c r="S266" s="95" t="str">
        <f ca="1">IFERROR(__xludf.DUMMYFUNCTION("IFERROR(JOIN("","", UNIQUE(filter({O266; Q266}, {O266; Q266}&lt;&gt;""""))), """")"),"")</f>
        <v/>
      </c>
      <c r="T266" s="99"/>
      <c r="U266" s="99"/>
      <c r="V266" s="99"/>
      <c r="W266" s="99"/>
      <c r="X266" s="99"/>
      <c r="Y266" s="95" t="str">
        <f ca="1">IFERROR(__xludf.DUMMYFUNCTION("IFERROR(JOIN("","", UNIQUE(filter({U266; W266}, {U266; W266}&lt;&gt;""""))), """")"),"")</f>
        <v/>
      </c>
    </row>
    <row r="267" spans="2:25" ht="13" x14ac:dyDescent="0.15">
      <c r="B267" s="10"/>
      <c r="C267" s="10"/>
      <c r="D267" s="10"/>
      <c r="E267" s="10"/>
      <c r="F267" s="10"/>
      <c r="G267" s="95" t="str">
        <f ca="1">IFERROR(__xludf.DUMMYFUNCTION("IFERROR(JOIN("","", UNIQUE(filter({C267; E267}, {C267; E267}&lt;&gt;""""))), """")"),"")</f>
        <v/>
      </c>
      <c r="H267" s="96"/>
      <c r="I267" s="96"/>
      <c r="J267" s="96"/>
      <c r="K267" s="96"/>
      <c r="L267" s="96"/>
      <c r="M267" s="95" t="str">
        <f ca="1">IFERROR(__xludf.DUMMYFUNCTION("IFERROR(JOIN("","", UNIQUE(filter({I267; K267}, {I267; K267}&lt;&gt;""""))), """")"),"")</f>
        <v/>
      </c>
      <c r="N267" s="98"/>
      <c r="O267" s="98"/>
      <c r="P267" s="98"/>
      <c r="Q267" s="98"/>
      <c r="R267" s="98"/>
      <c r="S267" s="95" t="str">
        <f ca="1">IFERROR(__xludf.DUMMYFUNCTION("IFERROR(JOIN("","", UNIQUE(filter({O267; Q267}, {O267; Q267}&lt;&gt;""""))), """")"),"")</f>
        <v/>
      </c>
      <c r="T267" s="99"/>
      <c r="U267" s="99"/>
      <c r="V267" s="99"/>
      <c r="W267" s="99"/>
      <c r="X267" s="99"/>
      <c r="Y267" s="95" t="str">
        <f ca="1">IFERROR(__xludf.DUMMYFUNCTION("IFERROR(JOIN("","", UNIQUE(filter({U267; W267}, {U267; W267}&lt;&gt;""""))), """")"),"")</f>
        <v/>
      </c>
    </row>
    <row r="268" spans="2:25" ht="13" x14ac:dyDescent="0.15">
      <c r="B268" s="10"/>
      <c r="C268" s="10"/>
      <c r="D268" s="10"/>
      <c r="E268" s="10"/>
      <c r="F268" s="10"/>
      <c r="G268" s="95" t="str">
        <f ca="1">IFERROR(__xludf.DUMMYFUNCTION("IFERROR(JOIN("","", UNIQUE(filter({C268; E268}, {C268; E268}&lt;&gt;""""))), """")"),"")</f>
        <v/>
      </c>
      <c r="H268" s="96"/>
      <c r="I268" s="96"/>
      <c r="J268" s="96"/>
      <c r="K268" s="96"/>
      <c r="L268" s="96"/>
      <c r="M268" s="95" t="str">
        <f ca="1">IFERROR(__xludf.DUMMYFUNCTION("IFERROR(JOIN("","", UNIQUE(filter({I268; K268}, {I268; K268}&lt;&gt;""""))), """")"),"")</f>
        <v/>
      </c>
      <c r="N268" s="98"/>
      <c r="O268" s="98"/>
      <c r="P268" s="98"/>
      <c r="Q268" s="98"/>
      <c r="R268" s="98"/>
      <c r="S268" s="95" t="str">
        <f ca="1">IFERROR(__xludf.DUMMYFUNCTION("IFERROR(JOIN("","", UNIQUE(filter({O268; Q268}, {O268; Q268}&lt;&gt;""""))), """")"),"")</f>
        <v/>
      </c>
      <c r="T268" s="99"/>
      <c r="U268" s="99"/>
      <c r="V268" s="99"/>
      <c r="W268" s="99"/>
      <c r="X268" s="99"/>
      <c r="Y268" s="95" t="str">
        <f ca="1">IFERROR(__xludf.DUMMYFUNCTION("IFERROR(JOIN("","", UNIQUE(filter({U268; W268}, {U268; W268}&lt;&gt;""""))), """")"),"")</f>
        <v/>
      </c>
    </row>
    <row r="269" spans="2:25" ht="13" x14ac:dyDescent="0.15">
      <c r="B269" s="10"/>
      <c r="C269" s="10"/>
      <c r="D269" s="10"/>
      <c r="E269" s="10"/>
      <c r="F269" s="10"/>
      <c r="G269" s="95" t="str">
        <f ca="1">IFERROR(__xludf.DUMMYFUNCTION("IFERROR(JOIN("","", UNIQUE(filter({C269; E269}, {C269; E269}&lt;&gt;""""))), """")"),"")</f>
        <v/>
      </c>
      <c r="H269" s="96"/>
      <c r="I269" s="96"/>
      <c r="J269" s="96"/>
      <c r="K269" s="96"/>
      <c r="L269" s="96"/>
      <c r="M269" s="95" t="str">
        <f ca="1">IFERROR(__xludf.DUMMYFUNCTION("IFERROR(JOIN("","", UNIQUE(filter({I269; K269}, {I269; K269}&lt;&gt;""""))), """")"),"")</f>
        <v/>
      </c>
      <c r="N269" s="98"/>
      <c r="O269" s="98"/>
      <c r="P269" s="98"/>
      <c r="Q269" s="98"/>
      <c r="R269" s="98"/>
      <c r="S269" s="95" t="str">
        <f ca="1">IFERROR(__xludf.DUMMYFUNCTION("IFERROR(JOIN("","", UNIQUE(filter({O269; Q269}, {O269; Q269}&lt;&gt;""""))), """")"),"")</f>
        <v/>
      </c>
      <c r="T269" s="99"/>
      <c r="U269" s="99"/>
      <c r="V269" s="99"/>
      <c r="W269" s="99"/>
      <c r="X269" s="99"/>
      <c r="Y269" s="95" t="str">
        <f ca="1">IFERROR(__xludf.DUMMYFUNCTION("IFERROR(JOIN("","", UNIQUE(filter({U269; W269}, {U269; W269}&lt;&gt;""""))), """")"),"")</f>
        <v/>
      </c>
    </row>
    <row r="270" spans="2:25" ht="13" x14ac:dyDescent="0.15">
      <c r="B270" s="10"/>
      <c r="C270" s="10"/>
      <c r="D270" s="10"/>
      <c r="E270" s="10"/>
      <c r="F270" s="10"/>
      <c r="G270" s="95" t="str">
        <f ca="1">IFERROR(__xludf.DUMMYFUNCTION("IFERROR(JOIN("","", UNIQUE(filter({C270; E270}, {C270; E270}&lt;&gt;""""))), """")"),"")</f>
        <v/>
      </c>
      <c r="H270" s="96"/>
      <c r="I270" s="96"/>
      <c r="J270" s="96"/>
      <c r="K270" s="96"/>
      <c r="L270" s="96"/>
      <c r="M270" s="95" t="str">
        <f ca="1">IFERROR(__xludf.DUMMYFUNCTION("IFERROR(JOIN("","", UNIQUE(filter({I270; K270}, {I270; K270}&lt;&gt;""""))), """")"),"")</f>
        <v/>
      </c>
      <c r="N270" s="98"/>
      <c r="O270" s="98"/>
      <c r="P270" s="98"/>
      <c r="Q270" s="98"/>
      <c r="R270" s="98"/>
      <c r="S270" s="95" t="str">
        <f ca="1">IFERROR(__xludf.DUMMYFUNCTION("IFERROR(JOIN("","", UNIQUE(filter({O270; Q270}, {O270; Q270}&lt;&gt;""""))), """")"),"")</f>
        <v/>
      </c>
      <c r="T270" s="99"/>
      <c r="U270" s="99"/>
      <c r="V270" s="99"/>
      <c r="W270" s="99"/>
      <c r="X270" s="99"/>
      <c r="Y270" s="95" t="str">
        <f ca="1">IFERROR(__xludf.DUMMYFUNCTION("IFERROR(JOIN("","", UNIQUE(filter({U270; W270}, {U270; W270}&lt;&gt;""""))), """")"),"")</f>
        <v/>
      </c>
    </row>
    <row r="271" spans="2:25" ht="13" x14ac:dyDescent="0.15">
      <c r="B271" s="10"/>
      <c r="C271" s="10"/>
      <c r="D271" s="10"/>
      <c r="E271" s="10"/>
      <c r="F271" s="10"/>
      <c r="G271" s="95" t="str">
        <f ca="1">IFERROR(__xludf.DUMMYFUNCTION("IFERROR(JOIN("","", UNIQUE(filter({C271; E271}, {C271; E271}&lt;&gt;""""))), """")"),"")</f>
        <v/>
      </c>
      <c r="H271" s="96"/>
      <c r="I271" s="96"/>
      <c r="J271" s="96"/>
      <c r="K271" s="96"/>
      <c r="L271" s="96"/>
      <c r="M271" s="95" t="str">
        <f ca="1">IFERROR(__xludf.DUMMYFUNCTION("IFERROR(JOIN("","", UNIQUE(filter({I271; K271}, {I271; K271}&lt;&gt;""""))), """")"),"")</f>
        <v/>
      </c>
      <c r="N271" s="98"/>
      <c r="O271" s="98"/>
      <c r="P271" s="98"/>
      <c r="Q271" s="98"/>
      <c r="R271" s="98"/>
      <c r="S271" s="95" t="str">
        <f ca="1">IFERROR(__xludf.DUMMYFUNCTION("IFERROR(JOIN("","", UNIQUE(filter({O271; Q271}, {O271; Q271}&lt;&gt;""""))), """")"),"")</f>
        <v/>
      </c>
      <c r="T271" s="99"/>
      <c r="U271" s="99"/>
      <c r="V271" s="99"/>
      <c r="W271" s="99"/>
      <c r="X271" s="99"/>
      <c r="Y271" s="95" t="str">
        <f ca="1">IFERROR(__xludf.DUMMYFUNCTION("IFERROR(JOIN("","", UNIQUE(filter({U271; W271}, {U271; W271}&lt;&gt;""""))), """")"),"")</f>
        <v/>
      </c>
    </row>
    <row r="272" spans="2:25" ht="13" x14ac:dyDescent="0.15">
      <c r="B272" s="10"/>
      <c r="C272" s="10"/>
      <c r="D272" s="10"/>
      <c r="E272" s="10"/>
      <c r="F272" s="10"/>
      <c r="G272" s="95" t="str">
        <f ca="1">IFERROR(__xludf.DUMMYFUNCTION("IFERROR(JOIN("","", UNIQUE(filter({C272; E272}, {C272; E272}&lt;&gt;""""))), """")"),"")</f>
        <v/>
      </c>
      <c r="H272" s="96"/>
      <c r="I272" s="96"/>
      <c r="J272" s="96"/>
      <c r="K272" s="96"/>
      <c r="L272" s="96"/>
      <c r="M272" s="95" t="str">
        <f ca="1">IFERROR(__xludf.DUMMYFUNCTION("IFERROR(JOIN("","", UNIQUE(filter({I272; K272}, {I272; K272}&lt;&gt;""""))), """")"),"")</f>
        <v/>
      </c>
      <c r="N272" s="98"/>
      <c r="O272" s="98"/>
      <c r="P272" s="98"/>
      <c r="Q272" s="98"/>
      <c r="R272" s="98"/>
      <c r="S272" s="95" t="str">
        <f ca="1">IFERROR(__xludf.DUMMYFUNCTION("IFERROR(JOIN("","", UNIQUE(filter({O272; Q272}, {O272; Q272}&lt;&gt;""""))), """")"),"")</f>
        <v/>
      </c>
      <c r="T272" s="99"/>
      <c r="U272" s="99"/>
      <c r="V272" s="99"/>
      <c r="W272" s="99"/>
      <c r="X272" s="99"/>
      <c r="Y272" s="95" t="str">
        <f ca="1">IFERROR(__xludf.DUMMYFUNCTION("IFERROR(JOIN("","", UNIQUE(filter({U272; W272}, {U272; W272}&lt;&gt;""""))), """")"),"")</f>
        <v/>
      </c>
    </row>
    <row r="273" spans="2:25" ht="13" x14ac:dyDescent="0.15">
      <c r="B273" s="10"/>
      <c r="C273" s="10"/>
      <c r="D273" s="10"/>
      <c r="E273" s="10"/>
      <c r="F273" s="10"/>
      <c r="G273" s="95" t="str">
        <f ca="1">IFERROR(__xludf.DUMMYFUNCTION("IFERROR(JOIN("","", UNIQUE(filter({C273; E273}, {C273; E273}&lt;&gt;""""))), """")"),"")</f>
        <v/>
      </c>
      <c r="H273" s="96"/>
      <c r="I273" s="96"/>
      <c r="J273" s="96"/>
      <c r="K273" s="96"/>
      <c r="L273" s="96"/>
      <c r="M273" s="95" t="str">
        <f ca="1">IFERROR(__xludf.DUMMYFUNCTION("IFERROR(JOIN("","", UNIQUE(filter({I273; K273}, {I273; K273}&lt;&gt;""""))), """")"),"")</f>
        <v/>
      </c>
      <c r="N273" s="98"/>
      <c r="O273" s="98"/>
      <c r="P273" s="98"/>
      <c r="Q273" s="98"/>
      <c r="R273" s="98"/>
      <c r="S273" s="95" t="str">
        <f ca="1">IFERROR(__xludf.DUMMYFUNCTION("IFERROR(JOIN("","", UNIQUE(filter({O273; Q273}, {O273; Q273}&lt;&gt;""""))), """")"),"")</f>
        <v/>
      </c>
      <c r="T273" s="99"/>
      <c r="U273" s="99"/>
      <c r="V273" s="99"/>
      <c r="W273" s="99"/>
      <c r="X273" s="99"/>
      <c r="Y273" s="95" t="str">
        <f ca="1">IFERROR(__xludf.DUMMYFUNCTION("IFERROR(JOIN("","", UNIQUE(filter({U273; W273}, {U273; W273}&lt;&gt;""""))), """")"),"")</f>
        <v/>
      </c>
    </row>
    <row r="274" spans="2:25" ht="13" x14ac:dyDescent="0.15">
      <c r="B274" s="10"/>
      <c r="C274" s="10"/>
      <c r="D274" s="10"/>
      <c r="E274" s="10"/>
      <c r="F274" s="10"/>
      <c r="G274" s="95" t="str">
        <f ca="1">IFERROR(__xludf.DUMMYFUNCTION("IFERROR(JOIN("","", UNIQUE(filter({C274; E274}, {C274; E274}&lt;&gt;""""))), """")"),"")</f>
        <v/>
      </c>
      <c r="H274" s="96"/>
      <c r="I274" s="96"/>
      <c r="J274" s="96"/>
      <c r="K274" s="96"/>
      <c r="L274" s="96"/>
      <c r="M274" s="95" t="str">
        <f ca="1">IFERROR(__xludf.DUMMYFUNCTION("IFERROR(JOIN("","", UNIQUE(filter({I274; K274}, {I274; K274}&lt;&gt;""""))), """")"),"")</f>
        <v/>
      </c>
      <c r="N274" s="98"/>
      <c r="O274" s="98"/>
      <c r="P274" s="98"/>
      <c r="Q274" s="98"/>
      <c r="R274" s="98"/>
      <c r="S274" s="95" t="str">
        <f ca="1">IFERROR(__xludf.DUMMYFUNCTION("IFERROR(JOIN("","", UNIQUE(filter({O274; Q274}, {O274; Q274}&lt;&gt;""""))), """")"),"")</f>
        <v/>
      </c>
      <c r="T274" s="99"/>
      <c r="U274" s="99"/>
      <c r="V274" s="99"/>
      <c r="W274" s="99"/>
      <c r="X274" s="99"/>
      <c r="Y274" s="95" t="str">
        <f ca="1">IFERROR(__xludf.DUMMYFUNCTION("IFERROR(JOIN("","", UNIQUE(filter({U274; W274}, {U274; W274}&lt;&gt;""""))), """")"),"")</f>
        <v/>
      </c>
    </row>
    <row r="275" spans="2:25" ht="13" x14ac:dyDescent="0.15">
      <c r="B275" s="10"/>
      <c r="C275" s="10"/>
      <c r="D275" s="10"/>
      <c r="E275" s="10"/>
      <c r="F275" s="10"/>
      <c r="G275" s="95" t="str">
        <f ca="1">IFERROR(__xludf.DUMMYFUNCTION("IFERROR(JOIN("","", UNIQUE(filter({C275; E275}, {C275; E275}&lt;&gt;""""))), """")"),"")</f>
        <v/>
      </c>
      <c r="H275" s="96"/>
      <c r="I275" s="96"/>
      <c r="J275" s="96"/>
      <c r="K275" s="96"/>
      <c r="L275" s="96"/>
      <c r="M275" s="95" t="str">
        <f ca="1">IFERROR(__xludf.DUMMYFUNCTION("IFERROR(JOIN("","", UNIQUE(filter({I275; K275}, {I275; K275}&lt;&gt;""""))), """")"),"")</f>
        <v/>
      </c>
      <c r="N275" s="98"/>
      <c r="O275" s="98"/>
      <c r="P275" s="98"/>
      <c r="Q275" s="98"/>
      <c r="R275" s="98"/>
      <c r="S275" s="95" t="str">
        <f ca="1">IFERROR(__xludf.DUMMYFUNCTION("IFERROR(JOIN("","", UNIQUE(filter({O275; Q275}, {O275; Q275}&lt;&gt;""""))), """")"),"")</f>
        <v/>
      </c>
      <c r="T275" s="99"/>
      <c r="U275" s="99"/>
      <c r="V275" s="99"/>
      <c r="W275" s="99"/>
      <c r="X275" s="99"/>
      <c r="Y275" s="95" t="str">
        <f ca="1">IFERROR(__xludf.DUMMYFUNCTION("IFERROR(JOIN("","", UNIQUE(filter({U275; W275}, {U275; W275}&lt;&gt;""""))), """")"),"")</f>
        <v/>
      </c>
    </row>
    <row r="276" spans="2:25" ht="13" x14ac:dyDescent="0.15">
      <c r="B276" s="10"/>
      <c r="C276" s="10"/>
      <c r="D276" s="10"/>
      <c r="E276" s="10"/>
      <c r="F276" s="10"/>
      <c r="G276" s="95" t="str">
        <f ca="1">IFERROR(__xludf.DUMMYFUNCTION("IFERROR(JOIN("","", UNIQUE(filter({C276; E276}, {C276; E276}&lt;&gt;""""))), """")"),"")</f>
        <v/>
      </c>
      <c r="H276" s="96"/>
      <c r="I276" s="96"/>
      <c r="J276" s="96"/>
      <c r="K276" s="96"/>
      <c r="L276" s="96"/>
      <c r="M276" s="95" t="str">
        <f ca="1">IFERROR(__xludf.DUMMYFUNCTION("IFERROR(JOIN("","", UNIQUE(filter({I276; K276}, {I276; K276}&lt;&gt;""""))), """")"),"")</f>
        <v/>
      </c>
      <c r="N276" s="98"/>
      <c r="O276" s="98"/>
      <c r="P276" s="98"/>
      <c r="Q276" s="98"/>
      <c r="R276" s="98"/>
      <c r="S276" s="95" t="str">
        <f ca="1">IFERROR(__xludf.DUMMYFUNCTION("IFERROR(JOIN("","", UNIQUE(filter({O276; Q276}, {O276; Q276}&lt;&gt;""""))), """")"),"")</f>
        <v/>
      </c>
      <c r="T276" s="99"/>
      <c r="U276" s="99"/>
      <c r="V276" s="99"/>
      <c r="W276" s="99"/>
      <c r="X276" s="99"/>
      <c r="Y276" s="95" t="str">
        <f ca="1">IFERROR(__xludf.DUMMYFUNCTION("IFERROR(JOIN("","", UNIQUE(filter({U276; W276}, {U276; W276}&lt;&gt;""""))), """")"),"")</f>
        <v/>
      </c>
    </row>
    <row r="277" spans="2:25" ht="13" x14ac:dyDescent="0.15">
      <c r="B277" s="10"/>
      <c r="C277" s="10"/>
      <c r="D277" s="10"/>
      <c r="E277" s="10"/>
      <c r="F277" s="10"/>
      <c r="G277" s="95" t="str">
        <f ca="1">IFERROR(__xludf.DUMMYFUNCTION("IFERROR(JOIN("","", UNIQUE(filter({C277; E277}, {C277; E277}&lt;&gt;""""))), """")"),"")</f>
        <v/>
      </c>
      <c r="H277" s="96"/>
      <c r="I277" s="96"/>
      <c r="J277" s="96"/>
      <c r="K277" s="96"/>
      <c r="L277" s="96"/>
      <c r="M277" s="95" t="str">
        <f ca="1">IFERROR(__xludf.DUMMYFUNCTION("IFERROR(JOIN("","", UNIQUE(filter({I277; K277}, {I277; K277}&lt;&gt;""""))), """")"),"")</f>
        <v/>
      </c>
      <c r="N277" s="98"/>
      <c r="O277" s="98"/>
      <c r="P277" s="98"/>
      <c r="Q277" s="98"/>
      <c r="R277" s="98"/>
      <c r="S277" s="95" t="str">
        <f ca="1">IFERROR(__xludf.DUMMYFUNCTION("IFERROR(JOIN("","", UNIQUE(filter({O277; Q277}, {O277; Q277}&lt;&gt;""""))), """")"),"")</f>
        <v/>
      </c>
      <c r="T277" s="99"/>
      <c r="U277" s="99"/>
      <c r="V277" s="99"/>
      <c r="W277" s="99"/>
      <c r="X277" s="99"/>
      <c r="Y277" s="95" t="str">
        <f ca="1">IFERROR(__xludf.DUMMYFUNCTION("IFERROR(JOIN("","", UNIQUE(filter({U277; W277}, {U277; W277}&lt;&gt;""""))), """")"),"")</f>
        <v/>
      </c>
    </row>
    <row r="278" spans="2:25" ht="13" x14ac:dyDescent="0.15">
      <c r="B278" s="10"/>
      <c r="C278" s="10"/>
      <c r="D278" s="10"/>
      <c r="E278" s="10"/>
      <c r="F278" s="10"/>
      <c r="G278" s="95" t="str">
        <f ca="1">IFERROR(__xludf.DUMMYFUNCTION("IFERROR(JOIN("","", UNIQUE(filter({C278; E278}, {C278; E278}&lt;&gt;""""))), """")"),"")</f>
        <v/>
      </c>
      <c r="H278" s="96"/>
      <c r="I278" s="96"/>
      <c r="J278" s="96"/>
      <c r="K278" s="96"/>
      <c r="L278" s="96"/>
      <c r="M278" s="95" t="str">
        <f ca="1">IFERROR(__xludf.DUMMYFUNCTION("IFERROR(JOIN("","", UNIQUE(filter({I278; K278}, {I278; K278}&lt;&gt;""""))), """")"),"")</f>
        <v/>
      </c>
      <c r="N278" s="98"/>
      <c r="O278" s="98"/>
      <c r="P278" s="98"/>
      <c r="Q278" s="98"/>
      <c r="R278" s="98"/>
      <c r="S278" s="95" t="str">
        <f ca="1">IFERROR(__xludf.DUMMYFUNCTION("IFERROR(JOIN("","", UNIQUE(filter({O278; Q278}, {O278; Q278}&lt;&gt;""""))), """")"),"")</f>
        <v/>
      </c>
      <c r="T278" s="99"/>
      <c r="U278" s="99"/>
      <c r="V278" s="99"/>
      <c r="W278" s="99"/>
      <c r="X278" s="99"/>
      <c r="Y278" s="95" t="str">
        <f ca="1">IFERROR(__xludf.DUMMYFUNCTION("IFERROR(JOIN("","", UNIQUE(filter({U278; W278}, {U278; W278}&lt;&gt;""""))), """")"),"")</f>
        <v/>
      </c>
    </row>
    <row r="279" spans="2:25" ht="13" x14ac:dyDescent="0.15">
      <c r="B279" s="10"/>
      <c r="C279" s="10"/>
      <c r="D279" s="10"/>
      <c r="E279" s="10"/>
      <c r="F279" s="10"/>
      <c r="G279" s="95" t="str">
        <f ca="1">IFERROR(__xludf.DUMMYFUNCTION("IFERROR(JOIN("","", UNIQUE(filter({C279; E279}, {C279; E279}&lt;&gt;""""))), """")"),"")</f>
        <v/>
      </c>
      <c r="H279" s="96"/>
      <c r="I279" s="96"/>
      <c r="J279" s="96"/>
      <c r="K279" s="96"/>
      <c r="L279" s="96"/>
      <c r="M279" s="95" t="str">
        <f ca="1">IFERROR(__xludf.DUMMYFUNCTION("IFERROR(JOIN("","", UNIQUE(filter({I279; K279}, {I279; K279}&lt;&gt;""""))), """")"),"")</f>
        <v/>
      </c>
      <c r="N279" s="98"/>
      <c r="O279" s="98"/>
      <c r="P279" s="98"/>
      <c r="Q279" s="98"/>
      <c r="R279" s="98"/>
      <c r="S279" s="95" t="str">
        <f ca="1">IFERROR(__xludf.DUMMYFUNCTION("IFERROR(JOIN("","", UNIQUE(filter({O279; Q279}, {O279; Q279}&lt;&gt;""""))), """")"),"")</f>
        <v/>
      </c>
      <c r="T279" s="99"/>
      <c r="U279" s="99"/>
      <c r="V279" s="99"/>
      <c r="W279" s="99"/>
      <c r="X279" s="99"/>
      <c r="Y279" s="95" t="str">
        <f ca="1">IFERROR(__xludf.DUMMYFUNCTION("IFERROR(JOIN("","", UNIQUE(filter({U279; W279}, {U279; W279}&lt;&gt;""""))), """")"),"")</f>
        <v/>
      </c>
    </row>
    <row r="280" spans="2:25" ht="13" x14ac:dyDescent="0.15">
      <c r="B280" s="10"/>
      <c r="C280" s="10"/>
      <c r="D280" s="10"/>
      <c r="E280" s="10"/>
      <c r="F280" s="10"/>
      <c r="G280" s="95" t="str">
        <f ca="1">IFERROR(__xludf.DUMMYFUNCTION("IFERROR(JOIN("","", UNIQUE(filter({C280; E280}, {C280; E280}&lt;&gt;""""))), """")"),"")</f>
        <v/>
      </c>
      <c r="H280" s="96"/>
      <c r="I280" s="96"/>
      <c r="J280" s="96"/>
      <c r="K280" s="96"/>
      <c r="L280" s="96"/>
      <c r="M280" s="95" t="str">
        <f ca="1">IFERROR(__xludf.DUMMYFUNCTION("IFERROR(JOIN("","", UNIQUE(filter({I280; K280}, {I280; K280}&lt;&gt;""""))), """")"),"")</f>
        <v/>
      </c>
      <c r="N280" s="98"/>
      <c r="O280" s="98"/>
      <c r="P280" s="98"/>
      <c r="Q280" s="98"/>
      <c r="R280" s="98"/>
      <c r="S280" s="95" t="str">
        <f ca="1">IFERROR(__xludf.DUMMYFUNCTION("IFERROR(JOIN("","", UNIQUE(filter({O280; Q280}, {O280; Q280}&lt;&gt;""""))), """")"),"")</f>
        <v/>
      </c>
      <c r="T280" s="99"/>
      <c r="U280" s="99"/>
      <c r="V280" s="99"/>
      <c r="W280" s="99"/>
      <c r="X280" s="99"/>
      <c r="Y280" s="95" t="str">
        <f ca="1">IFERROR(__xludf.DUMMYFUNCTION("IFERROR(JOIN("","", UNIQUE(filter({U280; W280}, {U280; W280}&lt;&gt;""""))), """")"),"")</f>
        <v/>
      </c>
    </row>
    <row r="281" spans="2:25" ht="13" x14ac:dyDescent="0.15">
      <c r="B281" s="10"/>
      <c r="C281" s="10"/>
      <c r="D281" s="10"/>
      <c r="E281" s="10"/>
      <c r="F281" s="10"/>
      <c r="G281" s="95" t="str">
        <f ca="1">IFERROR(__xludf.DUMMYFUNCTION("IFERROR(JOIN("","", UNIQUE(filter({C281; E281}, {C281; E281}&lt;&gt;""""))), """")"),"")</f>
        <v/>
      </c>
      <c r="H281" s="96"/>
      <c r="I281" s="96"/>
      <c r="J281" s="96"/>
      <c r="K281" s="96"/>
      <c r="L281" s="96"/>
      <c r="M281" s="95" t="str">
        <f ca="1">IFERROR(__xludf.DUMMYFUNCTION("IFERROR(JOIN("","", UNIQUE(filter({I281; K281}, {I281; K281}&lt;&gt;""""))), """")"),"")</f>
        <v/>
      </c>
      <c r="N281" s="98"/>
      <c r="O281" s="98"/>
      <c r="P281" s="98"/>
      <c r="Q281" s="98"/>
      <c r="R281" s="98"/>
      <c r="S281" s="95" t="str">
        <f ca="1">IFERROR(__xludf.DUMMYFUNCTION("IFERROR(JOIN("","", UNIQUE(filter({O281; Q281}, {O281; Q281}&lt;&gt;""""))), """")"),"")</f>
        <v/>
      </c>
      <c r="T281" s="99"/>
      <c r="U281" s="99"/>
      <c r="V281" s="99"/>
      <c r="W281" s="99"/>
      <c r="X281" s="99"/>
      <c r="Y281" s="95" t="str">
        <f ca="1">IFERROR(__xludf.DUMMYFUNCTION("IFERROR(JOIN("","", UNIQUE(filter({U281; W281}, {U281; W281}&lt;&gt;""""))), """")"),"")</f>
        <v/>
      </c>
    </row>
    <row r="282" spans="2:25" ht="13" x14ac:dyDescent="0.15">
      <c r="B282" s="10"/>
      <c r="C282" s="10"/>
      <c r="D282" s="10"/>
      <c r="E282" s="10"/>
      <c r="F282" s="10"/>
      <c r="G282" s="95" t="str">
        <f ca="1">IFERROR(__xludf.DUMMYFUNCTION("IFERROR(JOIN("","", UNIQUE(filter({C282; E282}, {C282; E282}&lt;&gt;""""))), """")"),"")</f>
        <v/>
      </c>
      <c r="H282" s="96"/>
      <c r="I282" s="96"/>
      <c r="J282" s="96"/>
      <c r="K282" s="96"/>
      <c r="L282" s="96"/>
      <c r="M282" s="95" t="str">
        <f ca="1">IFERROR(__xludf.DUMMYFUNCTION("IFERROR(JOIN("","", UNIQUE(filter({I282; K282}, {I282; K282}&lt;&gt;""""))), """")"),"")</f>
        <v/>
      </c>
      <c r="N282" s="98"/>
      <c r="O282" s="98"/>
      <c r="P282" s="98"/>
      <c r="Q282" s="98"/>
      <c r="R282" s="98"/>
      <c r="S282" s="95" t="str">
        <f ca="1">IFERROR(__xludf.DUMMYFUNCTION("IFERROR(JOIN("","", UNIQUE(filter({O282; Q282}, {O282; Q282}&lt;&gt;""""))), """")"),"")</f>
        <v/>
      </c>
      <c r="T282" s="99"/>
      <c r="U282" s="99"/>
      <c r="V282" s="99"/>
      <c r="W282" s="99"/>
      <c r="X282" s="99"/>
      <c r="Y282" s="95" t="str">
        <f ca="1">IFERROR(__xludf.DUMMYFUNCTION("IFERROR(JOIN("","", UNIQUE(filter({U282; W282}, {U282; W282}&lt;&gt;""""))), """")"),"")</f>
        <v/>
      </c>
    </row>
    <row r="283" spans="2:25" ht="13" x14ac:dyDescent="0.15">
      <c r="B283" s="10"/>
      <c r="C283" s="10"/>
      <c r="D283" s="10"/>
      <c r="E283" s="10"/>
      <c r="F283" s="10"/>
      <c r="G283" s="95" t="str">
        <f ca="1">IFERROR(__xludf.DUMMYFUNCTION("IFERROR(JOIN("","", UNIQUE(filter({C283; E283}, {C283; E283}&lt;&gt;""""))), """")"),"")</f>
        <v/>
      </c>
      <c r="H283" s="96"/>
      <c r="I283" s="96"/>
      <c r="J283" s="96"/>
      <c r="K283" s="96"/>
      <c r="L283" s="96"/>
      <c r="M283" s="95" t="str">
        <f ca="1">IFERROR(__xludf.DUMMYFUNCTION("IFERROR(JOIN("","", UNIQUE(filter({I283; K283}, {I283; K283}&lt;&gt;""""))), """")"),"")</f>
        <v/>
      </c>
      <c r="N283" s="98"/>
      <c r="O283" s="98"/>
      <c r="P283" s="98"/>
      <c r="Q283" s="98"/>
      <c r="R283" s="98"/>
      <c r="S283" s="95" t="str">
        <f ca="1">IFERROR(__xludf.DUMMYFUNCTION("IFERROR(JOIN("","", UNIQUE(filter({O283; Q283}, {O283; Q283}&lt;&gt;""""))), """")"),"")</f>
        <v/>
      </c>
      <c r="T283" s="99"/>
      <c r="U283" s="99"/>
      <c r="V283" s="99"/>
      <c r="W283" s="99"/>
      <c r="X283" s="99"/>
      <c r="Y283" s="95" t="str">
        <f ca="1">IFERROR(__xludf.DUMMYFUNCTION("IFERROR(JOIN("","", UNIQUE(filter({U283; W283}, {U283; W283}&lt;&gt;""""))), """")"),"")</f>
        <v/>
      </c>
    </row>
    <row r="284" spans="2:25" ht="13" x14ac:dyDescent="0.15">
      <c r="B284" s="10"/>
      <c r="C284" s="10"/>
      <c r="D284" s="10"/>
      <c r="E284" s="10"/>
      <c r="F284" s="10"/>
      <c r="G284" s="95" t="str">
        <f ca="1">IFERROR(__xludf.DUMMYFUNCTION("IFERROR(JOIN("","", UNIQUE(filter({C284; E284}, {C284; E284}&lt;&gt;""""))), """")"),"")</f>
        <v/>
      </c>
      <c r="H284" s="96"/>
      <c r="I284" s="96"/>
      <c r="J284" s="96"/>
      <c r="K284" s="96"/>
      <c r="L284" s="96"/>
      <c r="M284" s="95" t="str">
        <f ca="1">IFERROR(__xludf.DUMMYFUNCTION("IFERROR(JOIN("","", UNIQUE(filter({I284; K284}, {I284; K284}&lt;&gt;""""))), """")"),"")</f>
        <v/>
      </c>
      <c r="N284" s="98"/>
      <c r="O284" s="98"/>
      <c r="P284" s="98"/>
      <c r="Q284" s="98"/>
      <c r="R284" s="98"/>
      <c r="S284" s="95" t="str">
        <f ca="1">IFERROR(__xludf.DUMMYFUNCTION("IFERROR(JOIN("","", UNIQUE(filter({O284; Q284}, {O284; Q284}&lt;&gt;""""))), """")"),"")</f>
        <v/>
      </c>
      <c r="T284" s="99"/>
      <c r="U284" s="99"/>
      <c r="V284" s="99"/>
      <c r="W284" s="99"/>
      <c r="X284" s="99"/>
      <c r="Y284" s="95" t="str">
        <f ca="1">IFERROR(__xludf.DUMMYFUNCTION("IFERROR(JOIN("","", UNIQUE(filter({U284; W284}, {U284; W284}&lt;&gt;""""))), """")"),"")</f>
        <v/>
      </c>
    </row>
    <row r="285" spans="2:25" ht="13" x14ac:dyDescent="0.15">
      <c r="B285" s="10"/>
      <c r="C285" s="10"/>
      <c r="D285" s="10"/>
      <c r="E285" s="10"/>
      <c r="F285" s="10"/>
      <c r="G285" s="95" t="str">
        <f ca="1">IFERROR(__xludf.DUMMYFUNCTION("IFERROR(JOIN("","", UNIQUE(filter({C285; E285}, {C285; E285}&lt;&gt;""""))), """")"),"")</f>
        <v/>
      </c>
      <c r="H285" s="96"/>
      <c r="I285" s="96"/>
      <c r="J285" s="96"/>
      <c r="K285" s="96"/>
      <c r="L285" s="96"/>
      <c r="M285" s="95" t="str">
        <f ca="1">IFERROR(__xludf.DUMMYFUNCTION("IFERROR(JOIN("","", UNIQUE(filter({I285; K285}, {I285; K285}&lt;&gt;""""))), """")"),"")</f>
        <v/>
      </c>
      <c r="N285" s="98"/>
      <c r="O285" s="98"/>
      <c r="P285" s="98"/>
      <c r="Q285" s="98"/>
      <c r="R285" s="98"/>
      <c r="S285" s="95" t="str">
        <f ca="1">IFERROR(__xludf.DUMMYFUNCTION("IFERROR(JOIN("","", UNIQUE(filter({O285; Q285}, {O285; Q285}&lt;&gt;""""))), """")"),"")</f>
        <v/>
      </c>
      <c r="T285" s="99"/>
      <c r="U285" s="99"/>
      <c r="V285" s="99"/>
      <c r="W285" s="99"/>
      <c r="X285" s="99"/>
      <c r="Y285" s="95" t="str">
        <f ca="1">IFERROR(__xludf.DUMMYFUNCTION("IFERROR(JOIN("","", UNIQUE(filter({U285; W285}, {U285; W285}&lt;&gt;""""))), """")"),"")</f>
        <v/>
      </c>
    </row>
    <row r="286" spans="2:25" ht="13" x14ac:dyDescent="0.15">
      <c r="B286" s="10"/>
      <c r="C286" s="10"/>
      <c r="D286" s="10"/>
      <c r="E286" s="10"/>
      <c r="F286" s="10"/>
      <c r="G286" s="95" t="str">
        <f ca="1">IFERROR(__xludf.DUMMYFUNCTION("IFERROR(JOIN("","", UNIQUE(filter({C286; E286}, {C286; E286}&lt;&gt;""""))), """")"),"")</f>
        <v/>
      </c>
      <c r="H286" s="96"/>
      <c r="I286" s="96"/>
      <c r="J286" s="96"/>
      <c r="K286" s="96"/>
      <c r="L286" s="96"/>
      <c r="M286" s="95" t="str">
        <f ca="1">IFERROR(__xludf.DUMMYFUNCTION("IFERROR(JOIN("","", UNIQUE(filter({I286; K286}, {I286; K286}&lt;&gt;""""))), """")"),"")</f>
        <v/>
      </c>
      <c r="N286" s="98"/>
      <c r="O286" s="98"/>
      <c r="P286" s="98"/>
      <c r="Q286" s="98"/>
      <c r="R286" s="98"/>
      <c r="S286" s="95" t="str">
        <f ca="1">IFERROR(__xludf.DUMMYFUNCTION("IFERROR(JOIN("","", UNIQUE(filter({O286; Q286}, {O286; Q286}&lt;&gt;""""))), """")"),"")</f>
        <v/>
      </c>
      <c r="T286" s="99"/>
      <c r="U286" s="99"/>
      <c r="V286" s="99"/>
      <c r="W286" s="99"/>
      <c r="X286" s="99"/>
      <c r="Y286" s="95" t="str">
        <f ca="1">IFERROR(__xludf.DUMMYFUNCTION("IFERROR(JOIN("","", UNIQUE(filter({U286; W286}, {U286; W286}&lt;&gt;""""))), """")"),"")</f>
        <v/>
      </c>
    </row>
    <row r="287" spans="2:25" ht="13" x14ac:dyDescent="0.15">
      <c r="B287" s="10"/>
      <c r="C287" s="10"/>
      <c r="D287" s="10"/>
      <c r="E287" s="10"/>
      <c r="F287" s="10"/>
      <c r="G287" s="95" t="str">
        <f ca="1">IFERROR(__xludf.DUMMYFUNCTION("IFERROR(JOIN("","", UNIQUE(filter({C287; E287}, {C287; E287}&lt;&gt;""""))), """")"),"")</f>
        <v/>
      </c>
      <c r="H287" s="96"/>
      <c r="I287" s="96"/>
      <c r="J287" s="96"/>
      <c r="K287" s="96"/>
      <c r="L287" s="96"/>
      <c r="M287" s="95" t="str">
        <f ca="1">IFERROR(__xludf.DUMMYFUNCTION("IFERROR(JOIN("","", UNIQUE(filter({I287; K287}, {I287; K287}&lt;&gt;""""))), """")"),"")</f>
        <v/>
      </c>
      <c r="N287" s="98"/>
      <c r="O287" s="98"/>
      <c r="P287" s="98"/>
      <c r="Q287" s="98"/>
      <c r="R287" s="98"/>
      <c r="S287" s="95" t="str">
        <f ca="1">IFERROR(__xludf.DUMMYFUNCTION("IFERROR(JOIN("","", UNIQUE(filter({O287; Q287}, {O287; Q287}&lt;&gt;""""))), """")"),"")</f>
        <v/>
      </c>
      <c r="T287" s="99"/>
      <c r="U287" s="99"/>
      <c r="V287" s="99"/>
      <c r="W287" s="99"/>
      <c r="X287" s="99"/>
      <c r="Y287" s="95" t="str">
        <f ca="1">IFERROR(__xludf.DUMMYFUNCTION("IFERROR(JOIN("","", UNIQUE(filter({U287; W287}, {U287; W287}&lt;&gt;""""))), """")"),"")</f>
        <v/>
      </c>
    </row>
    <row r="288" spans="2:25" ht="13" x14ac:dyDescent="0.15">
      <c r="B288" s="10"/>
      <c r="C288" s="10"/>
      <c r="D288" s="10"/>
      <c r="E288" s="10"/>
      <c r="F288" s="10"/>
      <c r="G288" s="95" t="str">
        <f ca="1">IFERROR(__xludf.DUMMYFUNCTION("IFERROR(JOIN("","", UNIQUE(filter({C288; E288}, {C288; E288}&lt;&gt;""""))), """")"),"")</f>
        <v/>
      </c>
      <c r="H288" s="96"/>
      <c r="I288" s="96"/>
      <c r="J288" s="96"/>
      <c r="K288" s="96"/>
      <c r="L288" s="96"/>
      <c r="M288" s="95" t="str">
        <f ca="1">IFERROR(__xludf.DUMMYFUNCTION("IFERROR(JOIN("","", UNIQUE(filter({I288; K288}, {I288; K288}&lt;&gt;""""))), """")"),"")</f>
        <v/>
      </c>
      <c r="N288" s="98"/>
      <c r="O288" s="98"/>
      <c r="P288" s="98"/>
      <c r="Q288" s="98"/>
      <c r="R288" s="98"/>
      <c r="S288" s="95" t="str">
        <f ca="1">IFERROR(__xludf.DUMMYFUNCTION("IFERROR(JOIN("","", UNIQUE(filter({O288; Q288}, {O288; Q288}&lt;&gt;""""))), """")"),"")</f>
        <v/>
      </c>
      <c r="T288" s="99"/>
      <c r="U288" s="99"/>
      <c r="V288" s="99"/>
      <c r="W288" s="99"/>
      <c r="X288" s="99"/>
      <c r="Y288" s="95" t="str">
        <f ca="1">IFERROR(__xludf.DUMMYFUNCTION("IFERROR(JOIN("","", UNIQUE(filter({U288; W288}, {U288; W288}&lt;&gt;""""))), """")"),"")</f>
        <v/>
      </c>
    </row>
    <row r="289" spans="2:25" ht="13" x14ac:dyDescent="0.15">
      <c r="B289" s="10"/>
      <c r="C289" s="10"/>
      <c r="D289" s="10"/>
      <c r="E289" s="10"/>
      <c r="F289" s="10"/>
      <c r="G289" s="95" t="str">
        <f ca="1">IFERROR(__xludf.DUMMYFUNCTION("IFERROR(JOIN("","", UNIQUE(filter({C289; E289}, {C289; E289}&lt;&gt;""""))), """")"),"")</f>
        <v/>
      </c>
      <c r="H289" s="96"/>
      <c r="I289" s="96"/>
      <c r="J289" s="96"/>
      <c r="K289" s="96"/>
      <c r="L289" s="96"/>
      <c r="M289" s="95" t="str">
        <f ca="1">IFERROR(__xludf.DUMMYFUNCTION("IFERROR(JOIN("","", UNIQUE(filter({I289; K289}, {I289; K289}&lt;&gt;""""))), """")"),"")</f>
        <v/>
      </c>
      <c r="N289" s="98"/>
      <c r="O289" s="98"/>
      <c r="P289" s="98"/>
      <c r="Q289" s="98"/>
      <c r="R289" s="98"/>
      <c r="S289" s="95" t="str">
        <f ca="1">IFERROR(__xludf.DUMMYFUNCTION("IFERROR(JOIN("","", UNIQUE(filter({O289; Q289}, {O289; Q289}&lt;&gt;""""))), """")"),"")</f>
        <v/>
      </c>
      <c r="T289" s="99"/>
      <c r="U289" s="99"/>
      <c r="V289" s="99"/>
      <c r="W289" s="99"/>
      <c r="X289" s="99"/>
      <c r="Y289" s="95" t="str">
        <f ca="1">IFERROR(__xludf.DUMMYFUNCTION("IFERROR(JOIN("","", UNIQUE(filter({U289; W289}, {U289; W289}&lt;&gt;""""))), """")"),"")</f>
        <v/>
      </c>
    </row>
    <row r="290" spans="2:25" ht="13" x14ac:dyDescent="0.15">
      <c r="B290" s="10"/>
      <c r="C290" s="10"/>
      <c r="D290" s="10"/>
      <c r="E290" s="10"/>
      <c r="F290" s="10"/>
      <c r="G290" s="95" t="str">
        <f ca="1">IFERROR(__xludf.DUMMYFUNCTION("IFERROR(JOIN("","", UNIQUE(filter({C290; E290}, {C290; E290}&lt;&gt;""""))), """")"),"")</f>
        <v/>
      </c>
      <c r="H290" s="96"/>
      <c r="I290" s="96"/>
      <c r="J290" s="96"/>
      <c r="K290" s="96"/>
      <c r="L290" s="96"/>
      <c r="M290" s="95" t="str">
        <f ca="1">IFERROR(__xludf.DUMMYFUNCTION("IFERROR(JOIN("","", UNIQUE(filter({I290; K290}, {I290; K290}&lt;&gt;""""))), """")"),"")</f>
        <v/>
      </c>
      <c r="N290" s="98"/>
      <c r="O290" s="98"/>
      <c r="P290" s="98"/>
      <c r="Q290" s="98"/>
      <c r="R290" s="98"/>
      <c r="S290" s="95" t="str">
        <f ca="1">IFERROR(__xludf.DUMMYFUNCTION("IFERROR(JOIN("","", UNIQUE(filter({O290; Q290}, {O290; Q290}&lt;&gt;""""))), """")"),"")</f>
        <v/>
      </c>
      <c r="T290" s="99"/>
      <c r="U290" s="99"/>
      <c r="V290" s="99"/>
      <c r="W290" s="99"/>
      <c r="X290" s="99"/>
      <c r="Y290" s="95" t="str">
        <f ca="1">IFERROR(__xludf.DUMMYFUNCTION("IFERROR(JOIN("","", UNIQUE(filter({U290; W290}, {U290; W290}&lt;&gt;""""))), """")"),"")</f>
        <v/>
      </c>
    </row>
    <row r="291" spans="2:25" ht="13" x14ac:dyDescent="0.15">
      <c r="B291" s="10"/>
      <c r="C291" s="10"/>
      <c r="D291" s="10"/>
      <c r="E291" s="10"/>
      <c r="F291" s="10"/>
      <c r="G291" s="95" t="str">
        <f ca="1">IFERROR(__xludf.DUMMYFUNCTION("IFERROR(JOIN("","", UNIQUE(filter({C291; E291}, {C291; E291}&lt;&gt;""""))), """")"),"")</f>
        <v/>
      </c>
      <c r="H291" s="96"/>
      <c r="I291" s="96"/>
      <c r="J291" s="96"/>
      <c r="K291" s="96"/>
      <c r="L291" s="96"/>
      <c r="M291" s="95" t="str">
        <f ca="1">IFERROR(__xludf.DUMMYFUNCTION("IFERROR(JOIN("","", UNIQUE(filter({I291; K291}, {I291; K291}&lt;&gt;""""))), """")"),"")</f>
        <v/>
      </c>
      <c r="N291" s="98"/>
      <c r="O291" s="98"/>
      <c r="P291" s="98"/>
      <c r="Q291" s="98"/>
      <c r="R291" s="98"/>
      <c r="S291" s="95" t="str">
        <f ca="1">IFERROR(__xludf.DUMMYFUNCTION("IFERROR(JOIN("","", UNIQUE(filter({O291; Q291}, {O291; Q291}&lt;&gt;""""))), """")"),"")</f>
        <v/>
      </c>
      <c r="T291" s="99"/>
      <c r="U291" s="99"/>
      <c r="V291" s="99"/>
      <c r="W291" s="99"/>
      <c r="X291" s="99"/>
      <c r="Y291" s="95" t="str">
        <f ca="1">IFERROR(__xludf.DUMMYFUNCTION("IFERROR(JOIN("","", UNIQUE(filter({U291; W291}, {U291; W291}&lt;&gt;""""))), """")"),"")</f>
        <v/>
      </c>
    </row>
    <row r="292" spans="2:25" ht="13" x14ac:dyDescent="0.15">
      <c r="B292" s="10"/>
      <c r="C292" s="10"/>
      <c r="D292" s="10"/>
      <c r="E292" s="10"/>
      <c r="F292" s="10"/>
      <c r="G292" s="95" t="str">
        <f ca="1">IFERROR(__xludf.DUMMYFUNCTION("IFERROR(JOIN("","", UNIQUE(filter({C292; E292}, {C292; E292}&lt;&gt;""""))), """")"),"")</f>
        <v/>
      </c>
      <c r="H292" s="96"/>
      <c r="I292" s="96"/>
      <c r="J292" s="96"/>
      <c r="K292" s="96"/>
      <c r="L292" s="96"/>
      <c r="M292" s="95" t="str">
        <f ca="1">IFERROR(__xludf.DUMMYFUNCTION("IFERROR(JOIN("","", UNIQUE(filter({I292; K292}, {I292; K292}&lt;&gt;""""))), """")"),"")</f>
        <v/>
      </c>
      <c r="N292" s="98"/>
      <c r="O292" s="98"/>
      <c r="P292" s="98"/>
      <c r="Q292" s="98"/>
      <c r="R292" s="98"/>
      <c r="S292" s="95" t="str">
        <f ca="1">IFERROR(__xludf.DUMMYFUNCTION("IFERROR(JOIN("","", UNIQUE(filter({O292; Q292}, {O292; Q292}&lt;&gt;""""))), """")"),"")</f>
        <v/>
      </c>
      <c r="T292" s="99"/>
      <c r="U292" s="99"/>
      <c r="V292" s="99"/>
      <c r="W292" s="99"/>
      <c r="X292" s="99"/>
      <c r="Y292" s="95" t="str">
        <f ca="1">IFERROR(__xludf.DUMMYFUNCTION("IFERROR(JOIN("","", UNIQUE(filter({U292; W292}, {U292; W292}&lt;&gt;""""))), """")"),"")</f>
        <v/>
      </c>
    </row>
    <row r="293" spans="2:25" ht="13" x14ac:dyDescent="0.15">
      <c r="B293" s="10"/>
      <c r="C293" s="10"/>
      <c r="D293" s="10"/>
      <c r="E293" s="10"/>
      <c r="F293" s="10"/>
      <c r="G293" s="95" t="str">
        <f ca="1">IFERROR(__xludf.DUMMYFUNCTION("IFERROR(JOIN("","", UNIQUE(filter({C293; E293}, {C293; E293}&lt;&gt;""""))), """")"),"")</f>
        <v/>
      </c>
      <c r="H293" s="96"/>
      <c r="I293" s="96"/>
      <c r="J293" s="96"/>
      <c r="K293" s="96"/>
      <c r="L293" s="96"/>
      <c r="M293" s="95" t="str">
        <f ca="1">IFERROR(__xludf.DUMMYFUNCTION("IFERROR(JOIN("","", UNIQUE(filter({I293; K293}, {I293; K293}&lt;&gt;""""))), """")"),"")</f>
        <v/>
      </c>
      <c r="N293" s="98"/>
      <c r="O293" s="98"/>
      <c r="P293" s="98"/>
      <c r="Q293" s="98"/>
      <c r="R293" s="98"/>
      <c r="S293" s="95" t="str">
        <f ca="1">IFERROR(__xludf.DUMMYFUNCTION("IFERROR(JOIN("","", UNIQUE(filter({O293; Q293}, {O293; Q293}&lt;&gt;""""))), """")"),"")</f>
        <v/>
      </c>
      <c r="T293" s="99"/>
      <c r="U293" s="99"/>
      <c r="V293" s="99"/>
      <c r="W293" s="99"/>
      <c r="X293" s="99"/>
      <c r="Y293" s="95" t="str">
        <f ca="1">IFERROR(__xludf.DUMMYFUNCTION("IFERROR(JOIN("","", UNIQUE(filter({U293; W293}, {U293; W293}&lt;&gt;""""))), """")"),"")</f>
        <v/>
      </c>
    </row>
    <row r="294" spans="2:25" ht="13" x14ac:dyDescent="0.15">
      <c r="B294" s="10"/>
      <c r="C294" s="10"/>
      <c r="D294" s="10"/>
      <c r="E294" s="10"/>
      <c r="F294" s="10"/>
      <c r="G294" s="95" t="str">
        <f ca="1">IFERROR(__xludf.DUMMYFUNCTION("IFERROR(JOIN("","", UNIQUE(filter({C294; E294}, {C294; E294}&lt;&gt;""""))), """")"),"")</f>
        <v/>
      </c>
      <c r="H294" s="96"/>
      <c r="I294" s="96"/>
      <c r="J294" s="96"/>
      <c r="K294" s="96"/>
      <c r="L294" s="96"/>
      <c r="M294" s="95" t="str">
        <f ca="1">IFERROR(__xludf.DUMMYFUNCTION("IFERROR(JOIN("","", UNIQUE(filter({I294; K294}, {I294; K294}&lt;&gt;""""))), """")"),"")</f>
        <v/>
      </c>
      <c r="N294" s="98"/>
      <c r="O294" s="98"/>
      <c r="P294" s="98"/>
      <c r="Q294" s="98"/>
      <c r="R294" s="98"/>
      <c r="S294" s="95" t="str">
        <f ca="1">IFERROR(__xludf.DUMMYFUNCTION("IFERROR(JOIN("","", UNIQUE(filter({O294; Q294}, {O294; Q294}&lt;&gt;""""))), """")"),"")</f>
        <v/>
      </c>
      <c r="T294" s="99"/>
      <c r="U294" s="99"/>
      <c r="V294" s="99"/>
      <c r="W294" s="99"/>
      <c r="X294" s="99"/>
      <c r="Y294" s="95" t="str">
        <f ca="1">IFERROR(__xludf.DUMMYFUNCTION("IFERROR(JOIN("","", UNIQUE(filter({U294; W294}, {U294; W294}&lt;&gt;""""))), """")"),"")</f>
        <v/>
      </c>
    </row>
    <row r="295" spans="2:25" ht="13" x14ac:dyDescent="0.15">
      <c r="B295" s="10"/>
      <c r="C295" s="10"/>
      <c r="D295" s="10"/>
      <c r="E295" s="10"/>
      <c r="F295" s="10"/>
      <c r="G295" s="95" t="str">
        <f ca="1">IFERROR(__xludf.DUMMYFUNCTION("IFERROR(JOIN("","", UNIQUE(filter({C295; E295}, {C295; E295}&lt;&gt;""""))), """")"),"")</f>
        <v/>
      </c>
      <c r="H295" s="96"/>
      <c r="I295" s="96"/>
      <c r="J295" s="96"/>
      <c r="K295" s="96"/>
      <c r="L295" s="96"/>
      <c r="M295" s="95" t="str">
        <f ca="1">IFERROR(__xludf.DUMMYFUNCTION("IFERROR(JOIN("","", UNIQUE(filter({I295; K295}, {I295; K295}&lt;&gt;""""))), """")"),"")</f>
        <v/>
      </c>
      <c r="N295" s="98"/>
      <c r="O295" s="98"/>
      <c r="P295" s="98"/>
      <c r="Q295" s="98"/>
      <c r="R295" s="98"/>
      <c r="S295" s="95" t="str">
        <f ca="1">IFERROR(__xludf.DUMMYFUNCTION("IFERROR(JOIN("","", UNIQUE(filter({O295; Q295}, {O295; Q295}&lt;&gt;""""))), """")"),"")</f>
        <v/>
      </c>
      <c r="T295" s="99"/>
      <c r="U295" s="99"/>
      <c r="V295" s="99"/>
      <c r="W295" s="99"/>
      <c r="X295" s="99"/>
      <c r="Y295" s="95" t="str">
        <f ca="1">IFERROR(__xludf.DUMMYFUNCTION("IFERROR(JOIN("","", UNIQUE(filter({U295; W295}, {U295; W295}&lt;&gt;""""))), """")"),"")</f>
        <v/>
      </c>
    </row>
    <row r="296" spans="2:25" ht="13" x14ac:dyDescent="0.15">
      <c r="B296" s="10"/>
      <c r="C296" s="10"/>
      <c r="D296" s="10"/>
      <c r="E296" s="10"/>
      <c r="F296" s="10"/>
      <c r="G296" s="95" t="str">
        <f ca="1">IFERROR(__xludf.DUMMYFUNCTION("IFERROR(JOIN("","", UNIQUE(filter({C296; E296}, {C296; E296}&lt;&gt;""""))), """")"),"")</f>
        <v/>
      </c>
      <c r="H296" s="96"/>
      <c r="I296" s="96"/>
      <c r="J296" s="96"/>
      <c r="K296" s="96"/>
      <c r="L296" s="96"/>
      <c r="M296" s="95" t="str">
        <f ca="1">IFERROR(__xludf.DUMMYFUNCTION("IFERROR(JOIN("","", UNIQUE(filter({I296; K296}, {I296; K296}&lt;&gt;""""))), """")"),"")</f>
        <v/>
      </c>
      <c r="N296" s="98"/>
      <c r="O296" s="98"/>
      <c r="P296" s="98"/>
      <c r="Q296" s="98"/>
      <c r="R296" s="98"/>
      <c r="S296" s="95" t="str">
        <f ca="1">IFERROR(__xludf.DUMMYFUNCTION("IFERROR(JOIN("","", UNIQUE(filter({O296; Q296}, {O296; Q296}&lt;&gt;""""))), """")"),"")</f>
        <v/>
      </c>
      <c r="T296" s="99"/>
      <c r="U296" s="99"/>
      <c r="V296" s="99"/>
      <c r="W296" s="99"/>
      <c r="X296" s="99"/>
      <c r="Y296" s="95" t="str">
        <f ca="1">IFERROR(__xludf.DUMMYFUNCTION("IFERROR(JOIN("","", UNIQUE(filter({U296; W296}, {U296; W296}&lt;&gt;""""))), """")"),"")</f>
        <v/>
      </c>
    </row>
    <row r="297" spans="2:25" ht="13" x14ac:dyDescent="0.15">
      <c r="B297" s="10"/>
      <c r="C297" s="10"/>
      <c r="D297" s="10"/>
      <c r="E297" s="10"/>
      <c r="F297" s="10"/>
      <c r="G297" s="95" t="str">
        <f ca="1">IFERROR(__xludf.DUMMYFUNCTION("IFERROR(JOIN("","", UNIQUE(filter({C297; E297}, {C297; E297}&lt;&gt;""""))), """")"),"")</f>
        <v/>
      </c>
      <c r="H297" s="96"/>
      <c r="I297" s="96"/>
      <c r="J297" s="96"/>
      <c r="K297" s="96"/>
      <c r="L297" s="96"/>
      <c r="M297" s="95" t="str">
        <f ca="1">IFERROR(__xludf.DUMMYFUNCTION("IFERROR(JOIN("","", UNIQUE(filter({I297; K297}, {I297; K297}&lt;&gt;""""))), """")"),"")</f>
        <v/>
      </c>
      <c r="N297" s="98"/>
      <c r="O297" s="98"/>
      <c r="P297" s="98"/>
      <c r="Q297" s="98"/>
      <c r="R297" s="98"/>
      <c r="S297" s="95" t="str">
        <f ca="1">IFERROR(__xludf.DUMMYFUNCTION("IFERROR(JOIN("","", UNIQUE(filter({O297; Q297}, {O297; Q297}&lt;&gt;""""))), """")"),"")</f>
        <v/>
      </c>
      <c r="T297" s="99"/>
      <c r="U297" s="99"/>
      <c r="V297" s="99"/>
      <c r="W297" s="99"/>
      <c r="X297" s="99"/>
      <c r="Y297" s="95" t="str">
        <f ca="1">IFERROR(__xludf.DUMMYFUNCTION("IFERROR(JOIN("","", UNIQUE(filter({U297; W297}, {U297; W297}&lt;&gt;""""))), """")"),"")</f>
        <v/>
      </c>
    </row>
    <row r="298" spans="2:25" ht="13" x14ac:dyDescent="0.15">
      <c r="B298" s="10"/>
      <c r="C298" s="10"/>
      <c r="D298" s="10"/>
      <c r="E298" s="10"/>
      <c r="F298" s="10"/>
      <c r="G298" s="95" t="str">
        <f ca="1">IFERROR(__xludf.DUMMYFUNCTION("IFERROR(JOIN("","", UNIQUE(filter({C298; E298}, {C298; E298}&lt;&gt;""""))), """")"),"")</f>
        <v/>
      </c>
      <c r="H298" s="96"/>
      <c r="I298" s="96"/>
      <c r="J298" s="96"/>
      <c r="K298" s="96"/>
      <c r="L298" s="96"/>
      <c r="M298" s="95" t="str">
        <f ca="1">IFERROR(__xludf.DUMMYFUNCTION("IFERROR(JOIN("","", UNIQUE(filter({I298; K298}, {I298; K298}&lt;&gt;""""))), """")"),"")</f>
        <v/>
      </c>
      <c r="N298" s="98"/>
      <c r="O298" s="98"/>
      <c r="P298" s="98"/>
      <c r="Q298" s="98"/>
      <c r="R298" s="98"/>
      <c r="S298" s="95" t="str">
        <f ca="1">IFERROR(__xludf.DUMMYFUNCTION("IFERROR(JOIN("","", UNIQUE(filter({O298; Q298}, {O298; Q298}&lt;&gt;""""))), """")"),"")</f>
        <v/>
      </c>
      <c r="T298" s="99"/>
      <c r="U298" s="99"/>
      <c r="V298" s="99"/>
      <c r="W298" s="99"/>
      <c r="X298" s="99"/>
      <c r="Y298" s="95" t="str">
        <f ca="1">IFERROR(__xludf.DUMMYFUNCTION("IFERROR(JOIN("","", UNIQUE(filter({U298; W298}, {U298; W298}&lt;&gt;""""))), """")"),"")</f>
        <v/>
      </c>
    </row>
    <row r="299" spans="2:25" ht="13" x14ac:dyDescent="0.15">
      <c r="B299" s="10"/>
      <c r="C299" s="10"/>
      <c r="D299" s="10"/>
      <c r="E299" s="10"/>
      <c r="F299" s="10"/>
      <c r="G299" s="95" t="str">
        <f ca="1">IFERROR(__xludf.DUMMYFUNCTION("IFERROR(JOIN("","", UNIQUE(filter({C299; E299}, {C299; E299}&lt;&gt;""""))), """")"),"")</f>
        <v/>
      </c>
      <c r="H299" s="96"/>
      <c r="I299" s="96"/>
      <c r="J299" s="96"/>
      <c r="K299" s="96"/>
      <c r="L299" s="96"/>
      <c r="M299" s="95" t="str">
        <f ca="1">IFERROR(__xludf.DUMMYFUNCTION("IFERROR(JOIN("","", UNIQUE(filter({I299; K299}, {I299; K299}&lt;&gt;""""))), """")"),"")</f>
        <v/>
      </c>
      <c r="N299" s="98"/>
      <c r="O299" s="98"/>
      <c r="P299" s="98"/>
      <c r="Q299" s="98"/>
      <c r="R299" s="98"/>
      <c r="S299" s="95" t="str">
        <f ca="1">IFERROR(__xludf.DUMMYFUNCTION("IFERROR(JOIN("","", UNIQUE(filter({O299; Q299}, {O299; Q299}&lt;&gt;""""))), """")"),"")</f>
        <v/>
      </c>
      <c r="T299" s="99"/>
      <c r="U299" s="99"/>
      <c r="V299" s="99"/>
      <c r="W299" s="99"/>
      <c r="X299" s="99"/>
      <c r="Y299" s="95" t="str">
        <f ca="1">IFERROR(__xludf.DUMMYFUNCTION("IFERROR(JOIN("","", UNIQUE(filter({U299; W299}, {U299; W299}&lt;&gt;""""))), """")"),"")</f>
        <v/>
      </c>
    </row>
    <row r="300" spans="2:25" ht="13" x14ac:dyDescent="0.15">
      <c r="B300" s="10"/>
      <c r="C300" s="10"/>
      <c r="D300" s="10"/>
      <c r="E300" s="10"/>
      <c r="F300" s="10"/>
      <c r="G300" s="95" t="str">
        <f ca="1">IFERROR(__xludf.DUMMYFUNCTION("IFERROR(JOIN("","", UNIQUE(filter({C300; E300}, {C300; E300}&lt;&gt;""""))), """")"),"")</f>
        <v/>
      </c>
      <c r="H300" s="96"/>
      <c r="I300" s="96"/>
      <c r="J300" s="96"/>
      <c r="K300" s="96"/>
      <c r="L300" s="96"/>
      <c r="M300" s="95" t="str">
        <f ca="1">IFERROR(__xludf.DUMMYFUNCTION("IFERROR(JOIN("","", UNIQUE(filter({I300; K300}, {I300; K300}&lt;&gt;""""))), """")"),"")</f>
        <v/>
      </c>
      <c r="N300" s="98"/>
      <c r="O300" s="98"/>
      <c r="P300" s="98"/>
      <c r="Q300" s="98"/>
      <c r="R300" s="98"/>
      <c r="S300" s="95" t="str">
        <f ca="1">IFERROR(__xludf.DUMMYFUNCTION("IFERROR(JOIN("","", UNIQUE(filter({O300; Q300}, {O300; Q300}&lt;&gt;""""))), """")"),"")</f>
        <v/>
      </c>
      <c r="T300" s="99"/>
      <c r="U300" s="99"/>
      <c r="V300" s="99"/>
      <c r="W300" s="99"/>
      <c r="X300" s="99"/>
      <c r="Y300" s="95" t="str">
        <f ca="1">IFERROR(__xludf.DUMMYFUNCTION("IFERROR(JOIN("","", UNIQUE(filter({U300; W300}, {U300; W300}&lt;&gt;""""))), """")"),"")</f>
        <v/>
      </c>
    </row>
    <row r="301" spans="2:25" ht="13" x14ac:dyDescent="0.15">
      <c r="B301" s="10"/>
      <c r="C301" s="10"/>
      <c r="D301" s="10"/>
      <c r="E301" s="10"/>
      <c r="F301" s="10"/>
      <c r="G301" s="95" t="str">
        <f ca="1">IFERROR(__xludf.DUMMYFUNCTION("IFERROR(JOIN("","", UNIQUE(filter({C301; E301}, {C301; E301}&lt;&gt;""""))), """")"),"")</f>
        <v/>
      </c>
      <c r="H301" s="96"/>
      <c r="I301" s="96"/>
      <c r="J301" s="96"/>
      <c r="K301" s="96"/>
      <c r="L301" s="96"/>
      <c r="M301" s="95" t="str">
        <f ca="1">IFERROR(__xludf.DUMMYFUNCTION("IFERROR(JOIN("","", UNIQUE(filter({I301; K301}, {I301; K301}&lt;&gt;""""))), """")"),"")</f>
        <v/>
      </c>
      <c r="N301" s="98"/>
      <c r="O301" s="98"/>
      <c r="P301" s="98"/>
      <c r="Q301" s="98"/>
      <c r="R301" s="98"/>
      <c r="S301" s="95" t="str">
        <f ca="1">IFERROR(__xludf.DUMMYFUNCTION("IFERROR(JOIN("","", UNIQUE(filter({O301; Q301}, {O301; Q301}&lt;&gt;""""))), """")"),"")</f>
        <v/>
      </c>
      <c r="T301" s="99"/>
      <c r="U301" s="99"/>
      <c r="V301" s="99"/>
      <c r="W301" s="99"/>
      <c r="X301" s="99"/>
      <c r="Y301" s="95" t="str">
        <f ca="1">IFERROR(__xludf.DUMMYFUNCTION("IFERROR(JOIN("","", UNIQUE(filter({U301; W301}, {U301; W301}&lt;&gt;""""))), """")"),"")</f>
        <v/>
      </c>
    </row>
    <row r="302" spans="2:25" ht="13" x14ac:dyDescent="0.15">
      <c r="B302" s="10"/>
      <c r="C302" s="10"/>
      <c r="D302" s="10"/>
      <c r="E302" s="10"/>
      <c r="F302" s="10"/>
      <c r="G302" s="95" t="str">
        <f ca="1">IFERROR(__xludf.DUMMYFUNCTION("IFERROR(JOIN("","", UNIQUE(filter({C302; E302}, {C302; E302}&lt;&gt;""""))), """")"),"")</f>
        <v/>
      </c>
      <c r="H302" s="96"/>
      <c r="I302" s="96"/>
      <c r="J302" s="96"/>
      <c r="K302" s="96"/>
      <c r="L302" s="96"/>
      <c r="M302" s="95" t="str">
        <f ca="1">IFERROR(__xludf.DUMMYFUNCTION("IFERROR(JOIN("","", UNIQUE(filter({I302; K302}, {I302; K302}&lt;&gt;""""))), """")"),"")</f>
        <v/>
      </c>
      <c r="N302" s="98"/>
      <c r="O302" s="98"/>
      <c r="P302" s="98"/>
      <c r="Q302" s="98"/>
      <c r="R302" s="98"/>
      <c r="S302" s="95" t="str">
        <f ca="1">IFERROR(__xludf.DUMMYFUNCTION("IFERROR(JOIN("","", UNIQUE(filter({O302; Q302}, {O302; Q302}&lt;&gt;""""))), """")"),"")</f>
        <v/>
      </c>
      <c r="T302" s="99"/>
      <c r="U302" s="99"/>
      <c r="V302" s="99"/>
      <c r="W302" s="99"/>
      <c r="X302" s="99"/>
      <c r="Y302" s="95" t="str">
        <f ca="1">IFERROR(__xludf.DUMMYFUNCTION("IFERROR(JOIN("","", UNIQUE(filter({U302; W302}, {U302; W302}&lt;&gt;""""))), """")"),"")</f>
        <v/>
      </c>
    </row>
    <row r="303" spans="2:25" ht="13" x14ac:dyDescent="0.15">
      <c r="B303" s="10"/>
      <c r="C303" s="10"/>
      <c r="D303" s="10"/>
      <c r="E303" s="10"/>
      <c r="F303" s="10"/>
      <c r="G303" s="95" t="str">
        <f ca="1">IFERROR(__xludf.DUMMYFUNCTION("IFERROR(JOIN("","", UNIQUE(filter({C303; E303}, {C303; E303}&lt;&gt;""""))), """")"),"")</f>
        <v/>
      </c>
      <c r="H303" s="96"/>
      <c r="I303" s="96"/>
      <c r="J303" s="96"/>
      <c r="K303" s="96"/>
      <c r="L303" s="96"/>
      <c r="M303" s="95" t="str">
        <f ca="1">IFERROR(__xludf.DUMMYFUNCTION("IFERROR(JOIN("","", UNIQUE(filter({I303; K303}, {I303; K303}&lt;&gt;""""))), """")"),"")</f>
        <v/>
      </c>
      <c r="N303" s="98"/>
      <c r="O303" s="98"/>
      <c r="P303" s="98"/>
      <c r="Q303" s="98"/>
      <c r="R303" s="98"/>
      <c r="S303" s="95" t="str">
        <f ca="1">IFERROR(__xludf.DUMMYFUNCTION("IFERROR(JOIN("","", UNIQUE(filter({O303; Q303}, {O303; Q303}&lt;&gt;""""))), """")"),"")</f>
        <v/>
      </c>
      <c r="T303" s="99"/>
      <c r="U303" s="99"/>
      <c r="V303" s="99"/>
      <c r="W303" s="99"/>
      <c r="X303" s="99"/>
      <c r="Y303" s="95" t="str">
        <f ca="1">IFERROR(__xludf.DUMMYFUNCTION("IFERROR(JOIN("","", UNIQUE(filter({U303; W303}, {U303; W303}&lt;&gt;""""))), """")"),"")</f>
        <v/>
      </c>
    </row>
    <row r="304" spans="2:25" ht="13" x14ac:dyDescent="0.15">
      <c r="B304" s="10"/>
      <c r="C304" s="10"/>
      <c r="D304" s="10"/>
      <c r="E304" s="10"/>
      <c r="F304" s="10"/>
      <c r="G304" s="95" t="str">
        <f ca="1">IFERROR(__xludf.DUMMYFUNCTION("IFERROR(JOIN("","", UNIQUE(filter({C304; E304}, {C304; E304}&lt;&gt;""""))), """")"),"")</f>
        <v/>
      </c>
      <c r="H304" s="96"/>
      <c r="I304" s="96"/>
      <c r="J304" s="96"/>
      <c r="K304" s="96"/>
      <c r="L304" s="96"/>
      <c r="M304" s="95" t="str">
        <f ca="1">IFERROR(__xludf.DUMMYFUNCTION("IFERROR(JOIN("","", UNIQUE(filter({I304; K304}, {I304; K304}&lt;&gt;""""))), """")"),"")</f>
        <v/>
      </c>
      <c r="N304" s="98"/>
      <c r="O304" s="98"/>
      <c r="P304" s="98"/>
      <c r="Q304" s="98"/>
      <c r="R304" s="98"/>
      <c r="S304" s="95" t="str">
        <f ca="1">IFERROR(__xludf.DUMMYFUNCTION("IFERROR(JOIN("","", UNIQUE(filter({O304; Q304}, {O304; Q304}&lt;&gt;""""))), """")"),"")</f>
        <v/>
      </c>
      <c r="T304" s="99"/>
      <c r="U304" s="99"/>
      <c r="V304" s="99"/>
      <c r="W304" s="99"/>
      <c r="X304" s="99"/>
      <c r="Y304" s="95" t="str">
        <f ca="1">IFERROR(__xludf.DUMMYFUNCTION("IFERROR(JOIN("","", UNIQUE(filter({U304; W304}, {U304; W304}&lt;&gt;""""))), """")"),"")</f>
        <v/>
      </c>
    </row>
    <row r="305" spans="2:25" ht="13" x14ac:dyDescent="0.15">
      <c r="B305" s="10"/>
      <c r="C305" s="10"/>
      <c r="D305" s="10"/>
      <c r="E305" s="10"/>
      <c r="F305" s="10"/>
      <c r="G305" s="95" t="str">
        <f ca="1">IFERROR(__xludf.DUMMYFUNCTION("IFERROR(JOIN("","", UNIQUE(filter({C305; E305}, {C305; E305}&lt;&gt;""""))), """")"),"")</f>
        <v/>
      </c>
      <c r="H305" s="96"/>
      <c r="I305" s="96"/>
      <c r="J305" s="96"/>
      <c r="K305" s="96"/>
      <c r="L305" s="96"/>
      <c r="M305" s="95" t="str">
        <f ca="1">IFERROR(__xludf.DUMMYFUNCTION("IFERROR(JOIN("","", UNIQUE(filter({I305; K305}, {I305; K305}&lt;&gt;""""))), """")"),"")</f>
        <v/>
      </c>
      <c r="N305" s="98"/>
      <c r="O305" s="98"/>
      <c r="P305" s="98"/>
      <c r="Q305" s="98"/>
      <c r="R305" s="98"/>
      <c r="S305" s="95" t="str">
        <f ca="1">IFERROR(__xludf.DUMMYFUNCTION("IFERROR(JOIN("","", UNIQUE(filter({O305; Q305}, {O305; Q305}&lt;&gt;""""))), """")"),"")</f>
        <v/>
      </c>
      <c r="T305" s="99"/>
      <c r="U305" s="99"/>
      <c r="V305" s="99"/>
      <c r="W305" s="99"/>
      <c r="X305" s="99"/>
      <c r="Y305" s="95" t="str">
        <f ca="1">IFERROR(__xludf.DUMMYFUNCTION("IFERROR(JOIN("","", UNIQUE(filter({U305; W305}, {U305; W305}&lt;&gt;""""))), """")"),"")</f>
        <v/>
      </c>
    </row>
    <row r="306" spans="2:25" ht="13" x14ac:dyDescent="0.15">
      <c r="B306" s="10"/>
      <c r="C306" s="10"/>
      <c r="D306" s="10"/>
      <c r="E306" s="10"/>
      <c r="F306" s="10"/>
      <c r="G306" s="95" t="str">
        <f ca="1">IFERROR(__xludf.DUMMYFUNCTION("IFERROR(JOIN("","", UNIQUE(filter({C306; E306}, {C306; E306}&lt;&gt;""""))), """")"),"")</f>
        <v/>
      </c>
      <c r="H306" s="96"/>
      <c r="I306" s="96"/>
      <c r="J306" s="96"/>
      <c r="K306" s="96"/>
      <c r="L306" s="96"/>
      <c r="M306" s="95" t="str">
        <f ca="1">IFERROR(__xludf.DUMMYFUNCTION("IFERROR(JOIN("","", UNIQUE(filter({I306; K306}, {I306; K306}&lt;&gt;""""))), """")"),"")</f>
        <v/>
      </c>
      <c r="N306" s="98"/>
      <c r="O306" s="98"/>
      <c r="P306" s="98"/>
      <c r="Q306" s="98"/>
      <c r="R306" s="98"/>
      <c r="S306" s="95" t="str">
        <f ca="1">IFERROR(__xludf.DUMMYFUNCTION("IFERROR(JOIN("","", UNIQUE(filter({O306; Q306}, {O306; Q306}&lt;&gt;""""))), """")"),"")</f>
        <v/>
      </c>
      <c r="T306" s="99"/>
      <c r="U306" s="99"/>
      <c r="V306" s="99"/>
      <c r="W306" s="99"/>
      <c r="X306" s="99"/>
      <c r="Y306" s="95" t="str">
        <f ca="1">IFERROR(__xludf.DUMMYFUNCTION("IFERROR(JOIN("","", UNIQUE(filter({U306; W306}, {U306; W306}&lt;&gt;""""))), """")"),"")</f>
        <v/>
      </c>
    </row>
    <row r="307" spans="2:25" ht="13" x14ac:dyDescent="0.15">
      <c r="B307" s="10"/>
      <c r="C307" s="10"/>
      <c r="D307" s="10"/>
      <c r="E307" s="10"/>
      <c r="F307" s="10"/>
      <c r="G307" s="95" t="str">
        <f ca="1">IFERROR(__xludf.DUMMYFUNCTION("IFERROR(JOIN("","", UNIQUE(filter({C307; E307}, {C307; E307}&lt;&gt;""""))), """")"),"")</f>
        <v/>
      </c>
      <c r="H307" s="96"/>
      <c r="I307" s="96"/>
      <c r="J307" s="96"/>
      <c r="K307" s="96"/>
      <c r="L307" s="96"/>
      <c r="M307" s="95" t="str">
        <f ca="1">IFERROR(__xludf.DUMMYFUNCTION("IFERROR(JOIN("","", UNIQUE(filter({I307; K307}, {I307; K307}&lt;&gt;""""))), """")"),"")</f>
        <v/>
      </c>
      <c r="N307" s="98"/>
      <c r="O307" s="98"/>
      <c r="P307" s="98"/>
      <c r="Q307" s="98"/>
      <c r="R307" s="98"/>
      <c r="S307" s="95" t="str">
        <f ca="1">IFERROR(__xludf.DUMMYFUNCTION("IFERROR(JOIN("","", UNIQUE(filter({O307; Q307}, {O307; Q307}&lt;&gt;""""))), """")"),"")</f>
        <v/>
      </c>
      <c r="T307" s="99"/>
      <c r="U307" s="99"/>
      <c r="V307" s="99"/>
      <c r="W307" s="99"/>
      <c r="X307" s="99"/>
      <c r="Y307" s="95" t="str">
        <f ca="1">IFERROR(__xludf.DUMMYFUNCTION("IFERROR(JOIN("","", UNIQUE(filter({U307; W307}, {U307; W307}&lt;&gt;""""))), """")"),"")</f>
        <v/>
      </c>
    </row>
    <row r="308" spans="2:25" ht="13" x14ac:dyDescent="0.15">
      <c r="B308" s="10"/>
      <c r="C308" s="10"/>
      <c r="D308" s="10"/>
      <c r="E308" s="10"/>
      <c r="F308" s="10"/>
      <c r="G308" s="95" t="str">
        <f ca="1">IFERROR(__xludf.DUMMYFUNCTION("IFERROR(JOIN("","", UNIQUE(filter({C308; E308}, {C308; E308}&lt;&gt;""""))), """")"),"")</f>
        <v/>
      </c>
      <c r="H308" s="96"/>
      <c r="I308" s="96"/>
      <c r="J308" s="96"/>
      <c r="K308" s="96"/>
      <c r="L308" s="96"/>
      <c r="M308" s="95" t="str">
        <f ca="1">IFERROR(__xludf.DUMMYFUNCTION("IFERROR(JOIN("","", UNIQUE(filter({I308; K308}, {I308; K308}&lt;&gt;""""))), """")"),"")</f>
        <v/>
      </c>
      <c r="N308" s="98"/>
      <c r="O308" s="98"/>
      <c r="P308" s="98"/>
      <c r="Q308" s="98"/>
      <c r="R308" s="98"/>
      <c r="S308" s="95" t="str">
        <f ca="1">IFERROR(__xludf.DUMMYFUNCTION("IFERROR(JOIN("","", UNIQUE(filter({O308; Q308}, {O308; Q308}&lt;&gt;""""))), """")"),"")</f>
        <v/>
      </c>
      <c r="T308" s="99"/>
      <c r="U308" s="99"/>
      <c r="V308" s="99"/>
      <c r="W308" s="99"/>
      <c r="X308" s="99"/>
      <c r="Y308" s="95" t="str">
        <f ca="1">IFERROR(__xludf.DUMMYFUNCTION("IFERROR(JOIN("","", UNIQUE(filter({U308; W308}, {U308; W308}&lt;&gt;""""))), """")"),"")</f>
        <v/>
      </c>
    </row>
    <row r="309" spans="2:25" ht="13" x14ac:dyDescent="0.15">
      <c r="B309" s="10"/>
      <c r="C309" s="10"/>
      <c r="D309" s="10"/>
      <c r="E309" s="10"/>
      <c r="F309" s="10"/>
      <c r="G309" s="95" t="str">
        <f ca="1">IFERROR(__xludf.DUMMYFUNCTION("IFERROR(JOIN("","", UNIQUE(filter({C309; E309}, {C309; E309}&lt;&gt;""""))), """")"),"")</f>
        <v/>
      </c>
      <c r="H309" s="96"/>
      <c r="I309" s="96"/>
      <c r="J309" s="96"/>
      <c r="K309" s="96"/>
      <c r="L309" s="96"/>
      <c r="M309" s="95" t="str">
        <f ca="1">IFERROR(__xludf.DUMMYFUNCTION("IFERROR(JOIN("","", UNIQUE(filter({I309; K309}, {I309; K309}&lt;&gt;""""))), """")"),"")</f>
        <v/>
      </c>
      <c r="N309" s="98"/>
      <c r="O309" s="98"/>
      <c r="P309" s="98"/>
      <c r="Q309" s="98"/>
      <c r="R309" s="98"/>
      <c r="S309" s="95" t="str">
        <f ca="1">IFERROR(__xludf.DUMMYFUNCTION("IFERROR(JOIN("","", UNIQUE(filter({O309; Q309}, {O309; Q309}&lt;&gt;""""))), """")"),"")</f>
        <v/>
      </c>
      <c r="T309" s="99"/>
      <c r="U309" s="99"/>
      <c r="V309" s="99"/>
      <c r="W309" s="99"/>
      <c r="X309" s="99"/>
      <c r="Y309" s="95" t="str">
        <f ca="1">IFERROR(__xludf.DUMMYFUNCTION("IFERROR(JOIN("","", UNIQUE(filter({U309; W309}, {U309; W309}&lt;&gt;""""))), """")"),"")</f>
        <v/>
      </c>
    </row>
    <row r="310" spans="2:25" ht="13" x14ac:dyDescent="0.15">
      <c r="B310" s="10"/>
      <c r="C310" s="10"/>
      <c r="D310" s="10"/>
      <c r="E310" s="10"/>
      <c r="F310" s="10"/>
      <c r="G310" s="95" t="str">
        <f ca="1">IFERROR(__xludf.DUMMYFUNCTION("IFERROR(JOIN("","", UNIQUE(filter({C310; E310}, {C310; E310}&lt;&gt;""""))), """")"),"")</f>
        <v/>
      </c>
      <c r="H310" s="96"/>
      <c r="I310" s="96"/>
      <c r="J310" s="96"/>
      <c r="K310" s="96"/>
      <c r="L310" s="96"/>
      <c r="M310" s="95" t="str">
        <f ca="1">IFERROR(__xludf.DUMMYFUNCTION("IFERROR(JOIN("","", UNIQUE(filter({I310; K310}, {I310; K310}&lt;&gt;""""))), """")"),"")</f>
        <v/>
      </c>
      <c r="N310" s="98"/>
      <c r="O310" s="98"/>
      <c r="P310" s="98"/>
      <c r="Q310" s="98"/>
      <c r="R310" s="98"/>
      <c r="S310" s="95" t="str">
        <f ca="1">IFERROR(__xludf.DUMMYFUNCTION("IFERROR(JOIN("","", UNIQUE(filter({O310; Q310}, {O310; Q310}&lt;&gt;""""))), """")"),"")</f>
        <v/>
      </c>
      <c r="T310" s="99"/>
      <c r="U310" s="99"/>
      <c r="V310" s="99"/>
      <c r="W310" s="99"/>
      <c r="X310" s="99"/>
      <c r="Y310" s="95" t="str">
        <f ca="1">IFERROR(__xludf.DUMMYFUNCTION("IFERROR(JOIN("","", UNIQUE(filter({U310; W310}, {U310; W310}&lt;&gt;""""))), """")"),"")</f>
        <v/>
      </c>
    </row>
    <row r="311" spans="2:25" ht="13" x14ac:dyDescent="0.15">
      <c r="B311" s="10"/>
      <c r="C311" s="10"/>
      <c r="D311" s="10"/>
      <c r="E311" s="10"/>
      <c r="F311" s="10"/>
      <c r="G311" s="95" t="str">
        <f ca="1">IFERROR(__xludf.DUMMYFUNCTION("IFERROR(JOIN("","", UNIQUE(filter({C311; E311}, {C311; E311}&lt;&gt;""""))), """")"),"")</f>
        <v/>
      </c>
      <c r="H311" s="96"/>
      <c r="I311" s="96"/>
      <c r="J311" s="96"/>
      <c r="K311" s="96"/>
      <c r="L311" s="96"/>
      <c r="M311" s="95" t="str">
        <f ca="1">IFERROR(__xludf.DUMMYFUNCTION("IFERROR(JOIN("","", UNIQUE(filter({I311; K311}, {I311; K311}&lt;&gt;""""))), """")"),"")</f>
        <v/>
      </c>
      <c r="N311" s="98"/>
      <c r="O311" s="98"/>
      <c r="P311" s="98"/>
      <c r="Q311" s="98"/>
      <c r="R311" s="98"/>
      <c r="S311" s="95" t="str">
        <f ca="1">IFERROR(__xludf.DUMMYFUNCTION("IFERROR(JOIN("","", UNIQUE(filter({O311; Q311}, {O311; Q311}&lt;&gt;""""))), """")"),"")</f>
        <v/>
      </c>
      <c r="T311" s="99"/>
      <c r="U311" s="99"/>
      <c r="V311" s="99"/>
      <c r="W311" s="99"/>
      <c r="X311" s="99"/>
      <c r="Y311" s="95" t="str">
        <f ca="1">IFERROR(__xludf.DUMMYFUNCTION("IFERROR(JOIN("","", UNIQUE(filter({U311; W311}, {U311; W311}&lt;&gt;""""))), """")"),"")</f>
        <v/>
      </c>
    </row>
    <row r="312" spans="2:25" ht="13" x14ac:dyDescent="0.15">
      <c r="B312" s="10"/>
      <c r="C312" s="10"/>
      <c r="D312" s="10"/>
      <c r="E312" s="10"/>
      <c r="F312" s="10"/>
      <c r="G312" s="95" t="str">
        <f ca="1">IFERROR(__xludf.DUMMYFUNCTION("IFERROR(JOIN("","", UNIQUE(filter({C312; E312}, {C312; E312}&lt;&gt;""""))), """")"),"")</f>
        <v/>
      </c>
      <c r="H312" s="96"/>
      <c r="I312" s="96"/>
      <c r="J312" s="96"/>
      <c r="K312" s="96"/>
      <c r="L312" s="96"/>
      <c r="M312" s="95" t="str">
        <f ca="1">IFERROR(__xludf.DUMMYFUNCTION("IFERROR(JOIN("","", UNIQUE(filter({I312; K312}, {I312; K312}&lt;&gt;""""))), """")"),"")</f>
        <v/>
      </c>
      <c r="N312" s="98"/>
      <c r="O312" s="98"/>
      <c r="P312" s="98"/>
      <c r="Q312" s="98"/>
      <c r="R312" s="98"/>
      <c r="S312" s="95" t="str">
        <f ca="1">IFERROR(__xludf.DUMMYFUNCTION("IFERROR(JOIN("","", UNIQUE(filter({O312; Q312}, {O312; Q312}&lt;&gt;""""))), """")"),"")</f>
        <v/>
      </c>
      <c r="T312" s="99"/>
      <c r="U312" s="99"/>
      <c r="V312" s="99"/>
      <c r="W312" s="99"/>
      <c r="X312" s="99"/>
      <c r="Y312" s="95" t="str">
        <f ca="1">IFERROR(__xludf.DUMMYFUNCTION("IFERROR(JOIN("","", UNIQUE(filter({U312; W312}, {U312; W312}&lt;&gt;""""))), """")"),"")</f>
        <v/>
      </c>
    </row>
    <row r="313" spans="2:25" ht="13" x14ac:dyDescent="0.15">
      <c r="B313" s="10"/>
      <c r="C313" s="10"/>
      <c r="D313" s="10"/>
      <c r="E313" s="10"/>
      <c r="F313" s="10"/>
      <c r="G313" s="95" t="str">
        <f ca="1">IFERROR(__xludf.DUMMYFUNCTION("IFERROR(JOIN("","", UNIQUE(filter({C313; E313}, {C313; E313}&lt;&gt;""""))), """")"),"")</f>
        <v/>
      </c>
      <c r="H313" s="96"/>
      <c r="I313" s="96"/>
      <c r="J313" s="96"/>
      <c r="K313" s="96"/>
      <c r="L313" s="96"/>
      <c r="M313" s="95" t="str">
        <f ca="1">IFERROR(__xludf.DUMMYFUNCTION("IFERROR(JOIN("","", UNIQUE(filter({I313; K313}, {I313; K313}&lt;&gt;""""))), """")"),"")</f>
        <v/>
      </c>
      <c r="N313" s="98"/>
      <c r="O313" s="98"/>
      <c r="P313" s="98"/>
      <c r="Q313" s="98"/>
      <c r="R313" s="98"/>
      <c r="S313" s="95" t="str">
        <f ca="1">IFERROR(__xludf.DUMMYFUNCTION("IFERROR(JOIN("","", UNIQUE(filter({O313; Q313}, {O313; Q313}&lt;&gt;""""))), """")"),"")</f>
        <v/>
      </c>
      <c r="T313" s="99"/>
      <c r="U313" s="99"/>
      <c r="V313" s="99"/>
      <c r="W313" s="99"/>
      <c r="X313" s="99"/>
      <c r="Y313" s="95" t="str">
        <f ca="1">IFERROR(__xludf.DUMMYFUNCTION("IFERROR(JOIN("","", UNIQUE(filter({U313; W313}, {U313; W313}&lt;&gt;""""))), """")"),"")</f>
        <v/>
      </c>
    </row>
    <row r="314" spans="2:25" ht="13" x14ac:dyDescent="0.15">
      <c r="B314" s="10"/>
      <c r="C314" s="10"/>
      <c r="D314" s="10"/>
      <c r="E314" s="10"/>
      <c r="F314" s="10"/>
      <c r="G314" s="95" t="str">
        <f ca="1">IFERROR(__xludf.DUMMYFUNCTION("IFERROR(JOIN("","", UNIQUE(filter({C314; E314}, {C314; E314}&lt;&gt;""""))), """")"),"")</f>
        <v/>
      </c>
      <c r="H314" s="96"/>
      <c r="I314" s="96"/>
      <c r="J314" s="96"/>
      <c r="K314" s="96"/>
      <c r="L314" s="96"/>
      <c r="M314" s="95" t="str">
        <f ca="1">IFERROR(__xludf.DUMMYFUNCTION("IFERROR(JOIN("","", UNIQUE(filter({I314; K314}, {I314; K314}&lt;&gt;""""))), """")"),"")</f>
        <v/>
      </c>
      <c r="N314" s="98"/>
      <c r="O314" s="98"/>
      <c r="P314" s="98"/>
      <c r="Q314" s="98"/>
      <c r="R314" s="98"/>
      <c r="S314" s="95" t="str">
        <f ca="1">IFERROR(__xludf.DUMMYFUNCTION("IFERROR(JOIN("","", UNIQUE(filter({O314; Q314}, {O314; Q314}&lt;&gt;""""))), """")"),"")</f>
        <v/>
      </c>
      <c r="T314" s="99"/>
      <c r="U314" s="99"/>
      <c r="V314" s="99"/>
      <c r="W314" s="99"/>
      <c r="X314" s="99"/>
      <c r="Y314" s="95" t="str">
        <f ca="1">IFERROR(__xludf.DUMMYFUNCTION("IFERROR(JOIN("","", UNIQUE(filter({U314; W314}, {U314; W314}&lt;&gt;""""))), """")"),"")</f>
        <v/>
      </c>
    </row>
    <row r="315" spans="2:25" ht="13" x14ac:dyDescent="0.15">
      <c r="B315" s="10"/>
      <c r="C315" s="10"/>
      <c r="D315" s="10"/>
      <c r="E315" s="10"/>
      <c r="F315" s="10"/>
      <c r="G315" s="95" t="str">
        <f ca="1">IFERROR(__xludf.DUMMYFUNCTION("IFERROR(JOIN("","", UNIQUE(filter({C315; E315}, {C315; E315}&lt;&gt;""""))), """")"),"")</f>
        <v/>
      </c>
      <c r="H315" s="96"/>
      <c r="I315" s="96"/>
      <c r="J315" s="96"/>
      <c r="K315" s="96"/>
      <c r="L315" s="96"/>
      <c r="M315" s="95" t="str">
        <f ca="1">IFERROR(__xludf.DUMMYFUNCTION("IFERROR(JOIN("","", UNIQUE(filter({I315; K315}, {I315; K315}&lt;&gt;""""))), """")"),"")</f>
        <v/>
      </c>
      <c r="N315" s="98"/>
      <c r="O315" s="98"/>
      <c r="P315" s="98"/>
      <c r="Q315" s="98"/>
      <c r="R315" s="98"/>
      <c r="S315" s="95" t="str">
        <f ca="1">IFERROR(__xludf.DUMMYFUNCTION("IFERROR(JOIN("","", UNIQUE(filter({O315; Q315}, {O315; Q315}&lt;&gt;""""))), """")"),"")</f>
        <v/>
      </c>
      <c r="T315" s="99"/>
      <c r="U315" s="99"/>
      <c r="V315" s="99"/>
      <c r="W315" s="99"/>
      <c r="X315" s="99"/>
      <c r="Y315" s="95" t="str">
        <f ca="1">IFERROR(__xludf.DUMMYFUNCTION("IFERROR(JOIN("","", UNIQUE(filter({U315; W315}, {U315; W315}&lt;&gt;""""))), """")"),"")</f>
        <v/>
      </c>
    </row>
    <row r="316" spans="2:25" ht="13" x14ac:dyDescent="0.15">
      <c r="B316" s="10"/>
      <c r="C316" s="10"/>
      <c r="D316" s="10"/>
      <c r="E316" s="10"/>
      <c r="F316" s="10"/>
      <c r="G316" s="95" t="str">
        <f ca="1">IFERROR(__xludf.DUMMYFUNCTION("IFERROR(JOIN("","", UNIQUE(filter({C316; E316}, {C316; E316}&lt;&gt;""""))), """")"),"")</f>
        <v/>
      </c>
      <c r="H316" s="96"/>
      <c r="I316" s="96"/>
      <c r="J316" s="96"/>
      <c r="K316" s="96"/>
      <c r="L316" s="96"/>
      <c r="M316" s="95" t="str">
        <f ca="1">IFERROR(__xludf.DUMMYFUNCTION("IFERROR(JOIN("","", UNIQUE(filter({I316; K316}, {I316; K316}&lt;&gt;""""))), """")"),"")</f>
        <v/>
      </c>
      <c r="N316" s="98"/>
      <c r="O316" s="98"/>
      <c r="P316" s="98"/>
      <c r="Q316" s="98"/>
      <c r="R316" s="98"/>
      <c r="S316" s="95" t="str">
        <f ca="1">IFERROR(__xludf.DUMMYFUNCTION("IFERROR(JOIN("","", UNIQUE(filter({O316; Q316}, {O316; Q316}&lt;&gt;""""))), """")"),"")</f>
        <v/>
      </c>
      <c r="T316" s="99"/>
      <c r="U316" s="99"/>
      <c r="V316" s="99"/>
      <c r="W316" s="99"/>
      <c r="X316" s="99"/>
      <c r="Y316" s="95" t="str">
        <f ca="1">IFERROR(__xludf.DUMMYFUNCTION("IFERROR(JOIN("","", UNIQUE(filter({U316; W316}, {U316; W316}&lt;&gt;""""))), """")"),"")</f>
        <v/>
      </c>
    </row>
    <row r="317" spans="2:25" ht="13" x14ac:dyDescent="0.15">
      <c r="B317" s="10"/>
      <c r="C317" s="10"/>
      <c r="D317" s="10"/>
      <c r="E317" s="10"/>
      <c r="F317" s="10"/>
      <c r="G317" s="95" t="str">
        <f ca="1">IFERROR(__xludf.DUMMYFUNCTION("IFERROR(JOIN("","", UNIQUE(filter({C317; E317}, {C317; E317}&lt;&gt;""""))), """")"),"")</f>
        <v/>
      </c>
      <c r="H317" s="96"/>
      <c r="I317" s="96"/>
      <c r="J317" s="96"/>
      <c r="K317" s="96"/>
      <c r="L317" s="96"/>
      <c r="M317" s="95" t="str">
        <f ca="1">IFERROR(__xludf.DUMMYFUNCTION("IFERROR(JOIN("","", UNIQUE(filter({I317; K317}, {I317; K317}&lt;&gt;""""))), """")"),"")</f>
        <v/>
      </c>
      <c r="N317" s="98"/>
      <c r="O317" s="98"/>
      <c r="P317" s="98"/>
      <c r="Q317" s="98"/>
      <c r="R317" s="98"/>
      <c r="S317" s="95" t="str">
        <f ca="1">IFERROR(__xludf.DUMMYFUNCTION("IFERROR(JOIN("","", UNIQUE(filter({O317; Q317}, {O317; Q317}&lt;&gt;""""))), """")"),"")</f>
        <v/>
      </c>
      <c r="T317" s="99"/>
      <c r="U317" s="99"/>
      <c r="V317" s="99"/>
      <c r="W317" s="99"/>
      <c r="X317" s="99"/>
      <c r="Y317" s="95" t="str">
        <f ca="1">IFERROR(__xludf.DUMMYFUNCTION("IFERROR(JOIN("","", UNIQUE(filter({U317; W317}, {U317; W317}&lt;&gt;""""))), """")"),"")</f>
        <v/>
      </c>
    </row>
    <row r="318" spans="2:25" ht="13" x14ac:dyDescent="0.15">
      <c r="B318" s="10"/>
      <c r="C318" s="10"/>
      <c r="D318" s="10"/>
      <c r="E318" s="10"/>
      <c r="F318" s="10"/>
      <c r="G318" s="95" t="str">
        <f ca="1">IFERROR(__xludf.DUMMYFUNCTION("IFERROR(JOIN("","", UNIQUE(filter({C318; E318}, {C318; E318}&lt;&gt;""""))), """")"),"")</f>
        <v/>
      </c>
      <c r="H318" s="96"/>
      <c r="I318" s="96"/>
      <c r="J318" s="96"/>
      <c r="K318" s="96"/>
      <c r="L318" s="96"/>
      <c r="M318" s="95" t="str">
        <f ca="1">IFERROR(__xludf.DUMMYFUNCTION("IFERROR(JOIN("","", UNIQUE(filter({I318; K318}, {I318; K318}&lt;&gt;""""))), """")"),"")</f>
        <v/>
      </c>
      <c r="N318" s="98"/>
      <c r="O318" s="98"/>
      <c r="P318" s="98"/>
      <c r="Q318" s="98"/>
      <c r="R318" s="98"/>
      <c r="S318" s="95" t="str">
        <f ca="1">IFERROR(__xludf.DUMMYFUNCTION("IFERROR(JOIN("","", UNIQUE(filter({O318; Q318}, {O318; Q318}&lt;&gt;""""))), """")"),"")</f>
        <v/>
      </c>
      <c r="T318" s="99"/>
      <c r="U318" s="99"/>
      <c r="V318" s="99"/>
      <c r="W318" s="99"/>
      <c r="X318" s="99"/>
      <c r="Y318" s="95" t="str">
        <f ca="1">IFERROR(__xludf.DUMMYFUNCTION("IFERROR(JOIN("","", UNIQUE(filter({U318; W318}, {U318; W318}&lt;&gt;""""))), """")"),"")</f>
        <v/>
      </c>
    </row>
    <row r="319" spans="2:25" ht="13" x14ac:dyDescent="0.15">
      <c r="B319" s="10"/>
      <c r="C319" s="10"/>
      <c r="D319" s="10"/>
      <c r="E319" s="10"/>
      <c r="F319" s="10"/>
      <c r="G319" s="95" t="str">
        <f ca="1">IFERROR(__xludf.DUMMYFUNCTION("IFERROR(JOIN("","", UNIQUE(filter({C319; E319}, {C319; E319}&lt;&gt;""""))), """")"),"")</f>
        <v/>
      </c>
      <c r="H319" s="96"/>
      <c r="I319" s="96"/>
      <c r="J319" s="96"/>
      <c r="K319" s="96"/>
      <c r="L319" s="96"/>
      <c r="M319" s="95" t="str">
        <f ca="1">IFERROR(__xludf.DUMMYFUNCTION("IFERROR(JOIN("","", UNIQUE(filter({I319; K319}, {I319; K319}&lt;&gt;""""))), """")"),"")</f>
        <v/>
      </c>
      <c r="N319" s="98"/>
      <c r="O319" s="98"/>
      <c r="P319" s="98"/>
      <c r="Q319" s="98"/>
      <c r="R319" s="98"/>
      <c r="S319" s="95" t="str">
        <f ca="1">IFERROR(__xludf.DUMMYFUNCTION("IFERROR(JOIN("","", UNIQUE(filter({O319; Q319}, {O319; Q319}&lt;&gt;""""))), """")"),"")</f>
        <v/>
      </c>
      <c r="T319" s="99"/>
      <c r="U319" s="99"/>
      <c r="V319" s="99"/>
      <c r="W319" s="99"/>
      <c r="X319" s="99"/>
      <c r="Y319" s="95" t="str">
        <f ca="1">IFERROR(__xludf.DUMMYFUNCTION("IFERROR(JOIN("","", UNIQUE(filter({U319; W319}, {U319; W319}&lt;&gt;""""))), """")"),"")</f>
        <v/>
      </c>
    </row>
    <row r="320" spans="2:25" ht="13" x14ac:dyDescent="0.15">
      <c r="B320" s="10"/>
      <c r="C320" s="10"/>
      <c r="D320" s="10"/>
      <c r="E320" s="10"/>
      <c r="F320" s="10"/>
      <c r="G320" s="95" t="str">
        <f ca="1">IFERROR(__xludf.DUMMYFUNCTION("IFERROR(JOIN("","", UNIQUE(filter({C320; E320}, {C320; E320}&lt;&gt;""""))), """")"),"")</f>
        <v/>
      </c>
      <c r="H320" s="96"/>
      <c r="I320" s="96"/>
      <c r="J320" s="96"/>
      <c r="K320" s="96"/>
      <c r="L320" s="96"/>
      <c r="M320" s="95" t="str">
        <f ca="1">IFERROR(__xludf.DUMMYFUNCTION("IFERROR(JOIN("","", UNIQUE(filter({I320; K320}, {I320; K320}&lt;&gt;""""))), """")"),"")</f>
        <v/>
      </c>
      <c r="N320" s="98"/>
      <c r="O320" s="98"/>
      <c r="P320" s="98"/>
      <c r="Q320" s="98"/>
      <c r="R320" s="98"/>
      <c r="S320" s="95" t="str">
        <f ca="1">IFERROR(__xludf.DUMMYFUNCTION("IFERROR(JOIN("","", UNIQUE(filter({O320; Q320}, {O320; Q320}&lt;&gt;""""))), """")"),"")</f>
        <v/>
      </c>
      <c r="T320" s="99"/>
      <c r="U320" s="99"/>
      <c r="V320" s="99"/>
      <c r="W320" s="99"/>
      <c r="X320" s="99"/>
      <c r="Y320" s="95" t="str">
        <f ca="1">IFERROR(__xludf.DUMMYFUNCTION("IFERROR(JOIN("","", UNIQUE(filter({U320; W320}, {U320; W320}&lt;&gt;""""))), """")"),"")</f>
        <v/>
      </c>
    </row>
    <row r="321" spans="2:25" ht="13" x14ac:dyDescent="0.15">
      <c r="B321" s="10"/>
      <c r="C321" s="10"/>
      <c r="D321" s="10"/>
      <c r="E321" s="10"/>
      <c r="F321" s="10"/>
      <c r="G321" s="95" t="str">
        <f ca="1">IFERROR(__xludf.DUMMYFUNCTION("IFERROR(JOIN("","", UNIQUE(filter({C321; E321}, {C321; E321}&lt;&gt;""""))), """")"),"")</f>
        <v/>
      </c>
      <c r="H321" s="96"/>
      <c r="I321" s="96"/>
      <c r="J321" s="96"/>
      <c r="K321" s="96"/>
      <c r="L321" s="96"/>
      <c r="M321" s="95" t="str">
        <f ca="1">IFERROR(__xludf.DUMMYFUNCTION("IFERROR(JOIN("","", UNIQUE(filter({I321; K321}, {I321; K321}&lt;&gt;""""))), """")"),"")</f>
        <v/>
      </c>
      <c r="N321" s="98"/>
      <c r="O321" s="98"/>
      <c r="P321" s="98"/>
      <c r="Q321" s="98"/>
      <c r="R321" s="98"/>
      <c r="S321" s="95" t="str">
        <f ca="1">IFERROR(__xludf.DUMMYFUNCTION("IFERROR(JOIN("","", UNIQUE(filter({O321; Q321}, {O321; Q321}&lt;&gt;""""))), """")"),"")</f>
        <v/>
      </c>
      <c r="T321" s="99"/>
      <c r="U321" s="99"/>
      <c r="V321" s="99"/>
      <c r="W321" s="99"/>
      <c r="X321" s="99"/>
      <c r="Y321" s="95" t="str">
        <f ca="1">IFERROR(__xludf.DUMMYFUNCTION("IFERROR(JOIN("","", UNIQUE(filter({U321; W321}, {U321; W321}&lt;&gt;""""))), """")"),"")</f>
        <v/>
      </c>
    </row>
    <row r="322" spans="2:25" ht="13" x14ac:dyDescent="0.15">
      <c r="B322" s="10"/>
      <c r="C322" s="10"/>
      <c r="D322" s="10"/>
      <c r="E322" s="10"/>
      <c r="F322" s="10"/>
      <c r="G322" s="95" t="str">
        <f ca="1">IFERROR(__xludf.DUMMYFUNCTION("IFERROR(JOIN("","", UNIQUE(filter({C322; E322}, {C322; E322}&lt;&gt;""""))), """")"),"")</f>
        <v/>
      </c>
      <c r="H322" s="96"/>
      <c r="I322" s="96"/>
      <c r="J322" s="96"/>
      <c r="K322" s="96"/>
      <c r="L322" s="96"/>
      <c r="M322" s="95" t="str">
        <f ca="1">IFERROR(__xludf.DUMMYFUNCTION("IFERROR(JOIN("","", UNIQUE(filter({I322; K322}, {I322; K322}&lt;&gt;""""))), """")"),"")</f>
        <v/>
      </c>
      <c r="N322" s="98"/>
      <c r="O322" s="98"/>
      <c r="P322" s="98"/>
      <c r="Q322" s="98"/>
      <c r="R322" s="98"/>
      <c r="S322" s="95" t="str">
        <f ca="1">IFERROR(__xludf.DUMMYFUNCTION("IFERROR(JOIN("","", UNIQUE(filter({O322; Q322}, {O322; Q322}&lt;&gt;""""))), """")"),"")</f>
        <v/>
      </c>
      <c r="T322" s="99"/>
      <c r="U322" s="99"/>
      <c r="V322" s="99"/>
      <c r="W322" s="99"/>
      <c r="X322" s="99"/>
      <c r="Y322" s="95" t="str">
        <f ca="1">IFERROR(__xludf.DUMMYFUNCTION("IFERROR(JOIN("","", UNIQUE(filter({U322; W322}, {U322; W322}&lt;&gt;""""))), """")"),"")</f>
        <v/>
      </c>
    </row>
    <row r="323" spans="2:25" ht="13" x14ac:dyDescent="0.15">
      <c r="B323" s="10"/>
      <c r="C323" s="10"/>
      <c r="D323" s="10"/>
      <c r="E323" s="10"/>
      <c r="F323" s="10"/>
      <c r="G323" s="95" t="str">
        <f ca="1">IFERROR(__xludf.DUMMYFUNCTION("IFERROR(JOIN("","", UNIQUE(filter({C323; E323}, {C323; E323}&lt;&gt;""""))), """")"),"")</f>
        <v/>
      </c>
      <c r="H323" s="96"/>
      <c r="I323" s="96"/>
      <c r="J323" s="96"/>
      <c r="K323" s="96"/>
      <c r="L323" s="96"/>
      <c r="M323" s="95" t="str">
        <f ca="1">IFERROR(__xludf.DUMMYFUNCTION("IFERROR(JOIN("","", UNIQUE(filter({I323; K323}, {I323; K323}&lt;&gt;""""))), """")"),"")</f>
        <v/>
      </c>
      <c r="N323" s="98"/>
      <c r="O323" s="98"/>
      <c r="P323" s="98"/>
      <c r="Q323" s="98"/>
      <c r="R323" s="98"/>
      <c r="S323" s="95" t="str">
        <f ca="1">IFERROR(__xludf.DUMMYFUNCTION("IFERROR(JOIN("","", UNIQUE(filter({O323; Q323}, {O323; Q323}&lt;&gt;""""))), """")"),"")</f>
        <v/>
      </c>
      <c r="T323" s="99"/>
      <c r="U323" s="99"/>
      <c r="V323" s="99"/>
      <c r="W323" s="99"/>
      <c r="X323" s="99"/>
      <c r="Y323" s="95" t="str">
        <f ca="1">IFERROR(__xludf.DUMMYFUNCTION("IFERROR(JOIN("","", UNIQUE(filter({U323; W323}, {U323; W323}&lt;&gt;""""))), """")"),"")</f>
        <v/>
      </c>
    </row>
    <row r="324" spans="2:25" ht="13" x14ac:dyDescent="0.15">
      <c r="B324" s="10"/>
      <c r="C324" s="10"/>
      <c r="D324" s="10"/>
      <c r="E324" s="10"/>
      <c r="F324" s="10"/>
      <c r="G324" s="95" t="str">
        <f ca="1">IFERROR(__xludf.DUMMYFUNCTION("IFERROR(JOIN("","", UNIQUE(filter({C324; E324}, {C324; E324}&lt;&gt;""""))), """")"),"")</f>
        <v/>
      </c>
      <c r="H324" s="96"/>
      <c r="I324" s="96"/>
      <c r="J324" s="96"/>
      <c r="K324" s="96"/>
      <c r="L324" s="96"/>
      <c r="M324" s="95" t="str">
        <f ca="1">IFERROR(__xludf.DUMMYFUNCTION("IFERROR(JOIN("","", UNIQUE(filter({I324; K324}, {I324; K324}&lt;&gt;""""))), """")"),"")</f>
        <v/>
      </c>
      <c r="N324" s="98"/>
      <c r="O324" s="98"/>
      <c r="P324" s="98"/>
      <c r="Q324" s="98"/>
      <c r="R324" s="98"/>
      <c r="S324" s="95" t="str">
        <f ca="1">IFERROR(__xludf.DUMMYFUNCTION("IFERROR(JOIN("","", UNIQUE(filter({O324; Q324}, {O324; Q324}&lt;&gt;""""))), """")"),"")</f>
        <v/>
      </c>
      <c r="T324" s="99"/>
      <c r="U324" s="99"/>
      <c r="V324" s="99"/>
      <c r="W324" s="99"/>
      <c r="X324" s="99"/>
      <c r="Y324" s="95" t="str">
        <f ca="1">IFERROR(__xludf.DUMMYFUNCTION("IFERROR(JOIN("","", UNIQUE(filter({U324; W324}, {U324; W324}&lt;&gt;""""))), """")"),"")</f>
        <v/>
      </c>
    </row>
    <row r="325" spans="2:25" ht="13" x14ac:dyDescent="0.15">
      <c r="B325" s="10"/>
      <c r="C325" s="10"/>
      <c r="D325" s="10"/>
      <c r="E325" s="10"/>
      <c r="F325" s="10"/>
      <c r="G325" s="95" t="str">
        <f ca="1">IFERROR(__xludf.DUMMYFUNCTION("IFERROR(JOIN("","", UNIQUE(filter({C325; E325}, {C325; E325}&lt;&gt;""""))), """")"),"")</f>
        <v/>
      </c>
      <c r="H325" s="96"/>
      <c r="I325" s="96"/>
      <c r="J325" s="96"/>
      <c r="K325" s="96"/>
      <c r="L325" s="96"/>
      <c r="M325" s="95" t="str">
        <f ca="1">IFERROR(__xludf.DUMMYFUNCTION("IFERROR(JOIN("","", UNIQUE(filter({I325; K325}, {I325; K325}&lt;&gt;""""))), """")"),"")</f>
        <v/>
      </c>
      <c r="N325" s="98"/>
      <c r="O325" s="98"/>
      <c r="P325" s="98"/>
      <c r="Q325" s="98"/>
      <c r="R325" s="98"/>
      <c r="S325" s="95" t="str">
        <f ca="1">IFERROR(__xludf.DUMMYFUNCTION("IFERROR(JOIN("","", UNIQUE(filter({O325; Q325}, {O325; Q325}&lt;&gt;""""))), """")"),"")</f>
        <v/>
      </c>
      <c r="T325" s="99"/>
      <c r="U325" s="99"/>
      <c r="V325" s="99"/>
      <c r="W325" s="99"/>
      <c r="X325" s="99"/>
      <c r="Y325" s="95" t="str">
        <f ca="1">IFERROR(__xludf.DUMMYFUNCTION("IFERROR(JOIN("","", UNIQUE(filter({U325; W325}, {U325; W325}&lt;&gt;""""))), """")"),"")</f>
        <v/>
      </c>
    </row>
    <row r="326" spans="2:25" ht="13" x14ac:dyDescent="0.15">
      <c r="B326" s="10"/>
      <c r="C326" s="10"/>
      <c r="D326" s="10"/>
      <c r="E326" s="10"/>
      <c r="F326" s="10"/>
      <c r="G326" s="95" t="str">
        <f ca="1">IFERROR(__xludf.DUMMYFUNCTION("IFERROR(JOIN("","", UNIQUE(filter({C326; E326}, {C326; E326}&lt;&gt;""""))), """")"),"")</f>
        <v/>
      </c>
      <c r="H326" s="96"/>
      <c r="I326" s="96"/>
      <c r="J326" s="96"/>
      <c r="K326" s="96"/>
      <c r="L326" s="96"/>
      <c r="M326" s="95" t="str">
        <f ca="1">IFERROR(__xludf.DUMMYFUNCTION("IFERROR(JOIN("","", UNIQUE(filter({I326; K326}, {I326; K326}&lt;&gt;""""))), """")"),"")</f>
        <v/>
      </c>
      <c r="N326" s="98"/>
      <c r="O326" s="98"/>
      <c r="P326" s="98"/>
      <c r="Q326" s="98"/>
      <c r="R326" s="98"/>
      <c r="S326" s="95" t="str">
        <f ca="1">IFERROR(__xludf.DUMMYFUNCTION("IFERROR(JOIN("","", UNIQUE(filter({O326; Q326}, {O326; Q326}&lt;&gt;""""))), """")"),"")</f>
        <v/>
      </c>
      <c r="T326" s="99"/>
      <c r="U326" s="99"/>
      <c r="V326" s="99"/>
      <c r="W326" s="99"/>
      <c r="X326" s="99"/>
      <c r="Y326" s="95" t="str">
        <f ca="1">IFERROR(__xludf.DUMMYFUNCTION("IFERROR(JOIN("","", UNIQUE(filter({U326; W326}, {U326; W326}&lt;&gt;""""))), """")"),"")</f>
        <v/>
      </c>
    </row>
    <row r="327" spans="2:25" ht="13" x14ac:dyDescent="0.15">
      <c r="B327" s="10"/>
      <c r="C327" s="10"/>
      <c r="D327" s="10"/>
      <c r="E327" s="10"/>
      <c r="F327" s="10"/>
      <c r="G327" s="95" t="str">
        <f ca="1">IFERROR(__xludf.DUMMYFUNCTION("IFERROR(JOIN("","", UNIQUE(filter({C327; E327}, {C327; E327}&lt;&gt;""""))), """")"),"")</f>
        <v/>
      </c>
      <c r="H327" s="96"/>
      <c r="I327" s="96"/>
      <c r="J327" s="96"/>
      <c r="K327" s="96"/>
      <c r="L327" s="96"/>
      <c r="M327" s="95" t="str">
        <f ca="1">IFERROR(__xludf.DUMMYFUNCTION("IFERROR(JOIN("","", UNIQUE(filter({I327; K327}, {I327; K327}&lt;&gt;""""))), """")"),"")</f>
        <v/>
      </c>
      <c r="N327" s="98"/>
      <c r="O327" s="98"/>
      <c r="P327" s="98"/>
      <c r="Q327" s="98"/>
      <c r="R327" s="98"/>
      <c r="S327" s="95" t="str">
        <f ca="1">IFERROR(__xludf.DUMMYFUNCTION("IFERROR(JOIN("","", UNIQUE(filter({O327; Q327}, {O327; Q327}&lt;&gt;""""))), """")"),"")</f>
        <v/>
      </c>
      <c r="T327" s="99"/>
      <c r="U327" s="99"/>
      <c r="V327" s="99"/>
      <c r="W327" s="99"/>
      <c r="X327" s="99"/>
      <c r="Y327" s="95" t="str">
        <f ca="1">IFERROR(__xludf.DUMMYFUNCTION("IFERROR(JOIN("","", UNIQUE(filter({U327; W327}, {U327; W327}&lt;&gt;""""))), """")"),"")</f>
        <v/>
      </c>
    </row>
    <row r="328" spans="2:25" ht="13" x14ac:dyDescent="0.15">
      <c r="B328" s="10"/>
      <c r="C328" s="10"/>
      <c r="D328" s="10"/>
      <c r="E328" s="10"/>
      <c r="F328" s="10"/>
      <c r="G328" s="95" t="str">
        <f ca="1">IFERROR(__xludf.DUMMYFUNCTION("IFERROR(JOIN("","", UNIQUE(filter({C328; E328}, {C328; E328}&lt;&gt;""""))), """")"),"")</f>
        <v/>
      </c>
      <c r="H328" s="96"/>
      <c r="I328" s="96"/>
      <c r="J328" s="96"/>
      <c r="K328" s="96"/>
      <c r="L328" s="96"/>
      <c r="M328" s="95" t="str">
        <f ca="1">IFERROR(__xludf.DUMMYFUNCTION("IFERROR(JOIN("","", UNIQUE(filter({I328; K328}, {I328; K328}&lt;&gt;""""))), """")"),"")</f>
        <v/>
      </c>
      <c r="N328" s="98"/>
      <c r="O328" s="98"/>
      <c r="P328" s="98"/>
      <c r="Q328" s="98"/>
      <c r="R328" s="98"/>
      <c r="S328" s="95" t="str">
        <f ca="1">IFERROR(__xludf.DUMMYFUNCTION("IFERROR(JOIN("","", UNIQUE(filter({O328; Q328}, {O328; Q328}&lt;&gt;""""))), """")"),"")</f>
        <v/>
      </c>
      <c r="T328" s="99"/>
      <c r="U328" s="99"/>
      <c r="V328" s="99"/>
      <c r="W328" s="99"/>
      <c r="X328" s="99"/>
      <c r="Y328" s="95" t="str">
        <f ca="1">IFERROR(__xludf.DUMMYFUNCTION("IFERROR(JOIN("","", UNIQUE(filter({U328; W328}, {U328; W328}&lt;&gt;""""))), """")"),"")</f>
        <v/>
      </c>
    </row>
    <row r="329" spans="2:25" ht="13" x14ac:dyDescent="0.15">
      <c r="B329" s="10"/>
      <c r="C329" s="10"/>
      <c r="D329" s="10"/>
      <c r="E329" s="10"/>
      <c r="F329" s="10"/>
      <c r="G329" s="95" t="str">
        <f ca="1">IFERROR(__xludf.DUMMYFUNCTION("IFERROR(JOIN("","", UNIQUE(filter({C329; E329}, {C329; E329}&lt;&gt;""""))), """")"),"")</f>
        <v/>
      </c>
      <c r="H329" s="96"/>
      <c r="I329" s="96"/>
      <c r="J329" s="96"/>
      <c r="K329" s="96"/>
      <c r="L329" s="96"/>
      <c r="M329" s="95" t="str">
        <f ca="1">IFERROR(__xludf.DUMMYFUNCTION("IFERROR(JOIN("","", UNIQUE(filter({I329; K329}, {I329; K329}&lt;&gt;""""))), """")"),"")</f>
        <v/>
      </c>
      <c r="N329" s="98"/>
      <c r="O329" s="98"/>
      <c r="P329" s="98"/>
      <c r="Q329" s="98"/>
      <c r="R329" s="98"/>
      <c r="S329" s="95" t="str">
        <f ca="1">IFERROR(__xludf.DUMMYFUNCTION("IFERROR(JOIN("","", UNIQUE(filter({O329; Q329}, {O329; Q329}&lt;&gt;""""))), """")"),"")</f>
        <v/>
      </c>
      <c r="T329" s="99"/>
      <c r="U329" s="99"/>
      <c r="V329" s="99"/>
      <c r="W329" s="99"/>
      <c r="X329" s="99"/>
      <c r="Y329" s="95" t="str">
        <f ca="1">IFERROR(__xludf.DUMMYFUNCTION("IFERROR(JOIN("","", UNIQUE(filter({U329; W329}, {U329; W329}&lt;&gt;""""))), """")"),"")</f>
        <v/>
      </c>
    </row>
    <row r="330" spans="2:25" ht="13" x14ac:dyDescent="0.15">
      <c r="B330" s="10"/>
      <c r="C330" s="10"/>
      <c r="D330" s="10"/>
      <c r="E330" s="10"/>
      <c r="F330" s="10"/>
      <c r="G330" s="95" t="str">
        <f ca="1">IFERROR(__xludf.DUMMYFUNCTION("IFERROR(JOIN("","", UNIQUE(filter({C330; E330}, {C330; E330}&lt;&gt;""""))), """")"),"")</f>
        <v/>
      </c>
      <c r="H330" s="96"/>
      <c r="I330" s="96"/>
      <c r="J330" s="96"/>
      <c r="K330" s="96"/>
      <c r="L330" s="96"/>
      <c r="M330" s="95" t="str">
        <f ca="1">IFERROR(__xludf.DUMMYFUNCTION("IFERROR(JOIN("","", UNIQUE(filter({I330; K330}, {I330; K330}&lt;&gt;""""))), """")"),"")</f>
        <v/>
      </c>
      <c r="N330" s="98"/>
      <c r="O330" s="98"/>
      <c r="P330" s="98"/>
      <c r="Q330" s="98"/>
      <c r="R330" s="98"/>
      <c r="S330" s="95" t="str">
        <f ca="1">IFERROR(__xludf.DUMMYFUNCTION("IFERROR(JOIN("","", UNIQUE(filter({O330; Q330}, {O330; Q330}&lt;&gt;""""))), """")"),"")</f>
        <v/>
      </c>
      <c r="T330" s="99"/>
      <c r="U330" s="99"/>
      <c r="V330" s="99"/>
      <c r="W330" s="99"/>
      <c r="X330" s="99"/>
      <c r="Y330" s="95" t="str">
        <f ca="1">IFERROR(__xludf.DUMMYFUNCTION("IFERROR(JOIN("","", UNIQUE(filter({U330; W330}, {U330; W330}&lt;&gt;""""))), """")"),"")</f>
        <v/>
      </c>
    </row>
    <row r="331" spans="2:25" ht="13" x14ac:dyDescent="0.15">
      <c r="B331" s="10"/>
      <c r="C331" s="10"/>
      <c r="D331" s="10"/>
      <c r="E331" s="10"/>
      <c r="F331" s="10"/>
      <c r="G331" s="95" t="str">
        <f ca="1">IFERROR(__xludf.DUMMYFUNCTION("IFERROR(JOIN("","", UNIQUE(filter({C331; E331}, {C331; E331}&lt;&gt;""""))), """")"),"")</f>
        <v/>
      </c>
      <c r="H331" s="96"/>
      <c r="I331" s="96"/>
      <c r="J331" s="96"/>
      <c r="K331" s="96"/>
      <c r="L331" s="96"/>
      <c r="M331" s="95" t="str">
        <f ca="1">IFERROR(__xludf.DUMMYFUNCTION("IFERROR(JOIN("","", UNIQUE(filter({I331; K331}, {I331; K331}&lt;&gt;""""))), """")"),"")</f>
        <v/>
      </c>
      <c r="N331" s="98"/>
      <c r="O331" s="98"/>
      <c r="P331" s="98"/>
      <c r="Q331" s="98"/>
      <c r="R331" s="98"/>
      <c r="S331" s="95" t="str">
        <f ca="1">IFERROR(__xludf.DUMMYFUNCTION("IFERROR(JOIN("","", UNIQUE(filter({O331; Q331}, {O331; Q331}&lt;&gt;""""))), """")"),"")</f>
        <v/>
      </c>
      <c r="T331" s="99"/>
      <c r="U331" s="99"/>
      <c r="V331" s="99"/>
      <c r="W331" s="99"/>
      <c r="X331" s="99"/>
      <c r="Y331" s="95" t="str">
        <f ca="1">IFERROR(__xludf.DUMMYFUNCTION("IFERROR(JOIN("","", UNIQUE(filter({U331; W331}, {U331; W331}&lt;&gt;""""))), """")"),"")</f>
        <v/>
      </c>
    </row>
    <row r="332" spans="2:25" ht="13" x14ac:dyDescent="0.15">
      <c r="B332" s="10"/>
      <c r="C332" s="10"/>
      <c r="D332" s="10"/>
      <c r="E332" s="10"/>
      <c r="F332" s="10"/>
      <c r="G332" s="95" t="str">
        <f ca="1">IFERROR(__xludf.DUMMYFUNCTION("IFERROR(JOIN("","", UNIQUE(filter({C332; E332}, {C332; E332}&lt;&gt;""""))), """")"),"")</f>
        <v/>
      </c>
      <c r="H332" s="96"/>
      <c r="I332" s="96"/>
      <c r="J332" s="96"/>
      <c r="K332" s="96"/>
      <c r="L332" s="96"/>
      <c r="M332" s="95" t="str">
        <f ca="1">IFERROR(__xludf.DUMMYFUNCTION("IFERROR(JOIN("","", UNIQUE(filter({I332; K332}, {I332; K332}&lt;&gt;""""))), """")"),"")</f>
        <v/>
      </c>
      <c r="N332" s="98"/>
      <c r="O332" s="98"/>
      <c r="P332" s="98"/>
      <c r="Q332" s="98"/>
      <c r="R332" s="98"/>
      <c r="S332" s="95" t="str">
        <f ca="1">IFERROR(__xludf.DUMMYFUNCTION("IFERROR(JOIN("","", UNIQUE(filter({O332; Q332}, {O332; Q332}&lt;&gt;""""))), """")"),"")</f>
        <v/>
      </c>
      <c r="T332" s="99"/>
      <c r="U332" s="99"/>
      <c r="V332" s="99"/>
      <c r="W332" s="99"/>
      <c r="X332" s="99"/>
      <c r="Y332" s="95" t="str">
        <f ca="1">IFERROR(__xludf.DUMMYFUNCTION("IFERROR(JOIN("","", UNIQUE(filter({U332; W332}, {U332; W332}&lt;&gt;""""))), """")"),"")</f>
        <v/>
      </c>
    </row>
    <row r="333" spans="2:25" ht="13" x14ac:dyDescent="0.15">
      <c r="B333" s="10"/>
      <c r="C333" s="10"/>
      <c r="D333" s="10"/>
      <c r="E333" s="10"/>
      <c r="F333" s="10"/>
      <c r="G333" s="95" t="str">
        <f ca="1">IFERROR(__xludf.DUMMYFUNCTION("IFERROR(JOIN("","", UNIQUE(filter({C333; E333}, {C333; E333}&lt;&gt;""""))), """")"),"")</f>
        <v/>
      </c>
      <c r="H333" s="96"/>
      <c r="I333" s="96"/>
      <c r="J333" s="96"/>
      <c r="K333" s="96"/>
      <c r="L333" s="96"/>
      <c r="M333" s="95" t="str">
        <f ca="1">IFERROR(__xludf.DUMMYFUNCTION("IFERROR(JOIN("","", UNIQUE(filter({I333; K333}, {I333; K333}&lt;&gt;""""))), """")"),"")</f>
        <v/>
      </c>
      <c r="N333" s="98"/>
      <c r="O333" s="98"/>
      <c r="P333" s="98"/>
      <c r="Q333" s="98"/>
      <c r="R333" s="98"/>
      <c r="S333" s="95" t="str">
        <f ca="1">IFERROR(__xludf.DUMMYFUNCTION("IFERROR(JOIN("","", UNIQUE(filter({O333; Q333}, {O333; Q333}&lt;&gt;""""))), """")"),"")</f>
        <v/>
      </c>
      <c r="T333" s="99"/>
      <c r="U333" s="99"/>
      <c r="V333" s="99"/>
      <c r="W333" s="99"/>
      <c r="X333" s="99"/>
      <c r="Y333" s="95" t="str">
        <f ca="1">IFERROR(__xludf.DUMMYFUNCTION("IFERROR(JOIN("","", UNIQUE(filter({U333; W333}, {U333; W333}&lt;&gt;""""))), """")"),"")</f>
        <v/>
      </c>
    </row>
    <row r="334" spans="2:25" ht="13" x14ac:dyDescent="0.15">
      <c r="B334" s="10"/>
      <c r="C334" s="10"/>
      <c r="D334" s="10"/>
      <c r="E334" s="10"/>
      <c r="F334" s="10"/>
      <c r="G334" s="95" t="str">
        <f ca="1">IFERROR(__xludf.DUMMYFUNCTION("IFERROR(JOIN("","", UNIQUE(filter({C334; E334}, {C334; E334}&lt;&gt;""""))), """")"),"")</f>
        <v/>
      </c>
      <c r="H334" s="96"/>
      <c r="I334" s="96"/>
      <c r="J334" s="96"/>
      <c r="K334" s="96"/>
      <c r="L334" s="96"/>
      <c r="M334" s="95" t="str">
        <f ca="1">IFERROR(__xludf.DUMMYFUNCTION("IFERROR(JOIN("","", UNIQUE(filter({I334; K334}, {I334; K334}&lt;&gt;""""))), """")"),"")</f>
        <v/>
      </c>
      <c r="N334" s="98"/>
      <c r="O334" s="98"/>
      <c r="P334" s="98"/>
      <c r="Q334" s="98"/>
      <c r="R334" s="98"/>
      <c r="S334" s="95" t="str">
        <f ca="1">IFERROR(__xludf.DUMMYFUNCTION("IFERROR(JOIN("","", UNIQUE(filter({O334; Q334}, {O334; Q334}&lt;&gt;""""))), """")"),"")</f>
        <v/>
      </c>
      <c r="T334" s="99"/>
      <c r="U334" s="99"/>
      <c r="V334" s="99"/>
      <c r="W334" s="99"/>
      <c r="X334" s="99"/>
      <c r="Y334" s="95" t="str">
        <f ca="1">IFERROR(__xludf.DUMMYFUNCTION("IFERROR(JOIN("","", UNIQUE(filter({U334; W334}, {U334; W334}&lt;&gt;""""))), """")"),"")</f>
        <v/>
      </c>
    </row>
    <row r="335" spans="2:25" ht="13" x14ac:dyDescent="0.15">
      <c r="B335" s="10"/>
      <c r="C335" s="10"/>
      <c r="D335" s="10"/>
      <c r="E335" s="10"/>
      <c r="F335" s="10"/>
      <c r="G335" s="95" t="str">
        <f ca="1">IFERROR(__xludf.DUMMYFUNCTION("IFERROR(JOIN("","", UNIQUE(filter({C335; E335}, {C335; E335}&lt;&gt;""""))), """")"),"")</f>
        <v/>
      </c>
      <c r="H335" s="96"/>
      <c r="I335" s="96"/>
      <c r="J335" s="96"/>
      <c r="K335" s="96"/>
      <c r="L335" s="96"/>
      <c r="M335" s="95" t="str">
        <f ca="1">IFERROR(__xludf.DUMMYFUNCTION("IFERROR(JOIN("","", UNIQUE(filter({I335; K335}, {I335; K335}&lt;&gt;""""))), """")"),"")</f>
        <v/>
      </c>
      <c r="N335" s="98"/>
      <c r="O335" s="98"/>
      <c r="P335" s="98"/>
      <c r="Q335" s="98"/>
      <c r="R335" s="98"/>
      <c r="S335" s="95" t="str">
        <f ca="1">IFERROR(__xludf.DUMMYFUNCTION("IFERROR(JOIN("","", UNIQUE(filter({O335; Q335}, {O335; Q335}&lt;&gt;""""))), """")"),"")</f>
        <v/>
      </c>
      <c r="T335" s="99"/>
      <c r="U335" s="99"/>
      <c r="V335" s="99"/>
      <c r="W335" s="99"/>
      <c r="X335" s="99"/>
      <c r="Y335" s="95" t="str">
        <f ca="1">IFERROR(__xludf.DUMMYFUNCTION("IFERROR(JOIN("","", UNIQUE(filter({U335; W335}, {U335; W335}&lt;&gt;""""))), """")"),"")</f>
        <v/>
      </c>
    </row>
    <row r="336" spans="2:25" ht="13" x14ac:dyDescent="0.15">
      <c r="B336" s="10"/>
      <c r="C336" s="10"/>
      <c r="D336" s="10"/>
      <c r="E336" s="10"/>
      <c r="F336" s="10"/>
      <c r="G336" s="95" t="str">
        <f ca="1">IFERROR(__xludf.DUMMYFUNCTION("IFERROR(JOIN("","", UNIQUE(filter({C336; E336}, {C336; E336}&lt;&gt;""""))), """")"),"")</f>
        <v/>
      </c>
      <c r="H336" s="96"/>
      <c r="I336" s="96"/>
      <c r="J336" s="96"/>
      <c r="K336" s="96"/>
      <c r="L336" s="96"/>
      <c r="M336" s="95" t="str">
        <f ca="1">IFERROR(__xludf.DUMMYFUNCTION("IFERROR(JOIN("","", UNIQUE(filter({I336; K336}, {I336; K336}&lt;&gt;""""))), """")"),"")</f>
        <v/>
      </c>
      <c r="N336" s="98"/>
      <c r="O336" s="98"/>
      <c r="P336" s="98"/>
      <c r="Q336" s="98"/>
      <c r="R336" s="98"/>
      <c r="S336" s="95" t="str">
        <f ca="1">IFERROR(__xludf.DUMMYFUNCTION("IFERROR(JOIN("","", UNIQUE(filter({O336; Q336}, {O336; Q336}&lt;&gt;""""))), """")"),"")</f>
        <v/>
      </c>
      <c r="T336" s="99"/>
      <c r="U336" s="99"/>
      <c r="V336" s="99"/>
      <c r="W336" s="99"/>
      <c r="X336" s="99"/>
      <c r="Y336" s="95" t="str">
        <f ca="1">IFERROR(__xludf.DUMMYFUNCTION("IFERROR(JOIN("","", UNIQUE(filter({U336; W336}, {U336; W336}&lt;&gt;""""))), """")"),"")</f>
        <v/>
      </c>
    </row>
    <row r="337" spans="2:25" ht="13" x14ac:dyDescent="0.15">
      <c r="B337" s="10"/>
      <c r="C337" s="10"/>
      <c r="D337" s="10"/>
      <c r="E337" s="10"/>
      <c r="F337" s="10"/>
      <c r="G337" s="95" t="str">
        <f ca="1">IFERROR(__xludf.DUMMYFUNCTION("IFERROR(JOIN("","", UNIQUE(filter({C337; E337}, {C337; E337}&lt;&gt;""""))), """")"),"")</f>
        <v/>
      </c>
      <c r="H337" s="96"/>
      <c r="I337" s="96"/>
      <c r="J337" s="96"/>
      <c r="K337" s="96"/>
      <c r="L337" s="96"/>
      <c r="M337" s="95" t="str">
        <f ca="1">IFERROR(__xludf.DUMMYFUNCTION("IFERROR(JOIN("","", UNIQUE(filter({I337; K337}, {I337; K337}&lt;&gt;""""))), """")"),"")</f>
        <v/>
      </c>
      <c r="N337" s="98"/>
      <c r="O337" s="98"/>
      <c r="P337" s="98"/>
      <c r="Q337" s="98"/>
      <c r="R337" s="98"/>
      <c r="S337" s="95" t="str">
        <f ca="1">IFERROR(__xludf.DUMMYFUNCTION("IFERROR(JOIN("","", UNIQUE(filter({O337; Q337}, {O337; Q337}&lt;&gt;""""))), """")"),"")</f>
        <v/>
      </c>
      <c r="T337" s="99"/>
      <c r="U337" s="99"/>
      <c r="V337" s="99"/>
      <c r="W337" s="99"/>
      <c r="X337" s="99"/>
      <c r="Y337" s="95" t="str">
        <f ca="1">IFERROR(__xludf.DUMMYFUNCTION("IFERROR(JOIN("","", UNIQUE(filter({U337; W337}, {U337; W337}&lt;&gt;""""))), """")"),"")</f>
        <v/>
      </c>
    </row>
    <row r="338" spans="2:25" ht="13" x14ac:dyDescent="0.15">
      <c r="B338" s="10"/>
      <c r="C338" s="10"/>
      <c r="D338" s="10"/>
      <c r="E338" s="10"/>
      <c r="F338" s="10"/>
      <c r="G338" s="95" t="str">
        <f ca="1">IFERROR(__xludf.DUMMYFUNCTION("IFERROR(JOIN("","", UNIQUE(filter({C338; E338}, {C338; E338}&lt;&gt;""""))), """")"),"")</f>
        <v/>
      </c>
      <c r="H338" s="96"/>
      <c r="I338" s="96"/>
      <c r="J338" s="96"/>
      <c r="K338" s="96"/>
      <c r="L338" s="96"/>
      <c r="M338" s="95" t="str">
        <f ca="1">IFERROR(__xludf.DUMMYFUNCTION("IFERROR(JOIN("","", UNIQUE(filter({I338; K338}, {I338; K338}&lt;&gt;""""))), """")"),"")</f>
        <v/>
      </c>
      <c r="N338" s="98"/>
      <c r="O338" s="98"/>
      <c r="P338" s="98"/>
      <c r="Q338" s="98"/>
      <c r="R338" s="98"/>
      <c r="S338" s="95" t="str">
        <f ca="1">IFERROR(__xludf.DUMMYFUNCTION("IFERROR(JOIN("","", UNIQUE(filter({O338; Q338}, {O338; Q338}&lt;&gt;""""))), """")"),"")</f>
        <v/>
      </c>
      <c r="T338" s="99"/>
      <c r="U338" s="99"/>
      <c r="V338" s="99"/>
      <c r="W338" s="99"/>
      <c r="X338" s="99"/>
      <c r="Y338" s="95" t="str">
        <f ca="1">IFERROR(__xludf.DUMMYFUNCTION("IFERROR(JOIN("","", UNIQUE(filter({U338; W338}, {U338; W338}&lt;&gt;""""))), """")"),"")</f>
        <v/>
      </c>
    </row>
    <row r="339" spans="2:25" ht="13" x14ac:dyDescent="0.15">
      <c r="B339" s="10"/>
      <c r="C339" s="10"/>
      <c r="D339" s="10"/>
      <c r="E339" s="10"/>
      <c r="F339" s="10"/>
      <c r="G339" s="95" t="str">
        <f ca="1">IFERROR(__xludf.DUMMYFUNCTION("IFERROR(JOIN("","", UNIQUE(filter({C339; E339}, {C339; E339}&lt;&gt;""""))), """")"),"")</f>
        <v/>
      </c>
      <c r="H339" s="96"/>
      <c r="I339" s="96"/>
      <c r="J339" s="96"/>
      <c r="K339" s="96"/>
      <c r="L339" s="96"/>
      <c r="M339" s="95" t="str">
        <f ca="1">IFERROR(__xludf.DUMMYFUNCTION("IFERROR(JOIN("","", UNIQUE(filter({I339; K339}, {I339; K339}&lt;&gt;""""))), """")"),"")</f>
        <v/>
      </c>
      <c r="N339" s="98"/>
      <c r="O339" s="98"/>
      <c r="P339" s="98"/>
      <c r="Q339" s="98"/>
      <c r="R339" s="98"/>
      <c r="S339" s="95" t="str">
        <f ca="1">IFERROR(__xludf.DUMMYFUNCTION("IFERROR(JOIN("","", UNIQUE(filter({O339; Q339}, {O339; Q339}&lt;&gt;""""))), """")"),"")</f>
        <v/>
      </c>
      <c r="T339" s="99"/>
      <c r="U339" s="99"/>
      <c r="V339" s="99"/>
      <c r="W339" s="99"/>
      <c r="X339" s="99"/>
      <c r="Y339" s="95" t="str">
        <f ca="1">IFERROR(__xludf.DUMMYFUNCTION("IFERROR(JOIN("","", UNIQUE(filter({U339; W339}, {U339; W339}&lt;&gt;""""))), """")"),"")</f>
        <v/>
      </c>
    </row>
    <row r="340" spans="2:25" ht="13" x14ac:dyDescent="0.15">
      <c r="B340" s="10"/>
      <c r="C340" s="10"/>
      <c r="D340" s="10"/>
      <c r="E340" s="10"/>
      <c r="F340" s="10"/>
      <c r="G340" s="95" t="str">
        <f ca="1">IFERROR(__xludf.DUMMYFUNCTION("IFERROR(JOIN("","", UNIQUE(filter({C340; E340}, {C340; E340}&lt;&gt;""""))), """")"),"")</f>
        <v/>
      </c>
      <c r="H340" s="96"/>
      <c r="I340" s="96"/>
      <c r="J340" s="96"/>
      <c r="K340" s="96"/>
      <c r="L340" s="96"/>
      <c r="M340" s="95" t="str">
        <f ca="1">IFERROR(__xludf.DUMMYFUNCTION("IFERROR(JOIN("","", UNIQUE(filter({I340; K340}, {I340; K340}&lt;&gt;""""))), """")"),"")</f>
        <v/>
      </c>
      <c r="N340" s="98"/>
      <c r="O340" s="98"/>
      <c r="P340" s="98"/>
      <c r="Q340" s="98"/>
      <c r="R340" s="98"/>
      <c r="S340" s="95" t="str">
        <f ca="1">IFERROR(__xludf.DUMMYFUNCTION("IFERROR(JOIN("","", UNIQUE(filter({O340; Q340}, {O340; Q340}&lt;&gt;""""))), """")"),"")</f>
        <v/>
      </c>
      <c r="T340" s="99"/>
      <c r="U340" s="99"/>
      <c r="V340" s="99"/>
      <c r="W340" s="99"/>
      <c r="X340" s="99"/>
      <c r="Y340" s="95" t="str">
        <f ca="1">IFERROR(__xludf.DUMMYFUNCTION("IFERROR(JOIN("","", UNIQUE(filter({U340; W340}, {U340; W340}&lt;&gt;""""))), """")"),"")</f>
        <v/>
      </c>
    </row>
    <row r="341" spans="2:25" ht="13" x14ac:dyDescent="0.15">
      <c r="B341" s="10"/>
      <c r="C341" s="10"/>
      <c r="D341" s="10"/>
      <c r="E341" s="10"/>
      <c r="F341" s="10"/>
      <c r="G341" s="95" t="str">
        <f ca="1">IFERROR(__xludf.DUMMYFUNCTION("IFERROR(JOIN("","", UNIQUE(filter({C341; E341}, {C341; E341}&lt;&gt;""""))), """")"),"")</f>
        <v/>
      </c>
      <c r="H341" s="96"/>
      <c r="I341" s="96"/>
      <c r="J341" s="96"/>
      <c r="K341" s="96"/>
      <c r="L341" s="96"/>
      <c r="M341" s="95" t="str">
        <f ca="1">IFERROR(__xludf.DUMMYFUNCTION("IFERROR(JOIN("","", UNIQUE(filter({I341; K341}, {I341; K341}&lt;&gt;""""))), """")"),"")</f>
        <v/>
      </c>
      <c r="N341" s="98"/>
      <c r="O341" s="98"/>
      <c r="P341" s="98"/>
      <c r="Q341" s="98"/>
      <c r="R341" s="98"/>
      <c r="S341" s="95" t="str">
        <f ca="1">IFERROR(__xludf.DUMMYFUNCTION("IFERROR(JOIN("","", UNIQUE(filter({O341; Q341}, {O341; Q341}&lt;&gt;""""))), """")"),"")</f>
        <v/>
      </c>
      <c r="T341" s="99"/>
      <c r="U341" s="99"/>
      <c r="V341" s="99"/>
      <c r="W341" s="99"/>
      <c r="X341" s="99"/>
      <c r="Y341" s="95" t="str">
        <f ca="1">IFERROR(__xludf.DUMMYFUNCTION("IFERROR(JOIN("","", UNIQUE(filter({U341; W341}, {U341; W341}&lt;&gt;""""))), """")"),"")</f>
        <v/>
      </c>
    </row>
    <row r="342" spans="2:25" ht="13" x14ac:dyDescent="0.15">
      <c r="B342" s="10"/>
      <c r="C342" s="10"/>
      <c r="D342" s="10"/>
      <c r="E342" s="10"/>
      <c r="F342" s="10"/>
      <c r="G342" s="95" t="str">
        <f ca="1">IFERROR(__xludf.DUMMYFUNCTION("IFERROR(JOIN("","", UNIQUE(filter({C342; E342}, {C342; E342}&lt;&gt;""""))), """")"),"")</f>
        <v/>
      </c>
      <c r="H342" s="96"/>
      <c r="I342" s="96"/>
      <c r="J342" s="96"/>
      <c r="K342" s="96"/>
      <c r="L342" s="96"/>
      <c r="M342" s="95" t="str">
        <f ca="1">IFERROR(__xludf.DUMMYFUNCTION("IFERROR(JOIN("","", UNIQUE(filter({I342; K342}, {I342; K342}&lt;&gt;""""))), """")"),"")</f>
        <v/>
      </c>
      <c r="N342" s="98"/>
      <c r="O342" s="98"/>
      <c r="P342" s="98"/>
      <c r="Q342" s="98"/>
      <c r="R342" s="98"/>
      <c r="S342" s="95" t="str">
        <f ca="1">IFERROR(__xludf.DUMMYFUNCTION("IFERROR(JOIN("","", UNIQUE(filter({O342; Q342}, {O342; Q342}&lt;&gt;""""))), """")"),"")</f>
        <v/>
      </c>
      <c r="T342" s="99"/>
      <c r="U342" s="99"/>
      <c r="V342" s="99"/>
      <c r="W342" s="99"/>
      <c r="X342" s="99"/>
      <c r="Y342" s="95" t="str">
        <f ca="1">IFERROR(__xludf.DUMMYFUNCTION("IFERROR(JOIN("","", UNIQUE(filter({U342; W342}, {U342; W342}&lt;&gt;""""))), """")"),"")</f>
        <v/>
      </c>
    </row>
    <row r="343" spans="2:25" ht="13" x14ac:dyDescent="0.15">
      <c r="B343" s="10"/>
      <c r="C343" s="10"/>
      <c r="D343" s="10"/>
      <c r="E343" s="10"/>
      <c r="F343" s="10"/>
      <c r="G343" s="95" t="str">
        <f ca="1">IFERROR(__xludf.DUMMYFUNCTION("IFERROR(JOIN("","", UNIQUE(filter({C343; E343}, {C343; E343}&lt;&gt;""""))), """")"),"")</f>
        <v/>
      </c>
      <c r="H343" s="96"/>
      <c r="I343" s="96"/>
      <c r="J343" s="96"/>
      <c r="K343" s="96"/>
      <c r="L343" s="96"/>
      <c r="M343" s="95" t="str">
        <f ca="1">IFERROR(__xludf.DUMMYFUNCTION("IFERROR(JOIN("","", UNIQUE(filter({I343; K343}, {I343; K343}&lt;&gt;""""))), """")"),"")</f>
        <v/>
      </c>
      <c r="N343" s="98"/>
      <c r="O343" s="98"/>
      <c r="P343" s="98"/>
      <c r="Q343" s="98"/>
      <c r="R343" s="98"/>
      <c r="S343" s="95" t="str">
        <f ca="1">IFERROR(__xludf.DUMMYFUNCTION("IFERROR(JOIN("","", UNIQUE(filter({O343; Q343}, {O343; Q343}&lt;&gt;""""))), """")"),"")</f>
        <v/>
      </c>
      <c r="T343" s="99"/>
      <c r="U343" s="99"/>
      <c r="V343" s="99"/>
      <c r="W343" s="99"/>
      <c r="X343" s="99"/>
      <c r="Y343" s="95" t="str">
        <f ca="1">IFERROR(__xludf.DUMMYFUNCTION("IFERROR(JOIN("","", UNIQUE(filter({U343; W343}, {U343; W343}&lt;&gt;""""))), """")"),"")</f>
        <v/>
      </c>
    </row>
    <row r="344" spans="2:25" ht="13" x14ac:dyDescent="0.15">
      <c r="B344" s="10"/>
      <c r="C344" s="10"/>
      <c r="D344" s="10"/>
      <c r="E344" s="10"/>
      <c r="F344" s="10"/>
      <c r="G344" s="95" t="str">
        <f ca="1">IFERROR(__xludf.DUMMYFUNCTION("IFERROR(JOIN("","", UNIQUE(filter({C344; E344}, {C344; E344}&lt;&gt;""""))), """")"),"")</f>
        <v/>
      </c>
      <c r="H344" s="96"/>
      <c r="I344" s="96"/>
      <c r="J344" s="96"/>
      <c r="K344" s="96"/>
      <c r="L344" s="96"/>
      <c r="M344" s="95" t="str">
        <f ca="1">IFERROR(__xludf.DUMMYFUNCTION("IFERROR(JOIN("","", UNIQUE(filter({I344; K344}, {I344; K344}&lt;&gt;""""))), """")"),"")</f>
        <v/>
      </c>
      <c r="N344" s="98"/>
      <c r="O344" s="98"/>
      <c r="P344" s="98"/>
      <c r="Q344" s="98"/>
      <c r="R344" s="98"/>
      <c r="S344" s="95" t="str">
        <f ca="1">IFERROR(__xludf.DUMMYFUNCTION("IFERROR(JOIN("","", UNIQUE(filter({O344; Q344}, {O344; Q344}&lt;&gt;""""))), """")"),"")</f>
        <v/>
      </c>
      <c r="T344" s="99"/>
      <c r="U344" s="99"/>
      <c r="V344" s="99"/>
      <c r="W344" s="99"/>
      <c r="X344" s="99"/>
      <c r="Y344" s="95" t="str">
        <f ca="1">IFERROR(__xludf.DUMMYFUNCTION("IFERROR(JOIN("","", UNIQUE(filter({U344; W344}, {U344; W344}&lt;&gt;""""))), """")"),"")</f>
        <v/>
      </c>
    </row>
    <row r="345" spans="2:25" ht="13" x14ac:dyDescent="0.15">
      <c r="B345" s="10"/>
      <c r="C345" s="10"/>
      <c r="D345" s="10"/>
      <c r="E345" s="10"/>
      <c r="F345" s="10"/>
      <c r="G345" s="95" t="str">
        <f ca="1">IFERROR(__xludf.DUMMYFUNCTION("IFERROR(JOIN("","", UNIQUE(filter({C345; E345}, {C345; E345}&lt;&gt;""""))), """")"),"")</f>
        <v/>
      </c>
      <c r="H345" s="96"/>
      <c r="I345" s="96"/>
      <c r="J345" s="96"/>
      <c r="K345" s="96"/>
      <c r="L345" s="96"/>
      <c r="M345" s="95" t="str">
        <f ca="1">IFERROR(__xludf.DUMMYFUNCTION("IFERROR(JOIN("","", UNIQUE(filter({I345; K345}, {I345; K345}&lt;&gt;""""))), """")"),"")</f>
        <v/>
      </c>
      <c r="N345" s="98"/>
      <c r="O345" s="98"/>
      <c r="P345" s="98"/>
      <c r="Q345" s="98"/>
      <c r="R345" s="98"/>
      <c r="S345" s="95" t="str">
        <f ca="1">IFERROR(__xludf.DUMMYFUNCTION("IFERROR(JOIN("","", UNIQUE(filter({O345; Q345}, {O345; Q345}&lt;&gt;""""))), """")"),"")</f>
        <v/>
      </c>
      <c r="T345" s="99"/>
      <c r="U345" s="99"/>
      <c r="V345" s="99"/>
      <c r="W345" s="99"/>
      <c r="X345" s="99"/>
      <c r="Y345" s="95" t="str">
        <f ca="1">IFERROR(__xludf.DUMMYFUNCTION("IFERROR(JOIN("","", UNIQUE(filter({U345; W345}, {U345; W345}&lt;&gt;""""))), """")"),"")</f>
        <v/>
      </c>
    </row>
    <row r="346" spans="2:25" ht="13" x14ac:dyDescent="0.15">
      <c r="B346" s="10"/>
      <c r="C346" s="10"/>
      <c r="D346" s="10"/>
      <c r="E346" s="10"/>
      <c r="F346" s="10"/>
      <c r="G346" s="95" t="str">
        <f ca="1">IFERROR(__xludf.DUMMYFUNCTION("IFERROR(JOIN("","", UNIQUE(filter({C346; E346}, {C346; E346}&lt;&gt;""""))), """")"),"")</f>
        <v/>
      </c>
      <c r="H346" s="96"/>
      <c r="I346" s="96"/>
      <c r="J346" s="96"/>
      <c r="K346" s="96"/>
      <c r="L346" s="96"/>
      <c r="M346" s="95" t="str">
        <f ca="1">IFERROR(__xludf.DUMMYFUNCTION("IFERROR(JOIN("","", UNIQUE(filter({I346; K346}, {I346; K346}&lt;&gt;""""))), """")"),"")</f>
        <v/>
      </c>
      <c r="N346" s="98"/>
      <c r="O346" s="98"/>
      <c r="P346" s="98"/>
      <c r="Q346" s="98"/>
      <c r="R346" s="98"/>
      <c r="S346" s="95" t="str">
        <f ca="1">IFERROR(__xludf.DUMMYFUNCTION("IFERROR(JOIN("","", UNIQUE(filter({O346; Q346}, {O346; Q346}&lt;&gt;""""))), """")"),"")</f>
        <v/>
      </c>
      <c r="T346" s="99"/>
      <c r="U346" s="99"/>
      <c r="V346" s="99"/>
      <c r="W346" s="99"/>
      <c r="X346" s="99"/>
      <c r="Y346" s="95" t="str">
        <f ca="1">IFERROR(__xludf.DUMMYFUNCTION("IFERROR(JOIN("","", UNIQUE(filter({U346; W346}, {U346; W346}&lt;&gt;""""))), """")"),"")</f>
        <v/>
      </c>
    </row>
    <row r="347" spans="2:25" ht="13" x14ac:dyDescent="0.15">
      <c r="B347" s="10"/>
      <c r="C347" s="10"/>
      <c r="D347" s="10"/>
      <c r="E347" s="10"/>
      <c r="F347" s="10"/>
      <c r="G347" s="95" t="str">
        <f ca="1">IFERROR(__xludf.DUMMYFUNCTION("IFERROR(JOIN("","", UNIQUE(filter({C347; E347}, {C347; E347}&lt;&gt;""""))), """")"),"")</f>
        <v/>
      </c>
      <c r="H347" s="96"/>
      <c r="I347" s="96"/>
      <c r="J347" s="96"/>
      <c r="K347" s="96"/>
      <c r="L347" s="96"/>
      <c r="M347" s="95" t="str">
        <f ca="1">IFERROR(__xludf.DUMMYFUNCTION("IFERROR(JOIN("","", UNIQUE(filter({I347; K347}, {I347; K347}&lt;&gt;""""))), """")"),"")</f>
        <v/>
      </c>
      <c r="N347" s="98"/>
      <c r="O347" s="98"/>
      <c r="P347" s="98"/>
      <c r="Q347" s="98"/>
      <c r="R347" s="98"/>
      <c r="S347" s="95" t="str">
        <f ca="1">IFERROR(__xludf.DUMMYFUNCTION("IFERROR(JOIN("","", UNIQUE(filter({O347; Q347}, {O347; Q347}&lt;&gt;""""))), """")"),"")</f>
        <v/>
      </c>
      <c r="T347" s="99"/>
      <c r="U347" s="99"/>
      <c r="V347" s="99"/>
      <c r="W347" s="99"/>
      <c r="X347" s="99"/>
      <c r="Y347" s="95" t="str">
        <f ca="1">IFERROR(__xludf.DUMMYFUNCTION("IFERROR(JOIN("","", UNIQUE(filter({U347; W347}, {U347; W347}&lt;&gt;""""))), """")"),"")</f>
        <v/>
      </c>
    </row>
    <row r="348" spans="2:25" ht="13" x14ac:dyDescent="0.15">
      <c r="B348" s="10"/>
      <c r="C348" s="10"/>
      <c r="D348" s="10"/>
      <c r="E348" s="10"/>
      <c r="F348" s="10"/>
      <c r="G348" s="95" t="str">
        <f ca="1">IFERROR(__xludf.DUMMYFUNCTION("IFERROR(JOIN("","", UNIQUE(filter({C348; E348}, {C348; E348}&lt;&gt;""""))), """")"),"")</f>
        <v/>
      </c>
      <c r="H348" s="96"/>
      <c r="I348" s="96"/>
      <c r="J348" s="96"/>
      <c r="K348" s="96"/>
      <c r="L348" s="96"/>
      <c r="M348" s="95" t="str">
        <f ca="1">IFERROR(__xludf.DUMMYFUNCTION("IFERROR(JOIN("","", UNIQUE(filter({I348; K348}, {I348; K348}&lt;&gt;""""))), """")"),"")</f>
        <v/>
      </c>
      <c r="N348" s="98"/>
      <c r="O348" s="98"/>
      <c r="P348" s="98"/>
      <c r="Q348" s="98"/>
      <c r="R348" s="98"/>
      <c r="S348" s="95" t="str">
        <f ca="1">IFERROR(__xludf.DUMMYFUNCTION("IFERROR(JOIN("","", UNIQUE(filter({O348; Q348}, {O348; Q348}&lt;&gt;""""))), """")"),"")</f>
        <v/>
      </c>
      <c r="T348" s="99"/>
      <c r="U348" s="99"/>
      <c r="V348" s="99"/>
      <c r="W348" s="99"/>
      <c r="X348" s="99"/>
      <c r="Y348" s="95" t="str">
        <f ca="1">IFERROR(__xludf.DUMMYFUNCTION("IFERROR(JOIN("","", UNIQUE(filter({U348; W348}, {U348; W348}&lt;&gt;""""))), """")"),"")</f>
        <v/>
      </c>
    </row>
    <row r="349" spans="2:25" ht="13" x14ac:dyDescent="0.15">
      <c r="B349" s="10"/>
      <c r="C349" s="10"/>
      <c r="D349" s="10"/>
      <c r="E349" s="10"/>
      <c r="F349" s="10"/>
      <c r="G349" s="95" t="str">
        <f ca="1">IFERROR(__xludf.DUMMYFUNCTION("IFERROR(JOIN("","", UNIQUE(filter({C349; E349}, {C349; E349}&lt;&gt;""""))), """")"),"")</f>
        <v/>
      </c>
      <c r="H349" s="96"/>
      <c r="I349" s="96"/>
      <c r="J349" s="96"/>
      <c r="K349" s="96"/>
      <c r="L349" s="96"/>
      <c r="M349" s="95" t="str">
        <f ca="1">IFERROR(__xludf.DUMMYFUNCTION("IFERROR(JOIN("","", UNIQUE(filter({I349; K349}, {I349; K349}&lt;&gt;""""))), """")"),"")</f>
        <v/>
      </c>
      <c r="N349" s="98"/>
      <c r="O349" s="98"/>
      <c r="P349" s="98"/>
      <c r="Q349" s="98"/>
      <c r="R349" s="98"/>
      <c r="S349" s="95" t="str">
        <f ca="1">IFERROR(__xludf.DUMMYFUNCTION("IFERROR(JOIN("","", UNIQUE(filter({O349; Q349}, {O349; Q349}&lt;&gt;""""))), """")"),"")</f>
        <v/>
      </c>
      <c r="T349" s="99"/>
      <c r="U349" s="99"/>
      <c r="V349" s="99"/>
      <c r="W349" s="99"/>
      <c r="X349" s="99"/>
      <c r="Y349" s="95" t="str">
        <f ca="1">IFERROR(__xludf.DUMMYFUNCTION("IFERROR(JOIN("","", UNIQUE(filter({U349; W349}, {U349; W349}&lt;&gt;""""))), """")"),"")</f>
        <v/>
      </c>
    </row>
    <row r="350" spans="2:25" ht="13" x14ac:dyDescent="0.15">
      <c r="B350" s="10"/>
      <c r="C350" s="10"/>
      <c r="D350" s="10"/>
      <c r="E350" s="10"/>
      <c r="F350" s="10"/>
      <c r="G350" s="95" t="str">
        <f ca="1">IFERROR(__xludf.DUMMYFUNCTION("IFERROR(JOIN("","", UNIQUE(filter({C350; E350}, {C350; E350}&lt;&gt;""""))), """")"),"")</f>
        <v/>
      </c>
      <c r="H350" s="96"/>
      <c r="I350" s="96"/>
      <c r="J350" s="96"/>
      <c r="K350" s="96"/>
      <c r="L350" s="96"/>
      <c r="M350" s="95" t="str">
        <f ca="1">IFERROR(__xludf.DUMMYFUNCTION("IFERROR(JOIN("","", UNIQUE(filter({I350; K350}, {I350; K350}&lt;&gt;""""))), """")"),"")</f>
        <v/>
      </c>
      <c r="N350" s="98"/>
      <c r="O350" s="98"/>
      <c r="P350" s="98"/>
      <c r="Q350" s="98"/>
      <c r="R350" s="98"/>
      <c r="S350" s="95" t="str">
        <f ca="1">IFERROR(__xludf.DUMMYFUNCTION("IFERROR(JOIN("","", UNIQUE(filter({O350; Q350}, {O350; Q350}&lt;&gt;""""))), """")"),"")</f>
        <v/>
      </c>
      <c r="T350" s="99"/>
      <c r="U350" s="99"/>
      <c r="V350" s="99"/>
      <c r="W350" s="99"/>
      <c r="X350" s="99"/>
      <c r="Y350" s="95" t="str">
        <f ca="1">IFERROR(__xludf.DUMMYFUNCTION("IFERROR(JOIN("","", UNIQUE(filter({U350; W350}, {U350; W350}&lt;&gt;""""))), """")"),"")</f>
        <v/>
      </c>
    </row>
    <row r="351" spans="2:25" ht="13" x14ac:dyDescent="0.15">
      <c r="B351" s="10"/>
      <c r="C351" s="10"/>
      <c r="D351" s="10"/>
      <c r="E351" s="10"/>
      <c r="F351" s="10"/>
      <c r="G351" s="95" t="str">
        <f ca="1">IFERROR(__xludf.DUMMYFUNCTION("IFERROR(JOIN("","", UNIQUE(filter({C351; E351}, {C351; E351}&lt;&gt;""""))), """")"),"")</f>
        <v/>
      </c>
      <c r="H351" s="96"/>
      <c r="I351" s="96"/>
      <c r="J351" s="96"/>
      <c r="K351" s="96"/>
      <c r="L351" s="96"/>
      <c r="M351" s="95" t="str">
        <f ca="1">IFERROR(__xludf.DUMMYFUNCTION("IFERROR(JOIN("","", UNIQUE(filter({I351; K351}, {I351; K351}&lt;&gt;""""))), """")"),"")</f>
        <v/>
      </c>
      <c r="N351" s="98"/>
      <c r="O351" s="98"/>
      <c r="P351" s="98"/>
      <c r="Q351" s="98"/>
      <c r="R351" s="98"/>
      <c r="S351" s="95" t="str">
        <f ca="1">IFERROR(__xludf.DUMMYFUNCTION("IFERROR(JOIN("","", UNIQUE(filter({O351; Q351}, {O351; Q351}&lt;&gt;""""))), """")"),"")</f>
        <v/>
      </c>
      <c r="T351" s="99"/>
      <c r="U351" s="99"/>
      <c r="V351" s="99"/>
      <c r="W351" s="99"/>
      <c r="X351" s="99"/>
      <c r="Y351" s="95" t="str">
        <f ca="1">IFERROR(__xludf.DUMMYFUNCTION("IFERROR(JOIN("","", UNIQUE(filter({U351; W351}, {U351; W351}&lt;&gt;""""))), """")"),"")</f>
        <v/>
      </c>
    </row>
    <row r="352" spans="2:25" ht="13" x14ac:dyDescent="0.15">
      <c r="B352" s="10"/>
      <c r="C352" s="10"/>
      <c r="D352" s="10"/>
      <c r="E352" s="10"/>
      <c r="F352" s="10"/>
      <c r="G352" s="95" t="str">
        <f ca="1">IFERROR(__xludf.DUMMYFUNCTION("IFERROR(JOIN("","", UNIQUE(filter({C352; E352}, {C352; E352}&lt;&gt;""""))), """")"),"")</f>
        <v/>
      </c>
      <c r="H352" s="96"/>
      <c r="I352" s="96"/>
      <c r="J352" s="96"/>
      <c r="K352" s="96"/>
      <c r="L352" s="96"/>
      <c r="M352" s="95" t="str">
        <f ca="1">IFERROR(__xludf.DUMMYFUNCTION("IFERROR(JOIN("","", UNIQUE(filter({I352; K352}, {I352; K352}&lt;&gt;""""))), """")"),"")</f>
        <v/>
      </c>
      <c r="N352" s="98"/>
      <c r="O352" s="98"/>
      <c r="P352" s="98"/>
      <c r="Q352" s="98"/>
      <c r="R352" s="98"/>
      <c r="S352" s="95" t="str">
        <f ca="1">IFERROR(__xludf.DUMMYFUNCTION("IFERROR(JOIN("","", UNIQUE(filter({O352; Q352}, {O352; Q352}&lt;&gt;""""))), """")"),"")</f>
        <v/>
      </c>
      <c r="T352" s="99"/>
      <c r="U352" s="99"/>
      <c r="V352" s="99"/>
      <c r="W352" s="99"/>
      <c r="X352" s="99"/>
      <c r="Y352" s="95" t="str">
        <f ca="1">IFERROR(__xludf.DUMMYFUNCTION("IFERROR(JOIN("","", UNIQUE(filter({U352; W352}, {U352; W352}&lt;&gt;""""))), """")"),"")</f>
        <v/>
      </c>
    </row>
    <row r="353" spans="2:25" ht="13" x14ac:dyDescent="0.15">
      <c r="B353" s="10"/>
      <c r="C353" s="10"/>
      <c r="D353" s="10"/>
      <c r="E353" s="10"/>
      <c r="F353" s="10"/>
      <c r="G353" s="95" t="str">
        <f ca="1">IFERROR(__xludf.DUMMYFUNCTION("IFERROR(JOIN("","", UNIQUE(filter({C353; E353}, {C353; E353}&lt;&gt;""""))), """")"),"")</f>
        <v/>
      </c>
      <c r="H353" s="96"/>
      <c r="I353" s="96"/>
      <c r="J353" s="96"/>
      <c r="K353" s="96"/>
      <c r="L353" s="96"/>
      <c r="M353" s="95" t="str">
        <f ca="1">IFERROR(__xludf.DUMMYFUNCTION("IFERROR(JOIN("","", UNIQUE(filter({I353; K353}, {I353; K353}&lt;&gt;""""))), """")"),"")</f>
        <v/>
      </c>
      <c r="N353" s="98"/>
      <c r="O353" s="98"/>
      <c r="P353" s="98"/>
      <c r="Q353" s="98"/>
      <c r="R353" s="98"/>
      <c r="S353" s="95" t="str">
        <f ca="1">IFERROR(__xludf.DUMMYFUNCTION("IFERROR(JOIN("","", UNIQUE(filter({O353; Q353}, {O353; Q353}&lt;&gt;""""))), """")"),"")</f>
        <v/>
      </c>
      <c r="T353" s="99"/>
      <c r="U353" s="99"/>
      <c r="V353" s="99"/>
      <c r="W353" s="99"/>
      <c r="X353" s="99"/>
      <c r="Y353" s="95" t="str">
        <f ca="1">IFERROR(__xludf.DUMMYFUNCTION("IFERROR(JOIN("","", UNIQUE(filter({U353; W353}, {U353; W353}&lt;&gt;""""))), """")"),"")</f>
        <v/>
      </c>
    </row>
    <row r="354" spans="2:25" ht="13" x14ac:dyDescent="0.15">
      <c r="B354" s="10"/>
      <c r="C354" s="10"/>
      <c r="D354" s="10"/>
      <c r="E354" s="10"/>
      <c r="F354" s="10"/>
      <c r="G354" s="95" t="str">
        <f ca="1">IFERROR(__xludf.DUMMYFUNCTION("IFERROR(JOIN("","", UNIQUE(filter({C354; E354}, {C354; E354}&lt;&gt;""""))), """")"),"")</f>
        <v/>
      </c>
      <c r="H354" s="96"/>
      <c r="I354" s="96"/>
      <c r="J354" s="96"/>
      <c r="K354" s="96"/>
      <c r="L354" s="96"/>
      <c r="M354" s="95" t="str">
        <f ca="1">IFERROR(__xludf.DUMMYFUNCTION("IFERROR(JOIN("","", UNIQUE(filter({I354; K354}, {I354; K354}&lt;&gt;""""))), """")"),"")</f>
        <v/>
      </c>
      <c r="N354" s="98"/>
      <c r="O354" s="98"/>
      <c r="P354" s="98"/>
      <c r="Q354" s="98"/>
      <c r="R354" s="98"/>
      <c r="S354" s="95" t="str">
        <f ca="1">IFERROR(__xludf.DUMMYFUNCTION("IFERROR(JOIN("","", UNIQUE(filter({O354; Q354}, {O354; Q354}&lt;&gt;""""))), """")"),"")</f>
        <v/>
      </c>
      <c r="T354" s="99"/>
      <c r="U354" s="99"/>
      <c r="V354" s="99"/>
      <c r="W354" s="99"/>
      <c r="X354" s="99"/>
      <c r="Y354" s="95" t="str">
        <f ca="1">IFERROR(__xludf.DUMMYFUNCTION("IFERROR(JOIN("","", UNIQUE(filter({U354; W354}, {U354; W354}&lt;&gt;""""))), """")"),"")</f>
        <v/>
      </c>
    </row>
    <row r="355" spans="2:25" ht="13" x14ac:dyDescent="0.15">
      <c r="B355" s="10"/>
      <c r="C355" s="10"/>
      <c r="D355" s="10"/>
      <c r="E355" s="10"/>
      <c r="F355" s="10"/>
      <c r="G355" s="95" t="str">
        <f ca="1">IFERROR(__xludf.DUMMYFUNCTION("IFERROR(JOIN("","", UNIQUE(filter({C355; E355}, {C355; E355}&lt;&gt;""""))), """")"),"")</f>
        <v/>
      </c>
      <c r="H355" s="96"/>
      <c r="I355" s="96"/>
      <c r="J355" s="96"/>
      <c r="K355" s="96"/>
      <c r="L355" s="96"/>
      <c r="M355" s="95" t="str">
        <f ca="1">IFERROR(__xludf.DUMMYFUNCTION("IFERROR(JOIN("","", UNIQUE(filter({I355; K355}, {I355; K355}&lt;&gt;""""))), """")"),"")</f>
        <v/>
      </c>
      <c r="N355" s="98"/>
      <c r="O355" s="98"/>
      <c r="P355" s="98"/>
      <c r="Q355" s="98"/>
      <c r="R355" s="98"/>
      <c r="S355" s="95" t="str">
        <f ca="1">IFERROR(__xludf.DUMMYFUNCTION("IFERROR(JOIN("","", UNIQUE(filter({O355; Q355}, {O355; Q355}&lt;&gt;""""))), """")"),"")</f>
        <v/>
      </c>
      <c r="T355" s="99"/>
      <c r="U355" s="99"/>
      <c r="V355" s="99"/>
      <c r="W355" s="99"/>
      <c r="X355" s="99"/>
      <c r="Y355" s="95" t="str">
        <f ca="1">IFERROR(__xludf.DUMMYFUNCTION("IFERROR(JOIN("","", UNIQUE(filter({U355; W355}, {U355; W355}&lt;&gt;""""))), """")"),"")</f>
        <v/>
      </c>
    </row>
    <row r="356" spans="2:25" ht="13" x14ac:dyDescent="0.15">
      <c r="B356" s="10"/>
      <c r="C356" s="10"/>
      <c r="D356" s="10"/>
      <c r="E356" s="10"/>
      <c r="F356" s="10"/>
      <c r="G356" s="95" t="str">
        <f ca="1">IFERROR(__xludf.DUMMYFUNCTION("IFERROR(JOIN("","", UNIQUE(filter({C356; E356}, {C356; E356}&lt;&gt;""""))), """")"),"")</f>
        <v/>
      </c>
      <c r="H356" s="96"/>
      <c r="I356" s="96"/>
      <c r="J356" s="96"/>
      <c r="K356" s="96"/>
      <c r="L356" s="96"/>
      <c r="M356" s="95" t="str">
        <f ca="1">IFERROR(__xludf.DUMMYFUNCTION("IFERROR(JOIN("","", UNIQUE(filter({I356; K356}, {I356; K356}&lt;&gt;""""))), """")"),"")</f>
        <v/>
      </c>
      <c r="N356" s="98"/>
      <c r="O356" s="98"/>
      <c r="P356" s="98"/>
      <c r="Q356" s="98"/>
      <c r="R356" s="98"/>
      <c r="S356" s="95" t="str">
        <f ca="1">IFERROR(__xludf.DUMMYFUNCTION("IFERROR(JOIN("","", UNIQUE(filter({O356; Q356}, {O356; Q356}&lt;&gt;""""))), """")"),"")</f>
        <v/>
      </c>
      <c r="T356" s="99"/>
      <c r="U356" s="99"/>
      <c r="V356" s="99"/>
      <c r="W356" s="99"/>
      <c r="X356" s="99"/>
      <c r="Y356" s="95" t="str">
        <f ca="1">IFERROR(__xludf.DUMMYFUNCTION("IFERROR(JOIN("","", UNIQUE(filter({U356; W356}, {U356; W356}&lt;&gt;""""))), """")"),"")</f>
        <v/>
      </c>
    </row>
    <row r="357" spans="2:25" ht="13" x14ac:dyDescent="0.15">
      <c r="B357" s="10"/>
      <c r="C357" s="10"/>
      <c r="D357" s="10"/>
      <c r="E357" s="10"/>
      <c r="F357" s="10"/>
      <c r="G357" s="95" t="str">
        <f ca="1">IFERROR(__xludf.DUMMYFUNCTION("IFERROR(JOIN("","", UNIQUE(filter({C357; E357}, {C357; E357}&lt;&gt;""""))), """")"),"")</f>
        <v/>
      </c>
      <c r="H357" s="96"/>
      <c r="I357" s="96"/>
      <c r="J357" s="96"/>
      <c r="K357" s="96"/>
      <c r="L357" s="96"/>
      <c r="M357" s="95" t="str">
        <f ca="1">IFERROR(__xludf.DUMMYFUNCTION("IFERROR(JOIN("","", UNIQUE(filter({I357; K357}, {I357; K357}&lt;&gt;""""))), """")"),"")</f>
        <v/>
      </c>
      <c r="N357" s="98"/>
      <c r="O357" s="98"/>
      <c r="P357" s="98"/>
      <c r="Q357" s="98"/>
      <c r="R357" s="98"/>
      <c r="S357" s="95" t="str">
        <f ca="1">IFERROR(__xludf.DUMMYFUNCTION("IFERROR(JOIN("","", UNIQUE(filter({O357; Q357}, {O357; Q357}&lt;&gt;""""))), """")"),"")</f>
        <v/>
      </c>
      <c r="T357" s="99"/>
      <c r="U357" s="99"/>
      <c r="V357" s="99"/>
      <c r="W357" s="99"/>
      <c r="X357" s="99"/>
      <c r="Y357" s="95" t="str">
        <f ca="1">IFERROR(__xludf.DUMMYFUNCTION("IFERROR(JOIN("","", UNIQUE(filter({U357; W357}, {U357; W357}&lt;&gt;""""))), """")"),"")</f>
        <v/>
      </c>
    </row>
    <row r="358" spans="2:25" ht="13" x14ac:dyDescent="0.15">
      <c r="B358" s="10"/>
      <c r="C358" s="10"/>
      <c r="D358" s="10"/>
      <c r="E358" s="10"/>
      <c r="F358" s="10"/>
      <c r="G358" s="95" t="str">
        <f ca="1">IFERROR(__xludf.DUMMYFUNCTION("IFERROR(JOIN("","", UNIQUE(filter({C358; E358}, {C358; E358}&lt;&gt;""""))), """")"),"")</f>
        <v/>
      </c>
      <c r="H358" s="96"/>
      <c r="I358" s="96"/>
      <c r="J358" s="96"/>
      <c r="K358" s="96"/>
      <c r="L358" s="96"/>
      <c r="M358" s="95" t="str">
        <f ca="1">IFERROR(__xludf.DUMMYFUNCTION("IFERROR(JOIN("","", UNIQUE(filter({I358; K358}, {I358; K358}&lt;&gt;""""))), """")"),"")</f>
        <v/>
      </c>
      <c r="N358" s="98"/>
      <c r="O358" s="98"/>
      <c r="P358" s="98"/>
      <c r="Q358" s="98"/>
      <c r="R358" s="98"/>
      <c r="S358" s="95" t="str">
        <f ca="1">IFERROR(__xludf.DUMMYFUNCTION("IFERROR(JOIN("","", UNIQUE(filter({O358; Q358}, {O358; Q358}&lt;&gt;""""))), """")"),"")</f>
        <v/>
      </c>
      <c r="T358" s="99"/>
      <c r="U358" s="99"/>
      <c r="V358" s="99"/>
      <c r="W358" s="99"/>
      <c r="X358" s="99"/>
      <c r="Y358" s="95" t="str">
        <f ca="1">IFERROR(__xludf.DUMMYFUNCTION("IFERROR(JOIN("","", UNIQUE(filter({U358; W358}, {U358; W358}&lt;&gt;""""))), """")"),"")</f>
        <v/>
      </c>
    </row>
    <row r="359" spans="2:25" ht="13" x14ac:dyDescent="0.15">
      <c r="B359" s="10"/>
      <c r="C359" s="10"/>
      <c r="D359" s="10"/>
      <c r="E359" s="10"/>
      <c r="F359" s="10"/>
      <c r="G359" s="95" t="str">
        <f ca="1">IFERROR(__xludf.DUMMYFUNCTION("IFERROR(JOIN("","", UNIQUE(filter({C359; E359}, {C359; E359}&lt;&gt;""""))), """")"),"")</f>
        <v/>
      </c>
      <c r="H359" s="96"/>
      <c r="I359" s="96"/>
      <c r="J359" s="96"/>
      <c r="K359" s="96"/>
      <c r="L359" s="96"/>
      <c r="M359" s="95" t="str">
        <f ca="1">IFERROR(__xludf.DUMMYFUNCTION("IFERROR(JOIN("","", UNIQUE(filter({I359; K359}, {I359; K359}&lt;&gt;""""))), """")"),"")</f>
        <v/>
      </c>
      <c r="N359" s="98"/>
      <c r="O359" s="98"/>
      <c r="P359" s="98"/>
      <c r="Q359" s="98"/>
      <c r="R359" s="98"/>
      <c r="S359" s="95" t="str">
        <f ca="1">IFERROR(__xludf.DUMMYFUNCTION("IFERROR(JOIN("","", UNIQUE(filter({O359; Q359}, {O359; Q359}&lt;&gt;""""))), """")"),"")</f>
        <v/>
      </c>
      <c r="T359" s="99"/>
      <c r="U359" s="99"/>
      <c r="V359" s="99"/>
      <c r="W359" s="99"/>
      <c r="X359" s="99"/>
      <c r="Y359" s="95" t="str">
        <f ca="1">IFERROR(__xludf.DUMMYFUNCTION("IFERROR(JOIN("","", UNIQUE(filter({U359; W359}, {U359; W359}&lt;&gt;""""))), """")"),"")</f>
        <v/>
      </c>
    </row>
    <row r="360" spans="2:25" ht="13" x14ac:dyDescent="0.15">
      <c r="B360" s="10"/>
      <c r="C360" s="10"/>
      <c r="D360" s="10"/>
      <c r="E360" s="10"/>
      <c r="F360" s="10"/>
      <c r="G360" s="95" t="str">
        <f ca="1">IFERROR(__xludf.DUMMYFUNCTION("IFERROR(JOIN("","", UNIQUE(filter({C360; E360}, {C360; E360}&lt;&gt;""""))), """")"),"")</f>
        <v/>
      </c>
      <c r="H360" s="96"/>
      <c r="I360" s="96"/>
      <c r="J360" s="96"/>
      <c r="K360" s="96"/>
      <c r="L360" s="96"/>
      <c r="M360" s="95" t="str">
        <f ca="1">IFERROR(__xludf.DUMMYFUNCTION("IFERROR(JOIN("","", UNIQUE(filter({I360; K360}, {I360; K360}&lt;&gt;""""))), """")"),"")</f>
        <v/>
      </c>
      <c r="N360" s="98"/>
      <c r="O360" s="98"/>
      <c r="P360" s="98"/>
      <c r="Q360" s="98"/>
      <c r="R360" s="98"/>
      <c r="S360" s="95" t="str">
        <f ca="1">IFERROR(__xludf.DUMMYFUNCTION("IFERROR(JOIN("","", UNIQUE(filter({O360; Q360}, {O360; Q360}&lt;&gt;""""))), """")"),"")</f>
        <v/>
      </c>
      <c r="T360" s="99"/>
      <c r="U360" s="99"/>
      <c r="V360" s="99"/>
      <c r="W360" s="99"/>
      <c r="X360" s="99"/>
      <c r="Y360" s="95" t="str">
        <f ca="1">IFERROR(__xludf.DUMMYFUNCTION("IFERROR(JOIN("","", UNIQUE(filter({U360; W360}, {U360; W360}&lt;&gt;""""))), """")"),"")</f>
        <v/>
      </c>
    </row>
    <row r="361" spans="2:25" ht="13" x14ac:dyDescent="0.15">
      <c r="B361" s="10"/>
      <c r="C361" s="10"/>
      <c r="D361" s="10"/>
      <c r="E361" s="10"/>
      <c r="F361" s="10"/>
      <c r="G361" s="95" t="str">
        <f ca="1">IFERROR(__xludf.DUMMYFUNCTION("IFERROR(JOIN("","", UNIQUE(filter({C361; E361}, {C361; E361}&lt;&gt;""""))), """")"),"")</f>
        <v/>
      </c>
      <c r="H361" s="96"/>
      <c r="I361" s="96"/>
      <c r="J361" s="96"/>
      <c r="K361" s="96"/>
      <c r="L361" s="96"/>
      <c r="M361" s="95" t="str">
        <f ca="1">IFERROR(__xludf.DUMMYFUNCTION("IFERROR(JOIN("","", UNIQUE(filter({I361; K361}, {I361; K361}&lt;&gt;""""))), """")"),"")</f>
        <v/>
      </c>
      <c r="N361" s="98"/>
      <c r="O361" s="98"/>
      <c r="P361" s="98"/>
      <c r="Q361" s="98"/>
      <c r="R361" s="98"/>
      <c r="S361" s="95" t="str">
        <f ca="1">IFERROR(__xludf.DUMMYFUNCTION("IFERROR(JOIN("","", UNIQUE(filter({O361; Q361}, {O361; Q361}&lt;&gt;""""))), """")"),"")</f>
        <v/>
      </c>
      <c r="T361" s="99"/>
      <c r="U361" s="99"/>
      <c r="V361" s="99"/>
      <c r="W361" s="99"/>
      <c r="X361" s="99"/>
      <c r="Y361" s="95" t="str">
        <f ca="1">IFERROR(__xludf.DUMMYFUNCTION("IFERROR(JOIN("","", UNIQUE(filter({U361; W361}, {U361; W361}&lt;&gt;""""))), """")"),"")</f>
        <v/>
      </c>
    </row>
    <row r="362" spans="2:25" ht="13" x14ac:dyDescent="0.15">
      <c r="B362" s="10"/>
      <c r="C362" s="10"/>
      <c r="D362" s="10"/>
      <c r="E362" s="10"/>
      <c r="F362" s="10"/>
      <c r="G362" s="95" t="str">
        <f ca="1">IFERROR(__xludf.DUMMYFUNCTION("IFERROR(JOIN("","", UNIQUE(filter({C362; E362}, {C362; E362}&lt;&gt;""""))), """")"),"")</f>
        <v/>
      </c>
      <c r="H362" s="96"/>
      <c r="I362" s="96"/>
      <c r="J362" s="96"/>
      <c r="K362" s="96"/>
      <c r="L362" s="96"/>
      <c r="M362" s="95" t="str">
        <f ca="1">IFERROR(__xludf.DUMMYFUNCTION("IFERROR(JOIN("","", UNIQUE(filter({I362; K362}, {I362; K362}&lt;&gt;""""))), """")"),"")</f>
        <v/>
      </c>
      <c r="N362" s="98"/>
      <c r="O362" s="98"/>
      <c r="P362" s="98"/>
      <c r="Q362" s="98"/>
      <c r="R362" s="98"/>
      <c r="S362" s="95" t="str">
        <f ca="1">IFERROR(__xludf.DUMMYFUNCTION("IFERROR(JOIN("","", UNIQUE(filter({O362; Q362}, {O362; Q362}&lt;&gt;""""))), """")"),"")</f>
        <v/>
      </c>
      <c r="T362" s="99"/>
      <c r="U362" s="99"/>
      <c r="V362" s="99"/>
      <c r="W362" s="99"/>
      <c r="X362" s="99"/>
      <c r="Y362" s="95" t="str">
        <f ca="1">IFERROR(__xludf.DUMMYFUNCTION("IFERROR(JOIN("","", UNIQUE(filter({U362; W362}, {U362; W362}&lt;&gt;""""))), """")"),"")</f>
        <v/>
      </c>
    </row>
    <row r="363" spans="2:25" ht="13" x14ac:dyDescent="0.15">
      <c r="B363" s="10"/>
      <c r="C363" s="10"/>
      <c r="D363" s="10"/>
      <c r="E363" s="10"/>
      <c r="F363" s="10"/>
      <c r="G363" s="95" t="str">
        <f ca="1">IFERROR(__xludf.DUMMYFUNCTION("IFERROR(JOIN("","", UNIQUE(filter({C363; E363}, {C363; E363}&lt;&gt;""""))), """")"),"")</f>
        <v/>
      </c>
      <c r="H363" s="96"/>
      <c r="I363" s="96"/>
      <c r="J363" s="96"/>
      <c r="K363" s="96"/>
      <c r="L363" s="96"/>
      <c r="M363" s="95" t="str">
        <f ca="1">IFERROR(__xludf.DUMMYFUNCTION("IFERROR(JOIN("","", UNIQUE(filter({I363; K363}, {I363; K363}&lt;&gt;""""))), """")"),"")</f>
        <v/>
      </c>
      <c r="N363" s="98"/>
      <c r="O363" s="98"/>
      <c r="P363" s="98"/>
      <c r="Q363" s="98"/>
      <c r="R363" s="98"/>
      <c r="S363" s="95" t="str">
        <f ca="1">IFERROR(__xludf.DUMMYFUNCTION("IFERROR(JOIN("","", UNIQUE(filter({O363; Q363}, {O363; Q363}&lt;&gt;""""))), """")"),"")</f>
        <v/>
      </c>
      <c r="T363" s="99"/>
      <c r="U363" s="99"/>
      <c r="V363" s="99"/>
      <c r="W363" s="99"/>
      <c r="X363" s="99"/>
      <c r="Y363" s="95" t="str">
        <f ca="1">IFERROR(__xludf.DUMMYFUNCTION("IFERROR(JOIN("","", UNIQUE(filter({U363; W363}, {U363; W363}&lt;&gt;""""))), """")"),"")</f>
        <v/>
      </c>
    </row>
    <row r="364" spans="2:25" ht="13" x14ac:dyDescent="0.15">
      <c r="B364" s="10"/>
      <c r="C364" s="10"/>
      <c r="D364" s="10"/>
      <c r="E364" s="10"/>
      <c r="F364" s="10"/>
      <c r="G364" s="95" t="str">
        <f ca="1">IFERROR(__xludf.DUMMYFUNCTION("IFERROR(JOIN("","", UNIQUE(filter({C364; E364}, {C364; E364}&lt;&gt;""""))), """")"),"")</f>
        <v/>
      </c>
      <c r="H364" s="96"/>
      <c r="I364" s="96"/>
      <c r="J364" s="96"/>
      <c r="K364" s="96"/>
      <c r="L364" s="96"/>
      <c r="M364" s="95" t="str">
        <f ca="1">IFERROR(__xludf.DUMMYFUNCTION("IFERROR(JOIN("","", UNIQUE(filter({I364; K364}, {I364; K364}&lt;&gt;""""))), """")"),"")</f>
        <v/>
      </c>
      <c r="N364" s="98"/>
      <c r="O364" s="98"/>
      <c r="P364" s="98"/>
      <c r="Q364" s="98"/>
      <c r="R364" s="98"/>
      <c r="S364" s="95" t="str">
        <f ca="1">IFERROR(__xludf.DUMMYFUNCTION("IFERROR(JOIN("","", UNIQUE(filter({O364; Q364}, {O364; Q364}&lt;&gt;""""))), """")"),"")</f>
        <v/>
      </c>
      <c r="T364" s="99"/>
      <c r="U364" s="99"/>
      <c r="V364" s="99"/>
      <c r="W364" s="99"/>
      <c r="X364" s="99"/>
      <c r="Y364" s="95" t="str">
        <f ca="1">IFERROR(__xludf.DUMMYFUNCTION("IFERROR(JOIN("","", UNIQUE(filter({U364; W364}, {U364; W364}&lt;&gt;""""))), """")"),"")</f>
        <v/>
      </c>
    </row>
    <row r="365" spans="2:25" ht="13" x14ac:dyDescent="0.15">
      <c r="B365" s="10"/>
      <c r="C365" s="10"/>
      <c r="D365" s="10"/>
      <c r="E365" s="10"/>
      <c r="F365" s="10"/>
      <c r="G365" s="95" t="str">
        <f ca="1">IFERROR(__xludf.DUMMYFUNCTION("IFERROR(JOIN("","", UNIQUE(filter({C365; E365}, {C365; E365}&lt;&gt;""""))), """")"),"")</f>
        <v/>
      </c>
      <c r="H365" s="96"/>
      <c r="I365" s="96"/>
      <c r="J365" s="96"/>
      <c r="K365" s="96"/>
      <c r="L365" s="96"/>
      <c r="M365" s="95" t="str">
        <f ca="1">IFERROR(__xludf.DUMMYFUNCTION("IFERROR(JOIN("","", UNIQUE(filter({I365; K365}, {I365; K365}&lt;&gt;""""))), """")"),"")</f>
        <v/>
      </c>
      <c r="N365" s="98"/>
      <c r="O365" s="98"/>
      <c r="P365" s="98"/>
      <c r="Q365" s="98"/>
      <c r="R365" s="98"/>
      <c r="S365" s="95" t="str">
        <f ca="1">IFERROR(__xludf.DUMMYFUNCTION("IFERROR(JOIN("","", UNIQUE(filter({O365; Q365}, {O365; Q365}&lt;&gt;""""))), """")"),"")</f>
        <v/>
      </c>
      <c r="T365" s="99"/>
      <c r="U365" s="99"/>
      <c r="V365" s="99"/>
      <c r="W365" s="99"/>
      <c r="X365" s="99"/>
      <c r="Y365" s="95" t="str">
        <f ca="1">IFERROR(__xludf.DUMMYFUNCTION("IFERROR(JOIN("","", UNIQUE(filter({U365; W365}, {U365; W365}&lt;&gt;""""))), """")"),"")</f>
        <v/>
      </c>
    </row>
    <row r="366" spans="2:25" ht="13" x14ac:dyDescent="0.15">
      <c r="B366" s="10"/>
      <c r="C366" s="10"/>
      <c r="D366" s="10"/>
      <c r="E366" s="10"/>
      <c r="F366" s="10"/>
      <c r="G366" s="95" t="str">
        <f ca="1">IFERROR(__xludf.DUMMYFUNCTION("IFERROR(JOIN("","", UNIQUE(filter({C366; E366}, {C366; E366}&lt;&gt;""""))), """")"),"")</f>
        <v/>
      </c>
      <c r="H366" s="96"/>
      <c r="I366" s="96"/>
      <c r="J366" s="96"/>
      <c r="K366" s="96"/>
      <c r="L366" s="96"/>
      <c r="M366" s="95" t="str">
        <f ca="1">IFERROR(__xludf.DUMMYFUNCTION("IFERROR(JOIN("","", UNIQUE(filter({I366; K366}, {I366; K366}&lt;&gt;""""))), """")"),"")</f>
        <v/>
      </c>
      <c r="N366" s="98"/>
      <c r="O366" s="98"/>
      <c r="P366" s="98"/>
      <c r="Q366" s="98"/>
      <c r="R366" s="98"/>
      <c r="S366" s="95" t="str">
        <f ca="1">IFERROR(__xludf.DUMMYFUNCTION("IFERROR(JOIN("","", UNIQUE(filter({O366; Q366}, {O366; Q366}&lt;&gt;""""))), """")"),"")</f>
        <v/>
      </c>
      <c r="T366" s="99"/>
      <c r="U366" s="99"/>
      <c r="V366" s="99"/>
      <c r="W366" s="99"/>
      <c r="X366" s="99"/>
      <c r="Y366" s="95" t="str">
        <f ca="1">IFERROR(__xludf.DUMMYFUNCTION("IFERROR(JOIN("","", UNIQUE(filter({U366; W366}, {U366; W366}&lt;&gt;""""))), """")"),"")</f>
        <v/>
      </c>
    </row>
    <row r="367" spans="2:25" ht="13" x14ac:dyDescent="0.15">
      <c r="B367" s="10"/>
      <c r="C367" s="10"/>
      <c r="D367" s="10"/>
      <c r="E367" s="10"/>
      <c r="F367" s="10"/>
      <c r="G367" s="95" t="str">
        <f ca="1">IFERROR(__xludf.DUMMYFUNCTION("IFERROR(JOIN("","", UNIQUE(filter({C367; E367}, {C367; E367}&lt;&gt;""""))), """")"),"")</f>
        <v/>
      </c>
      <c r="H367" s="96"/>
      <c r="I367" s="96"/>
      <c r="J367" s="96"/>
      <c r="K367" s="96"/>
      <c r="L367" s="96"/>
      <c r="M367" s="95" t="str">
        <f ca="1">IFERROR(__xludf.DUMMYFUNCTION("IFERROR(JOIN("","", UNIQUE(filter({I367; K367}, {I367; K367}&lt;&gt;""""))), """")"),"")</f>
        <v/>
      </c>
      <c r="N367" s="98"/>
      <c r="O367" s="98"/>
      <c r="P367" s="98"/>
      <c r="Q367" s="98"/>
      <c r="R367" s="98"/>
      <c r="S367" s="95" t="str">
        <f ca="1">IFERROR(__xludf.DUMMYFUNCTION("IFERROR(JOIN("","", UNIQUE(filter({O367; Q367}, {O367; Q367}&lt;&gt;""""))), """")"),"")</f>
        <v/>
      </c>
      <c r="T367" s="99"/>
      <c r="U367" s="99"/>
      <c r="V367" s="99"/>
      <c r="W367" s="99"/>
      <c r="X367" s="99"/>
      <c r="Y367" s="95" t="str">
        <f ca="1">IFERROR(__xludf.DUMMYFUNCTION("IFERROR(JOIN("","", UNIQUE(filter({U367; W367}, {U367; W367}&lt;&gt;""""))), """")"),"")</f>
        <v/>
      </c>
    </row>
    <row r="368" spans="2:25" ht="13" x14ac:dyDescent="0.15">
      <c r="B368" s="10"/>
      <c r="C368" s="10"/>
      <c r="D368" s="10"/>
      <c r="E368" s="10"/>
      <c r="F368" s="10"/>
      <c r="G368" s="95" t="str">
        <f ca="1">IFERROR(__xludf.DUMMYFUNCTION("IFERROR(JOIN("","", UNIQUE(filter({C368; E368}, {C368; E368}&lt;&gt;""""))), """")"),"")</f>
        <v/>
      </c>
      <c r="H368" s="96"/>
      <c r="I368" s="96"/>
      <c r="J368" s="96"/>
      <c r="K368" s="96"/>
      <c r="L368" s="96"/>
      <c r="M368" s="95" t="str">
        <f ca="1">IFERROR(__xludf.DUMMYFUNCTION("IFERROR(JOIN("","", UNIQUE(filter({I368; K368}, {I368; K368}&lt;&gt;""""))), """")"),"")</f>
        <v/>
      </c>
      <c r="N368" s="98"/>
      <c r="O368" s="98"/>
      <c r="P368" s="98"/>
      <c r="Q368" s="98"/>
      <c r="R368" s="98"/>
      <c r="S368" s="95" t="str">
        <f ca="1">IFERROR(__xludf.DUMMYFUNCTION("IFERROR(JOIN("","", UNIQUE(filter({O368; Q368}, {O368; Q368}&lt;&gt;""""))), """")"),"")</f>
        <v/>
      </c>
      <c r="T368" s="99"/>
      <c r="U368" s="99"/>
      <c r="V368" s="99"/>
      <c r="W368" s="99"/>
      <c r="X368" s="99"/>
      <c r="Y368" s="95" t="str">
        <f ca="1">IFERROR(__xludf.DUMMYFUNCTION("IFERROR(JOIN("","", UNIQUE(filter({U368; W368}, {U368; W368}&lt;&gt;""""))), """")"),"")</f>
        <v/>
      </c>
    </row>
    <row r="369" spans="2:25" ht="13" x14ac:dyDescent="0.15">
      <c r="B369" s="10"/>
      <c r="C369" s="10"/>
      <c r="D369" s="10"/>
      <c r="E369" s="10"/>
      <c r="F369" s="10"/>
      <c r="G369" s="95" t="str">
        <f ca="1">IFERROR(__xludf.DUMMYFUNCTION("IFERROR(JOIN("","", UNIQUE(filter({C369; E369}, {C369; E369}&lt;&gt;""""))), """")"),"")</f>
        <v/>
      </c>
      <c r="H369" s="96"/>
      <c r="I369" s="96"/>
      <c r="J369" s="96"/>
      <c r="K369" s="96"/>
      <c r="L369" s="96"/>
      <c r="M369" s="95" t="str">
        <f ca="1">IFERROR(__xludf.DUMMYFUNCTION("IFERROR(JOIN("","", UNIQUE(filter({I369; K369}, {I369; K369}&lt;&gt;""""))), """")"),"")</f>
        <v/>
      </c>
      <c r="N369" s="98"/>
      <c r="O369" s="98"/>
      <c r="P369" s="98"/>
      <c r="Q369" s="98"/>
      <c r="R369" s="98"/>
      <c r="S369" s="95" t="str">
        <f ca="1">IFERROR(__xludf.DUMMYFUNCTION("IFERROR(JOIN("","", UNIQUE(filter({O369; Q369}, {O369; Q369}&lt;&gt;""""))), """")"),"")</f>
        <v/>
      </c>
      <c r="T369" s="99"/>
      <c r="U369" s="99"/>
      <c r="V369" s="99"/>
      <c r="W369" s="99"/>
      <c r="X369" s="99"/>
      <c r="Y369" s="95" t="str">
        <f ca="1">IFERROR(__xludf.DUMMYFUNCTION("IFERROR(JOIN("","", UNIQUE(filter({U369; W369}, {U369; W369}&lt;&gt;""""))), """")"),"")</f>
        <v/>
      </c>
    </row>
    <row r="370" spans="2:25" ht="13" x14ac:dyDescent="0.15">
      <c r="B370" s="10"/>
      <c r="C370" s="10"/>
      <c r="D370" s="10"/>
      <c r="E370" s="10"/>
      <c r="F370" s="10"/>
      <c r="G370" s="95" t="str">
        <f ca="1">IFERROR(__xludf.DUMMYFUNCTION("IFERROR(JOIN("","", UNIQUE(filter({C370; E370}, {C370; E370}&lt;&gt;""""))), """")"),"")</f>
        <v/>
      </c>
      <c r="H370" s="96"/>
      <c r="I370" s="96"/>
      <c r="J370" s="96"/>
      <c r="K370" s="96"/>
      <c r="L370" s="96"/>
      <c r="M370" s="95" t="str">
        <f ca="1">IFERROR(__xludf.DUMMYFUNCTION("IFERROR(JOIN("","", UNIQUE(filter({I370; K370}, {I370; K370}&lt;&gt;""""))), """")"),"")</f>
        <v/>
      </c>
      <c r="N370" s="98"/>
      <c r="O370" s="98"/>
      <c r="P370" s="98"/>
      <c r="Q370" s="98"/>
      <c r="R370" s="98"/>
      <c r="S370" s="95" t="str">
        <f ca="1">IFERROR(__xludf.DUMMYFUNCTION("IFERROR(JOIN("","", UNIQUE(filter({O370; Q370}, {O370; Q370}&lt;&gt;""""))), """")"),"")</f>
        <v/>
      </c>
      <c r="T370" s="99"/>
      <c r="U370" s="99"/>
      <c r="V370" s="99"/>
      <c r="W370" s="99"/>
      <c r="X370" s="99"/>
      <c r="Y370" s="95" t="str">
        <f ca="1">IFERROR(__xludf.DUMMYFUNCTION("IFERROR(JOIN("","", UNIQUE(filter({U370; W370}, {U370; W370}&lt;&gt;""""))), """")"),"")</f>
        <v/>
      </c>
    </row>
    <row r="371" spans="2:25" ht="13" x14ac:dyDescent="0.15">
      <c r="B371" s="10"/>
      <c r="C371" s="10"/>
      <c r="D371" s="10"/>
      <c r="E371" s="10"/>
      <c r="F371" s="10"/>
      <c r="G371" s="95" t="str">
        <f ca="1">IFERROR(__xludf.DUMMYFUNCTION("IFERROR(JOIN("","", UNIQUE(filter({C371; E371}, {C371; E371}&lt;&gt;""""))), """")"),"")</f>
        <v/>
      </c>
      <c r="H371" s="96"/>
      <c r="I371" s="96"/>
      <c r="J371" s="96"/>
      <c r="K371" s="96"/>
      <c r="L371" s="96"/>
      <c r="M371" s="95" t="str">
        <f ca="1">IFERROR(__xludf.DUMMYFUNCTION("IFERROR(JOIN("","", UNIQUE(filter({I371; K371}, {I371; K371}&lt;&gt;""""))), """")"),"")</f>
        <v/>
      </c>
      <c r="N371" s="98"/>
      <c r="O371" s="98"/>
      <c r="P371" s="98"/>
      <c r="Q371" s="98"/>
      <c r="R371" s="98"/>
      <c r="S371" s="95" t="str">
        <f ca="1">IFERROR(__xludf.DUMMYFUNCTION("IFERROR(JOIN("","", UNIQUE(filter({O371; Q371}, {O371; Q371}&lt;&gt;""""))), """")"),"")</f>
        <v/>
      </c>
      <c r="T371" s="99"/>
      <c r="U371" s="99"/>
      <c r="V371" s="99"/>
      <c r="W371" s="99"/>
      <c r="X371" s="99"/>
      <c r="Y371" s="95" t="str">
        <f ca="1">IFERROR(__xludf.DUMMYFUNCTION("IFERROR(JOIN("","", UNIQUE(filter({U371; W371}, {U371; W371}&lt;&gt;""""))), """")"),"")</f>
        <v/>
      </c>
    </row>
    <row r="372" spans="2:25" ht="13" x14ac:dyDescent="0.15">
      <c r="B372" s="10"/>
      <c r="C372" s="10"/>
      <c r="D372" s="10"/>
      <c r="E372" s="10"/>
      <c r="F372" s="10"/>
      <c r="G372" s="95" t="str">
        <f ca="1">IFERROR(__xludf.DUMMYFUNCTION("IFERROR(JOIN("","", UNIQUE(filter({C372; E372}, {C372; E372}&lt;&gt;""""))), """")"),"")</f>
        <v/>
      </c>
      <c r="H372" s="96"/>
      <c r="I372" s="96"/>
      <c r="J372" s="96"/>
      <c r="K372" s="96"/>
      <c r="L372" s="96"/>
      <c r="M372" s="95" t="str">
        <f ca="1">IFERROR(__xludf.DUMMYFUNCTION("IFERROR(JOIN("","", UNIQUE(filter({I372; K372}, {I372; K372}&lt;&gt;""""))), """")"),"")</f>
        <v/>
      </c>
      <c r="N372" s="98"/>
      <c r="O372" s="98"/>
      <c r="P372" s="98"/>
      <c r="Q372" s="98"/>
      <c r="R372" s="98"/>
      <c r="S372" s="95" t="str">
        <f ca="1">IFERROR(__xludf.DUMMYFUNCTION("IFERROR(JOIN("","", UNIQUE(filter({O372; Q372}, {O372; Q372}&lt;&gt;""""))), """")"),"")</f>
        <v/>
      </c>
      <c r="T372" s="99"/>
      <c r="U372" s="99"/>
      <c r="V372" s="99"/>
      <c r="W372" s="99"/>
      <c r="X372" s="99"/>
      <c r="Y372" s="95" t="str">
        <f ca="1">IFERROR(__xludf.DUMMYFUNCTION("IFERROR(JOIN("","", UNIQUE(filter({U372; W372}, {U372; W372}&lt;&gt;""""))), """")"),"")</f>
        <v/>
      </c>
    </row>
    <row r="373" spans="2:25" ht="13" x14ac:dyDescent="0.15">
      <c r="B373" s="10"/>
      <c r="C373" s="10"/>
      <c r="D373" s="10"/>
      <c r="E373" s="10"/>
      <c r="F373" s="10"/>
      <c r="G373" s="95" t="str">
        <f ca="1">IFERROR(__xludf.DUMMYFUNCTION("IFERROR(JOIN("","", UNIQUE(filter({C373; E373}, {C373; E373}&lt;&gt;""""))), """")"),"")</f>
        <v/>
      </c>
      <c r="H373" s="96"/>
      <c r="I373" s="96"/>
      <c r="J373" s="96"/>
      <c r="K373" s="96"/>
      <c r="L373" s="96"/>
      <c r="M373" s="95" t="str">
        <f ca="1">IFERROR(__xludf.DUMMYFUNCTION("IFERROR(JOIN("","", UNIQUE(filter({I373; K373}, {I373; K373}&lt;&gt;""""))), """")"),"")</f>
        <v/>
      </c>
      <c r="N373" s="98"/>
      <c r="O373" s="98"/>
      <c r="P373" s="98"/>
      <c r="Q373" s="98"/>
      <c r="R373" s="98"/>
      <c r="S373" s="95" t="str">
        <f ca="1">IFERROR(__xludf.DUMMYFUNCTION("IFERROR(JOIN("","", UNIQUE(filter({O373; Q373}, {O373; Q373}&lt;&gt;""""))), """")"),"")</f>
        <v/>
      </c>
      <c r="T373" s="99"/>
      <c r="U373" s="99"/>
      <c r="V373" s="99"/>
      <c r="W373" s="99"/>
      <c r="X373" s="99"/>
      <c r="Y373" s="95" t="str">
        <f ca="1">IFERROR(__xludf.DUMMYFUNCTION("IFERROR(JOIN("","", UNIQUE(filter({U373; W373}, {U373; W373}&lt;&gt;""""))), """")"),"")</f>
        <v/>
      </c>
    </row>
    <row r="374" spans="2:25" ht="13" x14ac:dyDescent="0.15">
      <c r="B374" s="10"/>
      <c r="C374" s="10"/>
      <c r="D374" s="10"/>
      <c r="E374" s="10"/>
      <c r="F374" s="10"/>
      <c r="G374" s="95" t="str">
        <f ca="1">IFERROR(__xludf.DUMMYFUNCTION("IFERROR(JOIN("","", UNIQUE(filter({C374; E374}, {C374; E374}&lt;&gt;""""))), """")"),"")</f>
        <v/>
      </c>
      <c r="H374" s="96"/>
      <c r="I374" s="96"/>
      <c r="J374" s="96"/>
      <c r="K374" s="96"/>
      <c r="L374" s="96"/>
      <c r="M374" s="95" t="str">
        <f ca="1">IFERROR(__xludf.DUMMYFUNCTION("IFERROR(JOIN("","", UNIQUE(filter({I374; K374}, {I374; K374}&lt;&gt;""""))), """")"),"")</f>
        <v/>
      </c>
      <c r="N374" s="98"/>
      <c r="O374" s="98"/>
      <c r="P374" s="98"/>
      <c r="Q374" s="98"/>
      <c r="R374" s="98"/>
      <c r="S374" s="95" t="str">
        <f ca="1">IFERROR(__xludf.DUMMYFUNCTION("IFERROR(JOIN("","", UNIQUE(filter({O374; Q374}, {O374; Q374}&lt;&gt;""""))), """")"),"")</f>
        <v/>
      </c>
      <c r="T374" s="99"/>
      <c r="U374" s="99"/>
      <c r="V374" s="99"/>
      <c r="W374" s="99"/>
      <c r="X374" s="99"/>
      <c r="Y374" s="95" t="str">
        <f ca="1">IFERROR(__xludf.DUMMYFUNCTION("IFERROR(JOIN("","", UNIQUE(filter({U374; W374}, {U374; W374}&lt;&gt;""""))), """")"),"")</f>
        <v/>
      </c>
    </row>
    <row r="375" spans="2:25" ht="13" x14ac:dyDescent="0.15">
      <c r="B375" s="10"/>
      <c r="C375" s="10"/>
      <c r="D375" s="10"/>
      <c r="E375" s="10"/>
      <c r="F375" s="10"/>
      <c r="G375" s="95" t="str">
        <f ca="1">IFERROR(__xludf.DUMMYFUNCTION("IFERROR(JOIN("","", UNIQUE(filter({C375; E375}, {C375; E375}&lt;&gt;""""))), """")"),"")</f>
        <v/>
      </c>
      <c r="H375" s="96"/>
      <c r="I375" s="96"/>
      <c r="J375" s="96"/>
      <c r="K375" s="96"/>
      <c r="L375" s="96"/>
      <c r="M375" s="95" t="str">
        <f ca="1">IFERROR(__xludf.DUMMYFUNCTION("IFERROR(JOIN("","", UNIQUE(filter({I375; K375}, {I375; K375}&lt;&gt;""""))), """")"),"")</f>
        <v/>
      </c>
      <c r="N375" s="98"/>
      <c r="O375" s="98"/>
      <c r="P375" s="98"/>
      <c r="Q375" s="98"/>
      <c r="R375" s="98"/>
      <c r="S375" s="95" t="str">
        <f ca="1">IFERROR(__xludf.DUMMYFUNCTION("IFERROR(JOIN("","", UNIQUE(filter({O375; Q375}, {O375; Q375}&lt;&gt;""""))), """")"),"")</f>
        <v/>
      </c>
      <c r="T375" s="99"/>
      <c r="U375" s="99"/>
      <c r="V375" s="99"/>
      <c r="W375" s="99"/>
      <c r="X375" s="99"/>
      <c r="Y375" s="95" t="str">
        <f ca="1">IFERROR(__xludf.DUMMYFUNCTION("IFERROR(JOIN("","", UNIQUE(filter({U375; W375}, {U375; W375}&lt;&gt;""""))), """")"),"")</f>
        <v/>
      </c>
    </row>
    <row r="376" spans="2:25" ht="13" x14ac:dyDescent="0.15">
      <c r="B376" s="10"/>
      <c r="C376" s="10"/>
      <c r="D376" s="10"/>
      <c r="E376" s="10"/>
      <c r="F376" s="10"/>
      <c r="G376" s="95" t="str">
        <f ca="1">IFERROR(__xludf.DUMMYFUNCTION("IFERROR(JOIN("","", UNIQUE(filter({C376; E376}, {C376; E376}&lt;&gt;""""))), """")"),"")</f>
        <v/>
      </c>
      <c r="H376" s="96"/>
      <c r="I376" s="96"/>
      <c r="J376" s="96"/>
      <c r="K376" s="96"/>
      <c r="L376" s="96"/>
      <c r="M376" s="95" t="str">
        <f ca="1">IFERROR(__xludf.DUMMYFUNCTION("IFERROR(JOIN("","", UNIQUE(filter({I376; K376}, {I376; K376}&lt;&gt;""""))), """")"),"")</f>
        <v/>
      </c>
      <c r="N376" s="98"/>
      <c r="O376" s="98"/>
      <c r="P376" s="98"/>
      <c r="Q376" s="98"/>
      <c r="R376" s="98"/>
      <c r="S376" s="95" t="str">
        <f ca="1">IFERROR(__xludf.DUMMYFUNCTION("IFERROR(JOIN("","", UNIQUE(filter({O376; Q376}, {O376; Q376}&lt;&gt;""""))), """")"),"")</f>
        <v/>
      </c>
      <c r="T376" s="99"/>
      <c r="U376" s="99"/>
      <c r="V376" s="99"/>
      <c r="W376" s="99"/>
      <c r="X376" s="99"/>
      <c r="Y376" s="95" t="str">
        <f ca="1">IFERROR(__xludf.DUMMYFUNCTION("IFERROR(JOIN("","", UNIQUE(filter({U376; W376}, {U376; W376}&lt;&gt;""""))), """")"),"")</f>
        <v/>
      </c>
    </row>
    <row r="377" spans="2:25" ht="13" x14ac:dyDescent="0.15">
      <c r="B377" s="10"/>
      <c r="C377" s="10"/>
      <c r="D377" s="10"/>
      <c r="E377" s="10"/>
      <c r="F377" s="10"/>
      <c r="G377" s="95" t="str">
        <f ca="1">IFERROR(__xludf.DUMMYFUNCTION("IFERROR(JOIN("","", UNIQUE(filter({C377; E377}, {C377; E377}&lt;&gt;""""))), """")"),"")</f>
        <v/>
      </c>
      <c r="H377" s="96"/>
      <c r="I377" s="96"/>
      <c r="J377" s="96"/>
      <c r="K377" s="96"/>
      <c r="L377" s="96"/>
      <c r="M377" s="95" t="str">
        <f ca="1">IFERROR(__xludf.DUMMYFUNCTION("IFERROR(JOIN("","", UNIQUE(filter({I377; K377}, {I377; K377}&lt;&gt;""""))), """")"),"")</f>
        <v/>
      </c>
      <c r="N377" s="98"/>
      <c r="O377" s="98"/>
      <c r="P377" s="98"/>
      <c r="Q377" s="98"/>
      <c r="R377" s="98"/>
      <c r="S377" s="95" t="str">
        <f ca="1">IFERROR(__xludf.DUMMYFUNCTION("IFERROR(JOIN("","", UNIQUE(filter({O377; Q377}, {O377; Q377}&lt;&gt;""""))), """")"),"")</f>
        <v/>
      </c>
      <c r="T377" s="99"/>
      <c r="U377" s="99"/>
      <c r="V377" s="99"/>
      <c r="W377" s="99"/>
      <c r="X377" s="99"/>
      <c r="Y377" s="95" t="str">
        <f ca="1">IFERROR(__xludf.DUMMYFUNCTION("IFERROR(JOIN("","", UNIQUE(filter({U377; W377}, {U377; W377}&lt;&gt;""""))), """")"),"")</f>
        <v/>
      </c>
    </row>
    <row r="378" spans="2:25" ht="13" x14ac:dyDescent="0.15">
      <c r="B378" s="10"/>
      <c r="C378" s="10"/>
      <c r="D378" s="10"/>
      <c r="E378" s="10"/>
      <c r="F378" s="10"/>
      <c r="G378" s="95" t="str">
        <f ca="1">IFERROR(__xludf.DUMMYFUNCTION("IFERROR(JOIN("","", UNIQUE(filter({C378; E378}, {C378; E378}&lt;&gt;""""))), """")"),"")</f>
        <v/>
      </c>
      <c r="H378" s="96"/>
      <c r="I378" s="96"/>
      <c r="J378" s="96"/>
      <c r="K378" s="96"/>
      <c r="L378" s="96"/>
      <c r="M378" s="95" t="str">
        <f ca="1">IFERROR(__xludf.DUMMYFUNCTION("IFERROR(JOIN("","", UNIQUE(filter({I378; K378}, {I378; K378}&lt;&gt;""""))), """")"),"")</f>
        <v/>
      </c>
      <c r="N378" s="98"/>
      <c r="O378" s="98"/>
      <c r="P378" s="98"/>
      <c r="Q378" s="98"/>
      <c r="R378" s="98"/>
      <c r="S378" s="95" t="str">
        <f ca="1">IFERROR(__xludf.DUMMYFUNCTION("IFERROR(JOIN("","", UNIQUE(filter({O378; Q378}, {O378; Q378}&lt;&gt;""""))), """")"),"")</f>
        <v/>
      </c>
      <c r="T378" s="99"/>
      <c r="U378" s="99"/>
      <c r="V378" s="99"/>
      <c r="W378" s="99"/>
      <c r="X378" s="99"/>
      <c r="Y378" s="95" t="str">
        <f ca="1">IFERROR(__xludf.DUMMYFUNCTION("IFERROR(JOIN("","", UNIQUE(filter({U378; W378}, {U378; W378}&lt;&gt;""""))), """")"),"")</f>
        <v/>
      </c>
    </row>
    <row r="379" spans="2:25" ht="13" x14ac:dyDescent="0.15">
      <c r="B379" s="10"/>
      <c r="C379" s="10"/>
      <c r="D379" s="10"/>
      <c r="E379" s="10"/>
      <c r="F379" s="10"/>
      <c r="G379" s="95" t="str">
        <f ca="1">IFERROR(__xludf.DUMMYFUNCTION("IFERROR(JOIN("","", UNIQUE(filter({C379; E379}, {C379; E379}&lt;&gt;""""))), """")"),"")</f>
        <v/>
      </c>
      <c r="H379" s="96"/>
      <c r="I379" s="96"/>
      <c r="J379" s="96"/>
      <c r="K379" s="96"/>
      <c r="L379" s="96"/>
      <c r="M379" s="95" t="str">
        <f ca="1">IFERROR(__xludf.DUMMYFUNCTION("IFERROR(JOIN("","", UNIQUE(filter({I379; K379}, {I379; K379}&lt;&gt;""""))), """")"),"")</f>
        <v/>
      </c>
      <c r="N379" s="98"/>
      <c r="O379" s="98"/>
      <c r="P379" s="98"/>
      <c r="Q379" s="98"/>
      <c r="R379" s="98"/>
      <c r="S379" s="95" t="str">
        <f ca="1">IFERROR(__xludf.DUMMYFUNCTION("IFERROR(JOIN("","", UNIQUE(filter({O379; Q379}, {O379; Q379}&lt;&gt;""""))), """")"),"")</f>
        <v/>
      </c>
      <c r="T379" s="99"/>
      <c r="U379" s="99"/>
      <c r="V379" s="99"/>
      <c r="W379" s="99"/>
      <c r="X379" s="99"/>
      <c r="Y379" s="95" t="str">
        <f ca="1">IFERROR(__xludf.DUMMYFUNCTION("IFERROR(JOIN("","", UNIQUE(filter({U379; W379}, {U379; W379}&lt;&gt;""""))), """")"),"")</f>
        <v/>
      </c>
    </row>
    <row r="380" spans="2:25" ht="13" x14ac:dyDescent="0.15">
      <c r="B380" s="10"/>
      <c r="C380" s="10"/>
      <c r="D380" s="10"/>
      <c r="E380" s="10"/>
      <c r="F380" s="10"/>
      <c r="G380" s="95" t="str">
        <f ca="1">IFERROR(__xludf.DUMMYFUNCTION("IFERROR(JOIN("","", UNIQUE(filter({C380; E380}, {C380; E380}&lt;&gt;""""))), """")"),"")</f>
        <v/>
      </c>
      <c r="H380" s="96"/>
      <c r="I380" s="96"/>
      <c r="J380" s="96"/>
      <c r="K380" s="96"/>
      <c r="L380" s="96"/>
      <c r="M380" s="95" t="str">
        <f ca="1">IFERROR(__xludf.DUMMYFUNCTION("IFERROR(JOIN("","", UNIQUE(filter({I380; K380}, {I380; K380}&lt;&gt;""""))), """")"),"")</f>
        <v/>
      </c>
      <c r="N380" s="98"/>
      <c r="O380" s="98"/>
      <c r="P380" s="98"/>
      <c r="Q380" s="98"/>
      <c r="R380" s="98"/>
      <c r="S380" s="95" t="str">
        <f ca="1">IFERROR(__xludf.DUMMYFUNCTION("IFERROR(JOIN("","", UNIQUE(filter({O380; Q380}, {O380; Q380}&lt;&gt;""""))), """")"),"")</f>
        <v/>
      </c>
      <c r="T380" s="99"/>
      <c r="U380" s="99"/>
      <c r="V380" s="99"/>
      <c r="W380" s="99"/>
      <c r="X380" s="99"/>
      <c r="Y380" s="95" t="str">
        <f ca="1">IFERROR(__xludf.DUMMYFUNCTION("IFERROR(JOIN("","", UNIQUE(filter({U380; W380}, {U380; W380}&lt;&gt;""""))), """")"),"")</f>
        <v/>
      </c>
    </row>
    <row r="381" spans="2:25" ht="13" x14ac:dyDescent="0.15">
      <c r="B381" s="10"/>
      <c r="C381" s="10"/>
      <c r="D381" s="10"/>
      <c r="E381" s="10"/>
      <c r="F381" s="10"/>
      <c r="G381" s="95" t="str">
        <f ca="1">IFERROR(__xludf.DUMMYFUNCTION("IFERROR(JOIN("","", UNIQUE(filter({C381; E381}, {C381; E381}&lt;&gt;""""))), """")"),"")</f>
        <v/>
      </c>
      <c r="H381" s="96"/>
      <c r="I381" s="96"/>
      <c r="J381" s="96"/>
      <c r="K381" s="96"/>
      <c r="L381" s="96"/>
      <c r="M381" s="95" t="str">
        <f ca="1">IFERROR(__xludf.DUMMYFUNCTION("IFERROR(JOIN("","", UNIQUE(filter({I381; K381}, {I381; K381}&lt;&gt;""""))), """")"),"")</f>
        <v/>
      </c>
      <c r="N381" s="98"/>
      <c r="O381" s="98"/>
      <c r="P381" s="98"/>
      <c r="Q381" s="98"/>
      <c r="R381" s="98"/>
      <c r="S381" s="95" t="str">
        <f ca="1">IFERROR(__xludf.DUMMYFUNCTION("IFERROR(JOIN("","", UNIQUE(filter({O381; Q381}, {O381; Q381}&lt;&gt;""""))), """")"),"")</f>
        <v/>
      </c>
      <c r="T381" s="99"/>
      <c r="U381" s="99"/>
      <c r="V381" s="99"/>
      <c r="W381" s="99"/>
      <c r="X381" s="99"/>
      <c r="Y381" s="95" t="str">
        <f ca="1">IFERROR(__xludf.DUMMYFUNCTION("IFERROR(JOIN("","", UNIQUE(filter({U381; W381}, {U381; W381}&lt;&gt;""""))), """")"),"")</f>
        <v/>
      </c>
    </row>
    <row r="382" spans="2:25" ht="13" x14ac:dyDescent="0.15">
      <c r="B382" s="10"/>
      <c r="C382" s="10"/>
      <c r="D382" s="10"/>
      <c r="E382" s="10"/>
      <c r="F382" s="10"/>
      <c r="G382" s="95" t="str">
        <f ca="1">IFERROR(__xludf.DUMMYFUNCTION("IFERROR(JOIN("","", UNIQUE(filter({C382; E382}, {C382; E382}&lt;&gt;""""))), """")"),"")</f>
        <v/>
      </c>
      <c r="H382" s="96"/>
      <c r="I382" s="96"/>
      <c r="J382" s="96"/>
      <c r="K382" s="96"/>
      <c r="L382" s="96"/>
      <c r="M382" s="95" t="str">
        <f ca="1">IFERROR(__xludf.DUMMYFUNCTION("IFERROR(JOIN("","", UNIQUE(filter({I382; K382}, {I382; K382}&lt;&gt;""""))), """")"),"")</f>
        <v/>
      </c>
      <c r="N382" s="98"/>
      <c r="O382" s="98"/>
      <c r="P382" s="98"/>
      <c r="Q382" s="98"/>
      <c r="R382" s="98"/>
      <c r="S382" s="95" t="str">
        <f ca="1">IFERROR(__xludf.DUMMYFUNCTION("IFERROR(JOIN("","", UNIQUE(filter({O382; Q382}, {O382; Q382}&lt;&gt;""""))), """")"),"")</f>
        <v/>
      </c>
      <c r="T382" s="99"/>
      <c r="U382" s="99"/>
      <c r="V382" s="99"/>
      <c r="W382" s="99"/>
      <c r="X382" s="99"/>
      <c r="Y382" s="95" t="str">
        <f ca="1">IFERROR(__xludf.DUMMYFUNCTION("IFERROR(JOIN("","", UNIQUE(filter({U382; W382}, {U382; W382}&lt;&gt;""""))), """")"),"")</f>
        <v/>
      </c>
    </row>
    <row r="383" spans="2:25" ht="13" x14ac:dyDescent="0.15">
      <c r="B383" s="10"/>
      <c r="C383" s="10"/>
      <c r="D383" s="10"/>
      <c r="E383" s="10"/>
      <c r="F383" s="10"/>
      <c r="G383" s="95" t="str">
        <f ca="1">IFERROR(__xludf.DUMMYFUNCTION("IFERROR(JOIN("","", UNIQUE(filter({C383; E383}, {C383; E383}&lt;&gt;""""))), """")"),"")</f>
        <v/>
      </c>
      <c r="H383" s="96"/>
      <c r="I383" s="96"/>
      <c r="J383" s="96"/>
      <c r="K383" s="96"/>
      <c r="L383" s="96"/>
      <c r="M383" s="95" t="str">
        <f ca="1">IFERROR(__xludf.DUMMYFUNCTION("IFERROR(JOIN("","", UNIQUE(filter({I383; K383}, {I383; K383}&lt;&gt;""""))), """")"),"")</f>
        <v/>
      </c>
      <c r="N383" s="98"/>
      <c r="O383" s="98"/>
      <c r="P383" s="98"/>
      <c r="Q383" s="98"/>
      <c r="R383" s="98"/>
      <c r="S383" s="95" t="str">
        <f ca="1">IFERROR(__xludf.DUMMYFUNCTION("IFERROR(JOIN("","", UNIQUE(filter({O383; Q383}, {O383; Q383}&lt;&gt;""""))), """")"),"")</f>
        <v/>
      </c>
      <c r="T383" s="99"/>
      <c r="U383" s="99"/>
      <c r="V383" s="99"/>
      <c r="W383" s="99"/>
      <c r="X383" s="99"/>
      <c r="Y383" s="95" t="str">
        <f ca="1">IFERROR(__xludf.DUMMYFUNCTION("IFERROR(JOIN("","", UNIQUE(filter({U383; W383}, {U383; W383}&lt;&gt;""""))), """")"),"")</f>
        <v/>
      </c>
    </row>
    <row r="384" spans="2:25" ht="13" x14ac:dyDescent="0.15">
      <c r="B384" s="10"/>
      <c r="C384" s="10"/>
      <c r="D384" s="10"/>
      <c r="E384" s="10"/>
      <c r="F384" s="10"/>
      <c r="G384" s="95" t="str">
        <f ca="1">IFERROR(__xludf.DUMMYFUNCTION("IFERROR(JOIN("","", UNIQUE(filter({C384; E384}, {C384; E384}&lt;&gt;""""))), """")"),"")</f>
        <v/>
      </c>
      <c r="H384" s="96"/>
      <c r="I384" s="96"/>
      <c r="J384" s="96"/>
      <c r="K384" s="96"/>
      <c r="L384" s="96"/>
      <c r="M384" s="95" t="str">
        <f ca="1">IFERROR(__xludf.DUMMYFUNCTION("IFERROR(JOIN("","", UNIQUE(filter({I384; K384}, {I384; K384}&lt;&gt;""""))), """")"),"")</f>
        <v/>
      </c>
      <c r="N384" s="98"/>
      <c r="O384" s="98"/>
      <c r="P384" s="98"/>
      <c r="Q384" s="98"/>
      <c r="R384" s="98"/>
      <c r="S384" s="95" t="str">
        <f ca="1">IFERROR(__xludf.DUMMYFUNCTION("IFERROR(JOIN("","", UNIQUE(filter({O384; Q384}, {O384; Q384}&lt;&gt;""""))), """")"),"")</f>
        <v/>
      </c>
      <c r="T384" s="99"/>
      <c r="U384" s="99"/>
      <c r="V384" s="99"/>
      <c r="W384" s="99"/>
      <c r="X384" s="99"/>
      <c r="Y384" s="95" t="str">
        <f ca="1">IFERROR(__xludf.DUMMYFUNCTION("IFERROR(JOIN("","", UNIQUE(filter({U384; W384}, {U384; W384}&lt;&gt;""""))), """")"),"")</f>
        <v/>
      </c>
    </row>
    <row r="385" spans="2:25" ht="13" x14ac:dyDescent="0.15">
      <c r="B385" s="10"/>
      <c r="C385" s="10"/>
      <c r="D385" s="10"/>
      <c r="E385" s="10"/>
      <c r="F385" s="10"/>
      <c r="G385" s="95" t="str">
        <f ca="1">IFERROR(__xludf.DUMMYFUNCTION("IFERROR(JOIN("","", UNIQUE(filter({C385; E385}, {C385; E385}&lt;&gt;""""))), """")"),"")</f>
        <v/>
      </c>
      <c r="H385" s="96"/>
      <c r="I385" s="96"/>
      <c r="J385" s="96"/>
      <c r="K385" s="96"/>
      <c r="L385" s="96"/>
      <c r="M385" s="95" t="str">
        <f ca="1">IFERROR(__xludf.DUMMYFUNCTION("IFERROR(JOIN("","", UNIQUE(filter({I385; K385}, {I385; K385}&lt;&gt;""""))), """")"),"")</f>
        <v/>
      </c>
      <c r="N385" s="98"/>
      <c r="O385" s="98"/>
      <c r="P385" s="98"/>
      <c r="Q385" s="98"/>
      <c r="R385" s="98"/>
      <c r="S385" s="95" t="str">
        <f ca="1">IFERROR(__xludf.DUMMYFUNCTION("IFERROR(JOIN("","", UNIQUE(filter({O385; Q385}, {O385; Q385}&lt;&gt;""""))), """")"),"")</f>
        <v/>
      </c>
      <c r="T385" s="99"/>
      <c r="U385" s="99"/>
      <c r="V385" s="99"/>
      <c r="W385" s="99"/>
      <c r="X385" s="99"/>
      <c r="Y385" s="95" t="str">
        <f ca="1">IFERROR(__xludf.DUMMYFUNCTION("IFERROR(JOIN("","", UNIQUE(filter({U385; W385}, {U385; W385}&lt;&gt;""""))), """")"),"")</f>
        <v/>
      </c>
    </row>
    <row r="386" spans="2:25" ht="13" x14ac:dyDescent="0.15">
      <c r="B386" s="10"/>
      <c r="C386" s="10"/>
      <c r="D386" s="10"/>
      <c r="E386" s="10"/>
      <c r="F386" s="10"/>
      <c r="G386" s="95" t="str">
        <f ca="1">IFERROR(__xludf.DUMMYFUNCTION("IFERROR(JOIN("","", UNIQUE(filter({C386; E386}, {C386; E386}&lt;&gt;""""))), """")"),"")</f>
        <v/>
      </c>
      <c r="H386" s="96"/>
      <c r="I386" s="96"/>
      <c r="J386" s="96"/>
      <c r="K386" s="96"/>
      <c r="L386" s="96"/>
      <c r="M386" s="95" t="str">
        <f ca="1">IFERROR(__xludf.DUMMYFUNCTION("IFERROR(JOIN("","", UNIQUE(filter({I386; K386}, {I386; K386}&lt;&gt;""""))), """")"),"")</f>
        <v/>
      </c>
      <c r="N386" s="98"/>
      <c r="O386" s="98"/>
      <c r="P386" s="98"/>
      <c r="Q386" s="98"/>
      <c r="R386" s="98"/>
      <c r="S386" s="95" t="str">
        <f ca="1">IFERROR(__xludf.DUMMYFUNCTION("IFERROR(JOIN("","", UNIQUE(filter({O386; Q386}, {O386; Q386}&lt;&gt;""""))), """")"),"")</f>
        <v/>
      </c>
      <c r="T386" s="99"/>
      <c r="U386" s="99"/>
      <c r="V386" s="99"/>
      <c r="W386" s="99"/>
      <c r="X386" s="99"/>
      <c r="Y386" s="95" t="str">
        <f ca="1">IFERROR(__xludf.DUMMYFUNCTION("IFERROR(JOIN("","", UNIQUE(filter({U386; W386}, {U386; W386}&lt;&gt;""""))), """")"),"")</f>
        <v/>
      </c>
    </row>
    <row r="387" spans="2:25" ht="13" x14ac:dyDescent="0.15">
      <c r="B387" s="10"/>
      <c r="C387" s="10"/>
      <c r="D387" s="10"/>
      <c r="E387" s="10"/>
      <c r="F387" s="10"/>
      <c r="G387" s="95" t="str">
        <f ca="1">IFERROR(__xludf.DUMMYFUNCTION("IFERROR(JOIN("","", UNIQUE(filter({C387; E387}, {C387; E387}&lt;&gt;""""))), """")"),"")</f>
        <v/>
      </c>
      <c r="H387" s="96"/>
      <c r="I387" s="96"/>
      <c r="J387" s="96"/>
      <c r="K387" s="96"/>
      <c r="L387" s="96"/>
      <c r="M387" s="95" t="str">
        <f ca="1">IFERROR(__xludf.DUMMYFUNCTION("IFERROR(JOIN("","", UNIQUE(filter({I387; K387}, {I387; K387}&lt;&gt;""""))), """")"),"")</f>
        <v/>
      </c>
      <c r="N387" s="98"/>
      <c r="O387" s="98"/>
      <c r="P387" s="98"/>
      <c r="Q387" s="98"/>
      <c r="R387" s="98"/>
      <c r="S387" s="95" t="str">
        <f ca="1">IFERROR(__xludf.DUMMYFUNCTION("IFERROR(JOIN("","", UNIQUE(filter({O387; Q387}, {O387; Q387}&lt;&gt;""""))), """")"),"")</f>
        <v/>
      </c>
      <c r="T387" s="99"/>
      <c r="U387" s="99"/>
      <c r="V387" s="99"/>
      <c r="W387" s="99"/>
      <c r="X387" s="99"/>
      <c r="Y387" s="95" t="str">
        <f ca="1">IFERROR(__xludf.DUMMYFUNCTION("IFERROR(JOIN("","", UNIQUE(filter({U387; W387}, {U387; W387}&lt;&gt;""""))), """")"),"")</f>
        <v/>
      </c>
    </row>
    <row r="388" spans="2:25" ht="13" x14ac:dyDescent="0.15">
      <c r="B388" s="10"/>
      <c r="C388" s="10"/>
      <c r="D388" s="10"/>
      <c r="E388" s="10"/>
      <c r="F388" s="10"/>
      <c r="G388" s="95" t="str">
        <f ca="1">IFERROR(__xludf.DUMMYFUNCTION("IFERROR(JOIN("","", UNIQUE(filter({C388; E388}, {C388; E388}&lt;&gt;""""))), """")"),"")</f>
        <v/>
      </c>
      <c r="H388" s="96"/>
      <c r="I388" s="96"/>
      <c r="J388" s="96"/>
      <c r="K388" s="96"/>
      <c r="L388" s="96"/>
      <c r="M388" s="95" t="str">
        <f ca="1">IFERROR(__xludf.DUMMYFUNCTION("IFERROR(JOIN("","", UNIQUE(filter({I388; K388}, {I388; K388}&lt;&gt;""""))), """")"),"")</f>
        <v/>
      </c>
      <c r="N388" s="98"/>
      <c r="O388" s="98"/>
      <c r="P388" s="98"/>
      <c r="Q388" s="98"/>
      <c r="R388" s="98"/>
      <c r="S388" s="95" t="str">
        <f ca="1">IFERROR(__xludf.DUMMYFUNCTION("IFERROR(JOIN("","", UNIQUE(filter({O388; Q388}, {O388; Q388}&lt;&gt;""""))), """")"),"")</f>
        <v/>
      </c>
      <c r="T388" s="99"/>
      <c r="U388" s="99"/>
      <c r="V388" s="99"/>
      <c r="W388" s="99"/>
      <c r="X388" s="99"/>
      <c r="Y388" s="95" t="str">
        <f ca="1">IFERROR(__xludf.DUMMYFUNCTION("IFERROR(JOIN("","", UNIQUE(filter({U388; W388}, {U388; W388}&lt;&gt;""""))), """")"),"")</f>
        <v/>
      </c>
    </row>
    <row r="389" spans="2:25" ht="13" x14ac:dyDescent="0.15">
      <c r="B389" s="10"/>
      <c r="C389" s="10"/>
      <c r="D389" s="10"/>
      <c r="E389" s="10"/>
      <c r="F389" s="10"/>
      <c r="G389" s="95" t="str">
        <f ca="1">IFERROR(__xludf.DUMMYFUNCTION("IFERROR(JOIN("","", UNIQUE(filter({C389; E389}, {C389; E389}&lt;&gt;""""))), """")"),"")</f>
        <v/>
      </c>
      <c r="H389" s="96"/>
      <c r="I389" s="96"/>
      <c r="J389" s="96"/>
      <c r="K389" s="96"/>
      <c r="L389" s="96"/>
      <c r="M389" s="95" t="str">
        <f ca="1">IFERROR(__xludf.DUMMYFUNCTION("IFERROR(JOIN("","", UNIQUE(filter({I389; K389}, {I389; K389}&lt;&gt;""""))), """")"),"")</f>
        <v/>
      </c>
      <c r="N389" s="98"/>
      <c r="O389" s="98"/>
      <c r="P389" s="98"/>
      <c r="Q389" s="98"/>
      <c r="R389" s="98"/>
      <c r="S389" s="95" t="str">
        <f ca="1">IFERROR(__xludf.DUMMYFUNCTION("IFERROR(JOIN("","", UNIQUE(filter({O389; Q389}, {O389; Q389}&lt;&gt;""""))), """")"),"")</f>
        <v/>
      </c>
      <c r="T389" s="99"/>
      <c r="U389" s="99"/>
      <c r="V389" s="99"/>
      <c r="W389" s="99"/>
      <c r="X389" s="99"/>
      <c r="Y389" s="95" t="str">
        <f ca="1">IFERROR(__xludf.DUMMYFUNCTION("IFERROR(JOIN("","", UNIQUE(filter({U389; W389}, {U389; W389}&lt;&gt;""""))), """")"),"")</f>
        <v/>
      </c>
    </row>
    <row r="390" spans="2:25" ht="13" x14ac:dyDescent="0.15">
      <c r="B390" s="10"/>
      <c r="C390" s="10"/>
      <c r="D390" s="10"/>
      <c r="E390" s="10"/>
      <c r="F390" s="10"/>
      <c r="G390" s="95" t="str">
        <f ca="1">IFERROR(__xludf.DUMMYFUNCTION("IFERROR(JOIN("","", UNIQUE(filter({C390; E390}, {C390; E390}&lt;&gt;""""))), """")"),"")</f>
        <v/>
      </c>
      <c r="H390" s="96"/>
      <c r="I390" s="96"/>
      <c r="J390" s="96"/>
      <c r="K390" s="96"/>
      <c r="L390" s="96"/>
      <c r="M390" s="95" t="str">
        <f ca="1">IFERROR(__xludf.DUMMYFUNCTION("IFERROR(JOIN("","", UNIQUE(filter({I390; K390}, {I390; K390}&lt;&gt;""""))), """")"),"")</f>
        <v/>
      </c>
      <c r="N390" s="98"/>
      <c r="O390" s="98"/>
      <c r="P390" s="98"/>
      <c r="Q390" s="98"/>
      <c r="R390" s="98"/>
      <c r="S390" s="95" t="str">
        <f ca="1">IFERROR(__xludf.DUMMYFUNCTION("IFERROR(JOIN("","", UNIQUE(filter({O390; Q390}, {O390; Q390}&lt;&gt;""""))), """")"),"")</f>
        <v/>
      </c>
      <c r="T390" s="99"/>
      <c r="U390" s="99"/>
      <c r="V390" s="99"/>
      <c r="W390" s="99"/>
      <c r="X390" s="99"/>
      <c r="Y390" s="95" t="str">
        <f ca="1">IFERROR(__xludf.DUMMYFUNCTION("IFERROR(JOIN("","", UNIQUE(filter({U390; W390}, {U390; W390}&lt;&gt;""""))), """")"),"")</f>
        <v/>
      </c>
    </row>
    <row r="391" spans="2:25" ht="13" x14ac:dyDescent="0.15">
      <c r="B391" s="10"/>
      <c r="C391" s="10"/>
      <c r="D391" s="10"/>
      <c r="E391" s="10"/>
      <c r="F391" s="10"/>
      <c r="G391" s="95" t="str">
        <f ca="1">IFERROR(__xludf.DUMMYFUNCTION("IFERROR(JOIN("","", UNIQUE(filter({C391; E391}, {C391; E391}&lt;&gt;""""))), """")"),"")</f>
        <v/>
      </c>
      <c r="H391" s="96"/>
      <c r="I391" s="96"/>
      <c r="J391" s="96"/>
      <c r="K391" s="96"/>
      <c r="L391" s="96"/>
      <c r="M391" s="95" t="str">
        <f ca="1">IFERROR(__xludf.DUMMYFUNCTION("IFERROR(JOIN("","", UNIQUE(filter({I391; K391}, {I391; K391}&lt;&gt;""""))), """")"),"")</f>
        <v/>
      </c>
      <c r="N391" s="98"/>
      <c r="O391" s="98"/>
      <c r="P391" s="98"/>
      <c r="Q391" s="98"/>
      <c r="R391" s="98"/>
      <c r="S391" s="95" t="str">
        <f ca="1">IFERROR(__xludf.DUMMYFUNCTION("IFERROR(JOIN("","", UNIQUE(filter({O391; Q391}, {O391; Q391}&lt;&gt;""""))), """")"),"")</f>
        <v/>
      </c>
      <c r="T391" s="99"/>
      <c r="U391" s="99"/>
      <c r="V391" s="99"/>
      <c r="W391" s="99"/>
      <c r="X391" s="99"/>
      <c r="Y391" s="95" t="str">
        <f ca="1">IFERROR(__xludf.DUMMYFUNCTION("IFERROR(JOIN("","", UNIQUE(filter({U391; W391}, {U391; W391}&lt;&gt;""""))), """")"),"")</f>
        <v/>
      </c>
    </row>
    <row r="392" spans="2:25" ht="13" x14ac:dyDescent="0.15">
      <c r="B392" s="10"/>
      <c r="C392" s="10"/>
      <c r="D392" s="10"/>
      <c r="E392" s="10"/>
      <c r="F392" s="10"/>
      <c r="G392" s="95" t="str">
        <f ca="1">IFERROR(__xludf.DUMMYFUNCTION("IFERROR(JOIN("","", UNIQUE(filter({C392; E392}, {C392; E392}&lt;&gt;""""))), """")"),"")</f>
        <v/>
      </c>
      <c r="H392" s="96"/>
      <c r="I392" s="96"/>
      <c r="J392" s="96"/>
      <c r="K392" s="96"/>
      <c r="L392" s="96"/>
      <c r="M392" s="95" t="str">
        <f ca="1">IFERROR(__xludf.DUMMYFUNCTION("IFERROR(JOIN("","", UNIQUE(filter({I392; K392}, {I392; K392}&lt;&gt;""""))), """")"),"")</f>
        <v/>
      </c>
      <c r="N392" s="98"/>
      <c r="O392" s="98"/>
      <c r="P392" s="98"/>
      <c r="Q392" s="98"/>
      <c r="R392" s="98"/>
      <c r="S392" s="95" t="str">
        <f ca="1">IFERROR(__xludf.DUMMYFUNCTION("IFERROR(JOIN("","", UNIQUE(filter({O392; Q392}, {O392; Q392}&lt;&gt;""""))), """")"),"")</f>
        <v/>
      </c>
      <c r="T392" s="99"/>
      <c r="U392" s="99"/>
      <c r="V392" s="99"/>
      <c r="W392" s="99"/>
      <c r="X392" s="99"/>
      <c r="Y392" s="95" t="str">
        <f ca="1">IFERROR(__xludf.DUMMYFUNCTION("IFERROR(JOIN("","", UNIQUE(filter({U392; W392}, {U392; W392}&lt;&gt;""""))), """")"),"")</f>
        <v/>
      </c>
    </row>
    <row r="393" spans="2:25" ht="13" x14ac:dyDescent="0.15">
      <c r="B393" s="10"/>
      <c r="C393" s="10"/>
      <c r="D393" s="10"/>
      <c r="E393" s="10"/>
      <c r="F393" s="10"/>
      <c r="G393" s="95" t="str">
        <f ca="1">IFERROR(__xludf.DUMMYFUNCTION("IFERROR(JOIN("","", UNIQUE(filter({C393; E393}, {C393; E393}&lt;&gt;""""))), """")"),"")</f>
        <v/>
      </c>
      <c r="H393" s="96"/>
      <c r="I393" s="96"/>
      <c r="J393" s="96"/>
      <c r="K393" s="96"/>
      <c r="L393" s="96"/>
      <c r="M393" s="95" t="str">
        <f ca="1">IFERROR(__xludf.DUMMYFUNCTION("IFERROR(JOIN("","", UNIQUE(filter({I393; K393}, {I393; K393}&lt;&gt;""""))), """")"),"")</f>
        <v/>
      </c>
      <c r="N393" s="98"/>
      <c r="O393" s="98"/>
      <c r="P393" s="98"/>
      <c r="Q393" s="98"/>
      <c r="R393" s="98"/>
      <c r="S393" s="95" t="str">
        <f ca="1">IFERROR(__xludf.DUMMYFUNCTION("IFERROR(JOIN("","", UNIQUE(filter({O393; Q393}, {O393; Q393}&lt;&gt;""""))), """")"),"")</f>
        <v/>
      </c>
      <c r="T393" s="99"/>
      <c r="U393" s="99"/>
      <c r="V393" s="99"/>
      <c r="W393" s="99"/>
      <c r="X393" s="99"/>
      <c r="Y393" s="95" t="str">
        <f ca="1">IFERROR(__xludf.DUMMYFUNCTION("IFERROR(JOIN("","", UNIQUE(filter({U393; W393}, {U393; W393}&lt;&gt;""""))), """")"),"")</f>
        <v/>
      </c>
    </row>
    <row r="394" spans="2:25" ht="13" x14ac:dyDescent="0.15">
      <c r="B394" s="10"/>
      <c r="C394" s="10"/>
      <c r="D394" s="10"/>
      <c r="E394" s="10"/>
      <c r="F394" s="10"/>
      <c r="G394" s="95" t="str">
        <f ca="1">IFERROR(__xludf.DUMMYFUNCTION("IFERROR(JOIN("","", UNIQUE(filter({C394; E394}, {C394; E394}&lt;&gt;""""))), """")"),"")</f>
        <v/>
      </c>
      <c r="H394" s="96"/>
      <c r="I394" s="96"/>
      <c r="J394" s="96"/>
      <c r="K394" s="96"/>
      <c r="L394" s="96"/>
      <c r="M394" s="95" t="str">
        <f ca="1">IFERROR(__xludf.DUMMYFUNCTION("IFERROR(JOIN("","", UNIQUE(filter({I394; K394}, {I394; K394}&lt;&gt;""""))), """")"),"")</f>
        <v/>
      </c>
      <c r="N394" s="98"/>
      <c r="O394" s="98"/>
      <c r="P394" s="98"/>
      <c r="Q394" s="98"/>
      <c r="R394" s="98"/>
      <c r="S394" s="95" t="str">
        <f ca="1">IFERROR(__xludf.DUMMYFUNCTION("IFERROR(JOIN("","", UNIQUE(filter({O394; Q394}, {O394; Q394}&lt;&gt;""""))), """")"),"")</f>
        <v/>
      </c>
      <c r="T394" s="99"/>
      <c r="U394" s="99"/>
      <c r="V394" s="99"/>
      <c r="W394" s="99"/>
      <c r="X394" s="99"/>
      <c r="Y394" s="95" t="str">
        <f ca="1">IFERROR(__xludf.DUMMYFUNCTION("IFERROR(JOIN("","", UNIQUE(filter({U394; W394}, {U394; W394}&lt;&gt;""""))), """")"),"")</f>
        <v/>
      </c>
    </row>
    <row r="395" spans="2:25" ht="13" x14ac:dyDescent="0.15">
      <c r="B395" s="10"/>
      <c r="C395" s="10"/>
      <c r="D395" s="10"/>
      <c r="E395" s="10"/>
      <c r="F395" s="10"/>
      <c r="G395" s="95" t="str">
        <f ca="1">IFERROR(__xludf.DUMMYFUNCTION("IFERROR(JOIN("","", UNIQUE(filter({C395; E395}, {C395; E395}&lt;&gt;""""))), """")"),"")</f>
        <v/>
      </c>
      <c r="H395" s="96"/>
      <c r="I395" s="96"/>
      <c r="J395" s="96"/>
      <c r="K395" s="96"/>
      <c r="L395" s="96"/>
      <c r="M395" s="95" t="str">
        <f ca="1">IFERROR(__xludf.DUMMYFUNCTION("IFERROR(JOIN("","", UNIQUE(filter({I395; K395}, {I395; K395}&lt;&gt;""""))), """")"),"")</f>
        <v/>
      </c>
      <c r="N395" s="98"/>
      <c r="O395" s="98"/>
      <c r="P395" s="98"/>
      <c r="Q395" s="98"/>
      <c r="R395" s="98"/>
      <c r="S395" s="95" t="str">
        <f ca="1">IFERROR(__xludf.DUMMYFUNCTION("IFERROR(JOIN("","", UNIQUE(filter({O395; Q395}, {O395; Q395}&lt;&gt;""""))), """")"),"")</f>
        <v/>
      </c>
      <c r="T395" s="99"/>
      <c r="U395" s="99"/>
      <c r="V395" s="99"/>
      <c r="W395" s="99"/>
      <c r="X395" s="99"/>
      <c r="Y395" s="95" t="str">
        <f ca="1">IFERROR(__xludf.DUMMYFUNCTION("IFERROR(JOIN("","", UNIQUE(filter({U395; W395}, {U395; W395}&lt;&gt;""""))), """")"),"")</f>
        <v/>
      </c>
    </row>
    <row r="396" spans="2:25" ht="13" x14ac:dyDescent="0.15">
      <c r="B396" s="10"/>
      <c r="C396" s="10"/>
      <c r="D396" s="10"/>
      <c r="E396" s="10"/>
      <c r="F396" s="10"/>
      <c r="G396" s="95" t="str">
        <f ca="1">IFERROR(__xludf.DUMMYFUNCTION("IFERROR(JOIN("","", UNIQUE(filter({C396; E396}, {C396; E396}&lt;&gt;""""))), """")"),"")</f>
        <v/>
      </c>
      <c r="H396" s="96"/>
      <c r="I396" s="96"/>
      <c r="J396" s="96"/>
      <c r="K396" s="96"/>
      <c r="L396" s="96"/>
      <c r="M396" s="95" t="str">
        <f ca="1">IFERROR(__xludf.DUMMYFUNCTION("IFERROR(JOIN("","", UNIQUE(filter({I396; K396}, {I396; K396}&lt;&gt;""""))), """")"),"")</f>
        <v/>
      </c>
      <c r="N396" s="98"/>
      <c r="O396" s="98"/>
      <c r="P396" s="98"/>
      <c r="Q396" s="98"/>
      <c r="R396" s="98"/>
      <c r="S396" s="95" t="str">
        <f ca="1">IFERROR(__xludf.DUMMYFUNCTION("IFERROR(JOIN("","", UNIQUE(filter({O396; Q396}, {O396; Q396}&lt;&gt;""""))), """")"),"")</f>
        <v/>
      </c>
      <c r="T396" s="99"/>
      <c r="U396" s="99"/>
      <c r="V396" s="99"/>
      <c r="W396" s="99"/>
      <c r="X396" s="99"/>
      <c r="Y396" s="95" t="str">
        <f ca="1">IFERROR(__xludf.DUMMYFUNCTION("IFERROR(JOIN("","", UNIQUE(filter({U396; W396}, {U396; W396}&lt;&gt;""""))), """")"),"")</f>
        <v/>
      </c>
    </row>
    <row r="397" spans="2:25" ht="13" x14ac:dyDescent="0.15">
      <c r="B397" s="10"/>
      <c r="C397" s="10"/>
      <c r="D397" s="10"/>
      <c r="E397" s="10"/>
      <c r="F397" s="10"/>
      <c r="G397" s="95" t="str">
        <f ca="1">IFERROR(__xludf.DUMMYFUNCTION("IFERROR(JOIN("","", UNIQUE(filter({C397; E397}, {C397; E397}&lt;&gt;""""))), """")"),"")</f>
        <v/>
      </c>
      <c r="H397" s="96"/>
      <c r="I397" s="96"/>
      <c r="J397" s="96"/>
      <c r="K397" s="96"/>
      <c r="L397" s="96"/>
      <c r="M397" s="95" t="str">
        <f ca="1">IFERROR(__xludf.DUMMYFUNCTION("IFERROR(JOIN("","", UNIQUE(filter({I397; K397}, {I397; K397}&lt;&gt;""""))), """")"),"")</f>
        <v/>
      </c>
      <c r="N397" s="98"/>
      <c r="O397" s="98"/>
      <c r="P397" s="98"/>
      <c r="Q397" s="98"/>
      <c r="R397" s="98"/>
      <c r="S397" s="95" t="str">
        <f ca="1">IFERROR(__xludf.DUMMYFUNCTION("IFERROR(JOIN("","", UNIQUE(filter({O397; Q397}, {O397; Q397}&lt;&gt;""""))), """")"),"")</f>
        <v/>
      </c>
      <c r="T397" s="99"/>
      <c r="U397" s="99"/>
      <c r="V397" s="99"/>
      <c r="W397" s="99"/>
      <c r="X397" s="99"/>
      <c r="Y397" s="95" t="str">
        <f ca="1">IFERROR(__xludf.DUMMYFUNCTION("IFERROR(JOIN("","", UNIQUE(filter({U397; W397}, {U397; W397}&lt;&gt;""""))), """")"),"")</f>
        <v/>
      </c>
    </row>
    <row r="398" spans="2:25" ht="13" x14ac:dyDescent="0.15">
      <c r="B398" s="10"/>
      <c r="C398" s="10"/>
      <c r="D398" s="10"/>
      <c r="E398" s="10"/>
      <c r="F398" s="10"/>
      <c r="G398" s="95" t="str">
        <f ca="1">IFERROR(__xludf.DUMMYFUNCTION("IFERROR(JOIN("","", UNIQUE(filter({C398; E398}, {C398; E398}&lt;&gt;""""))), """")"),"")</f>
        <v/>
      </c>
      <c r="H398" s="96"/>
      <c r="I398" s="96"/>
      <c r="J398" s="96"/>
      <c r="K398" s="96"/>
      <c r="L398" s="96"/>
      <c r="M398" s="95" t="str">
        <f ca="1">IFERROR(__xludf.DUMMYFUNCTION("IFERROR(JOIN("","", UNIQUE(filter({I398; K398}, {I398; K398}&lt;&gt;""""))), """")"),"")</f>
        <v/>
      </c>
      <c r="N398" s="98"/>
      <c r="O398" s="98"/>
      <c r="P398" s="98"/>
      <c r="Q398" s="98"/>
      <c r="R398" s="98"/>
      <c r="S398" s="95" t="str">
        <f ca="1">IFERROR(__xludf.DUMMYFUNCTION("IFERROR(JOIN("","", UNIQUE(filter({O398; Q398}, {O398; Q398}&lt;&gt;""""))), """")"),"")</f>
        <v/>
      </c>
      <c r="T398" s="99"/>
      <c r="U398" s="99"/>
      <c r="V398" s="99"/>
      <c r="W398" s="99"/>
      <c r="X398" s="99"/>
      <c r="Y398" s="95" t="str">
        <f ca="1">IFERROR(__xludf.DUMMYFUNCTION("IFERROR(JOIN("","", UNIQUE(filter({U398; W398}, {U398; W398}&lt;&gt;""""))), """")"),"")</f>
        <v/>
      </c>
    </row>
    <row r="399" spans="2:25" ht="13" x14ac:dyDescent="0.15">
      <c r="B399" s="10"/>
      <c r="C399" s="10"/>
      <c r="D399" s="10"/>
      <c r="E399" s="10"/>
      <c r="F399" s="10"/>
      <c r="G399" s="95" t="str">
        <f ca="1">IFERROR(__xludf.DUMMYFUNCTION("IFERROR(JOIN("","", UNIQUE(filter({C399; E399}, {C399; E399}&lt;&gt;""""))), """")"),"")</f>
        <v/>
      </c>
      <c r="H399" s="96"/>
      <c r="I399" s="96"/>
      <c r="J399" s="96"/>
      <c r="K399" s="96"/>
      <c r="L399" s="96"/>
      <c r="M399" s="95" t="str">
        <f ca="1">IFERROR(__xludf.DUMMYFUNCTION("IFERROR(JOIN("","", UNIQUE(filter({I399; K399}, {I399; K399}&lt;&gt;""""))), """")"),"")</f>
        <v/>
      </c>
      <c r="N399" s="98"/>
      <c r="O399" s="98"/>
      <c r="P399" s="98"/>
      <c r="Q399" s="98"/>
      <c r="R399" s="98"/>
      <c r="S399" s="95" t="str">
        <f ca="1">IFERROR(__xludf.DUMMYFUNCTION("IFERROR(JOIN("","", UNIQUE(filter({O399; Q399}, {O399; Q399}&lt;&gt;""""))), """")"),"")</f>
        <v/>
      </c>
      <c r="T399" s="99"/>
      <c r="U399" s="99"/>
      <c r="V399" s="99"/>
      <c r="W399" s="99"/>
      <c r="X399" s="99"/>
      <c r="Y399" s="95" t="str">
        <f ca="1">IFERROR(__xludf.DUMMYFUNCTION("IFERROR(JOIN("","", UNIQUE(filter({U399; W399}, {U399; W399}&lt;&gt;""""))), """")"),"")</f>
        <v/>
      </c>
    </row>
    <row r="400" spans="2:25" ht="13" x14ac:dyDescent="0.15">
      <c r="B400" s="10"/>
      <c r="C400" s="10"/>
      <c r="D400" s="10"/>
      <c r="E400" s="10"/>
      <c r="F400" s="10"/>
      <c r="G400" s="95" t="str">
        <f ca="1">IFERROR(__xludf.DUMMYFUNCTION("IFERROR(JOIN("","", UNIQUE(filter({C400; E400}, {C400; E400}&lt;&gt;""""))), """")"),"")</f>
        <v/>
      </c>
      <c r="H400" s="96"/>
      <c r="I400" s="96"/>
      <c r="J400" s="96"/>
      <c r="K400" s="96"/>
      <c r="L400" s="96"/>
      <c r="M400" s="95" t="str">
        <f ca="1">IFERROR(__xludf.DUMMYFUNCTION("IFERROR(JOIN("","", UNIQUE(filter({I400; K400}, {I400; K400}&lt;&gt;""""))), """")"),"")</f>
        <v/>
      </c>
      <c r="N400" s="98"/>
      <c r="O400" s="98"/>
      <c r="P400" s="98"/>
      <c r="Q400" s="98"/>
      <c r="R400" s="98"/>
      <c r="S400" s="95" t="str">
        <f ca="1">IFERROR(__xludf.DUMMYFUNCTION("IFERROR(JOIN("","", UNIQUE(filter({O400; Q400}, {O400; Q400}&lt;&gt;""""))), """")"),"")</f>
        <v/>
      </c>
      <c r="T400" s="99"/>
      <c r="U400" s="99"/>
      <c r="V400" s="99"/>
      <c r="W400" s="99"/>
      <c r="X400" s="99"/>
      <c r="Y400" s="95" t="str">
        <f ca="1">IFERROR(__xludf.DUMMYFUNCTION("IFERROR(JOIN("","", UNIQUE(filter({U400; W400}, {U400; W400}&lt;&gt;""""))), """")"),"")</f>
        <v/>
      </c>
    </row>
    <row r="401" spans="2:25" ht="13" x14ac:dyDescent="0.15">
      <c r="B401" s="10"/>
      <c r="C401" s="10"/>
      <c r="D401" s="10"/>
      <c r="E401" s="10"/>
      <c r="F401" s="10"/>
      <c r="G401" s="95" t="str">
        <f ca="1">IFERROR(__xludf.DUMMYFUNCTION("IFERROR(JOIN("","", UNIQUE(filter({C401; E401}, {C401; E401}&lt;&gt;""""))), """")"),"")</f>
        <v/>
      </c>
      <c r="H401" s="96"/>
      <c r="I401" s="96"/>
      <c r="J401" s="96"/>
      <c r="K401" s="96"/>
      <c r="L401" s="96"/>
      <c r="M401" s="95" t="str">
        <f ca="1">IFERROR(__xludf.DUMMYFUNCTION("IFERROR(JOIN("","", UNIQUE(filter({I401; K401}, {I401; K401}&lt;&gt;""""))), """")"),"")</f>
        <v/>
      </c>
      <c r="N401" s="98"/>
      <c r="O401" s="98"/>
      <c r="P401" s="98"/>
      <c r="Q401" s="98"/>
      <c r="R401" s="98"/>
      <c r="S401" s="95" t="str">
        <f ca="1">IFERROR(__xludf.DUMMYFUNCTION("IFERROR(JOIN("","", UNIQUE(filter({O401; Q401}, {O401; Q401}&lt;&gt;""""))), """")"),"")</f>
        <v/>
      </c>
      <c r="T401" s="99"/>
      <c r="U401" s="99"/>
      <c r="V401" s="99"/>
      <c r="W401" s="99"/>
      <c r="X401" s="99"/>
      <c r="Y401" s="95" t="str">
        <f ca="1">IFERROR(__xludf.DUMMYFUNCTION("IFERROR(JOIN("","", UNIQUE(filter({U401; W401}, {U401; W401}&lt;&gt;""""))), """")"),"")</f>
        <v/>
      </c>
    </row>
    <row r="402" spans="2:25" ht="13" x14ac:dyDescent="0.15">
      <c r="B402" s="10"/>
      <c r="C402" s="10"/>
      <c r="D402" s="10"/>
      <c r="E402" s="10"/>
      <c r="F402" s="10"/>
      <c r="G402" s="95" t="str">
        <f ca="1">IFERROR(__xludf.DUMMYFUNCTION("IFERROR(JOIN("","", UNIQUE(filter({C402; E402}, {C402; E402}&lt;&gt;""""))), """")"),"")</f>
        <v/>
      </c>
      <c r="H402" s="96"/>
      <c r="I402" s="96"/>
      <c r="J402" s="96"/>
      <c r="K402" s="96"/>
      <c r="L402" s="96"/>
      <c r="M402" s="95" t="str">
        <f ca="1">IFERROR(__xludf.DUMMYFUNCTION("IFERROR(JOIN("","", UNIQUE(filter({I402; K402}, {I402; K402}&lt;&gt;""""))), """")"),"")</f>
        <v/>
      </c>
      <c r="N402" s="98"/>
      <c r="O402" s="98"/>
      <c r="P402" s="98"/>
      <c r="Q402" s="98"/>
      <c r="R402" s="98"/>
      <c r="S402" s="95" t="str">
        <f ca="1">IFERROR(__xludf.DUMMYFUNCTION("IFERROR(JOIN("","", UNIQUE(filter({O402; Q402}, {O402; Q402}&lt;&gt;""""))), """")"),"")</f>
        <v/>
      </c>
      <c r="T402" s="99"/>
      <c r="U402" s="99"/>
      <c r="V402" s="99"/>
      <c r="W402" s="99"/>
      <c r="X402" s="99"/>
      <c r="Y402" s="95" t="str">
        <f ca="1">IFERROR(__xludf.DUMMYFUNCTION("IFERROR(JOIN("","", UNIQUE(filter({U402; W402}, {U402; W402}&lt;&gt;""""))), """")"),"")</f>
        <v/>
      </c>
    </row>
    <row r="403" spans="2:25" ht="13" x14ac:dyDescent="0.15">
      <c r="B403" s="10"/>
      <c r="C403" s="10"/>
      <c r="D403" s="10"/>
      <c r="E403" s="10"/>
      <c r="F403" s="10"/>
      <c r="G403" s="95" t="str">
        <f ca="1">IFERROR(__xludf.DUMMYFUNCTION("IFERROR(JOIN("","", UNIQUE(filter({C403; E403}, {C403; E403}&lt;&gt;""""))), """")"),"")</f>
        <v/>
      </c>
      <c r="H403" s="96"/>
      <c r="I403" s="96"/>
      <c r="J403" s="96"/>
      <c r="K403" s="96"/>
      <c r="L403" s="96"/>
      <c r="M403" s="95" t="str">
        <f ca="1">IFERROR(__xludf.DUMMYFUNCTION("IFERROR(JOIN("","", UNIQUE(filter({I403; K403}, {I403; K403}&lt;&gt;""""))), """")"),"")</f>
        <v/>
      </c>
      <c r="N403" s="98"/>
      <c r="O403" s="98"/>
      <c r="P403" s="98"/>
      <c r="Q403" s="98"/>
      <c r="R403" s="98"/>
      <c r="S403" s="95" t="str">
        <f ca="1">IFERROR(__xludf.DUMMYFUNCTION("IFERROR(JOIN("","", UNIQUE(filter({O403; Q403}, {O403; Q403}&lt;&gt;""""))), """")"),"")</f>
        <v/>
      </c>
      <c r="T403" s="99"/>
      <c r="U403" s="99"/>
      <c r="V403" s="99"/>
      <c r="W403" s="99"/>
      <c r="X403" s="99"/>
      <c r="Y403" s="95" t="str">
        <f ca="1">IFERROR(__xludf.DUMMYFUNCTION("IFERROR(JOIN("","", UNIQUE(filter({U403; W403}, {U403; W403}&lt;&gt;""""))), """")"),"")</f>
        <v/>
      </c>
    </row>
    <row r="404" spans="2:25" ht="13" x14ac:dyDescent="0.15">
      <c r="B404" s="10"/>
      <c r="C404" s="10"/>
      <c r="D404" s="10"/>
      <c r="E404" s="10"/>
      <c r="F404" s="10"/>
      <c r="G404" s="95" t="str">
        <f ca="1">IFERROR(__xludf.DUMMYFUNCTION("IFERROR(JOIN("","", UNIQUE(filter({C404; E404}, {C404; E404}&lt;&gt;""""))), """")"),"")</f>
        <v/>
      </c>
      <c r="H404" s="96"/>
      <c r="I404" s="96"/>
      <c r="J404" s="96"/>
      <c r="K404" s="96"/>
      <c r="L404" s="96"/>
      <c r="M404" s="95" t="str">
        <f ca="1">IFERROR(__xludf.DUMMYFUNCTION("IFERROR(JOIN("","", UNIQUE(filter({I404; K404}, {I404; K404}&lt;&gt;""""))), """")"),"")</f>
        <v/>
      </c>
      <c r="N404" s="98"/>
      <c r="O404" s="98"/>
      <c r="P404" s="98"/>
      <c r="Q404" s="98"/>
      <c r="R404" s="98"/>
      <c r="S404" s="95" t="str">
        <f ca="1">IFERROR(__xludf.DUMMYFUNCTION("IFERROR(JOIN("","", UNIQUE(filter({O404; Q404}, {O404; Q404}&lt;&gt;""""))), """")"),"")</f>
        <v/>
      </c>
      <c r="T404" s="99"/>
      <c r="U404" s="99"/>
      <c r="V404" s="99"/>
      <c r="W404" s="99"/>
      <c r="X404" s="99"/>
      <c r="Y404" s="95" t="str">
        <f ca="1">IFERROR(__xludf.DUMMYFUNCTION("IFERROR(JOIN("","", UNIQUE(filter({U404; W404}, {U404; W404}&lt;&gt;""""))), """")"),"")</f>
        <v/>
      </c>
    </row>
    <row r="405" spans="2:25" ht="13" x14ac:dyDescent="0.15">
      <c r="B405" s="10"/>
      <c r="C405" s="10"/>
      <c r="D405" s="10"/>
      <c r="E405" s="10"/>
      <c r="F405" s="10"/>
      <c r="G405" s="95" t="str">
        <f ca="1">IFERROR(__xludf.DUMMYFUNCTION("IFERROR(JOIN("","", UNIQUE(filter({C405; E405}, {C405; E405}&lt;&gt;""""))), """")"),"")</f>
        <v/>
      </c>
      <c r="H405" s="96"/>
      <c r="I405" s="96"/>
      <c r="J405" s="96"/>
      <c r="K405" s="96"/>
      <c r="L405" s="96"/>
      <c r="M405" s="95" t="str">
        <f ca="1">IFERROR(__xludf.DUMMYFUNCTION("IFERROR(JOIN("","", UNIQUE(filter({I405; K405}, {I405; K405}&lt;&gt;""""))), """")"),"")</f>
        <v/>
      </c>
      <c r="N405" s="98"/>
      <c r="O405" s="98"/>
      <c r="P405" s="98"/>
      <c r="Q405" s="98"/>
      <c r="R405" s="98"/>
      <c r="S405" s="95" t="str">
        <f ca="1">IFERROR(__xludf.DUMMYFUNCTION("IFERROR(JOIN("","", UNIQUE(filter({O405; Q405}, {O405; Q405}&lt;&gt;""""))), """")"),"")</f>
        <v/>
      </c>
      <c r="T405" s="99"/>
      <c r="U405" s="99"/>
      <c r="V405" s="99"/>
      <c r="W405" s="99"/>
      <c r="X405" s="99"/>
      <c r="Y405" s="95" t="str">
        <f ca="1">IFERROR(__xludf.DUMMYFUNCTION("IFERROR(JOIN("","", UNIQUE(filter({U405; W405}, {U405; W405}&lt;&gt;""""))), """")"),"")</f>
        <v/>
      </c>
    </row>
    <row r="406" spans="2:25" ht="13" x14ac:dyDescent="0.15">
      <c r="B406" s="10"/>
      <c r="C406" s="10"/>
      <c r="D406" s="10"/>
      <c r="E406" s="10"/>
      <c r="F406" s="10"/>
      <c r="G406" s="95" t="str">
        <f ca="1">IFERROR(__xludf.DUMMYFUNCTION("IFERROR(JOIN("","", UNIQUE(filter({C406; E406}, {C406; E406}&lt;&gt;""""))), """")"),"")</f>
        <v/>
      </c>
      <c r="H406" s="96"/>
      <c r="I406" s="96"/>
      <c r="J406" s="96"/>
      <c r="K406" s="96"/>
      <c r="L406" s="96"/>
      <c r="M406" s="95" t="str">
        <f ca="1">IFERROR(__xludf.DUMMYFUNCTION("IFERROR(JOIN("","", UNIQUE(filter({I406; K406}, {I406; K406}&lt;&gt;""""))), """")"),"")</f>
        <v/>
      </c>
      <c r="N406" s="98"/>
      <c r="O406" s="98"/>
      <c r="P406" s="98"/>
      <c r="Q406" s="98"/>
      <c r="R406" s="98"/>
      <c r="S406" s="95" t="str">
        <f ca="1">IFERROR(__xludf.DUMMYFUNCTION("IFERROR(JOIN("","", UNIQUE(filter({O406; Q406}, {O406; Q406}&lt;&gt;""""))), """")"),"")</f>
        <v/>
      </c>
      <c r="T406" s="99"/>
      <c r="U406" s="99"/>
      <c r="V406" s="99"/>
      <c r="W406" s="99"/>
      <c r="X406" s="99"/>
      <c r="Y406" s="95" t="str">
        <f ca="1">IFERROR(__xludf.DUMMYFUNCTION("IFERROR(JOIN("","", UNIQUE(filter({U406; W406}, {U406; W406}&lt;&gt;""""))), """")"),"")</f>
        <v/>
      </c>
    </row>
    <row r="407" spans="2:25" ht="13" x14ac:dyDescent="0.15">
      <c r="B407" s="10"/>
      <c r="C407" s="10"/>
      <c r="D407" s="10"/>
      <c r="E407" s="10"/>
      <c r="F407" s="10"/>
      <c r="G407" s="95" t="str">
        <f ca="1">IFERROR(__xludf.DUMMYFUNCTION("IFERROR(JOIN("","", UNIQUE(filter({C407; E407}, {C407; E407}&lt;&gt;""""))), """")"),"")</f>
        <v/>
      </c>
      <c r="H407" s="96"/>
      <c r="I407" s="96"/>
      <c r="J407" s="96"/>
      <c r="K407" s="96"/>
      <c r="L407" s="96"/>
      <c r="M407" s="95" t="str">
        <f ca="1">IFERROR(__xludf.DUMMYFUNCTION("IFERROR(JOIN("","", UNIQUE(filter({I407; K407}, {I407; K407}&lt;&gt;""""))), """")"),"")</f>
        <v/>
      </c>
      <c r="N407" s="98"/>
      <c r="O407" s="98"/>
      <c r="P407" s="98"/>
      <c r="Q407" s="98"/>
      <c r="R407" s="98"/>
      <c r="S407" s="95" t="str">
        <f ca="1">IFERROR(__xludf.DUMMYFUNCTION("IFERROR(JOIN("","", UNIQUE(filter({O407; Q407}, {O407; Q407}&lt;&gt;""""))), """")"),"")</f>
        <v/>
      </c>
      <c r="T407" s="99"/>
      <c r="U407" s="99"/>
      <c r="V407" s="99"/>
      <c r="W407" s="99"/>
      <c r="X407" s="99"/>
      <c r="Y407" s="95" t="str">
        <f ca="1">IFERROR(__xludf.DUMMYFUNCTION("IFERROR(JOIN("","", UNIQUE(filter({U407; W407}, {U407; W407}&lt;&gt;""""))), """")"),"")</f>
        <v/>
      </c>
    </row>
    <row r="408" spans="2:25" ht="13" x14ac:dyDescent="0.15">
      <c r="B408" s="10"/>
      <c r="C408" s="10"/>
      <c r="D408" s="10"/>
      <c r="E408" s="10"/>
      <c r="F408" s="10"/>
      <c r="G408" s="95" t="str">
        <f ca="1">IFERROR(__xludf.DUMMYFUNCTION("IFERROR(JOIN("","", UNIQUE(filter({C408; E408}, {C408; E408}&lt;&gt;""""))), """")"),"")</f>
        <v/>
      </c>
      <c r="H408" s="96"/>
      <c r="I408" s="96"/>
      <c r="J408" s="96"/>
      <c r="K408" s="96"/>
      <c r="L408" s="96"/>
      <c r="M408" s="95" t="str">
        <f ca="1">IFERROR(__xludf.DUMMYFUNCTION("IFERROR(JOIN("","", UNIQUE(filter({I408; K408}, {I408; K408}&lt;&gt;""""))), """")"),"")</f>
        <v/>
      </c>
      <c r="N408" s="98"/>
      <c r="O408" s="98"/>
      <c r="P408" s="98"/>
      <c r="Q408" s="98"/>
      <c r="R408" s="98"/>
      <c r="S408" s="95" t="str">
        <f ca="1">IFERROR(__xludf.DUMMYFUNCTION("IFERROR(JOIN("","", UNIQUE(filter({O408; Q408}, {O408; Q408}&lt;&gt;""""))), """")"),"")</f>
        <v/>
      </c>
      <c r="T408" s="99"/>
      <c r="U408" s="99"/>
      <c r="V408" s="99"/>
      <c r="W408" s="99"/>
      <c r="X408" s="99"/>
      <c r="Y408" s="95" t="str">
        <f ca="1">IFERROR(__xludf.DUMMYFUNCTION("IFERROR(JOIN("","", UNIQUE(filter({U408; W408}, {U408; W408}&lt;&gt;""""))), """")"),"")</f>
        <v/>
      </c>
    </row>
    <row r="409" spans="2:25" ht="13" x14ac:dyDescent="0.15">
      <c r="B409" s="10"/>
      <c r="C409" s="10"/>
      <c r="D409" s="10"/>
      <c r="E409" s="10"/>
      <c r="F409" s="10"/>
      <c r="G409" s="95" t="str">
        <f ca="1">IFERROR(__xludf.DUMMYFUNCTION("IFERROR(JOIN("","", UNIQUE(filter({C409; E409}, {C409; E409}&lt;&gt;""""))), """")"),"")</f>
        <v/>
      </c>
      <c r="H409" s="96"/>
      <c r="I409" s="96"/>
      <c r="J409" s="96"/>
      <c r="K409" s="96"/>
      <c r="L409" s="96"/>
      <c r="M409" s="95" t="str">
        <f ca="1">IFERROR(__xludf.DUMMYFUNCTION("IFERROR(JOIN("","", UNIQUE(filter({I409; K409}, {I409; K409}&lt;&gt;""""))), """")"),"")</f>
        <v/>
      </c>
      <c r="N409" s="98"/>
      <c r="O409" s="98"/>
      <c r="P409" s="98"/>
      <c r="Q409" s="98"/>
      <c r="R409" s="98"/>
      <c r="S409" s="95" t="str">
        <f ca="1">IFERROR(__xludf.DUMMYFUNCTION("IFERROR(JOIN("","", UNIQUE(filter({O409; Q409}, {O409; Q409}&lt;&gt;""""))), """")"),"")</f>
        <v/>
      </c>
      <c r="T409" s="99"/>
      <c r="U409" s="99"/>
      <c r="V409" s="99"/>
      <c r="W409" s="99"/>
      <c r="X409" s="99"/>
      <c r="Y409" s="95" t="str">
        <f ca="1">IFERROR(__xludf.DUMMYFUNCTION("IFERROR(JOIN("","", UNIQUE(filter({U409; W409}, {U409; W409}&lt;&gt;""""))), """")"),"")</f>
        <v/>
      </c>
    </row>
    <row r="410" spans="2:25" ht="13" x14ac:dyDescent="0.15">
      <c r="B410" s="10"/>
      <c r="C410" s="10"/>
      <c r="D410" s="10"/>
      <c r="E410" s="10"/>
      <c r="F410" s="10"/>
      <c r="G410" s="95" t="str">
        <f ca="1">IFERROR(__xludf.DUMMYFUNCTION("IFERROR(JOIN("","", UNIQUE(filter({C410; E410}, {C410; E410}&lt;&gt;""""))), """")"),"")</f>
        <v/>
      </c>
      <c r="H410" s="96"/>
      <c r="I410" s="96"/>
      <c r="J410" s="96"/>
      <c r="K410" s="96"/>
      <c r="L410" s="96"/>
      <c r="M410" s="95" t="str">
        <f ca="1">IFERROR(__xludf.DUMMYFUNCTION("IFERROR(JOIN("","", UNIQUE(filter({I410; K410}, {I410; K410}&lt;&gt;""""))), """")"),"")</f>
        <v/>
      </c>
      <c r="N410" s="98"/>
      <c r="O410" s="98"/>
      <c r="P410" s="98"/>
      <c r="Q410" s="98"/>
      <c r="R410" s="98"/>
      <c r="S410" s="95" t="str">
        <f ca="1">IFERROR(__xludf.DUMMYFUNCTION("IFERROR(JOIN("","", UNIQUE(filter({O410; Q410}, {O410; Q410}&lt;&gt;""""))), """")"),"")</f>
        <v/>
      </c>
      <c r="T410" s="99"/>
      <c r="U410" s="99"/>
      <c r="V410" s="99"/>
      <c r="W410" s="99"/>
      <c r="X410" s="99"/>
      <c r="Y410" s="95" t="str">
        <f ca="1">IFERROR(__xludf.DUMMYFUNCTION("IFERROR(JOIN("","", UNIQUE(filter({U410; W410}, {U410; W410}&lt;&gt;""""))), """")"),"")</f>
        <v/>
      </c>
    </row>
    <row r="411" spans="2:25" ht="13" x14ac:dyDescent="0.15">
      <c r="B411" s="10"/>
      <c r="C411" s="10"/>
      <c r="D411" s="10"/>
      <c r="E411" s="10"/>
      <c r="F411" s="10"/>
      <c r="G411" s="95" t="str">
        <f ca="1">IFERROR(__xludf.DUMMYFUNCTION("IFERROR(JOIN("","", UNIQUE(filter({C411; E411}, {C411; E411}&lt;&gt;""""))), """")"),"")</f>
        <v/>
      </c>
      <c r="H411" s="96"/>
      <c r="I411" s="96"/>
      <c r="J411" s="96"/>
      <c r="K411" s="96"/>
      <c r="L411" s="96"/>
      <c r="M411" s="95" t="str">
        <f ca="1">IFERROR(__xludf.DUMMYFUNCTION("IFERROR(JOIN("","", UNIQUE(filter({I411; K411}, {I411; K411}&lt;&gt;""""))), """")"),"")</f>
        <v/>
      </c>
      <c r="N411" s="98"/>
      <c r="O411" s="98"/>
      <c r="P411" s="98"/>
      <c r="Q411" s="98"/>
      <c r="R411" s="98"/>
      <c r="S411" s="95" t="str">
        <f ca="1">IFERROR(__xludf.DUMMYFUNCTION("IFERROR(JOIN("","", UNIQUE(filter({O411; Q411}, {O411; Q411}&lt;&gt;""""))), """")"),"")</f>
        <v/>
      </c>
      <c r="T411" s="99"/>
      <c r="U411" s="99"/>
      <c r="V411" s="99"/>
      <c r="W411" s="99"/>
      <c r="X411" s="99"/>
      <c r="Y411" s="95" t="str">
        <f ca="1">IFERROR(__xludf.DUMMYFUNCTION("IFERROR(JOIN("","", UNIQUE(filter({U411; W411}, {U411; W411}&lt;&gt;""""))), """")"),"")</f>
        <v/>
      </c>
    </row>
    <row r="412" spans="2:25" ht="13" x14ac:dyDescent="0.15">
      <c r="B412" s="10"/>
      <c r="C412" s="10"/>
      <c r="D412" s="10"/>
      <c r="E412" s="10"/>
      <c r="F412" s="10"/>
      <c r="G412" s="95" t="str">
        <f ca="1">IFERROR(__xludf.DUMMYFUNCTION("IFERROR(JOIN("","", UNIQUE(filter({C412; E412}, {C412; E412}&lt;&gt;""""))), """")"),"")</f>
        <v/>
      </c>
      <c r="H412" s="96"/>
      <c r="I412" s="96"/>
      <c r="J412" s="96"/>
      <c r="K412" s="96"/>
      <c r="L412" s="96"/>
      <c r="M412" s="95" t="str">
        <f ca="1">IFERROR(__xludf.DUMMYFUNCTION("IFERROR(JOIN("","", UNIQUE(filter({I412; K412}, {I412; K412}&lt;&gt;""""))), """")"),"")</f>
        <v/>
      </c>
      <c r="N412" s="98"/>
      <c r="O412" s="98"/>
      <c r="P412" s="98"/>
      <c r="Q412" s="98"/>
      <c r="R412" s="98"/>
      <c r="S412" s="95" t="str">
        <f ca="1">IFERROR(__xludf.DUMMYFUNCTION("IFERROR(JOIN("","", UNIQUE(filter({O412; Q412}, {O412; Q412}&lt;&gt;""""))), """")"),"")</f>
        <v/>
      </c>
      <c r="T412" s="99"/>
      <c r="U412" s="99"/>
      <c r="V412" s="99"/>
      <c r="W412" s="99"/>
      <c r="X412" s="99"/>
      <c r="Y412" s="95" t="str">
        <f ca="1">IFERROR(__xludf.DUMMYFUNCTION("IFERROR(JOIN("","", UNIQUE(filter({U412; W412}, {U412; W412}&lt;&gt;""""))), """")"),"")</f>
        <v/>
      </c>
    </row>
    <row r="413" spans="2:25" ht="13" x14ac:dyDescent="0.15">
      <c r="B413" s="10"/>
      <c r="C413" s="10"/>
      <c r="D413" s="10"/>
      <c r="E413" s="10"/>
      <c r="F413" s="10"/>
      <c r="G413" s="95" t="str">
        <f ca="1">IFERROR(__xludf.DUMMYFUNCTION("IFERROR(JOIN("","", UNIQUE(filter({C413; E413}, {C413; E413}&lt;&gt;""""))), """")"),"")</f>
        <v/>
      </c>
      <c r="H413" s="96"/>
      <c r="I413" s="96"/>
      <c r="J413" s="96"/>
      <c r="K413" s="96"/>
      <c r="L413" s="96"/>
      <c r="M413" s="95" t="str">
        <f ca="1">IFERROR(__xludf.DUMMYFUNCTION("IFERROR(JOIN("","", UNIQUE(filter({I413; K413}, {I413; K413}&lt;&gt;""""))), """")"),"")</f>
        <v/>
      </c>
      <c r="N413" s="98"/>
      <c r="O413" s="98"/>
      <c r="P413" s="98"/>
      <c r="Q413" s="98"/>
      <c r="R413" s="98"/>
      <c r="S413" s="95" t="str">
        <f ca="1">IFERROR(__xludf.DUMMYFUNCTION("IFERROR(JOIN("","", UNIQUE(filter({O413; Q413}, {O413; Q413}&lt;&gt;""""))), """")"),"")</f>
        <v/>
      </c>
      <c r="T413" s="99"/>
      <c r="U413" s="99"/>
      <c r="V413" s="99"/>
      <c r="W413" s="99"/>
      <c r="X413" s="99"/>
      <c r="Y413" s="95" t="str">
        <f ca="1">IFERROR(__xludf.DUMMYFUNCTION("IFERROR(JOIN("","", UNIQUE(filter({U413; W413}, {U413; W413}&lt;&gt;""""))), """")"),"")</f>
        <v/>
      </c>
    </row>
    <row r="414" spans="2:25" ht="13" x14ac:dyDescent="0.15">
      <c r="B414" s="10"/>
      <c r="C414" s="10"/>
      <c r="D414" s="10"/>
      <c r="E414" s="10"/>
      <c r="F414" s="10"/>
      <c r="G414" s="95" t="str">
        <f ca="1">IFERROR(__xludf.DUMMYFUNCTION("IFERROR(JOIN("","", UNIQUE(filter({C414; E414}, {C414; E414}&lt;&gt;""""))), """")"),"")</f>
        <v/>
      </c>
      <c r="H414" s="96"/>
      <c r="I414" s="96"/>
      <c r="J414" s="96"/>
      <c r="K414" s="96"/>
      <c r="L414" s="96"/>
      <c r="M414" s="95" t="str">
        <f ca="1">IFERROR(__xludf.DUMMYFUNCTION("IFERROR(JOIN("","", UNIQUE(filter({I414; K414}, {I414; K414}&lt;&gt;""""))), """")"),"")</f>
        <v/>
      </c>
      <c r="N414" s="98"/>
      <c r="O414" s="98"/>
      <c r="P414" s="98"/>
      <c r="Q414" s="98"/>
      <c r="R414" s="98"/>
      <c r="S414" s="95" t="str">
        <f ca="1">IFERROR(__xludf.DUMMYFUNCTION("IFERROR(JOIN("","", UNIQUE(filter({O414; Q414}, {O414; Q414}&lt;&gt;""""))), """")"),"")</f>
        <v/>
      </c>
      <c r="T414" s="99"/>
      <c r="U414" s="99"/>
      <c r="V414" s="99"/>
      <c r="W414" s="99"/>
      <c r="X414" s="99"/>
      <c r="Y414" s="95" t="str">
        <f ca="1">IFERROR(__xludf.DUMMYFUNCTION("IFERROR(JOIN("","", UNIQUE(filter({U414; W414}, {U414; W414}&lt;&gt;""""))), """")"),"")</f>
        <v/>
      </c>
    </row>
    <row r="415" spans="2:25" ht="13" x14ac:dyDescent="0.15">
      <c r="B415" s="10"/>
      <c r="C415" s="10"/>
      <c r="D415" s="10"/>
      <c r="E415" s="10"/>
      <c r="F415" s="10"/>
      <c r="G415" s="95" t="str">
        <f ca="1">IFERROR(__xludf.DUMMYFUNCTION("IFERROR(JOIN("","", UNIQUE(filter({C415; E415}, {C415; E415}&lt;&gt;""""))), """")"),"")</f>
        <v/>
      </c>
      <c r="H415" s="96"/>
      <c r="I415" s="96"/>
      <c r="J415" s="96"/>
      <c r="K415" s="96"/>
      <c r="L415" s="96"/>
      <c r="M415" s="95" t="str">
        <f ca="1">IFERROR(__xludf.DUMMYFUNCTION("IFERROR(JOIN("","", UNIQUE(filter({I415; K415}, {I415; K415}&lt;&gt;""""))), """")"),"")</f>
        <v/>
      </c>
      <c r="N415" s="98"/>
      <c r="O415" s="98"/>
      <c r="P415" s="98"/>
      <c r="Q415" s="98"/>
      <c r="R415" s="98"/>
      <c r="S415" s="95" t="str">
        <f ca="1">IFERROR(__xludf.DUMMYFUNCTION("IFERROR(JOIN("","", UNIQUE(filter({O415; Q415}, {O415; Q415}&lt;&gt;""""))), """")"),"")</f>
        <v/>
      </c>
      <c r="T415" s="99"/>
      <c r="U415" s="99"/>
      <c r="V415" s="99"/>
      <c r="W415" s="99"/>
      <c r="X415" s="99"/>
      <c r="Y415" s="95" t="str">
        <f ca="1">IFERROR(__xludf.DUMMYFUNCTION("IFERROR(JOIN("","", UNIQUE(filter({U415; W415}, {U415; W415}&lt;&gt;""""))), """")"),"")</f>
        <v/>
      </c>
    </row>
    <row r="416" spans="2:25" ht="13" x14ac:dyDescent="0.15">
      <c r="B416" s="10"/>
      <c r="C416" s="10"/>
      <c r="D416" s="10"/>
      <c r="E416" s="10"/>
      <c r="F416" s="10"/>
      <c r="G416" s="95" t="str">
        <f ca="1">IFERROR(__xludf.DUMMYFUNCTION("IFERROR(JOIN("","", UNIQUE(filter({C416; E416}, {C416; E416}&lt;&gt;""""))), """")"),"")</f>
        <v/>
      </c>
      <c r="H416" s="96"/>
      <c r="I416" s="96"/>
      <c r="J416" s="96"/>
      <c r="K416" s="96"/>
      <c r="L416" s="96"/>
      <c r="M416" s="95" t="str">
        <f ca="1">IFERROR(__xludf.DUMMYFUNCTION("IFERROR(JOIN("","", UNIQUE(filter({I416; K416}, {I416; K416}&lt;&gt;""""))), """")"),"")</f>
        <v/>
      </c>
      <c r="N416" s="98"/>
      <c r="O416" s="98"/>
      <c r="P416" s="98"/>
      <c r="Q416" s="98"/>
      <c r="R416" s="98"/>
      <c r="S416" s="95" t="str">
        <f ca="1">IFERROR(__xludf.DUMMYFUNCTION("IFERROR(JOIN("","", UNIQUE(filter({O416; Q416}, {O416; Q416}&lt;&gt;""""))), """")"),"")</f>
        <v/>
      </c>
      <c r="T416" s="99"/>
      <c r="U416" s="99"/>
      <c r="V416" s="99"/>
      <c r="W416" s="99"/>
      <c r="X416" s="99"/>
      <c r="Y416" s="95" t="str">
        <f ca="1">IFERROR(__xludf.DUMMYFUNCTION("IFERROR(JOIN("","", UNIQUE(filter({U416; W416}, {U416; W416}&lt;&gt;""""))), """")"),"")</f>
        <v/>
      </c>
    </row>
    <row r="417" spans="2:25" ht="13" x14ac:dyDescent="0.15">
      <c r="B417" s="10"/>
      <c r="C417" s="10"/>
      <c r="D417" s="10"/>
      <c r="E417" s="10"/>
      <c r="F417" s="10"/>
      <c r="G417" s="95" t="str">
        <f ca="1">IFERROR(__xludf.DUMMYFUNCTION("IFERROR(JOIN("","", UNIQUE(filter({C417; E417}, {C417; E417}&lt;&gt;""""))), """")"),"")</f>
        <v/>
      </c>
      <c r="H417" s="96"/>
      <c r="I417" s="96"/>
      <c r="J417" s="96"/>
      <c r="K417" s="96"/>
      <c r="L417" s="96"/>
      <c r="M417" s="95" t="str">
        <f ca="1">IFERROR(__xludf.DUMMYFUNCTION("IFERROR(JOIN("","", UNIQUE(filter({I417; K417}, {I417; K417}&lt;&gt;""""))), """")"),"")</f>
        <v/>
      </c>
      <c r="N417" s="98"/>
      <c r="O417" s="98"/>
      <c r="P417" s="98"/>
      <c r="Q417" s="98"/>
      <c r="R417" s="98"/>
      <c r="S417" s="95" t="str">
        <f ca="1">IFERROR(__xludf.DUMMYFUNCTION("IFERROR(JOIN("","", UNIQUE(filter({O417; Q417}, {O417; Q417}&lt;&gt;""""))), """")"),"")</f>
        <v/>
      </c>
      <c r="T417" s="99"/>
      <c r="U417" s="99"/>
      <c r="V417" s="99"/>
      <c r="W417" s="99"/>
      <c r="X417" s="99"/>
      <c r="Y417" s="95" t="str">
        <f ca="1">IFERROR(__xludf.DUMMYFUNCTION("IFERROR(JOIN("","", UNIQUE(filter({U417; W417}, {U417; W417}&lt;&gt;""""))), """")"),"")</f>
        <v/>
      </c>
    </row>
    <row r="418" spans="2:25" ht="13" x14ac:dyDescent="0.15">
      <c r="B418" s="10"/>
      <c r="C418" s="10"/>
      <c r="D418" s="10"/>
      <c r="E418" s="10"/>
      <c r="F418" s="10"/>
      <c r="G418" s="95" t="str">
        <f ca="1">IFERROR(__xludf.DUMMYFUNCTION("IFERROR(JOIN("","", UNIQUE(filter({C418; E418}, {C418; E418}&lt;&gt;""""))), """")"),"")</f>
        <v/>
      </c>
      <c r="H418" s="96"/>
      <c r="I418" s="96"/>
      <c r="J418" s="96"/>
      <c r="K418" s="96"/>
      <c r="L418" s="96"/>
      <c r="M418" s="95" t="str">
        <f ca="1">IFERROR(__xludf.DUMMYFUNCTION("IFERROR(JOIN("","", UNIQUE(filter({I418; K418}, {I418; K418}&lt;&gt;""""))), """")"),"")</f>
        <v/>
      </c>
      <c r="N418" s="98"/>
      <c r="O418" s="98"/>
      <c r="P418" s="98"/>
      <c r="Q418" s="98"/>
      <c r="R418" s="98"/>
      <c r="S418" s="95" t="str">
        <f ca="1">IFERROR(__xludf.DUMMYFUNCTION("IFERROR(JOIN("","", UNIQUE(filter({O418; Q418}, {O418; Q418}&lt;&gt;""""))), """")"),"")</f>
        <v/>
      </c>
      <c r="T418" s="99"/>
      <c r="U418" s="99"/>
      <c r="V418" s="99"/>
      <c r="W418" s="99"/>
      <c r="X418" s="99"/>
      <c r="Y418" s="95" t="str">
        <f ca="1">IFERROR(__xludf.DUMMYFUNCTION("IFERROR(JOIN("","", UNIQUE(filter({U418; W418}, {U418; W418}&lt;&gt;""""))), """")"),"")</f>
        <v/>
      </c>
    </row>
    <row r="419" spans="2:25" ht="13" x14ac:dyDescent="0.15">
      <c r="B419" s="10"/>
      <c r="C419" s="10"/>
      <c r="D419" s="10"/>
      <c r="E419" s="10"/>
      <c r="F419" s="10"/>
      <c r="G419" s="95" t="str">
        <f ca="1">IFERROR(__xludf.DUMMYFUNCTION("IFERROR(JOIN("","", UNIQUE(filter({C419; E419}, {C419; E419}&lt;&gt;""""))), """")"),"")</f>
        <v/>
      </c>
      <c r="H419" s="96"/>
      <c r="I419" s="96"/>
      <c r="J419" s="96"/>
      <c r="K419" s="96"/>
      <c r="L419" s="96"/>
      <c r="M419" s="95" t="str">
        <f ca="1">IFERROR(__xludf.DUMMYFUNCTION("IFERROR(JOIN("","", UNIQUE(filter({I419; K419}, {I419; K419}&lt;&gt;""""))), """")"),"")</f>
        <v/>
      </c>
      <c r="N419" s="98"/>
      <c r="O419" s="98"/>
      <c r="P419" s="98"/>
      <c r="Q419" s="98"/>
      <c r="R419" s="98"/>
      <c r="S419" s="95" t="str">
        <f ca="1">IFERROR(__xludf.DUMMYFUNCTION("IFERROR(JOIN("","", UNIQUE(filter({O419; Q419}, {O419; Q419}&lt;&gt;""""))), """")"),"")</f>
        <v/>
      </c>
      <c r="T419" s="99"/>
      <c r="U419" s="99"/>
      <c r="V419" s="99"/>
      <c r="W419" s="99"/>
      <c r="X419" s="99"/>
      <c r="Y419" s="95" t="str">
        <f ca="1">IFERROR(__xludf.DUMMYFUNCTION("IFERROR(JOIN("","", UNIQUE(filter({U419; W419}, {U419; W419}&lt;&gt;""""))), """")"),"")</f>
        <v/>
      </c>
    </row>
    <row r="420" spans="2:25" ht="13" x14ac:dyDescent="0.15">
      <c r="B420" s="10"/>
      <c r="C420" s="10"/>
      <c r="D420" s="10"/>
      <c r="E420" s="10"/>
      <c r="F420" s="10"/>
      <c r="G420" s="95" t="str">
        <f ca="1">IFERROR(__xludf.DUMMYFUNCTION("IFERROR(JOIN("","", UNIQUE(filter({C420; E420}, {C420; E420}&lt;&gt;""""))), """")"),"")</f>
        <v/>
      </c>
      <c r="H420" s="96"/>
      <c r="I420" s="96"/>
      <c r="J420" s="96"/>
      <c r="K420" s="96"/>
      <c r="L420" s="96"/>
      <c r="M420" s="95" t="str">
        <f ca="1">IFERROR(__xludf.DUMMYFUNCTION("IFERROR(JOIN("","", UNIQUE(filter({I420; K420}, {I420; K420}&lt;&gt;""""))), """")"),"")</f>
        <v/>
      </c>
      <c r="N420" s="98"/>
      <c r="O420" s="98"/>
      <c r="P420" s="98"/>
      <c r="Q420" s="98"/>
      <c r="R420" s="98"/>
      <c r="S420" s="95" t="str">
        <f ca="1">IFERROR(__xludf.DUMMYFUNCTION("IFERROR(JOIN("","", UNIQUE(filter({O420; Q420}, {O420; Q420}&lt;&gt;""""))), """")"),"")</f>
        <v/>
      </c>
      <c r="T420" s="99"/>
      <c r="U420" s="99"/>
      <c r="V420" s="99"/>
      <c r="W420" s="99"/>
      <c r="X420" s="99"/>
      <c r="Y420" s="95" t="str">
        <f ca="1">IFERROR(__xludf.DUMMYFUNCTION("IFERROR(JOIN("","", UNIQUE(filter({U420; W420}, {U420; W420}&lt;&gt;""""))), """")"),"")</f>
        <v/>
      </c>
    </row>
    <row r="421" spans="2:25" ht="13" x14ac:dyDescent="0.15">
      <c r="B421" s="10"/>
      <c r="C421" s="10"/>
      <c r="D421" s="10"/>
      <c r="E421" s="10"/>
      <c r="F421" s="10"/>
      <c r="G421" s="95" t="str">
        <f ca="1">IFERROR(__xludf.DUMMYFUNCTION("IFERROR(JOIN("","", UNIQUE(filter({C421; E421}, {C421; E421}&lt;&gt;""""))), """")"),"")</f>
        <v/>
      </c>
      <c r="H421" s="96"/>
      <c r="I421" s="96"/>
      <c r="J421" s="96"/>
      <c r="K421" s="96"/>
      <c r="L421" s="96"/>
      <c r="M421" s="95" t="str">
        <f ca="1">IFERROR(__xludf.DUMMYFUNCTION("IFERROR(JOIN("","", UNIQUE(filter({I421; K421}, {I421; K421}&lt;&gt;""""))), """")"),"")</f>
        <v/>
      </c>
      <c r="N421" s="98"/>
      <c r="O421" s="98"/>
      <c r="P421" s="98"/>
      <c r="Q421" s="98"/>
      <c r="R421" s="98"/>
      <c r="S421" s="95" t="str">
        <f ca="1">IFERROR(__xludf.DUMMYFUNCTION("IFERROR(JOIN("","", UNIQUE(filter({O421; Q421}, {O421; Q421}&lt;&gt;""""))), """")"),"")</f>
        <v/>
      </c>
      <c r="T421" s="99"/>
      <c r="U421" s="99"/>
      <c r="V421" s="99"/>
      <c r="W421" s="99"/>
      <c r="X421" s="99"/>
      <c r="Y421" s="95" t="str">
        <f ca="1">IFERROR(__xludf.DUMMYFUNCTION("IFERROR(JOIN("","", UNIQUE(filter({U421; W421}, {U421; W421}&lt;&gt;""""))), """")"),"")</f>
        <v/>
      </c>
    </row>
    <row r="422" spans="2:25" ht="13" x14ac:dyDescent="0.15">
      <c r="B422" s="10"/>
      <c r="C422" s="10"/>
      <c r="D422" s="10"/>
      <c r="E422" s="10"/>
      <c r="F422" s="10"/>
      <c r="G422" s="95" t="str">
        <f ca="1">IFERROR(__xludf.DUMMYFUNCTION("IFERROR(JOIN("","", UNIQUE(filter({C422; E422}, {C422; E422}&lt;&gt;""""))), """")"),"")</f>
        <v/>
      </c>
      <c r="H422" s="96"/>
      <c r="I422" s="96"/>
      <c r="J422" s="96"/>
      <c r="K422" s="96"/>
      <c r="L422" s="96"/>
      <c r="M422" s="95" t="str">
        <f ca="1">IFERROR(__xludf.DUMMYFUNCTION("IFERROR(JOIN("","", UNIQUE(filter({I422; K422}, {I422; K422}&lt;&gt;""""))), """")"),"")</f>
        <v/>
      </c>
      <c r="N422" s="98"/>
      <c r="O422" s="98"/>
      <c r="P422" s="98"/>
      <c r="Q422" s="98"/>
      <c r="R422" s="98"/>
      <c r="S422" s="95" t="str">
        <f ca="1">IFERROR(__xludf.DUMMYFUNCTION("IFERROR(JOIN("","", UNIQUE(filter({O422; Q422}, {O422; Q422}&lt;&gt;""""))), """")"),"")</f>
        <v/>
      </c>
      <c r="T422" s="99"/>
      <c r="U422" s="99"/>
      <c r="V422" s="99"/>
      <c r="W422" s="99"/>
      <c r="X422" s="99"/>
      <c r="Y422" s="95" t="str">
        <f ca="1">IFERROR(__xludf.DUMMYFUNCTION("IFERROR(JOIN("","", UNIQUE(filter({U422; W422}, {U422; W422}&lt;&gt;""""))), """")"),"")</f>
        <v/>
      </c>
    </row>
    <row r="423" spans="2:25" ht="13" x14ac:dyDescent="0.15">
      <c r="B423" s="10"/>
      <c r="C423" s="10"/>
      <c r="D423" s="10"/>
      <c r="E423" s="10"/>
      <c r="F423" s="10"/>
      <c r="G423" s="95" t="str">
        <f ca="1">IFERROR(__xludf.DUMMYFUNCTION("IFERROR(JOIN("","", UNIQUE(filter({C423; E423}, {C423; E423}&lt;&gt;""""))), """")"),"")</f>
        <v/>
      </c>
      <c r="H423" s="96"/>
      <c r="I423" s="96"/>
      <c r="J423" s="96"/>
      <c r="K423" s="96"/>
      <c r="L423" s="96"/>
      <c r="M423" s="95" t="str">
        <f ca="1">IFERROR(__xludf.DUMMYFUNCTION("IFERROR(JOIN("","", UNIQUE(filter({I423; K423}, {I423; K423}&lt;&gt;""""))), """")"),"")</f>
        <v/>
      </c>
      <c r="N423" s="98"/>
      <c r="O423" s="98"/>
      <c r="P423" s="98"/>
      <c r="Q423" s="98"/>
      <c r="R423" s="98"/>
      <c r="S423" s="95" t="str">
        <f ca="1">IFERROR(__xludf.DUMMYFUNCTION("IFERROR(JOIN("","", UNIQUE(filter({O423; Q423}, {O423; Q423}&lt;&gt;""""))), """")"),"")</f>
        <v/>
      </c>
      <c r="T423" s="99"/>
      <c r="U423" s="99"/>
      <c r="V423" s="99"/>
      <c r="W423" s="99"/>
      <c r="X423" s="99"/>
      <c r="Y423" s="95" t="str">
        <f ca="1">IFERROR(__xludf.DUMMYFUNCTION("IFERROR(JOIN("","", UNIQUE(filter({U423; W423}, {U423; W423}&lt;&gt;""""))), """")"),"")</f>
        <v/>
      </c>
    </row>
    <row r="424" spans="2:25" ht="13" x14ac:dyDescent="0.15">
      <c r="B424" s="10"/>
      <c r="C424" s="10"/>
      <c r="D424" s="10"/>
      <c r="E424" s="10"/>
      <c r="F424" s="10"/>
      <c r="G424" s="95" t="str">
        <f ca="1">IFERROR(__xludf.DUMMYFUNCTION("IFERROR(JOIN("","", UNIQUE(filter({C424; E424}, {C424; E424}&lt;&gt;""""))), """")"),"")</f>
        <v/>
      </c>
      <c r="H424" s="96"/>
      <c r="I424" s="96"/>
      <c r="J424" s="96"/>
      <c r="K424" s="96"/>
      <c r="L424" s="96"/>
      <c r="M424" s="95" t="str">
        <f ca="1">IFERROR(__xludf.DUMMYFUNCTION("IFERROR(JOIN("","", UNIQUE(filter({I424; K424}, {I424; K424}&lt;&gt;""""))), """")"),"")</f>
        <v/>
      </c>
      <c r="N424" s="98"/>
      <c r="O424" s="98"/>
      <c r="P424" s="98"/>
      <c r="Q424" s="98"/>
      <c r="R424" s="98"/>
      <c r="S424" s="95" t="str">
        <f ca="1">IFERROR(__xludf.DUMMYFUNCTION("IFERROR(JOIN("","", UNIQUE(filter({O424; Q424}, {O424; Q424}&lt;&gt;""""))), """")"),"")</f>
        <v/>
      </c>
      <c r="T424" s="99"/>
      <c r="U424" s="99"/>
      <c r="V424" s="99"/>
      <c r="W424" s="99"/>
      <c r="X424" s="99"/>
      <c r="Y424" s="95" t="str">
        <f ca="1">IFERROR(__xludf.DUMMYFUNCTION("IFERROR(JOIN("","", UNIQUE(filter({U424; W424}, {U424; W424}&lt;&gt;""""))), """")"),"")</f>
        <v/>
      </c>
    </row>
    <row r="425" spans="2:25" ht="13" x14ac:dyDescent="0.15">
      <c r="B425" s="10"/>
      <c r="C425" s="10"/>
      <c r="D425" s="10"/>
      <c r="E425" s="10"/>
      <c r="F425" s="10"/>
      <c r="G425" s="95" t="str">
        <f ca="1">IFERROR(__xludf.DUMMYFUNCTION("IFERROR(JOIN("","", UNIQUE(filter({C425; E425}, {C425; E425}&lt;&gt;""""))), """")"),"")</f>
        <v/>
      </c>
      <c r="H425" s="96"/>
      <c r="I425" s="96"/>
      <c r="J425" s="96"/>
      <c r="K425" s="96"/>
      <c r="L425" s="96"/>
      <c r="M425" s="95" t="str">
        <f ca="1">IFERROR(__xludf.DUMMYFUNCTION("IFERROR(JOIN("","", UNIQUE(filter({I425; K425}, {I425; K425}&lt;&gt;""""))), """")"),"")</f>
        <v/>
      </c>
      <c r="N425" s="98"/>
      <c r="O425" s="98"/>
      <c r="P425" s="98"/>
      <c r="Q425" s="98"/>
      <c r="R425" s="98"/>
      <c r="S425" s="95" t="str">
        <f ca="1">IFERROR(__xludf.DUMMYFUNCTION("IFERROR(JOIN("","", UNIQUE(filter({O425; Q425}, {O425; Q425}&lt;&gt;""""))), """")"),"")</f>
        <v/>
      </c>
      <c r="T425" s="99"/>
      <c r="U425" s="99"/>
      <c r="V425" s="99"/>
      <c r="W425" s="99"/>
      <c r="X425" s="99"/>
      <c r="Y425" s="95" t="str">
        <f ca="1">IFERROR(__xludf.DUMMYFUNCTION("IFERROR(JOIN("","", UNIQUE(filter({U425; W425}, {U425; W425}&lt;&gt;""""))), """")"),"")</f>
        <v/>
      </c>
    </row>
    <row r="426" spans="2:25" ht="13" x14ac:dyDescent="0.15">
      <c r="B426" s="10"/>
      <c r="C426" s="10"/>
      <c r="D426" s="10"/>
      <c r="E426" s="10"/>
      <c r="F426" s="10"/>
      <c r="G426" s="95" t="str">
        <f ca="1">IFERROR(__xludf.DUMMYFUNCTION("IFERROR(JOIN("","", UNIQUE(filter({C426; E426}, {C426; E426}&lt;&gt;""""))), """")"),"")</f>
        <v/>
      </c>
      <c r="H426" s="96"/>
      <c r="I426" s="96"/>
      <c r="J426" s="96"/>
      <c r="K426" s="96"/>
      <c r="L426" s="96"/>
      <c r="M426" s="95" t="str">
        <f ca="1">IFERROR(__xludf.DUMMYFUNCTION("IFERROR(JOIN("","", UNIQUE(filter({I426; K426}, {I426; K426}&lt;&gt;""""))), """")"),"")</f>
        <v/>
      </c>
      <c r="N426" s="98"/>
      <c r="O426" s="98"/>
      <c r="P426" s="98"/>
      <c r="Q426" s="98"/>
      <c r="R426" s="98"/>
      <c r="S426" s="95" t="str">
        <f ca="1">IFERROR(__xludf.DUMMYFUNCTION("IFERROR(JOIN("","", UNIQUE(filter({O426; Q426}, {O426; Q426}&lt;&gt;""""))), """")"),"")</f>
        <v/>
      </c>
      <c r="T426" s="99"/>
      <c r="U426" s="99"/>
      <c r="V426" s="99"/>
      <c r="W426" s="99"/>
      <c r="X426" s="99"/>
      <c r="Y426" s="95" t="str">
        <f ca="1">IFERROR(__xludf.DUMMYFUNCTION("IFERROR(JOIN("","", UNIQUE(filter({U426; W426}, {U426; W426}&lt;&gt;""""))), """")"),"")</f>
        <v/>
      </c>
    </row>
    <row r="427" spans="2:25" ht="13" x14ac:dyDescent="0.15">
      <c r="B427" s="10"/>
      <c r="C427" s="10"/>
      <c r="D427" s="10"/>
      <c r="E427" s="10"/>
      <c r="F427" s="10"/>
      <c r="G427" s="95" t="str">
        <f ca="1">IFERROR(__xludf.DUMMYFUNCTION("IFERROR(JOIN("","", UNIQUE(filter({C427; E427}, {C427; E427}&lt;&gt;""""))), """")"),"")</f>
        <v/>
      </c>
      <c r="H427" s="96"/>
      <c r="I427" s="96"/>
      <c r="J427" s="96"/>
      <c r="K427" s="96"/>
      <c r="L427" s="96"/>
      <c r="M427" s="95" t="str">
        <f ca="1">IFERROR(__xludf.DUMMYFUNCTION("IFERROR(JOIN("","", UNIQUE(filter({I427; K427}, {I427; K427}&lt;&gt;""""))), """")"),"")</f>
        <v/>
      </c>
      <c r="N427" s="98"/>
      <c r="O427" s="98"/>
      <c r="P427" s="98"/>
      <c r="Q427" s="98"/>
      <c r="R427" s="98"/>
      <c r="S427" s="95" t="str">
        <f ca="1">IFERROR(__xludf.DUMMYFUNCTION("IFERROR(JOIN("","", UNIQUE(filter({O427; Q427}, {O427; Q427}&lt;&gt;""""))), """")"),"")</f>
        <v/>
      </c>
      <c r="T427" s="99"/>
      <c r="U427" s="99"/>
      <c r="V427" s="99"/>
      <c r="W427" s="99"/>
      <c r="X427" s="99"/>
      <c r="Y427" s="95" t="str">
        <f ca="1">IFERROR(__xludf.DUMMYFUNCTION("IFERROR(JOIN("","", UNIQUE(filter({U427; W427}, {U427; W427}&lt;&gt;""""))), """")"),"")</f>
        <v/>
      </c>
    </row>
    <row r="428" spans="2:25" ht="13" x14ac:dyDescent="0.15">
      <c r="B428" s="10"/>
      <c r="C428" s="10"/>
      <c r="D428" s="10"/>
      <c r="E428" s="10"/>
      <c r="F428" s="10"/>
      <c r="G428" s="95" t="str">
        <f ca="1">IFERROR(__xludf.DUMMYFUNCTION("IFERROR(JOIN("","", UNIQUE(filter({C428; E428}, {C428; E428}&lt;&gt;""""))), """")"),"")</f>
        <v/>
      </c>
      <c r="H428" s="96"/>
      <c r="I428" s="96"/>
      <c r="J428" s="96"/>
      <c r="K428" s="96"/>
      <c r="L428" s="96"/>
      <c r="M428" s="95" t="str">
        <f ca="1">IFERROR(__xludf.DUMMYFUNCTION("IFERROR(JOIN("","", UNIQUE(filter({I428; K428}, {I428; K428}&lt;&gt;""""))), """")"),"")</f>
        <v/>
      </c>
      <c r="N428" s="98"/>
      <c r="O428" s="98"/>
      <c r="P428" s="98"/>
      <c r="Q428" s="98"/>
      <c r="R428" s="98"/>
      <c r="S428" s="95" t="str">
        <f ca="1">IFERROR(__xludf.DUMMYFUNCTION("IFERROR(JOIN("","", UNIQUE(filter({O428; Q428}, {O428; Q428}&lt;&gt;""""))), """")"),"")</f>
        <v/>
      </c>
      <c r="T428" s="99"/>
      <c r="U428" s="99"/>
      <c r="V428" s="99"/>
      <c r="W428" s="99"/>
      <c r="X428" s="99"/>
      <c r="Y428" s="95" t="str">
        <f ca="1">IFERROR(__xludf.DUMMYFUNCTION("IFERROR(JOIN("","", UNIQUE(filter({U428; W428}, {U428; W428}&lt;&gt;""""))), """")"),"")</f>
        <v/>
      </c>
    </row>
    <row r="429" spans="2:25" ht="13" x14ac:dyDescent="0.15">
      <c r="B429" s="10"/>
      <c r="C429" s="10"/>
      <c r="D429" s="10"/>
      <c r="E429" s="10"/>
      <c r="F429" s="10"/>
      <c r="G429" s="95" t="str">
        <f ca="1">IFERROR(__xludf.DUMMYFUNCTION("IFERROR(JOIN("","", UNIQUE(filter({C429; E429}, {C429; E429}&lt;&gt;""""))), """")"),"")</f>
        <v/>
      </c>
      <c r="H429" s="96"/>
      <c r="I429" s="96"/>
      <c r="J429" s="96"/>
      <c r="K429" s="96"/>
      <c r="L429" s="96"/>
      <c r="M429" s="95" t="str">
        <f ca="1">IFERROR(__xludf.DUMMYFUNCTION("IFERROR(JOIN("","", UNIQUE(filter({I429; K429}, {I429; K429}&lt;&gt;""""))), """")"),"")</f>
        <v/>
      </c>
      <c r="N429" s="98"/>
      <c r="O429" s="98"/>
      <c r="P429" s="98"/>
      <c r="Q429" s="98"/>
      <c r="R429" s="98"/>
      <c r="S429" s="95" t="str">
        <f ca="1">IFERROR(__xludf.DUMMYFUNCTION("IFERROR(JOIN("","", UNIQUE(filter({O429; Q429}, {O429; Q429}&lt;&gt;""""))), """")"),"")</f>
        <v/>
      </c>
      <c r="T429" s="99"/>
      <c r="U429" s="99"/>
      <c r="V429" s="99"/>
      <c r="W429" s="99"/>
      <c r="X429" s="99"/>
      <c r="Y429" s="95" t="str">
        <f ca="1">IFERROR(__xludf.DUMMYFUNCTION("IFERROR(JOIN("","", UNIQUE(filter({U429; W429}, {U429; W429}&lt;&gt;""""))), """")"),"")</f>
        <v/>
      </c>
    </row>
    <row r="430" spans="2:25" ht="13" x14ac:dyDescent="0.15">
      <c r="B430" s="10"/>
      <c r="C430" s="10"/>
      <c r="D430" s="10"/>
      <c r="E430" s="10"/>
      <c r="F430" s="10"/>
      <c r="G430" s="95" t="str">
        <f ca="1">IFERROR(__xludf.DUMMYFUNCTION("IFERROR(JOIN("","", UNIQUE(filter({C430; E430}, {C430; E430}&lt;&gt;""""))), """")"),"")</f>
        <v/>
      </c>
      <c r="H430" s="96"/>
      <c r="I430" s="96"/>
      <c r="J430" s="96"/>
      <c r="K430" s="96"/>
      <c r="L430" s="96"/>
      <c r="M430" s="95" t="str">
        <f ca="1">IFERROR(__xludf.DUMMYFUNCTION("IFERROR(JOIN("","", UNIQUE(filter({I430; K430}, {I430; K430}&lt;&gt;""""))), """")"),"")</f>
        <v/>
      </c>
      <c r="N430" s="98"/>
      <c r="O430" s="98"/>
      <c r="P430" s="98"/>
      <c r="Q430" s="98"/>
      <c r="R430" s="98"/>
      <c r="S430" s="95" t="str">
        <f ca="1">IFERROR(__xludf.DUMMYFUNCTION("IFERROR(JOIN("","", UNIQUE(filter({O430; Q430}, {O430; Q430}&lt;&gt;""""))), """")"),"")</f>
        <v/>
      </c>
      <c r="T430" s="99"/>
      <c r="U430" s="99"/>
      <c r="V430" s="99"/>
      <c r="W430" s="99"/>
      <c r="X430" s="99"/>
      <c r="Y430" s="95" t="str">
        <f ca="1">IFERROR(__xludf.DUMMYFUNCTION("IFERROR(JOIN("","", UNIQUE(filter({U430; W430}, {U430; W430}&lt;&gt;""""))), """")"),"")</f>
        <v/>
      </c>
    </row>
    <row r="431" spans="2:25" ht="13" x14ac:dyDescent="0.15">
      <c r="B431" s="10"/>
      <c r="C431" s="10"/>
      <c r="D431" s="10"/>
      <c r="E431" s="10"/>
      <c r="F431" s="10"/>
      <c r="G431" s="95" t="str">
        <f ca="1">IFERROR(__xludf.DUMMYFUNCTION("IFERROR(JOIN("","", UNIQUE(filter({C431; E431}, {C431; E431}&lt;&gt;""""))), """")"),"")</f>
        <v/>
      </c>
      <c r="H431" s="96"/>
      <c r="I431" s="96"/>
      <c r="J431" s="96"/>
      <c r="K431" s="96"/>
      <c r="L431" s="96"/>
      <c r="M431" s="95" t="str">
        <f ca="1">IFERROR(__xludf.DUMMYFUNCTION("IFERROR(JOIN("","", UNIQUE(filter({I431; K431}, {I431; K431}&lt;&gt;""""))), """")"),"")</f>
        <v/>
      </c>
      <c r="N431" s="98"/>
      <c r="O431" s="98"/>
      <c r="P431" s="98"/>
      <c r="Q431" s="98"/>
      <c r="R431" s="98"/>
      <c r="S431" s="95" t="str">
        <f ca="1">IFERROR(__xludf.DUMMYFUNCTION("IFERROR(JOIN("","", UNIQUE(filter({O431; Q431}, {O431; Q431}&lt;&gt;""""))), """")"),"")</f>
        <v/>
      </c>
      <c r="T431" s="99"/>
      <c r="U431" s="99"/>
      <c r="V431" s="99"/>
      <c r="W431" s="99"/>
      <c r="X431" s="99"/>
      <c r="Y431" s="95" t="str">
        <f ca="1">IFERROR(__xludf.DUMMYFUNCTION("IFERROR(JOIN("","", UNIQUE(filter({U431; W431}, {U431; W431}&lt;&gt;""""))), """")"),"")</f>
        <v/>
      </c>
    </row>
    <row r="432" spans="2:25" ht="13" x14ac:dyDescent="0.15">
      <c r="B432" s="10"/>
      <c r="C432" s="10"/>
      <c r="D432" s="10"/>
      <c r="E432" s="10"/>
      <c r="F432" s="10"/>
      <c r="G432" s="95" t="str">
        <f ca="1">IFERROR(__xludf.DUMMYFUNCTION("IFERROR(JOIN("","", UNIQUE(filter({C432; E432}, {C432; E432}&lt;&gt;""""))), """")"),"")</f>
        <v/>
      </c>
      <c r="H432" s="96"/>
      <c r="I432" s="96"/>
      <c r="J432" s="96"/>
      <c r="K432" s="96"/>
      <c r="L432" s="96"/>
      <c r="M432" s="95" t="str">
        <f ca="1">IFERROR(__xludf.DUMMYFUNCTION("IFERROR(JOIN("","", UNIQUE(filter({I432; K432}, {I432; K432}&lt;&gt;""""))), """")"),"")</f>
        <v/>
      </c>
      <c r="N432" s="98"/>
      <c r="O432" s="98"/>
      <c r="P432" s="98"/>
      <c r="Q432" s="98"/>
      <c r="R432" s="98"/>
      <c r="S432" s="95" t="str">
        <f ca="1">IFERROR(__xludf.DUMMYFUNCTION("IFERROR(JOIN("","", UNIQUE(filter({O432; Q432}, {O432; Q432}&lt;&gt;""""))), """")"),"")</f>
        <v/>
      </c>
      <c r="T432" s="99"/>
      <c r="U432" s="99"/>
      <c r="V432" s="99"/>
      <c r="W432" s="99"/>
      <c r="X432" s="99"/>
      <c r="Y432" s="95" t="str">
        <f ca="1">IFERROR(__xludf.DUMMYFUNCTION("IFERROR(JOIN("","", UNIQUE(filter({U432; W432}, {U432; W432}&lt;&gt;""""))), """")"),"")</f>
        <v/>
      </c>
    </row>
    <row r="433" spans="2:25" ht="13" x14ac:dyDescent="0.15">
      <c r="B433" s="10"/>
      <c r="C433" s="10"/>
      <c r="D433" s="10"/>
      <c r="E433" s="10"/>
      <c r="F433" s="10"/>
      <c r="G433" s="95" t="str">
        <f ca="1">IFERROR(__xludf.DUMMYFUNCTION("IFERROR(JOIN("","", UNIQUE(filter({C433; E433}, {C433; E433}&lt;&gt;""""))), """")"),"")</f>
        <v/>
      </c>
      <c r="H433" s="96"/>
      <c r="I433" s="96"/>
      <c r="J433" s="96"/>
      <c r="K433" s="96"/>
      <c r="L433" s="96"/>
      <c r="M433" s="95" t="str">
        <f ca="1">IFERROR(__xludf.DUMMYFUNCTION("IFERROR(JOIN("","", UNIQUE(filter({I433; K433}, {I433; K433}&lt;&gt;""""))), """")"),"")</f>
        <v/>
      </c>
      <c r="N433" s="98"/>
      <c r="O433" s="98"/>
      <c r="P433" s="98"/>
      <c r="Q433" s="98"/>
      <c r="R433" s="98"/>
      <c r="S433" s="95" t="str">
        <f ca="1">IFERROR(__xludf.DUMMYFUNCTION("IFERROR(JOIN("","", UNIQUE(filter({O433; Q433}, {O433; Q433}&lt;&gt;""""))), """")"),"")</f>
        <v/>
      </c>
      <c r="T433" s="99"/>
      <c r="U433" s="99"/>
      <c r="V433" s="99"/>
      <c r="W433" s="99"/>
      <c r="X433" s="99"/>
      <c r="Y433" s="95" t="str">
        <f ca="1">IFERROR(__xludf.DUMMYFUNCTION("IFERROR(JOIN("","", UNIQUE(filter({U433; W433}, {U433; W433}&lt;&gt;""""))), """")"),"")</f>
        <v/>
      </c>
    </row>
    <row r="434" spans="2:25" ht="13" x14ac:dyDescent="0.15">
      <c r="B434" s="10"/>
      <c r="C434" s="10"/>
      <c r="D434" s="10"/>
      <c r="E434" s="10"/>
      <c r="F434" s="10"/>
      <c r="G434" s="95" t="str">
        <f ca="1">IFERROR(__xludf.DUMMYFUNCTION("IFERROR(JOIN("","", UNIQUE(filter({C434; E434}, {C434; E434}&lt;&gt;""""))), """")"),"")</f>
        <v/>
      </c>
      <c r="H434" s="96"/>
      <c r="I434" s="96"/>
      <c r="J434" s="96"/>
      <c r="K434" s="96"/>
      <c r="L434" s="96"/>
      <c r="M434" s="95" t="str">
        <f ca="1">IFERROR(__xludf.DUMMYFUNCTION("IFERROR(JOIN("","", UNIQUE(filter({I434; K434}, {I434; K434}&lt;&gt;""""))), """")"),"")</f>
        <v/>
      </c>
      <c r="N434" s="98"/>
      <c r="O434" s="98"/>
      <c r="P434" s="98"/>
      <c r="Q434" s="98"/>
      <c r="R434" s="98"/>
      <c r="S434" s="95" t="str">
        <f ca="1">IFERROR(__xludf.DUMMYFUNCTION("IFERROR(JOIN("","", UNIQUE(filter({O434; Q434}, {O434; Q434}&lt;&gt;""""))), """")"),"")</f>
        <v/>
      </c>
      <c r="T434" s="99"/>
      <c r="U434" s="99"/>
      <c r="V434" s="99"/>
      <c r="W434" s="99"/>
      <c r="X434" s="99"/>
      <c r="Y434" s="95" t="str">
        <f ca="1">IFERROR(__xludf.DUMMYFUNCTION("IFERROR(JOIN("","", UNIQUE(filter({U434; W434}, {U434; W434}&lt;&gt;""""))), """")"),"")</f>
        <v/>
      </c>
    </row>
    <row r="435" spans="2:25" ht="13" x14ac:dyDescent="0.15">
      <c r="B435" s="10"/>
      <c r="C435" s="10"/>
      <c r="D435" s="10"/>
      <c r="E435" s="10"/>
      <c r="F435" s="10"/>
      <c r="G435" s="95" t="str">
        <f ca="1">IFERROR(__xludf.DUMMYFUNCTION("IFERROR(JOIN("","", UNIQUE(filter({C435; E435}, {C435; E435}&lt;&gt;""""))), """")"),"")</f>
        <v/>
      </c>
      <c r="H435" s="96"/>
      <c r="I435" s="96"/>
      <c r="J435" s="96"/>
      <c r="K435" s="96"/>
      <c r="L435" s="96"/>
      <c r="M435" s="95" t="str">
        <f ca="1">IFERROR(__xludf.DUMMYFUNCTION("IFERROR(JOIN("","", UNIQUE(filter({I435; K435}, {I435; K435}&lt;&gt;""""))), """")"),"")</f>
        <v/>
      </c>
      <c r="N435" s="98"/>
      <c r="O435" s="98"/>
      <c r="P435" s="98"/>
      <c r="Q435" s="98"/>
      <c r="R435" s="98"/>
      <c r="S435" s="95" t="str">
        <f ca="1">IFERROR(__xludf.DUMMYFUNCTION("IFERROR(JOIN("","", UNIQUE(filter({O435; Q435}, {O435; Q435}&lt;&gt;""""))), """")"),"")</f>
        <v/>
      </c>
      <c r="T435" s="99"/>
      <c r="U435" s="99"/>
      <c r="V435" s="99"/>
      <c r="W435" s="99"/>
      <c r="X435" s="99"/>
      <c r="Y435" s="95" t="str">
        <f ca="1">IFERROR(__xludf.DUMMYFUNCTION("IFERROR(JOIN("","", UNIQUE(filter({U435; W435}, {U435; W435}&lt;&gt;""""))), """")"),"")</f>
        <v/>
      </c>
    </row>
    <row r="436" spans="2:25" ht="13" x14ac:dyDescent="0.15">
      <c r="B436" s="10"/>
      <c r="C436" s="10"/>
      <c r="D436" s="10"/>
      <c r="E436" s="10"/>
      <c r="F436" s="10"/>
      <c r="G436" s="95" t="str">
        <f ca="1">IFERROR(__xludf.DUMMYFUNCTION("IFERROR(JOIN("","", UNIQUE(filter({C436; E436}, {C436; E436}&lt;&gt;""""))), """")"),"")</f>
        <v/>
      </c>
      <c r="H436" s="96"/>
      <c r="I436" s="96"/>
      <c r="J436" s="96"/>
      <c r="K436" s="96"/>
      <c r="L436" s="96"/>
      <c r="M436" s="95" t="str">
        <f ca="1">IFERROR(__xludf.DUMMYFUNCTION("IFERROR(JOIN("","", UNIQUE(filter({I436; K436}, {I436; K436}&lt;&gt;""""))), """")"),"")</f>
        <v/>
      </c>
      <c r="N436" s="98"/>
      <c r="O436" s="98"/>
      <c r="P436" s="98"/>
      <c r="Q436" s="98"/>
      <c r="R436" s="98"/>
      <c r="S436" s="95" t="str">
        <f ca="1">IFERROR(__xludf.DUMMYFUNCTION("IFERROR(JOIN("","", UNIQUE(filter({O436; Q436}, {O436; Q436}&lt;&gt;""""))), """")"),"")</f>
        <v/>
      </c>
      <c r="T436" s="99"/>
      <c r="U436" s="99"/>
      <c r="V436" s="99"/>
      <c r="W436" s="99"/>
      <c r="X436" s="99"/>
      <c r="Y436" s="95" t="str">
        <f ca="1">IFERROR(__xludf.DUMMYFUNCTION("IFERROR(JOIN("","", UNIQUE(filter({U436; W436}, {U436; W436}&lt;&gt;""""))), """")"),"")</f>
        <v/>
      </c>
    </row>
    <row r="437" spans="2:25" ht="13" x14ac:dyDescent="0.15">
      <c r="B437" s="10"/>
      <c r="C437" s="10"/>
      <c r="D437" s="10"/>
      <c r="E437" s="10"/>
      <c r="F437" s="10"/>
      <c r="G437" s="95" t="str">
        <f ca="1">IFERROR(__xludf.DUMMYFUNCTION("IFERROR(JOIN("","", UNIQUE(filter({C437; E437}, {C437; E437}&lt;&gt;""""))), """")"),"")</f>
        <v/>
      </c>
      <c r="H437" s="96"/>
      <c r="I437" s="96"/>
      <c r="J437" s="96"/>
      <c r="K437" s="96"/>
      <c r="L437" s="96"/>
      <c r="M437" s="95" t="str">
        <f ca="1">IFERROR(__xludf.DUMMYFUNCTION("IFERROR(JOIN("","", UNIQUE(filter({I437; K437}, {I437; K437}&lt;&gt;""""))), """")"),"")</f>
        <v/>
      </c>
      <c r="N437" s="98"/>
      <c r="O437" s="98"/>
      <c r="P437" s="98"/>
      <c r="Q437" s="98"/>
      <c r="R437" s="98"/>
      <c r="S437" s="95" t="str">
        <f ca="1">IFERROR(__xludf.DUMMYFUNCTION("IFERROR(JOIN("","", UNIQUE(filter({O437; Q437}, {O437; Q437}&lt;&gt;""""))), """")"),"")</f>
        <v/>
      </c>
      <c r="T437" s="99"/>
      <c r="U437" s="99"/>
      <c r="V437" s="99"/>
      <c r="W437" s="99"/>
      <c r="X437" s="99"/>
      <c r="Y437" s="95" t="str">
        <f ca="1">IFERROR(__xludf.DUMMYFUNCTION("IFERROR(JOIN("","", UNIQUE(filter({U437; W437}, {U437; W437}&lt;&gt;""""))), """")"),"")</f>
        <v/>
      </c>
    </row>
    <row r="438" spans="2:25" ht="13" x14ac:dyDescent="0.15">
      <c r="B438" s="10"/>
      <c r="C438" s="10"/>
      <c r="D438" s="10"/>
      <c r="E438" s="10"/>
      <c r="F438" s="10"/>
      <c r="G438" s="95" t="str">
        <f ca="1">IFERROR(__xludf.DUMMYFUNCTION("IFERROR(JOIN("","", UNIQUE(filter({C438; E438}, {C438; E438}&lt;&gt;""""))), """")"),"")</f>
        <v/>
      </c>
      <c r="H438" s="96"/>
      <c r="I438" s="96"/>
      <c r="J438" s="96"/>
      <c r="K438" s="96"/>
      <c r="L438" s="96"/>
      <c r="M438" s="95" t="str">
        <f ca="1">IFERROR(__xludf.DUMMYFUNCTION("IFERROR(JOIN("","", UNIQUE(filter({I438; K438}, {I438; K438}&lt;&gt;""""))), """")"),"")</f>
        <v/>
      </c>
      <c r="N438" s="98"/>
      <c r="O438" s="98"/>
      <c r="P438" s="98"/>
      <c r="Q438" s="98"/>
      <c r="R438" s="98"/>
      <c r="S438" s="95" t="str">
        <f ca="1">IFERROR(__xludf.DUMMYFUNCTION("IFERROR(JOIN("","", UNIQUE(filter({O438; Q438}, {O438; Q438}&lt;&gt;""""))), """")"),"")</f>
        <v/>
      </c>
      <c r="T438" s="99"/>
      <c r="U438" s="99"/>
      <c r="V438" s="99"/>
      <c r="W438" s="99"/>
      <c r="X438" s="99"/>
      <c r="Y438" s="95" t="str">
        <f ca="1">IFERROR(__xludf.DUMMYFUNCTION("IFERROR(JOIN("","", UNIQUE(filter({U438; W438}, {U438; W438}&lt;&gt;""""))), """")"),"")</f>
        <v/>
      </c>
    </row>
    <row r="439" spans="2:25" ht="13" x14ac:dyDescent="0.15">
      <c r="B439" s="10"/>
      <c r="C439" s="10"/>
      <c r="D439" s="10"/>
      <c r="E439" s="10"/>
      <c r="F439" s="10"/>
      <c r="G439" s="95" t="str">
        <f ca="1">IFERROR(__xludf.DUMMYFUNCTION("IFERROR(JOIN("","", UNIQUE(filter({C439; E439}, {C439; E439}&lt;&gt;""""))), """")"),"")</f>
        <v/>
      </c>
      <c r="H439" s="96"/>
      <c r="I439" s="96"/>
      <c r="J439" s="96"/>
      <c r="K439" s="96"/>
      <c r="L439" s="96"/>
      <c r="M439" s="95" t="str">
        <f ca="1">IFERROR(__xludf.DUMMYFUNCTION("IFERROR(JOIN("","", UNIQUE(filter({I439; K439}, {I439; K439}&lt;&gt;""""))), """")"),"")</f>
        <v/>
      </c>
      <c r="N439" s="98"/>
      <c r="O439" s="98"/>
      <c r="P439" s="98"/>
      <c r="Q439" s="98"/>
      <c r="R439" s="98"/>
      <c r="S439" s="95" t="str">
        <f ca="1">IFERROR(__xludf.DUMMYFUNCTION("IFERROR(JOIN("","", UNIQUE(filter({O439; Q439}, {O439; Q439}&lt;&gt;""""))), """")"),"")</f>
        <v/>
      </c>
      <c r="T439" s="99"/>
      <c r="U439" s="99"/>
      <c r="V439" s="99"/>
      <c r="W439" s="99"/>
      <c r="X439" s="99"/>
      <c r="Y439" s="95" t="str">
        <f ca="1">IFERROR(__xludf.DUMMYFUNCTION("IFERROR(JOIN("","", UNIQUE(filter({U439; W439}, {U439; W439}&lt;&gt;""""))), """")"),"")</f>
        <v/>
      </c>
    </row>
    <row r="440" spans="2:25" ht="13" x14ac:dyDescent="0.15">
      <c r="B440" s="10"/>
      <c r="C440" s="10"/>
      <c r="D440" s="10"/>
      <c r="E440" s="10"/>
      <c r="F440" s="10"/>
      <c r="G440" s="95" t="str">
        <f ca="1">IFERROR(__xludf.DUMMYFUNCTION("IFERROR(JOIN("","", UNIQUE(filter({C440; E440}, {C440; E440}&lt;&gt;""""))), """")"),"")</f>
        <v/>
      </c>
      <c r="H440" s="96"/>
      <c r="I440" s="96"/>
      <c r="J440" s="96"/>
      <c r="K440" s="96"/>
      <c r="L440" s="96"/>
      <c r="M440" s="95" t="str">
        <f ca="1">IFERROR(__xludf.DUMMYFUNCTION("IFERROR(JOIN("","", UNIQUE(filter({I440; K440}, {I440; K440}&lt;&gt;""""))), """")"),"")</f>
        <v/>
      </c>
      <c r="N440" s="98"/>
      <c r="O440" s="98"/>
      <c r="P440" s="98"/>
      <c r="Q440" s="98"/>
      <c r="R440" s="98"/>
      <c r="S440" s="95" t="str">
        <f ca="1">IFERROR(__xludf.DUMMYFUNCTION("IFERROR(JOIN("","", UNIQUE(filter({O440; Q440}, {O440; Q440}&lt;&gt;""""))), """")"),"")</f>
        <v/>
      </c>
      <c r="T440" s="99"/>
      <c r="U440" s="99"/>
      <c r="V440" s="99"/>
      <c r="W440" s="99"/>
      <c r="X440" s="99"/>
      <c r="Y440" s="95" t="str">
        <f ca="1">IFERROR(__xludf.DUMMYFUNCTION("IFERROR(JOIN("","", UNIQUE(filter({U440; W440}, {U440; W440}&lt;&gt;""""))), """")"),"")</f>
        <v/>
      </c>
    </row>
    <row r="441" spans="2:25" ht="13" x14ac:dyDescent="0.15">
      <c r="B441" s="10"/>
      <c r="C441" s="10"/>
      <c r="D441" s="10"/>
      <c r="E441" s="10"/>
      <c r="F441" s="10"/>
      <c r="G441" s="95" t="str">
        <f ca="1">IFERROR(__xludf.DUMMYFUNCTION("IFERROR(JOIN("","", UNIQUE(filter({C441; E441}, {C441; E441}&lt;&gt;""""))), """")"),"")</f>
        <v/>
      </c>
      <c r="H441" s="96"/>
      <c r="I441" s="96"/>
      <c r="J441" s="96"/>
      <c r="K441" s="96"/>
      <c r="L441" s="96"/>
      <c r="M441" s="95" t="str">
        <f ca="1">IFERROR(__xludf.DUMMYFUNCTION("IFERROR(JOIN("","", UNIQUE(filter({I441; K441}, {I441; K441}&lt;&gt;""""))), """")"),"")</f>
        <v/>
      </c>
      <c r="N441" s="98"/>
      <c r="O441" s="98"/>
      <c r="P441" s="98"/>
      <c r="Q441" s="98"/>
      <c r="R441" s="98"/>
      <c r="S441" s="95" t="str">
        <f ca="1">IFERROR(__xludf.DUMMYFUNCTION("IFERROR(JOIN("","", UNIQUE(filter({O441; Q441}, {O441; Q441}&lt;&gt;""""))), """")"),"")</f>
        <v/>
      </c>
      <c r="T441" s="99"/>
      <c r="U441" s="99"/>
      <c r="V441" s="99"/>
      <c r="W441" s="99"/>
      <c r="X441" s="99"/>
      <c r="Y441" s="95" t="str">
        <f ca="1">IFERROR(__xludf.DUMMYFUNCTION("IFERROR(JOIN("","", UNIQUE(filter({U441; W441}, {U441; W441}&lt;&gt;""""))), """")"),"")</f>
        <v/>
      </c>
    </row>
    <row r="442" spans="2:25" ht="13" x14ac:dyDescent="0.15">
      <c r="B442" s="10"/>
      <c r="C442" s="10"/>
      <c r="D442" s="10"/>
      <c r="E442" s="10"/>
      <c r="F442" s="10"/>
      <c r="G442" s="95" t="str">
        <f ca="1">IFERROR(__xludf.DUMMYFUNCTION("IFERROR(JOIN("","", UNIQUE(filter({C442; E442}, {C442; E442}&lt;&gt;""""))), """")"),"")</f>
        <v/>
      </c>
      <c r="H442" s="96"/>
      <c r="I442" s="96"/>
      <c r="J442" s="96"/>
      <c r="K442" s="96"/>
      <c r="L442" s="96"/>
      <c r="M442" s="95" t="str">
        <f ca="1">IFERROR(__xludf.DUMMYFUNCTION("IFERROR(JOIN("","", UNIQUE(filter({I442; K442}, {I442; K442}&lt;&gt;""""))), """")"),"")</f>
        <v/>
      </c>
      <c r="N442" s="98"/>
      <c r="O442" s="98"/>
      <c r="P442" s="98"/>
      <c r="Q442" s="98"/>
      <c r="R442" s="98"/>
      <c r="S442" s="95" t="str">
        <f ca="1">IFERROR(__xludf.DUMMYFUNCTION("IFERROR(JOIN("","", UNIQUE(filter({O442; Q442}, {O442; Q442}&lt;&gt;""""))), """")"),"")</f>
        <v/>
      </c>
      <c r="T442" s="99"/>
      <c r="U442" s="99"/>
      <c r="V442" s="99"/>
      <c r="W442" s="99"/>
      <c r="X442" s="99"/>
      <c r="Y442" s="95" t="str">
        <f ca="1">IFERROR(__xludf.DUMMYFUNCTION("IFERROR(JOIN("","", UNIQUE(filter({U442; W442}, {U442; W442}&lt;&gt;""""))), """")"),"")</f>
        <v/>
      </c>
    </row>
    <row r="443" spans="2:25" ht="13" x14ac:dyDescent="0.15">
      <c r="B443" s="10"/>
      <c r="C443" s="10"/>
      <c r="D443" s="10"/>
      <c r="E443" s="10"/>
      <c r="F443" s="10"/>
      <c r="G443" s="95" t="str">
        <f ca="1">IFERROR(__xludf.DUMMYFUNCTION("IFERROR(JOIN("","", UNIQUE(filter({C443; E443}, {C443; E443}&lt;&gt;""""))), """")"),"")</f>
        <v/>
      </c>
      <c r="H443" s="96"/>
      <c r="I443" s="96"/>
      <c r="J443" s="96"/>
      <c r="K443" s="96"/>
      <c r="L443" s="96"/>
      <c r="M443" s="95" t="str">
        <f ca="1">IFERROR(__xludf.DUMMYFUNCTION("IFERROR(JOIN("","", UNIQUE(filter({I443; K443}, {I443; K443}&lt;&gt;""""))), """")"),"")</f>
        <v/>
      </c>
      <c r="N443" s="98"/>
      <c r="O443" s="98"/>
      <c r="P443" s="98"/>
      <c r="Q443" s="98"/>
      <c r="R443" s="98"/>
      <c r="S443" s="95" t="str">
        <f ca="1">IFERROR(__xludf.DUMMYFUNCTION("IFERROR(JOIN("","", UNIQUE(filter({O443; Q443}, {O443; Q443}&lt;&gt;""""))), """")"),"")</f>
        <v/>
      </c>
      <c r="T443" s="99"/>
      <c r="U443" s="99"/>
      <c r="V443" s="99"/>
      <c r="W443" s="99"/>
      <c r="X443" s="99"/>
      <c r="Y443" s="95" t="str">
        <f ca="1">IFERROR(__xludf.DUMMYFUNCTION("IFERROR(JOIN("","", UNIQUE(filter({U443; W443}, {U443; W443}&lt;&gt;""""))), """")"),"")</f>
        <v/>
      </c>
    </row>
    <row r="444" spans="2:25" ht="13" x14ac:dyDescent="0.15">
      <c r="B444" s="10"/>
      <c r="C444" s="10"/>
      <c r="D444" s="10"/>
      <c r="E444" s="10"/>
      <c r="F444" s="10"/>
      <c r="G444" s="95" t="str">
        <f ca="1">IFERROR(__xludf.DUMMYFUNCTION("IFERROR(JOIN("","", UNIQUE(filter({C444; E444}, {C444; E444}&lt;&gt;""""))), """")"),"")</f>
        <v/>
      </c>
      <c r="H444" s="96"/>
      <c r="I444" s="96"/>
      <c r="J444" s="96"/>
      <c r="K444" s="96"/>
      <c r="L444" s="96"/>
      <c r="M444" s="95" t="str">
        <f ca="1">IFERROR(__xludf.DUMMYFUNCTION("IFERROR(JOIN("","", UNIQUE(filter({I444; K444}, {I444; K444}&lt;&gt;""""))), """")"),"")</f>
        <v/>
      </c>
      <c r="N444" s="98"/>
      <c r="O444" s="98"/>
      <c r="P444" s="98"/>
      <c r="Q444" s="98"/>
      <c r="R444" s="98"/>
      <c r="S444" s="95" t="str">
        <f ca="1">IFERROR(__xludf.DUMMYFUNCTION("IFERROR(JOIN("","", UNIQUE(filter({O444; Q444}, {O444; Q444}&lt;&gt;""""))), """")"),"")</f>
        <v/>
      </c>
      <c r="T444" s="99"/>
      <c r="U444" s="99"/>
      <c r="V444" s="99"/>
      <c r="W444" s="99"/>
      <c r="X444" s="99"/>
      <c r="Y444" s="95" t="str">
        <f ca="1">IFERROR(__xludf.DUMMYFUNCTION("IFERROR(JOIN("","", UNIQUE(filter({U444; W444}, {U444; W444}&lt;&gt;""""))), """")"),"")</f>
        <v/>
      </c>
    </row>
    <row r="445" spans="2:25" ht="13" x14ac:dyDescent="0.15">
      <c r="B445" s="10"/>
      <c r="C445" s="10"/>
      <c r="D445" s="10"/>
      <c r="E445" s="10"/>
      <c r="F445" s="10"/>
      <c r="G445" s="95" t="str">
        <f ca="1">IFERROR(__xludf.DUMMYFUNCTION("IFERROR(JOIN("","", UNIQUE(filter({C445; E445}, {C445; E445}&lt;&gt;""""))), """")"),"")</f>
        <v/>
      </c>
      <c r="H445" s="96"/>
      <c r="I445" s="96"/>
      <c r="J445" s="96"/>
      <c r="K445" s="96"/>
      <c r="L445" s="96"/>
      <c r="M445" s="95" t="str">
        <f ca="1">IFERROR(__xludf.DUMMYFUNCTION("IFERROR(JOIN("","", UNIQUE(filter({I445; K445}, {I445; K445}&lt;&gt;""""))), """")"),"")</f>
        <v/>
      </c>
      <c r="N445" s="98"/>
      <c r="O445" s="98"/>
      <c r="P445" s="98"/>
      <c r="Q445" s="98"/>
      <c r="R445" s="98"/>
      <c r="S445" s="95" t="str">
        <f ca="1">IFERROR(__xludf.DUMMYFUNCTION("IFERROR(JOIN("","", UNIQUE(filter({O445; Q445}, {O445; Q445}&lt;&gt;""""))), """")"),"")</f>
        <v/>
      </c>
      <c r="T445" s="99"/>
      <c r="U445" s="99"/>
      <c r="V445" s="99"/>
      <c r="W445" s="99"/>
      <c r="X445" s="99"/>
      <c r="Y445" s="95" t="str">
        <f ca="1">IFERROR(__xludf.DUMMYFUNCTION("IFERROR(JOIN("","", UNIQUE(filter({U445; W445}, {U445; W445}&lt;&gt;""""))), """")"),"")</f>
        <v/>
      </c>
    </row>
    <row r="446" spans="2:25" ht="13" x14ac:dyDescent="0.15">
      <c r="B446" s="10"/>
      <c r="C446" s="10"/>
      <c r="D446" s="10"/>
      <c r="E446" s="10"/>
      <c r="F446" s="10"/>
      <c r="G446" s="95" t="str">
        <f ca="1">IFERROR(__xludf.DUMMYFUNCTION("IFERROR(JOIN("","", UNIQUE(filter({C446; E446}, {C446; E446}&lt;&gt;""""))), """")"),"")</f>
        <v/>
      </c>
      <c r="H446" s="96"/>
      <c r="I446" s="96"/>
      <c r="J446" s="96"/>
      <c r="K446" s="96"/>
      <c r="L446" s="96"/>
      <c r="M446" s="95" t="str">
        <f ca="1">IFERROR(__xludf.DUMMYFUNCTION("IFERROR(JOIN("","", UNIQUE(filter({I446; K446}, {I446; K446}&lt;&gt;""""))), """")"),"")</f>
        <v/>
      </c>
      <c r="N446" s="98"/>
      <c r="O446" s="98"/>
      <c r="P446" s="98"/>
      <c r="Q446" s="98"/>
      <c r="R446" s="98"/>
      <c r="S446" s="95" t="str">
        <f ca="1">IFERROR(__xludf.DUMMYFUNCTION("IFERROR(JOIN("","", UNIQUE(filter({O446; Q446}, {O446; Q446}&lt;&gt;""""))), """")"),"")</f>
        <v/>
      </c>
      <c r="T446" s="99"/>
      <c r="U446" s="99"/>
      <c r="V446" s="99"/>
      <c r="W446" s="99"/>
      <c r="X446" s="99"/>
      <c r="Y446" s="95" t="str">
        <f ca="1">IFERROR(__xludf.DUMMYFUNCTION("IFERROR(JOIN("","", UNIQUE(filter({U446; W446}, {U446; W446}&lt;&gt;""""))), """")"),"")</f>
        <v/>
      </c>
    </row>
    <row r="447" spans="2:25" ht="13" x14ac:dyDescent="0.15">
      <c r="B447" s="10"/>
      <c r="C447" s="10"/>
      <c r="D447" s="10"/>
      <c r="E447" s="10"/>
      <c r="F447" s="10"/>
      <c r="G447" s="95" t="str">
        <f ca="1">IFERROR(__xludf.DUMMYFUNCTION("IFERROR(JOIN("","", UNIQUE(filter({C447; E447}, {C447; E447}&lt;&gt;""""))), """")"),"")</f>
        <v/>
      </c>
      <c r="H447" s="96"/>
      <c r="I447" s="96"/>
      <c r="J447" s="96"/>
      <c r="K447" s="96"/>
      <c r="L447" s="96"/>
      <c r="M447" s="95" t="str">
        <f ca="1">IFERROR(__xludf.DUMMYFUNCTION("IFERROR(JOIN("","", UNIQUE(filter({I447; K447}, {I447; K447}&lt;&gt;""""))), """")"),"")</f>
        <v/>
      </c>
      <c r="N447" s="98"/>
      <c r="O447" s="98"/>
      <c r="P447" s="98"/>
      <c r="Q447" s="98"/>
      <c r="R447" s="98"/>
      <c r="S447" s="95" t="str">
        <f ca="1">IFERROR(__xludf.DUMMYFUNCTION("IFERROR(JOIN("","", UNIQUE(filter({O447; Q447}, {O447; Q447}&lt;&gt;""""))), """")"),"")</f>
        <v/>
      </c>
      <c r="T447" s="99"/>
      <c r="U447" s="99"/>
      <c r="V447" s="99"/>
      <c r="W447" s="99"/>
      <c r="X447" s="99"/>
      <c r="Y447" s="95" t="str">
        <f ca="1">IFERROR(__xludf.DUMMYFUNCTION("IFERROR(JOIN("","", UNIQUE(filter({U447; W447}, {U447; W447}&lt;&gt;""""))), """")"),"")</f>
        <v/>
      </c>
    </row>
    <row r="448" spans="2:25" ht="13" x14ac:dyDescent="0.15">
      <c r="B448" s="10"/>
      <c r="C448" s="10"/>
      <c r="D448" s="10"/>
      <c r="E448" s="10"/>
      <c r="F448" s="10"/>
      <c r="G448" s="95" t="str">
        <f ca="1">IFERROR(__xludf.DUMMYFUNCTION("IFERROR(JOIN("","", UNIQUE(filter({C448; E448}, {C448; E448}&lt;&gt;""""))), """")"),"")</f>
        <v/>
      </c>
      <c r="H448" s="96"/>
      <c r="I448" s="96"/>
      <c r="J448" s="96"/>
      <c r="K448" s="96"/>
      <c r="L448" s="96"/>
      <c r="M448" s="95" t="str">
        <f ca="1">IFERROR(__xludf.DUMMYFUNCTION("IFERROR(JOIN("","", UNIQUE(filter({I448; K448}, {I448; K448}&lt;&gt;""""))), """")"),"")</f>
        <v/>
      </c>
      <c r="N448" s="98"/>
      <c r="O448" s="98"/>
      <c r="P448" s="98"/>
      <c r="Q448" s="98"/>
      <c r="R448" s="98"/>
      <c r="S448" s="95" t="str">
        <f ca="1">IFERROR(__xludf.DUMMYFUNCTION("IFERROR(JOIN("","", UNIQUE(filter({O448; Q448}, {O448; Q448}&lt;&gt;""""))), """")"),"")</f>
        <v/>
      </c>
      <c r="T448" s="99"/>
      <c r="U448" s="99"/>
      <c r="V448" s="99"/>
      <c r="W448" s="99"/>
      <c r="X448" s="99"/>
      <c r="Y448" s="95" t="str">
        <f ca="1">IFERROR(__xludf.DUMMYFUNCTION("IFERROR(JOIN("","", UNIQUE(filter({U448; W448}, {U448; W448}&lt;&gt;""""))), """")"),"")</f>
        <v/>
      </c>
    </row>
    <row r="449" spans="2:25" ht="13" x14ac:dyDescent="0.15">
      <c r="B449" s="10"/>
      <c r="C449" s="10"/>
      <c r="D449" s="10"/>
      <c r="E449" s="10"/>
      <c r="F449" s="10"/>
      <c r="G449" s="95" t="str">
        <f ca="1">IFERROR(__xludf.DUMMYFUNCTION("IFERROR(JOIN("","", UNIQUE(filter({C449; E449}, {C449; E449}&lt;&gt;""""))), """")"),"")</f>
        <v/>
      </c>
      <c r="H449" s="96"/>
      <c r="I449" s="96"/>
      <c r="J449" s="96"/>
      <c r="K449" s="96"/>
      <c r="L449" s="96"/>
      <c r="M449" s="95" t="str">
        <f ca="1">IFERROR(__xludf.DUMMYFUNCTION("IFERROR(JOIN("","", UNIQUE(filter({I449; K449}, {I449; K449}&lt;&gt;""""))), """")"),"")</f>
        <v/>
      </c>
      <c r="N449" s="98"/>
      <c r="O449" s="98"/>
      <c r="P449" s="98"/>
      <c r="Q449" s="98"/>
      <c r="R449" s="98"/>
      <c r="S449" s="95" t="str">
        <f ca="1">IFERROR(__xludf.DUMMYFUNCTION("IFERROR(JOIN("","", UNIQUE(filter({O449; Q449}, {O449; Q449}&lt;&gt;""""))), """")"),"")</f>
        <v/>
      </c>
      <c r="T449" s="99"/>
      <c r="U449" s="99"/>
      <c r="V449" s="99"/>
      <c r="W449" s="99"/>
      <c r="X449" s="99"/>
      <c r="Y449" s="95" t="str">
        <f ca="1">IFERROR(__xludf.DUMMYFUNCTION("IFERROR(JOIN("","", UNIQUE(filter({U449; W449}, {U449; W449}&lt;&gt;""""))), """")"),"")</f>
        <v/>
      </c>
    </row>
    <row r="450" spans="2:25" ht="13" x14ac:dyDescent="0.15">
      <c r="B450" s="10"/>
      <c r="C450" s="10"/>
      <c r="D450" s="10"/>
      <c r="E450" s="10"/>
      <c r="F450" s="10"/>
      <c r="G450" s="95" t="str">
        <f ca="1">IFERROR(__xludf.DUMMYFUNCTION("IFERROR(JOIN("","", UNIQUE(filter({C450; E450}, {C450; E450}&lt;&gt;""""))), """")"),"")</f>
        <v/>
      </c>
      <c r="H450" s="96"/>
      <c r="I450" s="96"/>
      <c r="J450" s="96"/>
      <c r="K450" s="96"/>
      <c r="L450" s="96"/>
      <c r="M450" s="95" t="str">
        <f ca="1">IFERROR(__xludf.DUMMYFUNCTION("IFERROR(JOIN("","", UNIQUE(filter({I450; K450}, {I450; K450}&lt;&gt;""""))), """")"),"")</f>
        <v/>
      </c>
      <c r="N450" s="98"/>
      <c r="O450" s="98"/>
      <c r="P450" s="98"/>
      <c r="Q450" s="98"/>
      <c r="R450" s="98"/>
      <c r="S450" s="95" t="str">
        <f ca="1">IFERROR(__xludf.DUMMYFUNCTION("IFERROR(JOIN("","", UNIQUE(filter({O450; Q450}, {O450; Q450}&lt;&gt;""""))), """")"),"")</f>
        <v/>
      </c>
      <c r="T450" s="99"/>
      <c r="U450" s="99"/>
      <c r="V450" s="99"/>
      <c r="W450" s="99"/>
      <c r="X450" s="99"/>
      <c r="Y450" s="95" t="str">
        <f ca="1">IFERROR(__xludf.DUMMYFUNCTION("IFERROR(JOIN("","", UNIQUE(filter({U450; W450}, {U450; W450}&lt;&gt;""""))), """")"),"")</f>
        <v/>
      </c>
    </row>
    <row r="451" spans="2:25" ht="13" x14ac:dyDescent="0.15">
      <c r="B451" s="10"/>
      <c r="C451" s="10"/>
      <c r="D451" s="10"/>
      <c r="E451" s="10"/>
      <c r="F451" s="10"/>
      <c r="G451" s="95" t="str">
        <f ca="1">IFERROR(__xludf.DUMMYFUNCTION("IFERROR(JOIN("","", UNIQUE(filter({C451; E451}, {C451; E451}&lt;&gt;""""))), """")"),"")</f>
        <v/>
      </c>
      <c r="H451" s="96"/>
      <c r="I451" s="96"/>
      <c r="J451" s="96"/>
      <c r="K451" s="96"/>
      <c r="L451" s="96"/>
      <c r="M451" s="95" t="str">
        <f ca="1">IFERROR(__xludf.DUMMYFUNCTION("IFERROR(JOIN("","", UNIQUE(filter({I451; K451}, {I451; K451}&lt;&gt;""""))), """")"),"")</f>
        <v/>
      </c>
      <c r="N451" s="98"/>
      <c r="O451" s="98"/>
      <c r="P451" s="98"/>
      <c r="Q451" s="98"/>
      <c r="R451" s="98"/>
      <c r="S451" s="95" t="str">
        <f ca="1">IFERROR(__xludf.DUMMYFUNCTION("IFERROR(JOIN("","", UNIQUE(filter({O451; Q451}, {O451; Q451}&lt;&gt;""""))), """")"),"")</f>
        <v/>
      </c>
      <c r="T451" s="99"/>
      <c r="U451" s="99"/>
      <c r="V451" s="99"/>
      <c r="W451" s="99"/>
      <c r="X451" s="99"/>
      <c r="Y451" s="95" t="str">
        <f ca="1">IFERROR(__xludf.DUMMYFUNCTION("IFERROR(JOIN("","", UNIQUE(filter({U451; W451}, {U451; W451}&lt;&gt;""""))), """")"),"")</f>
        <v/>
      </c>
    </row>
    <row r="452" spans="2:25" ht="13" x14ac:dyDescent="0.15">
      <c r="B452" s="10"/>
      <c r="C452" s="10"/>
      <c r="D452" s="10"/>
      <c r="E452" s="10"/>
      <c r="F452" s="10"/>
      <c r="G452" s="95" t="str">
        <f ca="1">IFERROR(__xludf.DUMMYFUNCTION("IFERROR(JOIN("","", UNIQUE(filter({C452; E452}, {C452; E452}&lt;&gt;""""))), """")"),"")</f>
        <v/>
      </c>
      <c r="H452" s="96"/>
      <c r="I452" s="96"/>
      <c r="J452" s="96"/>
      <c r="K452" s="96"/>
      <c r="L452" s="96"/>
      <c r="M452" s="95" t="str">
        <f ca="1">IFERROR(__xludf.DUMMYFUNCTION("IFERROR(JOIN("","", UNIQUE(filter({I452; K452}, {I452; K452}&lt;&gt;""""))), """")"),"")</f>
        <v/>
      </c>
      <c r="N452" s="98"/>
      <c r="O452" s="98"/>
      <c r="P452" s="98"/>
      <c r="Q452" s="98"/>
      <c r="R452" s="98"/>
      <c r="S452" s="95" t="str">
        <f ca="1">IFERROR(__xludf.DUMMYFUNCTION("IFERROR(JOIN("","", UNIQUE(filter({O452; Q452}, {O452; Q452}&lt;&gt;""""))), """")"),"")</f>
        <v/>
      </c>
      <c r="T452" s="99"/>
      <c r="U452" s="99"/>
      <c r="V452" s="99"/>
      <c r="W452" s="99"/>
      <c r="X452" s="99"/>
      <c r="Y452" s="95" t="str">
        <f ca="1">IFERROR(__xludf.DUMMYFUNCTION("IFERROR(JOIN("","", UNIQUE(filter({U452; W452}, {U452; W452}&lt;&gt;""""))), """")"),"")</f>
        <v/>
      </c>
    </row>
    <row r="453" spans="2:25" ht="13" x14ac:dyDescent="0.15">
      <c r="B453" s="10"/>
      <c r="C453" s="10"/>
      <c r="D453" s="10"/>
      <c r="E453" s="10"/>
      <c r="F453" s="10"/>
      <c r="G453" s="95" t="str">
        <f ca="1">IFERROR(__xludf.DUMMYFUNCTION("IFERROR(JOIN("","", UNIQUE(filter({C453; E453}, {C453; E453}&lt;&gt;""""))), """")"),"")</f>
        <v/>
      </c>
      <c r="H453" s="96"/>
      <c r="I453" s="96"/>
      <c r="J453" s="96"/>
      <c r="K453" s="96"/>
      <c r="L453" s="96"/>
      <c r="M453" s="95" t="str">
        <f ca="1">IFERROR(__xludf.DUMMYFUNCTION("IFERROR(JOIN("","", UNIQUE(filter({I453; K453}, {I453; K453}&lt;&gt;""""))), """")"),"")</f>
        <v/>
      </c>
      <c r="N453" s="98"/>
      <c r="O453" s="98"/>
      <c r="P453" s="98"/>
      <c r="Q453" s="98"/>
      <c r="R453" s="98"/>
      <c r="S453" s="95" t="str">
        <f ca="1">IFERROR(__xludf.DUMMYFUNCTION("IFERROR(JOIN("","", UNIQUE(filter({O453; Q453}, {O453; Q453}&lt;&gt;""""))), """")"),"")</f>
        <v/>
      </c>
      <c r="T453" s="99"/>
      <c r="U453" s="99"/>
      <c r="V453" s="99"/>
      <c r="W453" s="99"/>
      <c r="X453" s="99"/>
      <c r="Y453" s="95" t="str">
        <f ca="1">IFERROR(__xludf.DUMMYFUNCTION("IFERROR(JOIN("","", UNIQUE(filter({U453; W453}, {U453; W453}&lt;&gt;""""))), """")"),"")</f>
        <v/>
      </c>
    </row>
    <row r="454" spans="2:25" ht="13" x14ac:dyDescent="0.15">
      <c r="B454" s="10"/>
      <c r="C454" s="10"/>
      <c r="D454" s="10"/>
      <c r="E454" s="10"/>
      <c r="F454" s="10"/>
      <c r="G454" s="95" t="str">
        <f ca="1">IFERROR(__xludf.DUMMYFUNCTION("IFERROR(JOIN("","", UNIQUE(filter({C454; E454}, {C454; E454}&lt;&gt;""""))), """")"),"")</f>
        <v/>
      </c>
      <c r="H454" s="96"/>
      <c r="I454" s="96"/>
      <c r="J454" s="96"/>
      <c r="K454" s="96"/>
      <c r="L454" s="96"/>
      <c r="M454" s="95" t="str">
        <f ca="1">IFERROR(__xludf.DUMMYFUNCTION("IFERROR(JOIN("","", UNIQUE(filter({I454; K454}, {I454; K454}&lt;&gt;""""))), """")"),"")</f>
        <v/>
      </c>
      <c r="N454" s="98"/>
      <c r="O454" s="98"/>
      <c r="P454" s="98"/>
      <c r="Q454" s="98"/>
      <c r="R454" s="98"/>
      <c r="S454" s="95" t="str">
        <f ca="1">IFERROR(__xludf.DUMMYFUNCTION("IFERROR(JOIN("","", UNIQUE(filter({O454; Q454}, {O454; Q454}&lt;&gt;""""))), """")"),"")</f>
        <v/>
      </c>
      <c r="T454" s="99"/>
      <c r="U454" s="99"/>
      <c r="V454" s="99"/>
      <c r="W454" s="99"/>
      <c r="X454" s="99"/>
      <c r="Y454" s="95" t="str">
        <f ca="1">IFERROR(__xludf.DUMMYFUNCTION("IFERROR(JOIN("","", UNIQUE(filter({U454; W454}, {U454; W454}&lt;&gt;""""))), """")"),"")</f>
        <v/>
      </c>
    </row>
    <row r="455" spans="2:25" ht="13" x14ac:dyDescent="0.15">
      <c r="B455" s="10"/>
      <c r="C455" s="10"/>
      <c r="D455" s="10"/>
      <c r="E455" s="10"/>
      <c r="F455" s="10"/>
      <c r="G455" s="95" t="str">
        <f ca="1">IFERROR(__xludf.DUMMYFUNCTION("IFERROR(JOIN("","", UNIQUE(filter({C455; E455}, {C455; E455}&lt;&gt;""""))), """")"),"")</f>
        <v/>
      </c>
      <c r="H455" s="96"/>
      <c r="I455" s="96"/>
      <c r="J455" s="96"/>
      <c r="K455" s="96"/>
      <c r="L455" s="96"/>
      <c r="M455" s="95" t="str">
        <f ca="1">IFERROR(__xludf.DUMMYFUNCTION("IFERROR(JOIN("","", UNIQUE(filter({I455; K455}, {I455; K455}&lt;&gt;""""))), """")"),"")</f>
        <v/>
      </c>
      <c r="N455" s="98"/>
      <c r="O455" s="98"/>
      <c r="P455" s="98"/>
      <c r="Q455" s="98"/>
      <c r="R455" s="98"/>
      <c r="S455" s="95" t="str">
        <f ca="1">IFERROR(__xludf.DUMMYFUNCTION("IFERROR(JOIN("","", UNIQUE(filter({O455; Q455}, {O455; Q455}&lt;&gt;""""))), """")"),"")</f>
        <v/>
      </c>
      <c r="T455" s="99"/>
      <c r="U455" s="99"/>
      <c r="V455" s="99"/>
      <c r="W455" s="99"/>
      <c r="X455" s="99"/>
      <c r="Y455" s="95" t="str">
        <f ca="1">IFERROR(__xludf.DUMMYFUNCTION("IFERROR(JOIN("","", UNIQUE(filter({U455; W455}, {U455; W455}&lt;&gt;""""))), """")"),"")</f>
        <v/>
      </c>
    </row>
    <row r="456" spans="2:25" ht="13" x14ac:dyDescent="0.15">
      <c r="B456" s="10"/>
      <c r="C456" s="10"/>
      <c r="D456" s="10"/>
      <c r="E456" s="10"/>
      <c r="F456" s="10"/>
      <c r="G456" s="95" t="str">
        <f ca="1">IFERROR(__xludf.DUMMYFUNCTION("IFERROR(JOIN("","", UNIQUE(filter({C456; E456}, {C456; E456}&lt;&gt;""""))), """")"),"")</f>
        <v/>
      </c>
      <c r="H456" s="96"/>
      <c r="I456" s="96"/>
      <c r="J456" s="96"/>
      <c r="K456" s="96"/>
      <c r="L456" s="96"/>
      <c r="M456" s="95" t="str">
        <f ca="1">IFERROR(__xludf.DUMMYFUNCTION("IFERROR(JOIN("","", UNIQUE(filter({I456; K456}, {I456; K456}&lt;&gt;""""))), """")"),"")</f>
        <v/>
      </c>
      <c r="N456" s="98"/>
      <c r="O456" s="98"/>
      <c r="P456" s="98"/>
      <c r="Q456" s="98"/>
      <c r="R456" s="98"/>
      <c r="S456" s="95" t="str">
        <f ca="1">IFERROR(__xludf.DUMMYFUNCTION("IFERROR(JOIN("","", UNIQUE(filter({O456; Q456}, {O456; Q456}&lt;&gt;""""))), """")"),"")</f>
        <v/>
      </c>
      <c r="T456" s="99"/>
      <c r="U456" s="99"/>
      <c r="V456" s="99"/>
      <c r="W456" s="99"/>
      <c r="X456" s="99"/>
      <c r="Y456" s="95" t="str">
        <f ca="1">IFERROR(__xludf.DUMMYFUNCTION("IFERROR(JOIN("","", UNIQUE(filter({U456; W456}, {U456; W456}&lt;&gt;""""))), """")"),"")</f>
        <v/>
      </c>
    </row>
    <row r="457" spans="2:25" ht="13" x14ac:dyDescent="0.15">
      <c r="B457" s="10"/>
      <c r="C457" s="10"/>
      <c r="D457" s="10"/>
      <c r="E457" s="10"/>
      <c r="F457" s="10"/>
      <c r="G457" s="95" t="str">
        <f ca="1">IFERROR(__xludf.DUMMYFUNCTION("IFERROR(JOIN("","", UNIQUE(filter({C457; E457}, {C457; E457}&lt;&gt;""""))), """")"),"")</f>
        <v/>
      </c>
      <c r="H457" s="96"/>
      <c r="I457" s="96"/>
      <c r="J457" s="96"/>
      <c r="K457" s="96"/>
      <c r="L457" s="96"/>
      <c r="M457" s="95" t="str">
        <f ca="1">IFERROR(__xludf.DUMMYFUNCTION("IFERROR(JOIN("","", UNIQUE(filter({I457; K457}, {I457; K457}&lt;&gt;""""))), """")"),"")</f>
        <v/>
      </c>
      <c r="N457" s="98"/>
      <c r="O457" s="98"/>
      <c r="P457" s="98"/>
      <c r="Q457" s="98"/>
      <c r="R457" s="98"/>
      <c r="S457" s="95" t="str">
        <f ca="1">IFERROR(__xludf.DUMMYFUNCTION("IFERROR(JOIN("","", UNIQUE(filter({O457; Q457}, {O457; Q457}&lt;&gt;""""))), """")"),"")</f>
        <v/>
      </c>
      <c r="T457" s="99"/>
      <c r="U457" s="99"/>
      <c r="V457" s="99"/>
      <c r="W457" s="99"/>
      <c r="X457" s="99"/>
      <c r="Y457" s="95" t="str">
        <f ca="1">IFERROR(__xludf.DUMMYFUNCTION("IFERROR(JOIN("","", UNIQUE(filter({U457; W457}, {U457; W457}&lt;&gt;""""))), """")"),"")</f>
        <v/>
      </c>
    </row>
    <row r="458" spans="2:25" ht="13" x14ac:dyDescent="0.15">
      <c r="B458" s="10"/>
      <c r="C458" s="10"/>
      <c r="D458" s="10"/>
      <c r="E458" s="10"/>
      <c r="F458" s="10"/>
      <c r="G458" s="95" t="str">
        <f ca="1">IFERROR(__xludf.DUMMYFUNCTION("IFERROR(JOIN("","", UNIQUE(filter({C458; E458}, {C458; E458}&lt;&gt;""""))), """")"),"")</f>
        <v/>
      </c>
      <c r="H458" s="96"/>
      <c r="I458" s="96"/>
      <c r="J458" s="96"/>
      <c r="K458" s="96"/>
      <c r="L458" s="96"/>
      <c r="M458" s="95" t="str">
        <f ca="1">IFERROR(__xludf.DUMMYFUNCTION("IFERROR(JOIN("","", UNIQUE(filter({I458; K458}, {I458; K458}&lt;&gt;""""))), """")"),"")</f>
        <v/>
      </c>
      <c r="N458" s="98"/>
      <c r="O458" s="98"/>
      <c r="P458" s="98"/>
      <c r="Q458" s="98"/>
      <c r="R458" s="98"/>
      <c r="S458" s="95" t="str">
        <f ca="1">IFERROR(__xludf.DUMMYFUNCTION("IFERROR(JOIN("","", UNIQUE(filter({O458; Q458}, {O458; Q458}&lt;&gt;""""))), """")"),"")</f>
        <v/>
      </c>
      <c r="T458" s="99"/>
      <c r="U458" s="99"/>
      <c r="V458" s="99"/>
      <c r="W458" s="99"/>
      <c r="X458" s="99"/>
      <c r="Y458" s="95" t="str">
        <f ca="1">IFERROR(__xludf.DUMMYFUNCTION("IFERROR(JOIN("","", UNIQUE(filter({U458; W458}, {U458; W458}&lt;&gt;""""))), """")"),"")</f>
        <v/>
      </c>
    </row>
    <row r="459" spans="2:25" ht="13" x14ac:dyDescent="0.15">
      <c r="B459" s="10"/>
      <c r="C459" s="10"/>
      <c r="D459" s="10"/>
      <c r="E459" s="10"/>
      <c r="F459" s="10"/>
      <c r="G459" s="95" t="str">
        <f ca="1">IFERROR(__xludf.DUMMYFUNCTION("IFERROR(JOIN("","", UNIQUE(filter({C459; E459}, {C459; E459}&lt;&gt;""""))), """")"),"")</f>
        <v/>
      </c>
      <c r="H459" s="96"/>
      <c r="I459" s="96"/>
      <c r="J459" s="96"/>
      <c r="K459" s="96"/>
      <c r="L459" s="96"/>
      <c r="M459" s="95" t="str">
        <f ca="1">IFERROR(__xludf.DUMMYFUNCTION("IFERROR(JOIN("","", UNIQUE(filter({I459; K459}, {I459; K459}&lt;&gt;""""))), """")"),"")</f>
        <v/>
      </c>
      <c r="N459" s="98"/>
      <c r="O459" s="98"/>
      <c r="P459" s="98"/>
      <c r="Q459" s="98"/>
      <c r="R459" s="98"/>
      <c r="S459" s="95" t="str">
        <f ca="1">IFERROR(__xludf.DUMMYFUNCTION("IFERROR(JOIN("","", UNIQUE(filter({O459; Q459}, {O459; Q459}&lt;&gt;""""))), """")"),"")</f>
        <v/>
      </c>
      <c r="T459" s="99"/>
      <c r="U459" s="99"/>
      <c r="V459" s="99"/>
      <c r="W459" s="99"/>
      <c r="X459" s="99"/>
      <c r="Y459" s="95" t="str">
        <f ca="1">IFERROR(__xludf.DUMMYFUNCTION("IFERROR(JOIN("","", UNIQUE(filter({U459; W459}, {U459; W459}&lt;&gt;""""))), """")"),"")</f>
        <v/>
      </c>
    </row>
    <row r="460" spans="2:25" ht="13" x14ac:dyDescent="0.15">
      <c r="B460" s="10"/>
      <c r="C460" s="10"/>
      <c r="D460" s="10"/>
      <c r="E460" s="10"/>
      <c r="F460" s="10"/>
      <c r="G460" s="95" t="str">
        <f ca="1">IFERROR(__xludf.DUMMYFUNCTION("IFERROR(JOIN("","", UNIQUE(filter({C460; E460}, {C460; E460}&lt;&gt;""""))), """")"),"")</f>
        <v/>
      </c>
      <c r="H460" s="96"/>
      <c r="I460" s="96"/>
      <c r="J460" s="96"/>
      <c r="K460" s="96"/>
      <c r="L460" s="96"/>
      <c r="M460" s="95" t="str">
        <f ca="1">IFERROR(__xludf.DUMMYFUNCTION("IFERROR(JOIN("","", UNIQUE(filter({I460; K460}, {I460; K460}&lt;&gt;""""))), """")"),"")</f>
        <v/>
      </c>
      <c r="N460" s="98"/>
      <c r="O460" s="98"/>
      <c r="P460" s="98"/>
      <c r="Q460" s="98"/>
      <c r="R460" s="98"/>
      <c r="S460" s="95" t="str">
        <f ca="1">IFERROR(__xludf.DUMMYFUNCTION("IFERROR(JOIN("","", UNIQUE(filter({O460; Q460}, {O460; Q460}&lt;&gt;""""))), """")"),"")</f>
        <v/>
      </c>
      <c r="T460" s="99"/>
      <c r="U460" s="99"/>
      <c r="V460" s="99"/>
      <c r="W460" s="99"/>
      <c r="X460" s="99"/>
      <c r="Y460" s="95" t="str">
        <f ca="1">IFERROR(__xludf.DUMMYFUNCTION("IFERROR(JOIN("","", UNIQUE(filter({U460; W460}, {U460; W460}&lt;&gt;""""))), """")"),"")</f>
        <v/>
      </c>
    </row>
    <row r="461" spans="2:25" ht="13" x14ac:dyDescent="0.15">
      <c r="B461" s="10"/>
      <c r="C461" s="10"/>
      <c r="D461" s="10"/>
      <c r="E461" s="10"/>
      <c r="F461" s="10"/>
      <c r="G461" s="95" t="str">
        <f ca="1">IFERROR(__xludf.DUMMYFUNCTION("IFERROR(JOIN("","", UNIQUE(filter({C461; E461}, {C461; E461}&lt;&gt;""""))), """")"),"")</f>
        <v/>
      </c>
      <c r="H461" s="96"/>
      <c r="I461" s="96"/>
      <c r="J461" s="96"/>
      <c r="K461" s="96"/>
      <c r="L461" s="96"/>
      <c r="M461" s="95" t="str">
        <f ca="1">IFERROR(__xludf.DUMMYFUNCTION("IFERROR(JOIN("","", UNIQUE(filter({I461; K461}, {I461; K461}&lt;&gt;""""))), """")"),"")</f>
        <v/>
      </c>
      <c r="N461" s="98"/>
      <c r="O461" s="98"/>
      <c r="P461" s="98"/>
      <c r="Q461" s="98"/>
      <c r="R461" s="98"/>
      <c r="S461" s="95" t="str">
        <f ca="1">IFERROR(__xludf.DUMMYFUNCTION("IFERROR(JOIN("","", UNIQUE(filter({O461; Q461}, {O461; Q461}&lt;&gt;""""))), """")"),"")</f>
        <v/>
      </c>
      <c r="T461" s="99"/>
      <c r="U461" s="99"/>
      <c r="V461" s="99"/>
      <c r="W461" s="99"/>
      <c r="X461" s="99"/>
      <c r="Y461" s="95" t="str">
        <f ca="1">IFERROR(__xludf.DUMMYFUNCTION("IFERROR(JOIN("","", UNIQUE(filter({U461; W461}, {U461; W461}&lt;&gt;""""))), """")"),"")</f>
        <v/>
      </c>
    </row>
    <row r="462" spans="2:25" ht="13" x14ac:dyDescent="0.15">
      <c r="B462" s="10"/>
      <c r="C462" s="10"/>
      <c r="D462" s="10"/>
      <c r="E462" s="10"/>
      <c r="F462" s="10"/>
      <c r="G462" s="95" t="str">
        <f ca="1">IFERROR(__xludf.DUMMYFUNCTION("IFERROR(JOIN("","", UNIQUE(filter({C462; E462}, {C462; E462}&lt;&gt;""""))), """")"),"")</f>
        <v/>
      </c>
      <c r="H462" s="96"/>
      <c r="I462" s="96"/>
      <c r="J462" s="96"/>
      <c r="K462" s="96"/>
      <c r="L462" s="96"/>
      <c r="M462" s="95" t="str">
        <f ca="1">IFERROR(__xludf.DUMMYFUNCTION("IFERROR(JOIN("","", UNIQUE(filter({I462; K462}, {I462; K462}&lt;&gt;""""))), """")"),"")</f>
        <v/>
      </c>
      <c r="N462" s="98"/>
      <c r="O462" s="98"/>
      <c r="P462" s="98"/>
      <c r="Q462" s="98"/>
      <c r="R462" s="98"/>
      <c r="S462" s="95" t="str">
        <f ca="1">IFERROR(__xludf.DUMMYFUNCTION("IFERROR(JOIN("","", UNIQUE(filter({O462; Q462}, {O462; Q462}&lt;&gt;""""))), """")"),"")</f>
        <v/>
      </c>
      <c r="T462" s="99"/>
      <c r="U462" s="99"/>
      <c r="V462" s="99"/>
      <c r="W462" s="99"/>
      <c r="X462" s="99"/>
      <c r="Y462" s="95" t="str">
        <f ca="1">IFERROR(__xludf.DUMMYFUNCTION("IFERROR(JOIN("","", UNIQUE(filter({U462; W462}, {U462; W462}&lt;&gt;""""))), """")"),"")</f>
        <v/>
      </c>
    </row>
    <row r="463" spans="2:25" ht="13" x14ac:dyDescent="0.15">
      <c r="B463" s="10"/>
      <c r="C463" s="10"/>
      <c r="D463" s="10"/>
      <c r="E463" s="10"/>
      <c r="F463" s="10"/>
      <c r="G463" s="95" t="str">
        <f ca="1">IFERROR(__xludf.DUMMYFUNCTION("IFERROR(JOIN("","", UNIQUE(filter({C463; E463}, {C463; E463}&lt;&gt;""""))), """")"),"")</f>
        <v/>
      </c>
      <c r="H463" s="96"/>
      <c r="I463" s="96"/>
      <c r="J463" s="96"/>
      <c r="K463" s="96"/>
      <c r="L463" s="96"/>
      <c r="M463" s="95" t="str">
        <f ca="1">IFERROR(__xludf.DUMMYFUNCTION("IFERROR(JOIN("","", UNIQUE(filter({I463; K463}, {I463; K463}&lt;&gt;""""))), """")"),"")</f>
        <v/>
      </c>
      <c r="N463" s="98"/>
      <c r="O463" s="98"/>
      <c r="P463" s="98"/>
      <c r="Q463" s="98"/>
      <c r="R463" s="98"/>
      <c r="S463" s="95" t="str">
        <f ca="1">IFERROR(__xludf.DUMMYFUNCTION("IFERROR(JOIN("","", UNIQUE(filter({O463; Q463}, {O463; Q463}&lt;&gt;""""))), """")"),"")</f>
        <v/>
      </c>
      <c r="T463" s="99"/>
      <c r="U463" s="99"/>
      <c r="V463" s="99"/>
      <c r="W463" s="99"/>
      <c r="X463" s="99"/>
      <c r="Y463" s="95" t="str">
        <f ca="1">IFERROR(__xludf.DUMMYFUNCTION("IFERROR(JOIN("","", UNIQUE(filter({U463; W463}, {U463; W463}&lt;&gt;""""))), """")"),"")</f>
        <v/>
      </c>
    </row>
    <row r="464" spans="2:25" ht="13" x14ac:dyDescent="0.15">
      <c r="B464" s="10"/>
      <c r="C464" s="10"/>
      <c r="D464" s="10"/>
      <c r="E464" s="10"/>
      <c r="F464" s="10"/>
      <c r="G464" s="95" t="str">
        <f ca="1">IFERROR(__xludf.DUMMYFUNCTION("IFERROR(JOIN("","", UNIQUE(filter({C464; E464}, {C464; E464}&lt;&gt;""""))), """")"),"")</f>
        <v/>
      </c>
      <c r="H464" s="96"/>
      <c r="I464" s="96"/>
      <c r="J464" s="96"/>
      <c r="K464" s="96"/>
      <c r="L464" s="96"/>
      <c r="M464" s="95" t="str">
        <f ca="1">IFERROR(__xludf.DUMMYFUNCTION("IFERROR(JOIN("","", UNIQUE(filter({I464; K464}, {I464; K464}&lt;&gt;""""))), """")"),"")</f>
        <v/>
      </c>
      <c r="N464" s="98"/>
      <c r="O464" s="98"/>
      <c r="P464" s="98"/>
      <c r="Q464" s="98"/>
      <c r="R464" s="98"/>
      <c r="S464" s="95" t="str">
        <f ca="1">IFERROR(__xludf.DUMMYFUNCTION("IFERROR(JOIN("","", UNIQUE(filter({O464; Q464}, {O464; Q464}&lt;&gt;""""))), """")"),"")</f>
        <v/>
      </c>
      <c r="T464" s="99"/>
      <c r="U464" s="99"/>
      <c r="V464" s="99"/>
      <c r="W464" s="99"/>
      <c r="X464" s="99"/>
      <c r="Y464" s="95" t="str">
        <f ca="1">IFERROR(__xludf.DUMMYFUNCTION("IFERROR(JOIN("","", UNIQUE(filter({U464; W464}, {U464; W464}&lt;&gt;""""))), """")"),"")</f>
        <v/>
      </c>
    </row>
    <row r="465" spans="2:25" ht="13" x14ac:dyDescent="0.15">
      <c r="B465" s="10"/>
      <c r="C465" s="10"/>
      <c r="D465" s="10"/>
      <c r="E465" s="10"/>
      <c r="F465" s="10"/>
      <c r="G465" s="95" t="str">
        <f ca="1">IFERROR(__xludf.DUMMYFUNCTION("IFERROR(JOIN("","", UNIQUE(filter({C465; E465}, {C465; E465}&lt;&gt;""""))), """")"),"")</f>
        <v/>
      </c>
      <c r="H465" s="96"/>
      <c r="I465" s="96"/>
      <c r="J465" s="96"/>
      <c r="K465" s="96"/>
      <c r="L465" s="96"/>
      <c r="M465" s="95" t="str">
        <f ca="1">IFERROR(__xludf.DUMMYFUNCTION("IFERROR(JOIN("","", UNIQUE(filter({I465; K465}, {I465; K465}&lt;&gt;""""))), """")"),"")</f>
        <v/>
      </c>
      <c r="N465" s="98"/>
      <c r="O465" s="98"/>
      <c r="P465" s="98"/>
      <c r="Q465" s="98"/>
      <c r="R465" s="98"/>
      <c r="S465" s="95" t="str">
        <f ca="1">IFERROR(__xludf.DUMMYFUNCTION("IFERROR(JOIN("","", UNIQUE(filter({O465; Q465}, {O465; Q465}&lt;&gt;""""))), """")"),"")</f>
        <v/>
      </c>
      <c r="T465" s="99"/>
      <c r="U465" s="99"/>
      <c r="V465" s="99"/>
      <c r="W465" s="99"/>
      <c r="X465" s="99"/>
      <c r="Y465" s="95" t="str">
        <f ca="1">IFERROR(__xludf.DUMMYFUNCTION("IFERROR(JOIN("","", UNIQUE(filter({U465; W465}, {U465; W465}&lt;&gt;""""))), """")"),"")</f>
        <v/>
      </c>
    </row>
    <row r="466" spans="2:25" ht="13" x14ac:dyDescent="0.15">
      <c r="B466" s="10"/>
      <c r="C466" s="10"/>
      <c r="D466" s="10"/>
      <c r="E466" s="10"/>
      <c r="F466" s="10"/>
      <c r="G466" s="95" t="str">
        <f ca="1">IFERROR(__xludf.DUMMYFUNCTION("IFERROR(JOIN("","", UNIQUE(filter({C466; E466}, {C466; E466}&lt;&gt;""""))), """")"),"")</f>
        <v/>
      </c>
      <c r="H466" s="96"/>
      <c r="I466" s="96"/>
      <c r="J466" s="96"/>
      <c r="K466" s="96"/>
      <c r="L466" s="96"/>
      <c r="M466" s="95" t="str">
        <f ca="1">IFERROR(__xludf.DUMMYFUNCTION("IFERROR(JOIN("","", UNIQUE(filter({I466; K466}, {I466; K466}&lt;&gt;""""))), """")"),"")</f>
        <v/>
      </c>
      <c r="N466" s="98"/>
      <c r="O466" s="98"/>
      <c r="P466" s="98"/>
      <c r="Q466" s="98"/>
      <c r="R466" s="98"/>
      <c r="S466" s="95" t="str">
        <f ca="1">IFERROR(__xludf.DUMMYFUNCTION("IFERROR(JOIN("","", UNIQUE(filter({O466; Q466}, {O466; Q466}&lt;&gt;""""))), """")"),"")</f>
        <v/>
      </c>
      <c r="T466" s="99"/>
      <c r="U466" s="99"/>
      <c r="V466" s="99"/>
      <c r="W466" s="99"/>
      <c r="X466" s="99"/>
      <c r="Y466" s="95" t="str">
        <f ca="1">IFERROR(__xludf.DUMMYFUNCTION("IFERROR(JOIN("","", UNIQUE(filter({U466; W466}, {U466; W466}&lt;&gt;""""))), """")"),"")</f>
        <v/>
      </c>
    </row>
    <row r="467" spans="2:25" ht="13" x14ac:dyDescent="0.15">
      <c r="B467" s="10"/>
      <c r="C467" s="10"/>
      <c r="D467" s="10"/>
      <c r="E467" s="10"/>
      <c r="F467" s="10"/>
      <c r="G467" s="95" t="str">
        <f ca="1">IFERROR(__xludf.DUMMYFUNCTION("IFERROR(JOIN("","", UNIQUE(filter({C467; E467}, {C467; E467}&lt;&gt;""""))), """")"),"")</f>
        <v/>
      </c>
      <c r="H467" s="96"/>
      <c r="I467" s="96"/>
      <c r="J467" s="96"/>
      <c r="K467" s="96"/>
      <c r="L467" s="96"/>
      <c r="M467" s="95" t="str">
        <f ca="1">IFERROR(__xludf.DUMMYFUNCTION("IFERROR(JOIN("","", UNIQUE(filter({I467; K467}, {I467; K467}&lt;&gt;""""))), """")"),"")</f>
        <v/>
      </c>
      <c r="N467" s="98"/>
      <c r="O467" s="98"/>
      <c r="P467" s="98"/>
      <c r="Q467" s="98"/>
      <c r="R467" s="98"/>
      <c r="S467" s="95" t="str">
        <f ca="1">IFERROR(__xludf.DUMMYFUNCTION("IFERROR(JOIN("","", UNIQUE(filter({O467; Q467}, {O467; Q467}&lt;&gt;""""))), """")"),"")</f>
        <v/>
      </c>
      <c r="T467" s="99"/>
      <c r="U467" s="99"/>
      <c r="V467" s="99"/>
      <c r="W467" s="99"/>
      <c r="X467" s="99"/>
      <c r="Y467" s="95" t="str">
        <f ca="1">IFERROR(__xludf.DUMMYFUNCTION("IFERROR(JOIN("","", UNIQUE(filter({U467; W467}, {U467; W467}&lt;&gt;""""))), """")"),"")</f>
        <v/>
      </c>
    </row>
    <row r="468" spans="2:25" ht="13" x14ac:dyDescent="0.15">
      <c r="B468" s="10"/>
      <c r="C468" s="10"/>
      <c r="D468" s="10"/>
      <c r="E468" s="10"/>
      <c r="F468" s="10"/>
      <c r="G468" s="95" t="str">
        <f ca="1">IFERROR(__xludf.DUMMYFUNCTION("IFERROR(JOIN("","", UNIQUE(filter({C468; E468}, {C468; E468}&lt;&gt;""""))), """")"),"")</f>
        <v/>
      </c>
      <c r="H468" s="96"/>
      <c r="I468" s="96"/>
      <c r="J468" s="96"/>
      <c r="K468" s="96"/>
      <c r="L468" s="96"/>
      <c r="M468" s="95" t="str">
        <f ca="1">IFERROR(__xludf.DUMMYFUNCTION("IFERROR(JOIN("","", UNIQUE(filter({I468; K468}, {I468; K468}&lt;&gt;""""))), """")"),"")</f>
        <v/>
      </c>
      <c r="N468" s="98"/>
      <c r="O468" s="98"/>
      <c r="P468" s="98"/>
      <c r="Q468" s="98"/>
      <c r="R468" s="98"/>
      <c r="S468" s="95" t="str">
        <f ca="1">IFERROR(__xludf.DUMMYFUNCTION("IFERROR(JOIN("","", UNIQUE(filter({O468; Q468}, {O468; Q468}&lt;&gt;""""))), """")"),"")</f>
        <v/>
      </c>
      <c r="T468" s="99"/>
      <c r="U468" s="99"/>
      <c r="V468" s="99"/>
      <c r="W468" s="99"/>
      <c r="X468" s="99"/>
      <c r="Y468" s="95" t="str">
        <f ca="1">IFERROR(__xludf.DUMMYFUNCTION("IFERROR(JOIN("","", UNIQUE(filter({U468; W468}, {U468; W468}&lt;&gt;""""))), """")"),"")</f>
        <v/>
      </c>
    </row>
    <row r="469" spans="2:25" ht="13" x14ac:dyDescent="0.15">
      <c r="B469" s="10"/>
      <c r="C469" s="10"/>
      <c r="D469" s="10"/>
      <c r="E469" s="10"/>
      <c r="F469" s="10"/>
      <c r="G469" s="95" t="str">
        <f ca="1">IFERROR(__xludf.DUMMYFUNCTION("IFERROR(JOIN("","", UNIQUE(filter({C469; E469}, {C469; E469}&lt;&gt;""""))), """")"),"")</f>
        <v/>
      </c>
      <c r="H469" s="96"/>
      <c r="I469" s="96"/>
      <c r="J469" s="96"/>
      <c r="K469" s="96"/>
      <c r="L469" s="96"/>
      <c r="M469" s="95" t="str">
        <f ca="1">IFERROR(__xludf.DUMMYFUNCTION("IFERROR(JOIN("","", UNIQUE(filter({I469; K469}, {I469; K469}&lt;&gt;""""))), """")"),"")</f>
        <v/>
      </c>
      <c r="N469" s="98"/>
      <c r="O469" s="98"/>
      <c r="P469" s="98"/>
      <c r="Q469" s="98"/>
      <c r="R469" s="98"/>
      <c r="S469" s="95" t="str">
        <f ca="1">IFERROR(__xludf.DUMMYFUNCTION("IFERROR(JOIN("","", UNIQUE(filter({O469; Q469}, {O469; Q469}&lt;&gt;""""))), """")"),"")</f>
        <v/>
      </c>
      <c r="T469" s="99"/>
      <c r="U469" s="99"/>
      <c r="V469" s="99"/>
      <c r="W469" s="99"/>
      <c r="X469" s="99"/>
      <c r="Y469" s="95" t="str">
        <f ca="1">IFERROR(__xludf.DUMMYFUNCTION("IFERROR(JOIN("","", UNIQUE(filter({U469; W469}, {U469; W469}&lt;&gt;""""))), """")"),"")</f>
        <v/>
      </c>
    </row>
    <row r="470" spans="2:25" ht="13" x14ac:dyDescent="0.15">
      <c r="B470" s="10"/>
      <c r="C470" s="10"/>
      <c r="D470" s="10"/>
      <c r="E470" s="10"/>
      <c r="F470" s="10"/>
      <c r="G470" s="95" t="str">
        <f ca="1">IFERROR(__xludf.DUMMYFUNCTION("IFERROR(JOIN("","", UNIQUE(filter({C470; E470}, {C470; E470}&lt;&gt;""""))), """")"),"")</f>
        <v/>
      </c>
      <c r="H470" s="96"/>
      <c r="I470" s="96"/>
      <c r="J470" s="96"/>
      <c r="K470" s="96"/>
      <c r="L470" s="96"/>
      <c r="M470" s="95" t="str">
        <f ca="1">IFERROR(__xludf.DUMMYFUNCTION("IFERROR(JOIN("","", UNIQUE(filter({I470; K470}, {I470; K470}&lt;&gt;""""))), """")"),"")</f>
        <v/>
      </c>
      <c r="N470" s="98"/>
      <c r="O470" s="98"/>
      <c r="P470" s="98"/>
      <c r="Q470" s="98"/>
      <c r="R470" s="98"/>
      <c r="S470" s="95" t="str">
        <f ca="1">IFERROR(__xludf.DUMMYFUNCTION("IFERROR(JOIN("","", UNIQUE(filter({O470; Q470}, {O470; Q470}&lt;&gt;""""))), """")"),"")</f>
        <v/>
      </c>
      <c r="T470" s="99"/>
      <c r="U470" s="99"/>
      <c r="V470" s="99"/>
      <c r="W470" s="99"/>
      <c r="X470" s="99"/>
      <c r="Y470" s="95" t="str">
        <f ca="1">IFERROR(__xludf.DUMMYFUNCTION("IFERROR(JOIN("","", UNIQUE(filter({U470; W470}, {U470; W470}&lt;&gt;""""))), """")"),"")</f>
        <v/>
      </c>
    </row>
    <row r="471" spans="2:25" ht="13" x14ac:dyDescent="0.15">
      <c r="B471" s="10"/>
      <c r="C471" s="10"/>
      <c r="D471" s="10"/>
      <c r="E471" s="10"/>
      <c r="F471" s="10"/>
      <c r="G471" s="95" t="str">
        <f ca="1">IFERROR(__xludf.DUMMYFUNCTION("IFERROR(JOIN("","", UNIQUE(filter({C471; E471}, {C471; E471}&lt;&gt;""""))), """")"),"")</f>
        <v/>
      </c>
      <c r="H471" s="96"/>
      <c r="I471" s="96"/>
      <c r="J471" s="96"/>
      <c r="K471" s="96"/>
      <c r="L471" s="96"/>
      <c r="M471" s="95" t="str">
        <f ca="1">IFERROR(__xludf.DUMMYFUNCTION("IFERROR(JOIN("","", UNIQUE(filter({I471; K471}, {I471; K471}&lt;&gt;""""))), """")"),"")</f>
        <v/>
      </c>
      <c r="N471" s="98"/>
      <c r="O471" s="98"/>
      <c r="P471" s="98"/>
      <c r="Q471" s="98"/>
      <c r="R471" s="98"/>
      <c r="S471" s="95" t="str">
        <f ca="1">IFERROR(__xludf.DUMMYFUNCTION("IFERROR(JOIN("","", UNIQUE(filter({O471; Q471}, {O471; Q471}&lt;&gt;""""))), """")"),"")</f>
        <v/>
      </c>
      <c r="T471" s="99"/>
      <c r="U471" s="99"/>
      <c r="V471" s="99"/>
      <c r="W471" s="99"/>
      <c r="X471" s="99"/>
      <c r="Y471" s="95" t="str">
        <f ca="1">IFERROR(__xludf.DUMMYFUNCTION("IFERROR(JOIN("","", UNIQUE(filter({U471; W471}, {U471; W471}&lt;&gt;""""))), """")"),"")</f>
        <v/>
      </c>
    </row>
    <row r="472" spans="2:25" ht="13" x14ac:dyDescent="0.15">
      <c r="B472" s="10"/>
      <c r="C472" s="10"/>
      <c r="D472" s="10"/>
      <c r="E472" s="10"/>
      <c r="F472" s="10"/>
      <c r="G472" s="95" t="str">
        <f ca="1">IFERROR(__xludf.DUMMYFUNCTION("IFERROR(JOIN("","", UNIQUE(filter({C472; E472}, {C472; E472}&lt;&gt;""""))), """")"),"")</f>
        <v/>
      </c>
      <c r="H472" s="96"/>
      <c r="I472" s="96"/>
      <c r="J472" s="96"/>
      <c r="K472" s="96"/>
      <c r="L472" s="96"/>
      <c r="M472" s="95" t="str">
        <f ca="1">IFERROR(__xludf.DUMMYFUNCTION("IFERROR(JOIN("","", UNIQUE(filter({I472; K472}, {I472; K472}&lt;&gt;""""))), """")"),"")</f>
        <v/>
      </c>
      <c r="N472" s="98"/>
      <c r="O472" s="98"/>
      <c r="P472" s="98"/>
      <c r="Q472" s="98"/>
      <c r="R472" s="98"/>
      <c r="S472" s="95" t="str">
        <f ca="1">IFERROR(__xludf.DUMMYFUNCTION("IFERROR(JOIN("","", UNIQUE(filter({O472; Q472}, {O472; Q472}&lt;&gt;""""))), """")"),"")</f>
        <v/>
      </c>
      <c r="T472" s="99"/>
      <c r="U472" s="99"/>
      <c r="V472" s="99"/>
      <c r="W472" s="99"/>
      <c r="X472" s="99"/>
      <c r="Y472" s="95" t="str">
        <f ca="1">IFERROR(__xludf.DUMMYFUNCTION("IFERROR(JOIN("","", UNIQUE(filter({U472; W472}, {U472; W472}&lt;&gt;""""))), """")"),"")</f>
        <v/>
      </c>
    </row>
    <row r="473" spans="2:25" ht="13" x14ac:dyDescent="0.15">
      <c r="B473" s="10"/>
      <c r="C473" s="10"/>
      <c r="D473" s="10"/>
      <c r="E473" s="10"/>
      <c r="F473" s="10"/>
      <c r="G473" s="95" t="str">
        <f ca="1">IFERROR(__xludf.DUMMYFUNCTION("IFERROR(JOIN("","", UNIQUE(filter({C473; E473}, {C473; E473}&lt;&gt;""""))), """")"),"")</f>
        <v/>
      </c>
      <c r="H473" s="96"/>
      <c r="I473" s="96"/>
      <c r="J473" s="96"/>
      <c r="K473" s="96"/>
      <c r="L473" s="96"/>
      <c r="M473" s="95" t="str">
        <f ca="1">IFERROR(__xludf.DUMMYFUNCTION("IFERROR(JOIN("","", UNIQUE(filter({I473; K473}, {I473; K473}&lt;&gt;""""))), """")"),"")</f>
        <v/>
      </c>
      <c r="N473" s="98"/>
      <c r="O473" s="98"/>
      <c r="P473" s="98"/>
      <c r="Q473" s="98"/>
      <c r="R473" s="98"/>
      <c r="S473" s="95" t="str">
        <f ca="1">IFERROR(__xludf.DUMMYFUNCTION("IFERROR(JOIN("","", UNIQUE(filter({O473; Q473}, {O473; Q473}&lt;&gt;""""))), """")"),"")</f>
        <v/>
      </c>
      <c r="T473" s="99"/>
      <c r="U473" s="99"/>
      <c r="V473" s="99"/>
      <c r="W473" s="99"/>
      <c r="X473" s="99"/>
      <c r="Y473" s="95" t="str">
        <f ca="1">IFERROR(__xludf.DUMMYFUNCTION("IFERROR(JOIN("","", UNIQUE(filter({U473; W473}, {U473; W473}&lt;&gt;""""))), """")"),"")</f>
        <v/>
      </c>
    </row>
    <row r="474" spans="2:25" ht="13" x14ac:dyDescent="0.15">
      <c r="B474" s="10"/>
      <c r="C474" s="10"/>
      <c r="D474" s="10"/>
      <c r="E474" s="10"/>
      <c r="F474" s="10"/>
      <c r="G474" s="95" t="str">
        <f ca="1">IFERROR(__xludf.DUMMYFUNCTION("IFERROR(JOIN("","", UNIQUE(filter({C474; E474}, {C474; E474}&lt;&gt;""""))), """")"),"")</f>
        <v/>
      </c>
      <c r="H474" s="96"/>
      <c r="I474" s="96"/>
      <c r="J474" s="96"/>
      <c r="K474" s="96"/>
      <c r="L474" s="96"/>
      <c r="M474" s="95" t="str">
        <f ca="1">IFERROR(__xludf.DUMMYFUNCTION("IFERROR(JOIN("","", UNIQUE(filter({I474; K474}, {I474; K474}&lt;&gt;""""))), """")"),"")</f>
        <v/>
      </c>
      <c r="N474" s="98"/>
      <c r="O474" s="98"/>
      <c r="P474" s="98"/>
      <c r="Q474" s="98"/>
      <c r="R474" s="98"/>
      <c r="S474" s="95" t="str">
        <f ca="1">IFERROR(__xludf.DUMMYFUNCTION("IFERROR(JOIN("","", UNIQUE(filter({O474; Q474}, {O474; Q474}&lt;&gt;""""))), """")"),"")</f>
        <v/>
      </c>
      <c r="T474" s="99"/>
      <c r="U474" s="99"/>
      <c r="V474" s="99"/>
      <c r="W474" s="99"/>
      <c r="X474" s="99"/>
      <c r="Y474" s="95" t="str">
        <f ca="1">IFERROR(__xludf.DUMMYFUNCTION("IFERROR(JOIN("","", UNIQUE(filter({U474; W474}, {U474; W474}&lt;&gt;""""))), """")"),"")</f>
        <v/>
      </c>
    </row>
    <row r="475" spans="2:25" ht="13" x14ac:dyDescent="0.15">
      <c r="B475" s="10"/>
      <c r="C475" s="10"/>
      <c r="D475" s="10"/>
      <c r="E475" s="10"/>
      <c r="F475" s="10"/>
      <c r="G475" s="95" t="str">
        <f ca="1">IFERROR(__xludf.DUMMYFUNCTION("IFERROR(JOIN("","", UNIQUE(filter({C475; E475}, {C475; E475}&lt;&gt;""""))), """")"),"")</f>
        <v/>
      </c>
      <c r="H475" s="96"/>
      <c r="I475" s="96"/>
      <c r="J475" s="96"/>
      <c r="K475" s="96"/>
      <c r="L475" s="96"/>
      <c r="M475" s="95" t="str">
        <f ca="1">IFERROR(__xludf.DUMMYFUNCTION("IFERROR(JOIN("","", UNIQUE(filter({I475; K475}, {I475; K475}&lt;&gt;""""))), """")"),"")</f>
        <v/>
      </c>
      <c r="N475" s="98"/>
      <c r="O475" s="98"/>
      <c r="P475" s="98"/>
      <c r="Q475" s="98"/>
      <c r="R475" s="98"/>
      <c r="S475" s="95" t="str">
        <f ca="1">IFERROR(__xludf.DUMMYFUNCTION("IFERROR(JOIN("","", UNIQUE(filter({O475; Q475}, {O475; Q475}&lt;&gt;""""))), """")"),"")</f>
        <v/>
      </c>
      <c r="T475" s="99"/>
      <c r="U475" s="99"/>
      <c r="V475" s="99"/>
      <c r="W475" s="99"/>
      <c r="X475" s="99"/>
      <c r="Y475" s="95" t="str">
        <f ca="1">IFERROR(__xludf.DUMMYFUNCTION("IFERROR(JOIN("","", UNIQUE(filter({U475; W475}, {U475; W475}&lt;&gt;""""))), """")"),"")</f>
        <v/>
      </c>
    </row>
    <row r="476" spans="2:25" ht="13" x14ac:dyDescent="0.15">
      <c r="B476" s="10"/>
      <c r="C476" s="10"/>
      <c r="D476" s="10"/>
      <c r="E476" s="10"/>
      <c r="F476" s="10"/>
      <c r="G476" s="95" t="str">
        <f ca="1">IFERROR(__xludf.DUMMYFUNCTION("IFERROR(JOIN("","", UNIQUE(filter({C476; E476}, {C476; E476}&lt;&gt;""""))), """")"),"")</f>
        <v/>
      </c>
      <c r="H476" s="96"/>
      <c r="I476" s="96"/>
      <c r="J476" s="96"/>
      <c r="K476" s="96"/>
      <c r="L476" s="96"/>
      <c r="M476" s="95" t="str">
        <f ca="1">IFERROR(__xludf.DUMMYFUNCTION("IFERROR(JOIN("","", UNIQUE(filter({I476; K476}, {I476; K476}&lt;&gt;""""))), """")"),"")</f>
        <v/>
      </c>
      <c r="N476" s="98"/>
      <c r="O476" s="98"/>
      <c r="P476" s="98"/>
      <c r="Q476" s="98"/>
      <c r="R476" s="98"/>
      <c r="S476" s="95" t="str">
        <f ca="1">IFERROR(__xludf.DUMMYFUNCTION("IFERROR(JOIN("","", UNIQUE(filter({O476; Q476}, {O476; Q476}&lt;&gt;""""))), """")"),"")</f>
        <v/>
      </c>
      <c r="T476" s="99"/>
      <c r="U476" s="99"/>
      <c r="V476" s="99"/>
      <c r="W476" s="99"/>
      <c r="X476" s="99"/>
      <c r="Y476" s="95" t="str">
        <f ca="1">IFERROR(__xludf.DUMMYFUNCTION("IFERROR(JOIN("","", UNIQUE(filter({U476; W476}, {U476; W476}&lt;&gt;""""))), """")"),"")</f>
        <v/>
      </c>
    </row>
    <row r="477" spans="2:25" ht="13" x14ac:dyDescent="0.15">
      <c r="B477" s="10"/>
      <c r="C477" s="10"/>
      <c r="D477" s="10"/>
      <c r="E477" s="10"/>
      <c r="F477" s="10"/>
      <c r="G477" s="95" t="str">
        <f ca="1">IFERROR(__xludf.DUMMYFUNCTION("IFERROR(JOIN("","", UNIQUE(filter({C477; E477}, {C477; E477}&lt;&gt;""""))), """")"),"")</f>
        <v/>
      </c>
      <c r="H477" s="96"/>
      <c r="I477" s="96"/>
      <c r="J477" s="96"/>
      <c r="K477" s="96"/>
      <c r="L477" s="96"/>
      <c r="M477" s="95" t="str">
        <f ca="1">IFERROR(__xludf.DUMMYFUNCTION("IFERROR(JOIN("","", UNIQUE(filter({I477; K477}, {I477; K477}&lt;&gt;""""))), """")"),"")</f>
        <v/>
      </c>
      <c r="N477" s="98"/>
      <c r="O477" s="98"/>
      <c r="P477" s="98"/>
      <c r="Q477" s="98"/>
      <c r="R477" s="98"/>
      <c r="S477" s="95" t="str">
        <f ca="1">IFERROR(__xludf.DUMMYFUNCTION("IFERROR(JOIN("","", UNIQUE(filter({O477; Q477}, {O477; Q477}&lt;&gt;""""))), """")"),"")</f>
        <v/>
      </c>
      <c r="T477" s="99"/>
      <c r="U477" s="99"/>
      <c r="V477" s="99"/>
      <c r="W477" s="99"/>
      <c r="X477" s="99"/>
      <c r="Y477" s="95" t="str">
        <f ca="1">IFERROR(__xludf.DUMMYFUNCTION("IFERROR(JOIN("","", UNIQUE(filter({U477; W477}, {U477; W477}&lt;&gt;""""))), """")"),"")</f>
        <v/>
      </c>
    </row>
    <row r="478" spans="2:25" ht="13" x14ac:dyDescent="0.15">
      <c r="B478" s="10"/>
      <c r="C478" s="10"/>
      <c r="D478" s="10"/>
      <c r="E478" s="10"/>
      <c r="F478" s="10"/>
      <c r="G478" s="95" t="str">
        <f ca="1">IFERROR(__xludf.DUMMYFUNCTION("IFERROR(JOIN("","", UNIQUE(filter({C478; E478}, {C478; E478}&lt;&gt;""""))), """")"),"")</f>
        <v/>
      </c>
      <c r="H478" s="96"/>
      <c r="I478" s="96"/>
      <c r="J478" s="96"/>
      <c r="K478" s="96"/>
      <c r="L478" s="96"/>
      <c r="M478" s="95" t="str">
        <f ca="1">IFERROR(__xludf.DUMMYFUNCTION("IFERROR(JOIN("","", UNIQUE(filter({I478; K478}, {I478; K478}&lt;&gt;""""))), """")"),"")</f>
        <v/>
      </c>
      <c r="N478" s="98"/>
      <c r="O478" s="98"/>
      <c r="P478" s="98"/>
      <c r="Q478" s="98"/>
      <c r="R478" s="98"/>
      <c r="S478" s="95" t="str">
        <f ca="1">IFERROR(__xludf.DUMMYFUNCTION("IFERROR(JOIN("","", UNIQUE(filter({O478; Q478}, {O478; Q478}&lt;&gt;""""))), """")"),"")</f>
        <v/>
      </c>
      <c r="T478" s="99"/>
      <c r="U478" s="99"/>
      <c r="V478" s="99"/>
      <c r="W478" s="99"/>
      <c r="X478" s="99"/>
      <c r="Y478" s="95" t="str">
        <f ca="1">IFERROR(__xludf.DUMMYFUNCTION("IFERROR(JOIN("","", UNIQUE(filter({U478; W478}, {U478; W478}&lt;&gt;""""))), """")"),"")</f>
        <v/>
      </c>
    </row>
    <row r="479" spans="2:25" ht="13" x14ac:dyDescent="0.15">
      <c r="B479" s="10"/>
      <c r="C479" s="10"/>
      <c r="D479" s="10"/>
      <c r="E479" s="10"/>
      <c r="F479" s="10"/>
      <c r="G479" s="95" t="str">
        <f ca="1">IFERROR(__xludf.DUMMYFUNCTION("IFERROR(JOIN("","", UNIQUE(filter({C479; E479}, {C479; E479}&lt;&gt;""""))), """")"),"")</f>
        <v/>
      </c>
      <c r="H479" s="96"/>
      <c r="I479" s="96"/>
      <c r="J479" s="96"/>
      <c r="K479" s="96"/>
      <c r="L479" s="96"/>
      <c r="M479" s="95" t="str">
        <f ca="1">IFERROR(__xludf.DUMMYFUNCTION("IFERROR(JOIN("","", UNIQUE(filter({I479; K479}, {I479; K479}&lt;&gt;""""))), """")"),"")</f>
        <v/>
      </c>
      <c r="N479" s="98"/>
      <c r="O479" s="98"/>
      <c r="P479" s="98"/>
      <c r="Q479" s="98"/>
      <c r="R479" s="98"/>
      <c r="S479" s="95" t="str">
        <f ca="1">IFERROR(__xludf.DUMMYFUNCTION("IFERROR(JOIN("","", UNIQUE(filter({O479; Q479}, {O479; Q479}&lt;&gt;""""))), """")"),"")</f>
        <v/>
      </c>
      <c r="T479" s="99"/>
      <c r="U479" s="99"/>
      <c r="V479" s="99"/>
      <c r="W479" s="99"/>
      <c r="X479" s="99"/>
      <c r="Y479" s="95" t="str">
        <f ca="1">IFERROR(__xludf.DUMMYFUNCTION("IFERROR(JOIN("","", UNIQUE(filter({U479; W479}, {U479; W479}&lt;&gt;""""))), """")"),"")</f>
        <v/>
      </c>
    </row>
    <row r="480" spans="2:25" ht="13" x14ac:dyDescent="0.15">
      <c r="B480" s="10"/>
      <c r="C480" s="10"/>
      <c r="D480" s="10"/>
      <c r="E480" s="10"/>
      <c r="F480" s="10"/>
      <c r="G480" s="95" t="str">
        <f ca="1">IFERROR(__xludf.DUMMYFUNCTION("IFERROR(JOIN("","", UNIQUE(filter({C480; E480}, {C480; E480}&lt;&gt;""""))), """")"),"")</f>
        <v/>
      </c>
      <c r="H480" s="96"/>
      <c r="I480" s="96"/>
      <c r="J480" s="96"/>
      <c r="K480" s="96"/>
      <c r="L480" s="96"/>
      <c r="M480" s="95" t="str">
        <f ca="1">IFERROR(__xludf.DUMMYFUNCTION("IFERROR(JOIN("","", UNIQUE(filter({I480; K480}, {I480; K480}&lt;&gt;""""))), """")"),"")</f>
        <v/>
      </c>
      <c r="N480" s="98"/>
      <c r="O480" s="98"/>
      <c r="P480" s="98"/>
      <c r="Q480" s="98"/>
      <c r="R480" s="98"/>
      <c r="S480" s="95" t="str">
        <f ca="1">IFERROR(__xludf.DUMMYFUNCTION("IFERROR(JOIN("","", UNIQUE(filter({O480; Q480}, {O480; Q480}&lt;&gt;""""))), """")"),"")</f>
        <v/>
      </c>
      <c r="T480" s="99"/>
      <c r="U480" s="99"/>
      <c r="V480" s="99"/>
      <c r="W480" s="99"/>
      <c r="X480" s="99"/>
      <c r="Y480" s="95" t="str">
        <f ca="1">IFERROR(__xludf.DUMMYFUNCTION("IFERROR(JOIN("","", UNIQUE(filter({U480; W480}, {U480; W480}&lt;&gt;""""))), """")"),"")</f>
        <v/>
      </c>
    </row>
    <row r="481" spans="2:25" ht="13" x14ac:dyDescent="0.15">
      <c r="B481" s="10"/>
      <c r="C481" s="10"/>
      <c r="D481" s="10"/>
      <c r="E481" s="10"/>
      <c r="F481" s="10"/>
      <c r="G481" s="95" t="str">
        <f ca="1">IFERROR(__xludf.DUMMYFUNCTION("IFERROR(JOIN("","", UNIQUE(filter({C481; E481}, {C481; E481}&lt;&gt;""""))), """")"),"")</f>
        <v/>
      </c>
      <c r="H481" s="96"/>
      <c r="I481" s="96"/>
      <c r="J481" s="96"/>
      <c r="K481" s="96"/>
      <c r="L481" s="96"/>
      <c r="M481" s="95" t="str">
        <f ca="1">IFERROR(__xludf.DUMMYFUNCTION("IFERROR(JOIN("","", UNIQUE(filter({I481; K481}, {I481; K481}&lt;&gt;""""))), """")"),"")</f>
        <v/>
      </c>
      <c r="N481" s="98"/>
      <c r="O481" s="98"/>
      <c r="P481" s="98"/>
      <c r="Q481" s="98"/>
      <c r="R481" s="98"/>
      <c r="S481" s="95" t="str">
        <f ca="1">IFERROR(__xludf.DUMMYFUNCTION("IFERROR(JOIN("","", UNIQUE(filter({O481; Q481}, {O481; Q481}&lt;&gt;""""))), """")"),"")</f>
        <v/>
      </c>
      <c r="T481" s="99"/>
      <c r="U481" s="99"/>
      <c r="V481" s="99"/>
      <c r="W481" s="99"/>
      <c r="X481" s="99"/>
      <c r="Y481" s="95" t="str">
        <f ca="1">IFERROR(__xludf.DUMMYFUNCTION("IFERROR(JOIN("","", UNIQUE(filter({U481; W481}, {U481; W481}&lt;&gt;""""))), """")"),"")</f>
        <v/>
      </c>
    </row>
    <row r="482" spans="2:25" ht="13" x14ac:dyDescent="0.15">
      <c r="B482" s="10"/>
      <c r="C482" s="10"/>
      <c r="D482" s="10"/>
      <c r="E482" s="10"/>
      <c r="F482" s="10"/>
      <c r="G482" s="95" t="str">
        <f ca="1">IFERROR(__xludf.DUMMYFUNCTION("IFERROR(JOIN("","", UNIQUE(filter({C482; E482}, {C482; E482}&lt;&gt;""""))), """")"),"")</f>
        <v/>
      </c>
      <c r="H482" s="96"/>
      <c r="I482" s="96"/>
      <c r="J482" s="96"/>
      <c r="K482" s="96"/>
      <c r="L482" s="96"/>
      <c r="M482" s="95" t="str">
        <f ca="1">IFERROR(__xludf.DUMMYFUNCTION("IFERROR(JOIN("","", UNIQUE(filter({I482; K482}, {I482; K482}&lt;&gt;""""))), """")"),"")</f>
        <v/>
      </c>
      <c r="N482" s="98"/>
      <c r="O482" s="98"/>
      <c r="P482" s="98"/>
      <c r="Q482" s="98"/>
      <c r="R482" s="98"/>
      <c r="S482" s="95" t="str">
        <f ca="1">IFERROR(__xludf.DUMMYFUNCTION("IFERROR(JOIN("","", UNIQUE(filter({O482; Q482}, {O482; Q482}&lt;&gt;""""))), """")"),"")</f>
        <v/>
      </c>
      <c r="T482" s="99"/>
      <c r="U482" s="99"/>
      <c r="V482" s="99"/>
      <c r="W482" s="99"/>
      <c r="X482" s="99"/>
      <c r="Y482" s="95" t="str">
        <f ca="1">IFERROR(__xludf.DUMMYFUNCTION("IFERROR(JOIN("","", UNIQUE(filter({U482; W482}, {U482; W482}&lt;&gt;""""))), """")"),"")</f>
        <v/>
      </c>
    </row>
    <row r="483" spans="2:25" ht="13" x14ac:dyDescent="0.15">
      <c r="B483" s="10"/>
      <c r="C483" s="10"/>
      <c r="D483" s="10"/>
      <c r="E483" s="10"/>
      <c r="F483" s="10"/>
      <c r="G483" s="95" t="str">
        <f ca="1">IFERROR(__xludf.DUMMYFUNCTION("IFERROR(JOIN("","", UNIQUE(filter({C483; E483}, {C483; E483}&lt;&gt;""""))), """")"),"")</f>
        <v/>
      </c>
      <c r="H483" s="96"/>
      <c r="I483" s="96"/>
      <c r="J483" s="96"/>
      <c r="K483" s="96"/>
      <c r="L483" s="96"/>
      <c r="M483" s="95" t="str">
        <f ca="1">IFERROR(__xludf.DUMMYFUNCTION("IFERROR(JOIN("","", UNIQUE(filter({I483; K483}, {I483; K483}&lt;&gt;""""))), """")"),"")</f>
        <v/>
      </c>
      <c r="N483" s="98"/>
      <c r="O483" s="98"/>
      <c r="P483" s="98"/>
      <c r="Q483" s="98"/>
      <c r="R483" s="98"/>
      <c r="S483" s="95" t="str">
        <f ca="1">IFERROR(__xludf.DUMMYFUNCTION("IFERROR(JOIN("","", UNIQUE(filter({O483; Q483}, {O483; Q483}&lt;&gt;""""))), """")"),"")</f>
        <v/>
      </c>
      <c r="T483" s="99"/>
      <c r="U483" s="99"/>
      <c r="V483" s="99"/>
      <c r="W483" s="99"/>
      <c r="X483" s="99"/>
      <c r="Y483" s="95" t="str">
        <f ca="1">IFERROR(__xludf.DUMMYFUNCTION("IFERROR(JOIN("","", UNIQUE(filter({U483; W483}, {U483; W483}&lt;&gt;""""))), """")"),"")</f>
        <v/>
      </c>
    </row>
    <row r="484" spans="2:25" ht="13" x14ac:dyDescent="0.15">
      <c r="B484" s="10"/>
      <c r="C484" s="10"/>
      <c r="D484" s="10"/>
      <c r="E484" s="10"/>
      <c r="F484" s="10"/>
      <c r="G484" s="95" t="str">
        <f ca="1">IFERROR(__xludf.DUMMYFUNCTION("IFERROR(JOIN("","", UNIQUE(filter({C484; E484}, {C484; E484}&lt;&gt;""""))), """")"),"")</f>
        <v/>
      </c>
      <c r="H484" s="96"/>
      <c r="I484" s="96"/>
      <c r="J484" s="96"/>
      <c r="K484" s="96"/>
      <c r="L484" s="96"/>
      <c r="M484" s="95" t="str">
        <f ca="1">IFERROR(__xludf.DUMMYFUNCTION("IFERROR(JOIN("","", UNIQUE(filter({I484; K484}, {I484; K484}&lt;&gt;""""))), """")"),"")</f>
        <v/>
      </c>
      <c r="N484" s="98"/>
      <c r="O484" s="98"/>
      <c r="P484" s="98"/>
      <c r="Q484" s="98"/>
      <c r="R484" s="98"/>
      <c r="S484" s="95" t="str">
        <f ca="1">IFERROR(__xludf.DUMMYFUNCTION("IFERROR(JOIN("","", UNIQUE(filter({O484; Q484}, {O484; Q484}&lt;&gt;""""))), """")"),"")</f>
        <v/>
      </c>
      <c r="T484" s="99"/>
      <c r="U484" s="99"/>
      <c r="V484" s="99"/>
      <c r="W484" s="99"/>
      <c r="X484" s="99"/>
      <c r="Y484" s="95" t="str">
        <f ca="1">IFERROR(__xludf.DUMMYFUNCTION("IFERROR(JOIN("","", UNIQUE(filter({U484; W484}, {U484; W484}&lt;&gt;""""))), """")"),"")</f>
        <v/>
      </c>
    </row>
    <row r="485" spans="2:25" ht="13" x14ac:dyDescent="0.15">
      <c r="B485" s="10"/>
      <c r="C485" s="10"/>
      <c r="D485" s="10"/>
      <c r="E485" s="10"/>
      <c r="F485" s="10"/>
      <c r="G485" s="95" t="str">
        <f ca="1">IFERROR(__xludf.DUMMYFUNCTION("IFERROR(JOIN("","", UNIQUE(filter({C485; E485}, {C485; E485}&lt;&gt;""""))), """")"),"")</f>
        <v/>
      </c>
      <c r="H485" s="96"/>
      <c r="I485" s="96"/>
      <c r="J485" s="96"/>
      <c r="K485" s="96"/>
      <c r="L485" s="96"/>
      <c r="M485" s="95" t="str">
        <f ca="1">IFERROR(__xludf.DUMMYFUNCTION("IFERROR(JOIN("","", UNIQUE(filter({I485; K485}, {I485; K485}&lt;&gt;""""))), """")"),"")</f>
        <v/>
      </c>
      <c r="N485" s="98"/>
      <c r="O485" s="98"/>
      <c r="P485" s="98"/>
      <c r="Q485" s="98"/>
      <c r="R485" s="98"/>
      <c r="S485" s="95" t="str">
        <f ca="1">IFERROR(__xludf.DUMMYFUNCTION("IFERROR(JOIN("","", UNIQUE(filter({O485; Q485}, {O485; Q485}&lt;&gt;""""))), """")"),"")</f>
        <v/>
      </c>
      <c r="T485" s="99"/>
      <c r="U485" s="99"/>
      <c r="V485" s="99"/>
      <c r="W485" s="99"/>
      <c r="X485" s="99"/>
      <c r="Y485" s="95" t="str">
        <f ca="1">IFERROR(__xludf.DUMMYFUNCTION("IFERROR(JOIN("","", UNIQUE(filter({U485; W485}, {U485; W485}&lt;&gt;""""))), """")"),"")</f>
        <v/>
      </c>
    </row>
    <row r="486" spans="2:25" ht="13" x14ac:dyDescent="0.15">
      <c r="B486" s="10"/>
      <c r="C486" s="10"/>
      <c r="D486" s="10"/>
      <c r="E486" s="10"/>
      <c r="F486" s="10"/>
      <c r="G486" s="95" t="str">
        <f ca="1">IFERROR(__xludf.DUMMYFUNCTION("IFERROR(JOIN("","", UNIQUE(filter({C486; E486}, {C486; E486}&lt;&gt;""""))), """")"),"")</f>
        <v/>
      </c>
      <c r="H486" s="96"/>
      <c r="I486" s="96"/>
      <c r="J486" s="96"/>
      <c r="K486" s="96"/>
      <c r="L486" s="96"/>
      <c r="M486" s="95" t="str">
        <f ca="1">IFERROR(__xludf.DUMMYFUNCTION("IFERROR(JOIN("","", UNIQUE(filter({I486; K486}, {I486; K486}&lt;&gt;""""))), """")"),"")</f>
        <v/>
      </c>
      <c r="N486" s="98"/>
      <c r="O486" s="98"/>
      <c r="P486" s="98"/>
      <c r="Q486" s="98"/>
      <c r="R486" s="98"/>
      <c r="S486" s="95" t="str">
        <f ca="1">IFERROR(__xludf.DUMMYFUNCTION("IFERROR(JOIN("","", UNIQUE(filter({O486; Q486}, {O486; Q486}&lt;&gt;""""))), """")"),"")</f>
        <v/>
      </c>
      <c r="T486" s="99"/>
      <c r="U486" s="99"/>
      <c r="V486" s="99"/>
      <c r="W486" s="99"/>
      <c r="X486" s="99"/>
      <c r="Y486" s="95" t="str">
        <f ca="1">IFERROR(__xludf.DUMMYFUNCTION("IFERROR(JOIN("","", UNIQUE(filter({U486; W486}, {U486; W486}&lt;&gt;""""))), """")"),"")</f>
        <v/>
      </c>
    </row>
    <row r="487" spans="2:25" ht="13" x14ac:dyDescent="0.15">
      <c r="B487" s="10"/>
      <c r="C487" s="10"/>
      <c r="D487" s="10"/>
      <c r="E487" s="10"/>
      <c r="F487" s="10"/>
      <c r="G487" s="95" t="str">
        <f ca="1">IFERROR(__xludf.DUMMYFUNCTION("IFERROR(JOIN("","", UNIQUE(filter({C487; E487}, {C487; E487}&lt;&gt;""""))), """")"),"")</f>
        <v/>
      </c>
      <c r="H487" s="96"/>
      <c r="I487" s="96"/>
      <c r="J487" s="96"/>
      <c r="K487" s="96"/>
      <c r="L487" s="96"/>
      <c r="M487" s="95" t="str">
        <f ca="1">IFERROR(__xludf.DUMMYFUNCTION("IFERROR(JOIN("","", UNIQUE(filter({I487; K487}, {I487; K487}&lt;&gt;""""))), """")"),"")</f>
        <v/>
      </c>
      <c r="N487" s="98"/>
      <c r="O487" s="98"/>
      <c r="P487" s="98"/>
      <c r="Q487" s="98"/>
      <c r="R487" s="98"/>
      <c r="S487" s="95" t="str">
        <f ca="1">IFERROR(__xludf.DUMMYFUNCTION("IFERROR(JOIN("","", UNIQUE(filter({O487; Q487}, {O487; Q487}&lt;&gt;""""))), """")"),"")</f>
        <v/>
      </c>
      <c r="T487" s="99"/>
      <c r="U487" s="99"/>
      <c r="V487" s="99"/>
      <c r="W487" s="99"/>
      <c r="X487" s="99"/>
      <c r="Y487" s="95" t="str">
        <f ca="1">IFERROR(__xludf.DUMMYFUNCTION("IFERROR(JOIN("","", UNIQUE(filter({U487; W487}, {U487; W487}&lt;&gt;""""))), """")"),"")</f>
        <v/>
      </c>
    </row>
    <row r="488" spans="2:25" ht="13" x14ac:dyDescent="0.15">
      <c r="B488" s="10"/>
      <c r="C488" s="10"/>
      <c r="D488" s="10"/>
      <c r="E488" s="10"/>
      <c r="F488" s="10"/>
      <c r="G488" s="95" t="str">
        <f ca="1">IFERROR(__xludf.DUMMYFUNCTION("IFERROR(JOIN("","", UNIQUE(filter({C488; E488}, {C488; E488}&lt;&gt;""""))), """")"),"")</f>
        <v/>
      </c>
      <c r="H488" s="96"/>
      <c r="I488" s="96"/>
      <c r="J488" s="96"/>
      <c r="K488" s="96"/>
      <c r="L488" s="96"/>
      <c r="M488" s="95" t="str">
        <f ca="1">IFERROR(__xludf.DUMMYFUNCTION("IFERROR(JOIN("","", UNIQUE(filter({I488; K488}, {I488; K488}&lt;&gt;""""))), """")"),"")</f>
        <v/>
      </c>
      <c r="N488" s="98"/>
      <c r="O488" s="98"/>
      <c r="P488" s="98"/>
      <c r="Q488" s="98"/>
      <c r="R488" s="98"/>
      <c r="S488" s="95" t="str">
        <f ca="1">IFERROR(__xludf.DUMMYFUNCTION("IFERROR(JOIN("","", UNIQUE(filter({O488; Q488}, {O488; Q488}&lt;&gt;""""))), """")"),"")</f>
        <v/>
      </c>
      <c r="T488" s="99"/>
      <c r="U488" s="99"/>
      <c r="V488" s="99"/>
      <c r="W488" s="99"/>
      <c r="X488" s="99"/>
      <c r="Y488" s="95" t="str">
        <f ca="1">IFERROR(__xludf.DUMMYFUNCTION("IFERROR(JOIN("","", UNIQUE(filter({U488; W488}, {U488; W488}&lt;&gt;""""))), """")"),"")</f>
        <v/>
      </c>
    </row>
    <row r="489" spans="2:25" ht="13" x14ac:dyDescent="0.15">
      <c r="B489" s="10"/>
      <c r="C489" s="10"/>
      <c r="D489" s="10"/>
      <c r="E489" s="10"/>
      <c r="F489" s="10"/>
      <c r="G489" s="95" t="str">
        <f ca="1">IFERROR(__xludf.DUMMYFUNCTION("IFERROR(JOIN("","", UNIQUE(filter({C489; E489}, {C489; E489}&lt;&gt;""""))), """")"),"")</f>
        <v/>
      </c>
      <c r="H489" s="96"/>
      <c r="I489" s="96"/>
      <c r="J489" s="96"/>
      <c r="K489" s="96"/>
      <c r="L489" s="96"/>
      <c r="M489" s="95" t="str">
        <f ca="1">IFERROR(__xludf.DUMMYFUNCTION("IFERROR(JOIN("","", UNIQUE(filter({I489; K489}, {I489; K489}&lt;&gt;""""))), """")"),"")</f>
        <v/>
      </c>
      <c r="N489" s="98"/>
      <c r="O489" s="98"/>
      <c r="P489" s="98"/>
      <c r="Q489" s="98"/>
      <c r="R489" s="98"/>
      <c r="S489" s="95" t="str">
        <f ca="1">IFERROR(__xludf.DUMMYFUNCTION("IFERROR(JOIN("","", UNIQUE(filter({O489; Q489}, {O489; Q489}&lt;&gt;""""))), """")"),"")</f>
        <v/>
      </c>
      <c r="T489" s="99"/>
      <c r="U489" s="99"/>
      <c r="V489" s="99"/>
      <c r="W489" s="99"/>
      <c r="X489" s="99"/>
      <c r="Y489" s="95" t="str">
        <f ca="1">IFERROR(__xludf.DUMMYFUNCTION("IFERROR(JOIN("","", UNIQUE(filter({U489; W489}, {U489; W489}&lt;&gt;""""))), """")"),"")</f>
        <v/>
      </c>
    </row>
    <row r="490" spans="2:25" ht="13" x14ac:dyDescent="0.15">
      <c r="B490" s="10"/>
      <c r="C490" s="10"/>
      <c r="D490" s="10"/>
      <c r="E490" s="10"/>
      <c r="F490" s="10"/>
      <c r="G490" s="95" t="str">
        <f ca="1">IFERROR(__xludf.DUMMYFUNCTION("IFERROR(JOIN("","", UNIQUE(filter({C490; E490}, {C490; E490}&lt;&gt;""""))), """")"),"")</f>
        <v/>
      </c>
      <c r="H490" s="96"/>
      <c r="I490" s="96"/>
      <c r="J490" s="96"/>
      <c r="K490" s="96"/>
      <c r="L490" s="96"/>
      <c r="M490" s="95" t="str">
        <f ca="1">IFERROR(__xludf.DUMMYFUNCTION("IFERROR(JOIN("","", UNIQUE(filter({I490; K490}, {I490; K490}&lt;&gt;""""))), """")"),"")</f>
        <v/>
      </c>
      <c r="N490" s="98"/>
      <c r="O490" s="98"/>
      <c r="P490" s="98"/>
      <c r="Q490" s="98"/>
      <c r="R490" s="98"/>
      <c r="S490" s="95" t="str">
        <f ca="1">IFERROR(__xludf.DUMMYFUNCTION("IFERROR(JOIN("","", UNIQUE(filter({O490; Q490}, {O490; Q490}&lt;&gt;""""))), """")"),"")</f>
        <v/>
      </c>
      <c r="T490" s="99"/>
      <c r="U490" s="99"/>
      <c r="V490" s="99"/>
      <c r="W490" s="99"/>
      <c r="X490" s="99"/>
      <c r="Y490" s="95" t="str">
        <f ca="1">IFERROR(__xludf.DUMMYFUNCTION("IFERROR(JOIN("","", UNIQUE(filter({U490; W490}, {U490; W490}&lt;&gt;""""))), """")"),"")</f>
        <v/>
      </c>
    </row>
    <row r="491" spans="2:25" ht="13" x14ac:dyDescent="0.15">
      <c r="B491" s="10"/>
      <c r="C491" s="10"/>
      <c r="D491" s="10"/>
      <c r="E491" s="10"/>
      <c r="F491" s="10"/>
      <c r="G491" s="95" t="str">
        <f ca="1">IFERROR(__xludf.DUMMYFUNCTION("IFERROR(JOIN("","", UNIQUE(filter({C491; E491}, {C491; E491}&lt;&gt;""""))), """")"),"")</f>
        <v/>
      </c>
      <c r="H491" s="96"/>
      <c r="I491" s="96"/>
      <c r="J491" s="96"/>
      <c r="K491" s="96"/>
      <c r="L491" s="96"/>
      <c r="M491" s="95" t="str">
        <f ca="1">IFERROR(__xludf.DUMMYFUNCTION("IFERROR(JOIN("","", UNIQUE(filter({I491; K491}, {I491; K491}&lt;&gt;""""))), """")"),"")</f>
        <v/>
      </c>
      <c r="N491" s="98"/>
      <c r="O491" s="98"/>
      <c r="P491" s="98"/>
      <c r="Q491" s="98"/>
      <c r="R491" s="98"/>
      <c r="S491" s="95" t="str">
        <f ca="1">IFERROR(__xludf.DUMMYFUNCTION("IFERROR(JOIN("","", UNIQUE(filter({O491; Q491}, {O491; Q491}&lt;&gt;""""))), """")"),"")</f>
        <v/>
      </c>
      <c r="T491" s="99"/>
      <c r="U491" s="99"/>
      <c r="V491" s="99"/>
      <c r="W491" s="99"/>
      <c r="X491" s="99"/>
      <c r="Y491" s="95" t="str">
        <f ca="1">IFERROR(__xludf.DUMMYFUNCTION("IFERROR(JOIN("","", UNIQUE(filter({U491; W491}, {U491; W491}&lt;&gt;""""))), """")"),"")</f>
        <v/>
      </c>
    </row>
    <row r="492" spans="2:25" ht="13" x14ac:dyDescent="0.15">
      <c r="B492" s="10"/>
      <c r="C492" s="10"/>
      <c r="D492" s="10"/>
      <c r="E492" s="10"/>
      <c r="F492" s="10"/>
      <c r="G492" s="95" t="str">
        <f ca="1">IFERROR(__xludf.DUMMYFUNCTION("IFERROR(JOIN("","", UNIQUE(filter({C492; E492}, {C492; E492}&lt;&gt;""""))), """")"),"")</f>
        <v/>
      </c>
      <c r="H492" s="96"/>
      <c r="I492" s="96"/>
      <c r="J492" s="96"/>
      <c r="K492" s="96"/>
      <c r="L492" s="96"/>
      <c r="M492" s="95" t="str">
        <f ca="1">IFERROR(__xludf.DUMMYFUNCTION("IFERROR(JOIN("","", UNIQUE(filter({I492; K492}, {I492; K492}&lt;&gt;""""))), """")"),"")</f>
        <v/>
      </c>
      <c r="N492" s="98"/>
      <c r="O492" s="98"/>
      <c r="P492" s="98"/>
      <c r="Q492" s="98"/>
      <c r="R492" s="98"/>
      <c r="S492" s="95" t="str">
        <f ca="1">IFERROR(__xludf.DUMMYFUNCTION("IFERROR(JOIN("","", UNIQUE(filter({O492; Q492}, {O492; Q492}&lt;&gt;""""))), """")"),"")</f>
        <v/>
      </c>
      <c r="T492" s="99"/>
      <c r="U492" s="99"/>
      <c r="V492" s="99"/>
      <c r="W492" s="99"/>
      <c r="X492" s="99"/>
      <c r="Y492" s="95" t="str">
        <f ca="1">IFERROR(__xludf.DUMMYFUNCTION("IFERROR(JOIN("","", UNIQUE(filter({U492; W492}, {U492; W492}&lt;&gt;""""))), """")"),"")</f>
        <v/>
      </c>
    </row>
    <row r="493" spans="2:25" ht="13" x14ac:dyDescent="0.15">
      <c r="B493" s="10"/>
      <c r="C493" s="10"/>
      <c r="D493" s="10"/>
      <c r="E493" s="10"/>
      <c r="F493" s="10"/>
      <c r="G493" s="95" t="str">
        <f ca="1">IFERROR(__xludf.DUMMYFUNCTION("IFERROR(JOIN("","", UNIQUE(filter({C493; E493}, {C493; E493}&lt;&gt;""""))), """")"),"")</f>
        <v/>
      </c>
      <c r="H493" s="96"/>
      <c r="I493" s="96"/>
      <c r="J493" s="96"/>
      <c r="K493" s="96"/>
      <c r="L493" s="96"/>
      <c r="M493" s="95" t="str">
        <f ca="1">IFERROR(__xludf.DUMMYFUNCTION("IFERROR(JOIN("","", UNIQUE(filter({I493; K493}, {I493; K493}&lt;&gt;""""))), """")"),"")</f>
        <v/>
      </c>
      <c r="N493" s="98"/>
      <c r="O493" s="98"/>
      <c r="P493" s="98"/>
      <c r="Q493" s="98"/>
      <c r="R493" s="98"/>
      <c r="S493" s="95" t="str">
        <f ca="1">IFERROR(__xludf.DUMMYFUNCTION("IFERROR(JOIN("","", UNIQUE(filter({O493; Q493}, {O493; Q493}&lt;&gt;""""))), """")"),"")</f>
        <v/>
      </c>
      <c r="T493" s="99"/>
      <c r="U493" s="99"/>
      <c r="V493" s="99"/>
      <c r="W493" s="99"/>
      <c r="X493" s="99"/>
      <c r="Y493" s="95" t="str">
        <f ca="1">IFERROR(__xludf.DUMMYFUNCTION("IFERROR(JOIN("","", UNIQUE(filter({U493; W493}, {U493; W493}&lt;&gt;""""))), """")"),"")</f>
        <v/>
      </c>
    </row>
    <row r="494" spans="2:25" ht="13" x14ac:dyDescent="0.15">
      <c r="B494" s="10"/>
      <c r="C494" s="10"/>
      <c r="D494" s="10"/>
      <c r="E494" s="10"/>
      <c r="F494" s="10"/>
      <c r="G494" s="95" t="str">
        <f ca="1">IFERROR(__xludf.DUMMYFUNCTION("IFERROR(JOIN("","", UNIQUE(filter({C494; E494}, {C494; E494}&lt;&gt;""""))), """")"),"")</f>
        <v/>
      </c>
      <c r="H494" s="96"/>
      <c r="I494" s="96"/>
      <c r="J494" s="96"/>
      <c r="K494" s="96"/>
      <c r="L494" s="96"/>
      <c r="M494" s="95" t="str">
        <f ca="1">IFERROR(__xludf.DUMMYFUNCTION("IFERROR(JOIN("","", UNIQUE(filter({I494; K494}, {I494; K494}&lt;&gt;""""))), """")"),"")</f>
        <v/>
      </c>
      <c r="N494" s="98"/>
      <c r="O494" s="98"/>
      <c r="P494" s="98"/>
      <c r="Q494" s="98"/>
      <c r="R494" s="98"/>
      <c r="S494" s="95" t="str">
        <f ca="1">IFERROR(__xludf.DUMMYFUNCTION("IFERROR(JOIN("","", UNIQUE(filter({O494; Q494}, {O494; Q494}&lt;&gt;""""))), """")"),"")</f>
        <v/>
      </c>
      <c r="T494" s="99"/>
      <c r="U494" s="99"/>
      <c r="V494" s="99"/>
      <c r="W494" s="99"/>
      <c r="X494" s="99"/>
      <c r="Y494" s="95" t="str">
        <f ca="1">IFERROR(__xludf.DUMMYFUNCTION("IFERROR(JOIN("","", UNIQUE(filter({U494; W494}, {U494; W494}&lt;&gt;""""))), """")"),"")</f>
        <v/>
      </c>
    </row>
    <row r="495" spans="2:25" ht="13" x14ac:dyDescent="0.15">
      <c r="B495" s="10"/>
      <c r="C495" s="10"/>
      <c r="D495" s="10"/>
      <c r="E495" s="10"/>
      <c r="F495" s="10"/>
      <c r="G495" s="95" t="str">
        <f ca="1">IFERROR(__xludf.DUMMYFUNCTION("IFERROR(JOIN("","", UNIQUE(filter({C495; E495}, {C495; E495}&lt;&gt;""""))), """")"),"")</f>
        <v/>
      </c>
      <c r="H495" s="96"/>
      <c r="I495" s="96"/>
      <c r="J495" s="96"/>
      <c r="K495" s="96"/>
      <c r="L495" s="96"/>
      <c r="M495" s="95" t="str">
        <f ca="1">IFERROR(__xludf.DUMMYFUNCTION("IFERROR(JOIN("","", UNIQUE(filter({I495; K495}, {I495; K495}&lt;&gt;""""))), """")"),"")</f>
        <v/>
      </c>
      <c r="N495" s="98"/>
      <c r="O495" s="98"/>
      <c r="P495" s="98"/>
      <c r="Q495" s="98"/>
      <c r="R495" s="98"/>
      <c r="S495" s="95" t="str">
        <f ca="1">IFERROR(__xludf.DUMMYFUNCTION("IFERROR(JOIN("","", UNIQUE(filter({O495; Q495}, {O495; Q495}&lt;&gt;""""))), """")"),"")</f>
        <v/>
      </c>
      <c r="T495" s="99"/>
      <c r="U495" s="99"/>
      <c r="V495" s="99"/>
      <c r="W495" s="99"/>
      <c r="X495" s="99"/>
      <c r="Y495" s="95" t="str">
        <f ca="1">IFERROR(__xludf.DUMMYFUNCTION("IFERROR(JOIN("","", UNIQUE(filter({U495; W495}, {U495; W495}&lt;&gt;""""))), """")"),"")</f>
        <v/>
      </c>
    </row>
    <row r="496" spans="2:25" ht="13" x14ac:dyDescent="0.15">
      <c r="B496" s="10"/>
      <c r="C496" s="10"/>
      <c r="D496" s="10"/>
      <c r="E496" s="10"/>
      <c r="F496" s="10"/>
      <c r="G496" s="95" t="str">
        <f ca="1">IFERROR(__xludf.DUMMYFUNCTION("IFERROR(JOIN("","", UNIQUE(filter({C496; E496}, {C496; E496}&lt;&gt;""""))), """")"),"")</f>
        <v/>
      </c>
      <c r="H496" s="96"/>
      <c r="I496" s="96"/>
      <c r="J496" s="96"/>
      <c r="K496" s="96"/>
      <c r="L496" s="96"/>
      <c r="M496" s="95" t="str">
        <f ca="1">IFERROR(__xludf.DUMMYFUNCTION("IFERROR(JOIN("","", UNIQUE(filter({I496; K496}, {I496; K496}&lt;&gt;""""))), """")"),"")</f>
        <v/>
      </c>
      <c r="N496" s="98"/>
      <c r="O496" s="98"/>
      <c r="P496" s="98"/>
      <c r="Q496" s="98"/>
      <c r="R496" s="98"/>
      <c r="S496" s="95" t="str">
        <f ca="1">IFERROR(__xludf.DUMMYFUNCTION("IFERROR(JOIN("","", UNIQUE(filter({O496; Q496}, {O496; Q496}&lt;&gt;""""))), """")"),"")</f>
        <v/>
      </c>
      <c r="T496" s="99"/>
      <c r="U496" s="99"/>
      <c r="V496" s="99"/>
      <c r="W496" s="99"/>
      <c r="X496" s="99"/>
      <c r="Y496" s="95" t="str">
        <f ca="1">IFERROR(__xludf.DUMMYFUNCTION("IFERROR(JOIN("","", UNIQUE(filter({U496; W496}, {U496; W496}&lt;&gt;""""))), """")"),"")</f>
        <v/>
      </c>
    </row>
    <row r="497" spans="2:25" ht="13" x14ac:dyDescent="0.15">
      <c r="B497" s="10"/>
      <c r="C497" s="10"/>
      <c r="D497" s="10"/>
      <c r="E497" s="10"/>
      <c r="F497" s="10"/>
      <c r="G497" s="95" t="str">
        <f ca="1">IFERROR(__xludf.DUMMYFUNCTION("IFERROR(JOIN("","", UNIQUE(filter({C497; E497}, {C497; E497}&lt;&gt;""""))), """")"),"")</f>
        <v/>
      </c>
      <c r="H497" s="96"/>
      <c r="I497" s="96"/>
      <c r="J497" s="96"/>
      <c r="K497" s="96"/>
      <c r="L497" s="96"/>
      <c r="M497" s="95" t="str">
        <f ca="1">IFERROR(__xludf.DUMMYFUNCTION("IFERROR(JOIN("","", UNIQUE(filter({I497; K497}, {I497; K497}&lt;&gt;""""))), """")"),"")</f>
        <v/>
      </c>
      <c r="N497" s="98"/>
      <c r="O497" s="98"/>
      <c r="P497" s="98"/>
      <c r="Q497" s="98"/>
      <c r="R497" s="98"/>
      <c r="S497" s="95" t="str">
        <f ca="1">IFERROR(__xludf.DUMMYFUNCTION("IFERROR(JOIN("","", UNIQUE(filter({O497; Q497}, {O497; Q497}&lt;&gt;""""))), """")"),"")</f>
        <v/>
      </c>
      <c r="T497" s="99"/>
      <c r="U497" s="99"/>
      <c r="V497" s="99"/>
      <c r="W497" s="99"/>
      <c r="X497" s="99"/>
      <c r="Y497" s="95" t="str">
        <f ca="1">IFERROR(__xludf.DUMMYFUNCTION("IFERROR(JOIN("","", UNIQUE(filter({U497; W497}, {U497; W497}&lt;&gt;""""))), """")"),"")</f>
        <v/>
      </c>
    </row>
    <row r="498" spans="2:25" ht="13" x14ac:dyDescent="0.15">
      <c r="B498" s="10"/>
      <c r="C498" s="10"/>
      <c r="D498" s="10"/>
      <c r="E498" s="10"/>
      <c r="F498" s="10"/>
      <c r="G498" s="95" t="str">
        <f ca="1">IFERROR(__xludf.DUMMYFUNCTION("IFERROR(JOIN("","", UNIQUE(filter({C498; E498}, {C498; E498}&lt;&gt;""""))), """")"),"")</f>
        <v/>
      </c>
      <c r="H498" s="96"/>
      <c r="I498" s="96"/>
      <c r="J498" s="96"/>
      <c r="K498" s="96"/>
      <c r="L498" s="96"/>
      <c r="M498" s="95" t="str">
        <f ca="1">IFERROR(__xludf.DUMMYFUNCTION("IFERROR(JOIN("","", UNIQUE(filter({I498; K498}, {I498; K498}&lt;&gt;""""))), """")"),"")</f>
        <v/>
      </c>
      <c r="N498" s="98"/>
      <c r="O498" s="98"/>
      <c r="P498" s="98"/>
      <c r="Q498" s="98"/>
      <c r="R498" s="98"/>
      <c r="S498" s="95" t="str">
        <f ca="1">IFERROR(__xludf.DUMMYFUNCTION("IFERROR(JOIN("","", UNIQUE(filter({O498; Q498}, {O498; Q498}&lt;&gt;""""))), """")"),"")</f>
        <v/>
      </c>
      <c r="T498" s="99"/>
      <c r="U498" s="99"/>
      <c r="V498" s="99"/>
      <c r="W498" s="99"/>
      <c r="X498" s="99"/>
      <c r="Y498" s="95" t="str">
        <f ca="1">IFERROR(__xludf.DUMMYFUNCTION("IFERROR(JOIN("","", UNIQUE(filter({U498; W498}, {U498; W498}&lt;&gt;""""))), """")"),"")</f>
        <v/>
      </c>
    </row>
    <row r="499" spans="2:25" ht="13" x14ac:dyDescent="0.15">
      <c r="B499" s="10"/>
      <c r="C499" s="10"/>
      <c r="D499" s="10"/>
      <c r="E499" s="10"/>
      <c r="F499" s="10"/>
      <c r="G499" s="95" t="str">
        <f ca="1">IFERROR(__xludf.DUMMYFUNCTION("IFERROR(JOIN("","", UNIQUE(filter({C499; E499}, {C499; E499}&lt;&gt;""""))), """")"),"")</f>
        <v/>
      </c>
      <c r="H499" s="96"/>
      <c r="I499" s="96"/>
      <c r="J499" s="96"/>
      <c r="K499" s="96"/>
      <c r="L499" s="96"/>
      <c r="M499" s="95" t="str">
        <f ca="1">IFERROR(__xludf.DUMMYFUNCTION("IFERROR(JOIN("","", UNIQUE(filter({I499; K499}, {I499; K499}&lt;&gt;""""))), """")"),"")</f>
        <v/>
      </c>
      <c r="N499" s="98"/>
      <c r="O499" s="98"/>
      <c r="P499" s="98"/>
      <c r="Q499" s="98"/>
      <c r="R499" s="98"/>
      <c r="S499" s="95" t="str">
        <f ca="1">IFERROR(__xludf.DUMMYFUNCTION("IFERROR(JOIN("","", UNIQUE(filter({O499; Q499}, {O499; Q499}&lt;&gt;""""))), """")"),"")</f>
        <v/>
      </c>
      <c r="T499" s="99"/>
      <c r="U499" s="99"/>
      <c r="V499" s="99"/>
      <c r="W499" s="99"/>
      <c r="X499" s="99"/>
      <c r="Y499" s="95" t="str">
        <f ca="1">IFERROR(__xludf.DUMMYFUNCTION("IFERROR(JOIN("","", UNIQUE(filter({U499; W499}, {U499; W499}&lt;&gt;""""))), """")"),"")</f>
        <v/>
      </c>
    </row>
    <row r="500" spans="2:25" ht="13" x14ac:dyDescent="0.15">
      <c r="B500" s="10"/>
      <c r="C500" s="10"/>
      <c r="D500" s="10"/>
      <c r="E500" s="10"/>
      <c r="F500" s="10"/>
      <c r="G500" s="95" t="str">
        <f ca="1">IFERROR(__xludf.DUMMYFUNCTION("IFERROR(JOIN("","", UNIQUE(filter({C500; E500}, {C500; E500}&lt;&gt;""""))), """")"),"")</f>
        <v/>
      </c>
      <c r="H500" s="96"/>
      <c r="I500" s="96"/>
      <c r="J500" s="96"/>
      <c r="K500" s="96"/>
      <c r="L500" s="96"/>
      <c r="M500" s="95" t="str">
        <f ca="1">IFERROR(__xludf.DUMMYFUNCTION("IFERROR(JOIN("","", UNIQUE(filter({I500; K500}, {I500; K500}&lt;&gt;""""))), """")"),"")</f>
        <v/>
      </c>
      <c r="N500" s="98"/>
      <c r="O500" s="98"/>
      <c r="P500" s="98"/>
      <c r="Q500" s="98"/>
      <c r="R500" s="98"/>
      <c r="S500" s="95" t="str">
        <f ca="1">IFERROR(__xludf.DUMMYFUNCTION("IFERROR(JOIN("","", UNIQUE(filter({O500; Q500}, {O500; Q500}&lt;&gt;""""))), """")"),"")</f>
        <v/>
      </c>
      <c r="T500" s="99"/>
      <c r="U500" s="99"/>
      <c r="V500" s="99"/>
      <c r="W500" s="99"/>
      <c r="X500" s="99"/>
      <c r="Y500" s="95" t="str">
        <f ca="1">IFERROR(__xludf.DUMMYFUNCTION("IFERROR(JOIN("","", UNIQUE(filter({U500; W500}, {U500; W500}&lt;&gt;""""))), """")"),"")</f>
        <v/>
      </c>
    </row>
    <row r="501" spans="2:25" ht="13" x14ac:dyDescent="0.15">
      <c r="B501" s="10"/>
      <c r="C501" s="10"/>
      <c r="D501" s="10"/>
      <c r="E501" s="10"/>
      <c r="F501" s="10"/>
      <c r="G501" s="95" t="str">
        <f ca="1">IFERROR(__xludf.DUMMYFUNCTION("IFERROR(JOIN("","", UNIQUE(filter({C501; E501}, {C501; E501}&lt;&gt;""""))), """")"),"")</f>
        <v/>
      </c>
      <c r="H501" s="96"/>
      <c r="I501" s="96"/>
      <c r="J501" s="96"/>
      <c r="K501" s="96"/>
      <c r="L501" s="96"/>
      <c r="M501" s="95" t="str">
        <f ca="1">IFERROR(__xludf.DUMMYFUNCTION("IFERROR(JOIN("","", UNIQUE(filter({I501; K501}, {I501; K501}&lt;&gt;""""))), """")"),"")</f>
        <v/>
      </c>
      <c r="N501" s="98"/>
      <c r="O501" s="98"/>
      <c r="P501" s="98"/>
      <c r="Q501" s="98"/>
      <c r="R501" s="98"/>
      <c r="S501" s="95" t="str">
        <f ca="1">IFERROR(__xludf.DUMMYFUNCTION("IFERROR(JOIN("","", UNIQUE(filter({O501; Q501}, {O501; Q501}&lt;&gt;""""))), """")"),"")</f>
        <v/>
      </c>
      <c r="T501" s="99"/>
      <c r="U501" s="99"/>
      <c r="V501" s="99"/>
      <c r="W501" s="99"/>
      <c r="X501" s="99"/>
      <c r="Y501" s="95" t="str">
        <f ca="1">IFERROR(__xludf.DUMMYFUNCTION("IFERROR(JOIN("","", UNIQUE(filter({U501; W501}, {U501; W501}&lt;&gt;""""))), """")"),"")</f>
        <v/>
      </c>
    </row>
    <row r="502" spans="2:25" ht="13" x14ac:dyDescent="0.15">
      <c r="B502" s="10"/>
      <c r="C502" s="10"/>
      <c r="D502" s="10"/>
      <c r="E502" s="10"/>
      <c r="F502" s="10"/>
      <c r="G502" s="95" t="str">
        <f ca="1">IFERROR(__xludf.DUMMYFUNCTION("IFERROR(JOIN("","", UNIQUE(filter({C502; E502}, {C502; E502}&lt;&gt;""""))), """")"),"")</f>
        <v/>
      </c>
      <c r="H502" s="96"/>
      <c r="I502" s="96"/>
      <c r="J502" s="96"/>
      <c r="K502" s="96"/>
      <c r="L502" s="96"/>
      <c r="M502" s="95" t="str">
        <f ca="1">IFERROR(__xludf.DUMMYFUNCTION("IFERROR(JOIN("","", UNIQUE(filter({I502; K502}, {I502; K502}&lt;&gt;""""))), """")"),"")</f>
        <v/>
      </c>
      <c r="N502" s="98"/>
      <c r="O502" s="98"/>
      <c r="P502" s="98"/>
      <c r="Q502" s="98"/>
      <c r="R502" s="98"/>
      <c r="S502" s="95" t="str">
        <f ca="1">IFERROR(__xludf.DUMMYFUNCTION("IFERROR(JOIN("","", UNIQUE(filter({O502; Q502}, {O502; Q502}&lt;&gt;""""))), """")"),"")</f>
        <v/>
      </c>
      <c r="T502" s="99"/>
      <c r="U502" s="99"/>
      <c r="V502" s="99"/>
      <c r="W502" s="99"/>
      <c r="X502" s="99"/>
      <c r="Y502" s="95" t="str">
        <f ca="1">IFERROR(__xludf.DUMMYFUNCTION("IFERROR(JOIN("","", UNIQUE(filter({U502; W502}, {U502; W502}&lt;&gt;""""))), """")"),"")</f>
        <v/>
      </c>
    </row>
    <row r="503" spans="2:25" ht="13" x14ac:dyDescent="0.15">
      <c r="B503" s="10"/>
      <c r="C503" s="10"/>
      <c r="D503" s="10"/>
      <c r="E503" s="10"/>
      <c r="F503" s="10"/>
      <c r="G503" s="95" t="str">
        <f ca="1">IFERROR(__xludf.DUMMYFUNCTION("IFERROR(JOIN("","", UNIQUE(filter({C503; E503}, {C503; E503}&lt;&gt;""""))), """")"),"")</f>
        <v/>
      </c>
      <c r="H503" s="96"/>
      <c r="I503" s="96"/>
      <c r="J503" s="96"/>
      <c r="K503" s="96"/>
      <c r="L503" s="96"/>
      <c r="M503" s="95" t="str">
        <f ca="1">IFERROR(__xludf.DUMMYFUNCTION("IFERROR(JOIN("","", UNIQUE(filter({I503; K503}, {I503; K503}&lt;&gt;""""))), """")"),"")</f>
        <v/>
      </c>
      <c r="N503" s="98"/>
      <c r="O503" s="98"/>
      <c r="P503" s="98"/>
      <c r="Q503" s="98"/>
      <c r="R503" s="98"/>
      <c r="S503" s="95" t="str">
        <f ca="1">IFERROR(__xludf.DUMMYFUNCTION("IFERROR(JOIN("","", UNIQUE(filter({O503; Q503}, {O503; Q503}&lt;&gt;""""))), """")"),"")</f>
        <v/>
      </c>
      <c r="T503" s="99"/>
      <c r="U503" s="99"/>
      <c r="V503" s="99"/>
      <c r="W503" s="99"/>
      <c r="X503" s="99"/>
      <c r="Y503" s="95" t="str">
        <f ca="1">IFERROR(__xludf.DUMMYFUNCTION("IFERROR(JOIN("","", UNIQUE(filter({U503; W503}, {U503; W503}&lt;&gt;""""))), """")"),"")</f>
        <v/>
      </c>
    </row>
    <row r="504" spans="2:25" ht="13" x14ac:dyDescent="0.15">
      <c r="B504" s="10"/>
      <c r="C504" s="10"/>
      <c r="D504" s="10"/>
      <c r="E504" s="10"/>
      <c r="F504" s="10"/>
      <c r="G504" s="95" t="str">
        <f ca="1">IFERROR(__xludf.DUMMYFUNCTION("IFERROR(JOIN("","", UNIQUE(filter({C504; E504}, {C504; E504}&lt;&gt;""""))), """")"),"")</f>
        <v/>
      </c>
      <c r="H504" s="96"/>
      <c r="I504" s="96"/>
      <c r="J504" s="96"/>
      <c r="K504" s="96"/>
      <c r="L504" s="96"/>
      <c r="M504" s="95" t="str">
        <f ca="1">IFERROR(__xludf.DUMMYFUNCTION("IFERROR(JOIN("","", UNIQUE(filter({I504; K504}, {I504; K504}&lt;&gt;""""))), """")"),"")</f>
        <v/>
      </c>
      <c r="N504" s="98"/>
      <c r="O504" s="98"/>
      <c r="P504" s="98"/>
      <c r="Q504" s="98"/>
      <c r="R504" s="98"/>
      <c r="S504" s="95" t="str">
        <f ca="1">IFERROR(__xludf.DUMMYFUNCTION("IFERROR(JOIN("","", UNIQUE(filter({O504; Q504}, {O504; Q504}&lt;&gt;""""))), """")"),"")</f>
        <v/>
      </c>
      <c r="T504" s="99"/>
      <c r="U504" s="99"/>
      <c r="V504" s="99"/>
      <c r="W504" s="99"/>
      <c r="X504" s="99"/>
      <c r="Y504" s="95" t="str">
        <f ca="1">IFERROR(__xludf.DUMMYFUNCTION("IFERROR(JOIN("","", UNIQUE(filter({U504; W504}, {U504; W504}&lt;&gt;""""))), """")"),"")</f>
        <v/>
      </c>
    </row>
    <row r="505" spans="2:25" ht="13" x14ac:dyDescent="0.15">
      <c r="B505" s="10"/>
      <c r="C505" s="10"/>
      <c r="D505" s="10"/>
      <c r="E505" s="10"/>
      <c r="F505" s="10"/>
      <c r="G505" s="95" t="str">
        <f ca="1">IFERROR(__xludf.DUMMYFUNCTION("IFERROR(JOIN("","", UNIQUE(filter({C505; E505}, {C505; E505}&lt;&gt;""""))), """")"),"")</f>
        <v/>
      </c>
      <c r="H505" s="96"/>
      <c r="I505" s="96"/>
      <c r="J505" s="96"/>
      <c r="K505" s="96"/>
      <c r="L505" s="96"/>
      <c r="M505" s="95" t="str">
        <f ca="1">IFERROR(__xludf.DUMMYFUNCTION("IFERROR(JOIN("","", UNIQUE(filter({I505; K505}, {I505; K505}&lt;&gt;""""))), """")"),"")</f>
        <v/>
      </c>
      <c r="N505" s="98"/>
      <c r="O505" s="98"/>
      <c r="P505" s="98"/>
      <c r="Q505" s="98"/>
      <c r="R505" s="98"/>
      <c r="S505" s="95" t="str">
        <f ca="1">IFERROR(__xludf.DUMMYFUNCTION("IFERROR(JOIN("","", UNIQUE(filter({O505; Q505}, {O505; Q505}&lt;&gt;""""))), """")"),"")</f>
        <v/>
      </c>
      <c r="T505" s="99"/>
      <c r="U505" s="99"/>
      <c r="V505" s="99"/>
      <c r="W505" s="99"/>
      <c r="X505" s="99"/>
      <c r="Y505" s="95" t="str">
        <f ca="1">IFERROR(__xludf.DUMMYFUNCTION("IFERROR(JOIN("","", UNIQUE(filter({U505; W505}, {U505; W505}&lt;&gt;""""))), """")"),"")</f>
        <v/>
      </c>
    </row>
    <row r="506" spans="2:25" ht="13" x14ac:dyDescent="0.15">
      <c r="B506" s="10"/>
      <c r="C506" s="10"/>
      <c r="D506" s="10"/>
      <c r="E506" s="10"/>
      <c r="F506" s="10"/>
      <c r="G506" s="95" t="str">
        <f ca="1">IFERROR(__xludf.DUMMYFUNCTION("IFERROR(JOIN("","", UNIQUE(filter({C506; E506}, {C506; E506}&lt;&gt;""""))), """")"),"")</f>
        <v/>
      </c>
      <c r="H506" s="96"/>
      <c r="I506" s="96"/>
      <c r="J506" s="96"/>
      <c r="K506" s="96"/>
      <c r="L506" s="96"/>
      <c r="M506" s="95" t="str">
        <f ca="1">IFERROR(__xludf.DUMMYFUNCTION("IFERROR(JOIN("","", UNIQUE(filter({I506; K506}, {I506; K506}&lt;&gt;""""))), """")"),"")</f>
        <v/>
      </c>
      <c r="N506" s="98"/>
      <c r="O506" s="98"/>
      <c r="P506" s="98"/>
      <c r="Q506" s="98"/>
      <c r="R506" s="98"/>
      <c r="S506" s="95" t="str">
        <f ca="1">IFERROR(__xludf.DUMMYFUNCTION("IFERROR(JOIN("","", UNIQUE(filter({O506; Q506}, {O506; Q506}&lt;&gt;""""))), """")"),"")</f>
        <v/>
      </c>
      <c r="T506" s="99"/>
      <c r="U506" s="99"/>
      <c r="V506" s="99"/>
      <c r="W506" s="99"/>
      <c r="X506" s="99"/>
      <c r="Y506" s="95" t="str">
        <f ca="1">IFERROR(__xludf.DUMMYFUNCTION("IFERROR(JOIN("","", UNIQUE(filter({U506; W506}, {U506; W506}&lt;&gt;""""))), """")"),"")</f>
        <v/>
      </c>
    </row>
    <row r="507" spans="2:25" ht="13" x14ac:dyDescent="0.15">
      <c r="B507" s="10"/>
      <c r="C507" s="10"/>
      <c r="D507" s="10"/>
      <c r="E507" s="10"/>
      <c r="F507" s="10"/>
      <c r="G507" s="95" t="str">
        <f ca="1">IFERROR(__xludf.DUMMYFUNCTION("IFERROR(JOIN("","", UNIQUE(filter({C507; E507}, {C507; E507}&lt;&gt;""""))), """")"),"")</f>
        <v/>
      </c>
      <c r="H507" s="96"/>
      <c r="I507" s="96"/>
      <c r="J507" s="96"/>
      <c r="K507" s="96"/>
      <c r="L507" s="96"/>
      <c r="M507" s="95" t="str">
        <f ca="1">IFERROR(__xludf.DUMMYFUNCTION("IFERROR(JOIN("","", UNIQUE(filter({I507; K507}, {I507; K507}&lt;&gt;""""))), """")"),"")</f>
        <v/>
      </c>
      <c r="N507" s="98"/>
      <c r="O507" s="98"/>
      <c r="P507" s="98"/>
      <c r="Q507" s="98"/>
      <c r="R507" s="98"/>
      <c r="S507" s="95" t="str">
        <f ca="1">IFERROR(__xludf.DUMMYFUNCTION("IFERROR(JOIN("","", UNIQUE(filter({O507; Q507}, {O507; Q507}&lt;&gt;""""))), """")"),"")</f>
        <v/>
      </c>
      <c r="T507" s="99"/>
      <c r="U507" s="99"/>
      <c r="V507" s="99"/>
      <c r="W507" s="99"/>
      <c r="X507" s="99"/>
      <c r="Y507" s="95" t="str">
        <f ca="1">IFERROR(__xludf.DUMMYFUNCTION("IFERROR(JOIN("","", UNIQUE(filter({U507; W507}, {U507; W507}&lt;&gt;""""))), """")"),"")</f>
        <v/>
      </c>
    </row>
    <row r="508" spans="2:25" ht="13" x14ac:dyDescent="0.15">
      <c r="B508" s="10"/>
      <c r="C508" s="10"/>
      <c r="D508" s="10"/>
      <c r="E508" s="10"/>
      <c r="F508" s="10"/>
      <c r="G508" s="95" t="str">
        <f ca="1">IFERROR(__xludf.DUMMYFUNCTION("IFERROR(JOIN("","", UNIQUE(filter({C508; E508}, {C508; E508}&lt;&gt;""""))), """")"),"")</f>
        <v/>
      </c>
      <c r="H508" s="96"/>
      <c r="I508" s="96"/>
      <c r="J508" s="96"/>
      <c r="K508" s="96"/>
      <c r="L508" s="96"/>
      <c r="M508" s="95" t="str">
        <f ca="1">IFERROR(__xludf.DUMMYFUNCTION("IFERROR(JOIN("","", UNIQUE(filter({I508; K508}, {I508; K508}&lt;&gt;""""))), """")"),"")</f>
        <v/>
      </c>
      <c r="N508" s="98"/>
      <c r="O508" s="98"/>
      <c r="P508" s="98"/>
      <c r="Q508" s="98"/>
      <c r="R508" s="98"/>
      <c r="S508" s="95" t="str">
        <f ca="1">IFERROR(__xludf.DUMMYFUNCTION("IFERROR(JOIN("","", UNIQUE(filter({O508; Q508}, {O508; Q508}&lt;&gt;""""))), """")"),"")</f>
        <v/>
      </c>
      <c r="T508" s="99"/>
      <c r="U508" s="99"/>
      <c r="V508" s="99"/>
      <c r="W508" s="99"/>
      <c r="X508" s="99"/>
      <c r="Y508" s="95" t="str">
        <f ca="1">IFERROR(__xludf.DUMMYFUNCTION("IFERROR(JOIN("","", UNIQUE(filter({U508; W508}, {U508; W508}&lt;&gt;""""))), """")"),"")</f>
        <v/>
      </c>
    </row>
    <row r="509" spans="2:25" ht="13" x14ac:dyDescent="0.15">
      <c r="B509" s="10"/>
      <c r="C509" s="10"/>
      <c r="D509" s="10"/>
      <c r="E509" s="10"/>
      <c r="F509" s="10"/>
      <c r="G509" s="95" t="str">
        <f ca="1">IFERROR(__xludf.DUMMYFUNCTION("IFERROR(JOIN("","", UNIQUE(filter({C509; E509}, {C509; E509}&lt;&gt;""""))), """")"),"")</f>
        <v/>
      </c>
      <c r="H509" s="96"/>
      <c r="I509" s="96"/>
      <c r="J509" s="96"/>
      <c r="K509" s="96"/>
      <c r="L509" s="96"/>
      <c r="M509" s="95" t="str">
        <f ca="1">IFERROR(__xludf.DUMMYFUNCTION("IFERROR(JOIN("","", UNIQUE(filter({I509; K509}, {I509; K509}&lt;&gt;""""))), """")"),"")</f>
        <v/>
      </c>
      <c r="N509" s="98"/>
      <c r="O509" s="98"/>
      <c r="P509" s="98"/>
      <c r="Q509" s="98"/>
      <c r="R509" s="98"/>
      <c r="S509" s="95" t="str">
        <f ca="1">IFERROR(__xludf.DUMMYFUNCTION("IFERROR(JOIN("","", UNIQUE(filter({O509; Q509}, {O509; Q509}&lt;&gt;""""))), """")"),"")</f>
        <v/>
      </c>
      <c r="T509" s="99"/>
      <c r="U509" s="99"/>
      <c r="V509" s="99"/>
      <c r="W509" s="99"/>
      <c r="X509" s="99"/>
      <c r="Y509" s="95" t="str">
        <f ca="1">IFERROR(__xludf.DUMMYFUNCTION("IFERROR(JOIN("","", UNIQUE(filter({U509; W509}, {U509; W509}&lt;&gt;""""))), """")"),"")</f>
        <v/>
      </c>
    </row>
    <row r="510" spans="2:25" ht="13" x14ac:dyDescent="0.15">
      <c r="B510" s="10"/>
      <c r="C510" s="10"/>
      <c r="D510" s="10"/>
      <c r="E510" s="10"/>
      <c r="F510" s="10"/>
      <c r="G510" s="95" t="str">
        <f ca="1">IFERROR(__xludf.DUMMYFUNCTION("IFERROR(JOIN("","", UNIQUE(filter({C510; E510}, {C510; E510}&lt;&gt;""""))), """")"),"")</f>
        <v/>
      </c>
      <c r="H510" s="96"/>
      <c r="I510" s="96"/>
      <c r="J510" s="96"/>
      <c r="K510" s="96"/>
      <c r="L510" s="96"/>
      <c r="M510" s="95" t="str">
        <f ca="1">IFERROR(__xludf.DUMMYFUNCTION("IFERROR(JOIN("","", UNIQUE(filter({I510; K510}, {I510; K510}&lt;&gt;""""))), """")"),"")</f>
        <v/>
      </c>
      <c r="N510" s="98"/>
      <c r="O510" s="98"/>
      <c r="P510" s="98"/>
      <c r="Q510" s="98"/>
      <c r="R510" s="98"/>
      <c r="S510" s="95" t="str">
        <f ca="1">IFERROR(__xludf.DUMMYFUNCTION("IFERROR(JOIN("","", UNIQUE(filter({O510; Q510}, {O510; Q510}&lt;&gt;""""))), """")"),"")</f>
        <v/>
      </c>
      <c r="T510" s="99"/>
      <c r="U510" s="99"/>
      <c r="V510" s="99"/>
      <c r="W510" s="99"/>
      <c r="X510" s="99"/>
      <c r="Y510" s="95" t="str">
        <f ca="1">IFERROR(__xludf.DUMMYFUNCTION("IFERROR(JOIN("","", UNIQUE(filter({U510; W510}, {U510; W510}&lt;&gt;""""))), """")"),"")</f>
        <v/>
      </c>
    </row>
    <row r="511" spans="2:25" ht="13" x14ac:dyDescent="0.15">
      <c r="B511" s="10"/>
      <c r="C511" s="10"/>
      <c r="D511" s="10"/>
      <c r="E511" s="10"/>
      <c r="F511" s="10"/>
      <c r="G511" s="95" t="str">
        <f ca="1">IFERROR(__xludf.DUMMYFUNCTION("IFERROR(JOIN("","", UNIQUE(filter({C511; E511}, {C511; E511}&lt;&gt;""""))), """")"),"")</f>
        <v/>
      </c>
      <c r="H511" s="96"/>
      <c r="I511" s="96"/>
      <c r="J511" s="96"/>
      <c r="K511" s="96"/>
      <c r="L511" s="96"/>
      <c r="M511" s="95" t="str">
        <f ca="1">IFERROR(__xludf.DUMMYFUNCTION("IFERROR(JOIN("","", UNIQUE(filter({I511; K511}, {I511; K511}&lt;&gt;""""))), """")"),"")</f>
        <v/>
      </c>
      <c r="N511" s="98"/>
      <c r="O511" s="98"/>
      <c r="P511" s="98"/>
      <c r="Q511" s="98"/>
      <c r="R511" s="98"/>
      <c r="S511" s="95" t="str">
        <f ca="1">IFERROR(__xludf.DUMMYFUNCTION("IFERROR(JOIN("","", UNIQUE(filter({O511; Q511}, {O511; Q511}&lt;&gt;""""))), """")"),"")</f>
        <v/>
      </c>
      <c r="T511" s="99"/>
      <c r="U511" s="99"/>
      <c r="V511" s="99"/>
      <c r="W511" s="99"/>
      <c r="X511" s="99"/>
      <c r="Y511" s="95" t="str">
        <f ca="1">IFERROR(__xludf.DUMMYFUNCTION("IFERROR(JOIN("","", UNIQUE(filter({U511; W511}, {U511; W511}&lt;&gt;""""))), """")"),"")</f>
        <v/>
      </c>
    </row>
    <row r="512" spans="2:25" ht="13" x14ac:dyDescent="0.15">
      <c r="B512" s="10"/>
      <c r="C512" s="10"/>
      <c r="D512" s="10"/>
      <c r="E512" s="10"/>
      <c r="F512" s="10"/>
      <c r="G512" s="95" t="str">
        <f ca="1">IFERROR(__xludf.DUMMYFUNCTION("IFERROR(JOIN("","", UNIQUE(filter({C512; E512}, {C512; E512}&lt;&gt;""""))), """")"),"")</f>
        <v/>
      </c>
      <c r="H512" s="96"/>
      <c r="I512" s="96"/>
      <c r="J512" s="96"/>
      <c r="K512" s="96"/>
      <c r="L512" s="96"/>
      <c r="M512" s="95" t="str">
        <f ca="1">IFERROR(__xludf.DUMMYFUNCTION("IFERROR(JOIN("","", UNIQUE(filter({I512; K512}, {I512; K512}&lt;&gt;""""))), """")"),"")</f>
        <v/>
      </c>
      <c r="N512" s="98"/>
      <c r="O512" s="98"/>
      <c r="P512" s="98"/>
      <c r="Q512" s="98"/>
      <c r="R512" s="98"/>
      <c r="S512" s="95" t="str">
        <f ca="1">IFERROR(__xludf.DUMMYFUNCTION("IFERROR(JOIN("","", UNIQUE(filter({O512; Q512}, {O512; Q512}&lt;&gt;""""))), """")"),"")</f>
        <v/>
      </c>
      <c r="T512" s="99"/>
      <c r="U512" s="99"/>
      <c r="V512" s="99"/>
      <c r="W512" s="99"/>
      <c r="X512" s="99"/>
      <c r="Y512" s="95" t="str">
        <f ca="1">IFERROR(__xludf.DUMMYFUNCTION("IFERROR(JOIN("","", UNIQUE(filter({U512; W512}, {U512; W512}&lt;&gt;""""))), """")"),"")</f>
        <v/>
      </c>
    </row>
    <row r="513" spans="2:25" ht="13" x14ac:dyDescent="0.15">
      <c r="B513" s="10"/>
      <c r="C513" s="10"/>
      <c r="D513" s="10"/>
      <c r="E513" s="10"/>
      <c r="F513" s="10"/>
      <c r="G513" s="95" t="str">
        <f ca="1">IFERROR(__xludf.DUMMYFUNCTION("IFERROR(JOIN("","", UNIQUE(filter({C513; E513}, {C513; E513}&lt;&gt;""""))), """")"),"")</f>
        <v/>
      </c>
      <c r="H513" s="96"/>
      <c r="I513" s="96"/>
      <c r="J513" s="96"/>
      <c r="K513" s="96"/>
      <c r="L513" s="96"/>
      <c r="M513" s="95" t="str">
        <f ca="1">IFERROR(__xludf.DUMMYFUNCTION("IFERROR(JOIN("","", UNIQUE(filter({I513; K513}, {I513; K513}&lt;&gt;""""))), """")"),"")</f>
        <v/>
      </c>
      <c r="N513" s="98"/>
      <c r="O513" s="98"/>
      <c r="P513" s="98"/>
      <c r="Q513" s="98"/>
      <c r="R513" s="98"/>
      <c r="S513" s="95" t="str">
        <f ca="1">IFERROR(__xludf.DUMMYFUNCTION("IFERROR(JOIN("","", UNIQUE(filter({O513; Q513}, {O513; Q513}&lt;&gt;""""))), """")"),"")</f>
        <v/>
      </c>
      <c r="T513" s="99"/>
      <c r="U513" s="99"/>
      <c r="V513" s="99"/>
      <c r="W513" s="99"/>
      <c r="X513" s="99"/>
      <c r="Y513" s="95" t="str">
        <f ca="1">IFERROR(__xludf.DUMMYFUNCTION("IFERROR(JOIN("","", UNIQUE(filter({U513; W513}, {U513; W513}&lt;&gt;""""))), """")"),"")</f>
        <v/>
      </c>
    </row>
    <row r="514" spans="2:25" ht="13" x14ac:dyDescent="0.15">
      <c r="B514" s="10"/>
      <c r="C514" s="10"/>
      <c r="D514" s="10"/>
      <c r="E514" s="10"/>
      <c r="F514" s="10"/>
      <c r="G514" s="95" t="str">
        <f ca="1">IFERROR(__xludf.DUMMYFUNCTION("IFERROR(JOIN("","", UNIQUE(filter({C514; E514}, {C514; E514}&lt;&gt;""""))), """")"),"")</f>
        <v/>
      </c>
      <c r="H514" s="96"/>
      <c r="I514" s="96"/>
      <c r="J514" s="96"/>
      <c r="K514" s="96"/>
      <c r="L514" s="96"/>
      <c r="M514" s="95" t="str">
        <f ca="1">IFERROR(__xludf.DUMMYFUNCTION("IFERROR(JOIN("","", UNIQUE(filter({I514; K514}, {I514; K514}&lt;&gt;""""))), """")"),"")</f>
        <v/>
      </c>
      <c r="N514" s="98"/>
      <c r="O514" s="98"/>
      <c r="P514" s="98"/>
      <c r="Q514" s="98"/>
      <c r="R514" s="98"/>
      <c r="S514" s="95" t="str">
        <f ca="1">IFERROR(__xludf.DUMMYFUNCTION("IFERROR(JOIN("","", UNIQUE(filter({O514; Q514}, {O514; Q514}&lt;&gt;""""))), """")"),"")</f>
        <v/>
      </c>
      <c r="T514" s="99"/>
      <c r="U514" s="99"/>
      <c r="V514" s="99"/>
      <c r="W514" s="99"/>
      <c r="X514" s="99"/>
      <c r="Y514" s="95" t="str">
        <f ca="1">IFERROR(__xludf.DUMMYFUNCTION("IFERROR(JOIN("","", UNIQUE(filter({U514; W514}, {U514; W514}&lt;&gt;""""))), """")"),"")</f>
        <v/>
      </c>
    </row>
    <row r="515" spans="2:25" ht="13" x14ac:dyDescent="0.15">
      <c r="B515" s="10"/>
      <c r="C515" s="10"/>
      <c r="D515" s="10"/>
      <c r="E515" s="10"/>
      <c r="F515" s="10"/>
      <c r="G515" s="95" t="str">
        <f ca="1">IFERROR(__xludf.DUMMYFUNCTION("IFERROR(JOIN("","", UNIQUE(filter({C515; E515}, {C515; E515}&lt;&gt;""""))), """")"),"")</f>
        <v/>
      </c>
      <c r="H515" s="96"/>
      <c r="I515" s="96"/>
      <c r="J515" s="96"/>
      <c r="K515" s="96"/>
      <c r="L515" s="96"/>
      <c r="M515" s="95" t="str">
        <f ca="1">IFERROR(__xludf.DUMMYFUNCTION("IFERROR(JOIN("","", UNIQUE(filter({I515; K515}, {I515; K515}&lt;&gt;""""))), """")"),"")</f>
        <v/>
      </c>
      <c r="N515" s="98"/>
      <c r="O515" s="98"/>
      <c r="P515" s="98"/>
      <c r="Q515" s="98"/>
      <c r="R515" s="98"/>
      <c r="S515" s="95" t="str">
        <f ca="1">IFERROR(__xludf.DUMMYFUNCTION("IFERROR(JOIN("","", UNIQUE(filter({O515; Q515}, {O515; Q515}&lt;&gt;""""))), """")"),"")</f>
        <v/>
      </c>
      <c r="T515" s="99"/>
      <c r="U515" s="99"/>
      <c r="V515" s="99"/>
      <c r="W515" s="99"/>
      <c r="X515" s="99"/>
      <c r="Y515" s="95" t="str">
        <f ca="1">IFERROR(__xludf.DUMMYFUNCTION("IFERROR(JOIN("","", UNIQUE(filter({U515; W515}, {U515; W515}&lt;&gt;""""))), """")"),"")</f>
        <v/>
      </c>
    </row>
    <row r="516" spans="2:25" ht="13" x14ac:dyDescent="0.15">
      <c r="B516" s="10"/>
      <c r="C516" s="10"/>
      <c r="D516" s="10"/>
      <c r="E516" s="10"/>
      <c r="F516" s="10"/>
      <c r="G516" s="95" t="str">
        <f ca="1">IFERROR(__xludf.DUMMYFUNCTION("IFERROR(JOIN("","", UNIQUE(filter({C516; E516}, {C516; E516}&lt;&gt;""""))), """")"),"")</f>
        <v/>
      </c>
      <c r="H516" s="96"/>
      <c r="I516" s="96"/>
      <c r="J516" s="96"/>
      <c r="K516" s="96"/>
      <c r="L516" s="96"/>
      <c r="M516" s="95" t="str">
        <f ca="1">IFERROR(__xludf.DUMMYFUNCTION("IFERROR(JOIN("","", UNIQUE(filter({I516; K516}, {I516; K516}&lt;&gt;""""))), """")"),"")</f>
        <v/>
      </c>
      <c r="N516" s="98"/>
      <c r="O516" s="98"/>
      <c r="P516" s="98"/>
      <c r="Q516" s="98"/>
      <c r="R516" s="98"/>
      <c r="S516" s="95" t="str">
        <f ca="1">IFERROR(__xludf.DUMMYFUNCTION("IFERROR(JOIN("","", UNIQUE(filter({O516; Q516}, {O516; Q516}&lt;&gt;""""))), """")"),"")</f>
        <v/>
      </c>
      <c r="T516" s="99"/>
      <c r="U516" s="99"/>
      <c r="V516" s="99"/>
      <c r="W516" s="99"/>
      <c r="X516" s="99"/>
      <c r="Y516" s="95" t="str">
        <f ca="1">IFERROR(__xludf.DUMMYFUNCTION("IFERROR(JOIN("","", UNIQUE(filter({U516; W516}, {U516; W516}&lt;&gt;""""))), """")"),"")</f>
        <v/>
      </c>
    </row>
    <row r="517" spans="2:25" ht="13" x14ac:dyDescent="0.15">
      <c r="B517" s="10"/>
      <c r="C517" s="10"/>
      <c r="D517" s="10"/>
      <c r="E517" s="10"/>
      <c r="F517" s="10"/>
      <c r="G517" s="95" t="str">
        <f ca="1">IFERROR(__xludf.DUMMYFUNCTION("IFERROR(JOIN("","", UNIQUE(filter({C517; E517}, {C517; E517}&lt;&gt;""""))), """")"),"")</f>
        <v/>
      </c>
      <c r="H517" s="96"/>
      <c r="I517" s="96"/>
      <c r="J517" s="96"/>
      <c r="K517" s="96"/>
      <c r="L517" s="96"/>
      <c r="M517" s="95" t="str">
        <f ca="1">IFERROR(__xludf.DUMMYFUNCTION("IFERROR(JOIN("","", UNIQUE(filter({I517; K517}, {I517; K517}&lt;&gt;""""))), """")"),"")</f>
        <v/>
      </c>
      <c r="N517" s="98"/>
      <c r="O517" s="98"/>
      <c r="P517" s="98"/>
      <c r="Q517" s="98"/>
      <c r="R517" s="98"/>
      <c r="S517" s="95" t="str">
        <f ca="1">IFERROR(__xludf.DUMMYFUNCTION("IFERROR(JOIN("","", UNIQUE(filter({O517; Q517}, {O517; Q517}&lt;&gt;""""))), """")"),"")</f>
        <v/>
      </c>
      <c r="T517" s="99"/>
      <c r="U517" s="99"/>
      <c r="V517" s="99"/>
      <c r="W517" s="99"/>
      <c r="X517" s="99"/>
      <c r="Y517" s="95" t="str">
        <f ca="1">IFERROR(__xludf.DUMMYFUNCTION("IFERROR(JOIN("","", UNIQUE(filter({U517; W517}, {U517; W517}&lt;&gt;""""))), """")"),"")</f>
        <v/>
      </c>
    </row>
    <row r="518" spans="2:25" ht="13" x14ac:dyDescent="0.15">
      <c r="B518" s="10"/>
      <c r="C518" s="10"/>
      <c r="D518" s="10"/>
      <c r="E518" s="10"/>
      <c r="F518" s="10"/>
      <c r="G518" s="95" t="str">
        <f ca="1">IFERROR(__xludf.DUMMYFUNCTION("IFERROR(JOIN("","", UNIQUE(filter({C518; E518}, {C518; E518}&lt;&gt;""""))), """")"),"")</f>
        <v/>
      </c>
      <c r="H518" s="96"/>
      <c r="I518" s="96"/>
      <c r="J518" s="96"/>
      <c r="K518" s="96"/>
      <c r="L518" s="96"/>
      <c r="M518" s="95" t="str">
        <f ca="1">IFERROR(__xludf.DUMMYFUNCTION("IFERROR(JOIN("","", UNIQUE(filter({I518; K518}, {I518; K518}&lt;&gt;""""))), """")"),"")</f>
        <v/>
      </c>
      <c r="N518" s="98"/>
      <c r="O518" s="98"/>
      <c r="P518" s="98"/>
      <c r="Q518" s="98"/>
      <c r="R518" s="98"/>
      <c r="S518" s="95" t="str">
        <f ca="1">IFERROR(__xludf.DUMMYFUNCTION("IFERROR(JOIN("","", UNIQUE(filter({O518; Q518}, {O518; Q518}&lt;&gt;""""))), """")"),"")</f>
        <v/>
      </c>
      <c r="T518" s="99"/>
      <c r="U518" s="99"/>
      <c r="V518" s="99"/>
      <c r="W518" s="99"/>
      <c r="X518" s="99"/>
      <c r="Y518" s="95" t="str">
        <f ca="1">IFERROR(__xludf.DUMMYFUNCTION("IFERROR(JOIN("","", UNIQUE(filter({U518; W518}, {U518; W518}&lt;&gt;""""))), """")"),"")</f>
        <v/>
      </c>
    </row>
    <row r="519" spans="2:25" ht="13" x14ac:dyDescent="0.15">
      <c r="B519" s="10"/>
      <c r="C519" s="10"/>
      <c r="D519" s="10"/>
      <c r="E519" s="10"/>
      <c r="F519" s="10"/>
      <c r="G519" s="95" t="str">
        <f ca="1">IFERROR(__xludf.DUMMYFUNCTION("IFERROR(JOIN("","", UNIQUE(filter({C519; E519}, {C519; E519}&lt;&gt;""""))), """")"),"")</f>
        <v/>
      </c>
      <c r="H519" s="96"/>
      <c r="I519" s="96"/>
      <c r="J519" s="96"/>
      <c r="K519" s="96"/>
      <c r="L519" s="96"/>
      <c r="M519" s="95" t="str">
        <f ca="1">IFERROR(__xludf.DUMMYFUNCTION("IFERROR(JOIN("","", UNIQUE(filter({I519; K519}, {I519; K519}&lt;&gt;""""))), """")"),"")</f>
        <v/>
      </c>
      <c r="N519" s="98"/>
      <c r="O519" s="98"/>
      <c r="P519" s="98"/>
      <c r="Q519" s="98"/>
      <c r="R519" s="98"/>
      <c r="S519" s="95" t="str">
        <f ca="1">IFERROR(__xludf.DUMMYFUNCTION("IFERROR(JOIN("","", UNIQUE(filter({O519; Q519}, {O519; Q519}&lt;&gt;""""))), """")"),"")</f>
        <v/>
      </c>
      <c r="T519" s="99"/>
      <c r="U519" s="99"/>
      <c r="V519" s="99"/>
      <c r="W519" s="99"/>
      <c r="X519" s="99"/>
      <c r="Y519" s="95" t="str">
        <f ca="1">IFERROR(__xludf.DUMMYFUNCTION("IFERROR(JOIN("","", UNIQUE(filter({U519; W519}, {U519; W519}&lt;&gt;""""))), """")"),"")</f>
        <v/>
      </c>
    </row>
    <row r="520" spans="2:25" ht="13" x14ac:dyDescent="0.15">
      <c r="B520" s="10"/>
      <c r="C520" s="10"/>
      <c r="D520" s="10"/>
      <c r="E520" s="10"/>
      <c r="F520" s="10"/>
      <c r="G520" s="95" t="str">
        <f ca="1">IFERROR(__xludf.DUMMYFUNCTION("IFERROR(JOIN("","", UNIQUE(filter({C520; E520}, {C520; E520}&lt;&gt;""""))), """")"),"")</f>
        <v/>
      </c>
      <c r="H520" s="96"/>
      <c r="I520" s="96"/>
      <c r="J520" s="96"/>
      <c r="K520" s="96"/>
      <c r="L520" s="96"/>
      <c r="M520" s="95" t="str">
        <f ca="1">IFERROR(__xludf.DUMMYFUNCTION("IFERROR(JOIN("","", UNIQUE(filter({I520; K520}, {I520; K520}&lt;&gt;""""))), """")"),"")</f>
        <v/>
      </c>
      <c r="N520" s="98"/>
      <c r="O520" s="98"/>
      <c r="P520" s="98"/>
      <c r="Q520" s="98"/>
      <c r="R520" s="98"/>
      <c r="S520" s="95" t="str">
        <f ca="1">IFERROR(__xludf.DUMMYFUNCTION("IFERROR(JOIN("","", UNIQUE(filter({O520; Q520}, {O520; Q520}&lt;&gt;""""))), """")"),"")</f>
        <v/>
      </c>
      <c r="T520" s="99"/>
      <c r="U520" s="99"/>
      <c r="V520" s="99"/>
      <c r="W520" s="99"/>
      <c r="X520" s="99"/>
      <c r="Y520" s="95" t="str">
        <f ca="1">IFERROR(__xludf.DUMMYFUNCTION("IFERROR(JOIN("","", UNIQUE(filter({U520; W520}, {U520; W520}&lt;&gt;""""))), """")"),"")</f>
        <v/>
      </c>
    </row>
    <row r="521" spans="2:25" ht="13" x14ac:dyDescent="0.15">
      <c r="B521" s="10"/>
      <c r="C521" s="10"/>
      <c r="D521" s="10"/>
      <c r="E521" s="10"/>
      <c r="F521" s="10"/>
      <c r="G521" s="95" t="str">
        <f ca="1">IFERROR(__xludf.DUMMYFUNCTION("IFERROR(JOIN("","", UNIQUE(filter({C521; E521}, {C521; E521}&lt;&gt;""""))), """")"),"")</f>
        <v/>
      </c>
      <c r="H521" s="96"/>
      <c r="I521" s="96"/>
      <c r="J521" s="96"/>
      <c r="K521" s="96"/>
      <c r="L521" s="96"/>
      <c r="M521" s="95" t="str">
        <f ca="1">IFERROR(__xludf.DUMMYFUNCTION("IFERROR(JOIN("","", UNIQUE(filter({I521; K521}, {I521; K521}&lt;&gt;""""))), """")"),"")</f>
        <v/>
      </c>
      <c r="N521" s="98"/>
      <c r="O521" s="98"/>
      <c r="P521" s="98"/>
      <c r="Q521" s="98"/>
      <c r="R521" s="98"/>
      <c r="S521" s="95" t="str">
        <f ca="1">IFERROR(__xludf.DUMMYFUNCTION("IFERROR(JOIN("","", UNIQUE(filter({O521; Q521}, {O521; Q521}&lt;&gt;""""))), """")"),"")</f>
        <v/>
      </c>
      <c r="T521" s="99"/>
      <c r="U521" s="99"/>
      <c r="V521" s="99"/>
      <c r="W521" s="99"/>
      <c r="X521" s="99"/>
      <c r="Y521" s="95" t="str">
        <f ca="1">IFERROR(__xludf.DUMMYFUNCTION("IFERROR(JOIN("","", UNIQUE(filter({U521; W521}, {U521; W521}&lt;&gt;""""))), """")"),"")</f>
        <v/>
      </c>
    </row>
    <row r="522" spans="2:25" ht="13" x14ac:dyDescent="0.15">
      <c r="B522" s="10"/>
      <c r="C522" s="10"/>
      <c r="D522" s="10"/>
      <c r="E522" s="10"/>
      <c r="F522" s="10"/>
      <c r="G522" s="95" t="str">
        <f ca="1">IFERROR(__xludf.DUMMYFUNCTION("IFERROR(JOIN("","", UNIQUE(filter({C522; E522}, {C522; E522}&lt;&gt;""""))), """")"),"")</f>
        <v/>
      </c>
      <c r="H522" s="96"/>
      <c r="I522" s="96"/>
      <c r="J522" s="96"/>
      <c r="K522" s="96"/>
      <c r="L522" s="96"/>
      <c r="M522" s="95" t="str">
        <f ca="1">IFERROR(__xludf.DUMMYFUNCTION("IFERROR(JOIN("","", UNIQUE(filter({I522; K522}, {I522; K522}&lt;&gt;""""))), """")"),"")</f>
        <v/>
      </c>
      <c r="N522" s="98"/>
      <c r="O522" s="98"/>
      <c r="P522" s="98"/>
      <c r="Q522" s="98"/>
      <c r="R522" s="98"/>
      <c r="S522" s="95" t="str">
        <f ca="1">IFERROR(__xludf.DUMMYFUNCTION("IFERROR(JOIN("","", UNIQUE(filter({O522; Q522}, {O522; Q522}&lt;&gt;""""))), """")"),"")</f>
        <v/>
      </c>
      <c r="T522" s="99"/>
      <c r="U522" s="99"/>
      <c r="V522" s="99"/>
      <c r="W522" s="99"/>
      <c r="X522" s="99"/>
      <c r="Y522" s="95" t="str">
        <f ca="1">IFERROR(__xludf.DUMMYFUNCTION("IFERROR(JOIN("","", UNIQUE(filter({U522; W522}, {U522; W522}&lt;&gt;""""))), """")"),"")</f>
        <v/>
      </c>
    </row>
    <row r="523" spans="2:25" ht="13" x14ac:dyDescent="0.15">
      <c r="B523" s="10"/>
      <c r="C523" s="10"/>
      <c r="D523" s="10"/>
      <c r="E523" s="10"/>
      <c r="F523" s="10"/>
      <c r="G523" s="95" t="str">
        <f ca="1">IFERROR(__xludf.DUMMYFUNCTION("IFERROR(JOIN("","", UNIQUE(filter({C523; E523}, {C523; E523}&lt;&gt;""""))), """")"),"")</f>
        <v/>
      </c>
      <c r="H523" s="96"/>
      <c r="I523" s="96"/>
      <c r="J523" s="96"/>
      <c r="K523" s="96"/>
      <c r="L523" s="96"/>
      <c r="M523" s="95" t="str">
        <f ca="1">IFERROR(__xludf.DUMMYFUNCTION("IFERROR(JOIN("","", UNIQUE(filter({I523; K523}, {I523; K523}&lt;&gt;""""))), """")"),"")</f>
        <v/>
      </c>
      <c r="N523" s="98"/>
      <c r="O523" s="98"/>
      <c r="P523" s="98"/>
      <c r="Q523" s="98"/>
      <c r="R523" s="98"/>
      <c r="S523" s="95" t="str">
        <f ca="1">IFERROR(__xludf.DUMMYFUNCTION("IFERROR(JOIN("","", UNIQUE(filter({O523; Q523}, {O523; Q523}&lt;&gt;""""))), """")"),"")</f>
        <v/>
      </c>
      <c r="T523" s="99"/>
      <c r="U523" s="99"/>
      <c r="V523" s="99"/>
      <c r="W523" s="99"/>
      <c r="X523" s="99"/>
      <c r="Y523" s="95" t="str">
        <f ca="1">IFERROR(__xludf.DUMMYFUNCTION("IFERROR(JOIN("","", UNIQUE(filter({U523; W523}, {U523; W523}&lt;&gt;""""))), """")"),"")</f>
        <v/>
      </c>
    </row>
    <row r="524" spans="2:25" ht="13" x14ac:dyDescent="0.15">
      <c r="B524" s="10"/>
      <c r="C524" s="10"/>
      <c r="D524" s="10"/>
      <c r="E524" s="10"/>
      <c r="F524" s="10"/>
      <c r="G524" s="95" t="str">
        <f ca="1">IFERROR(__xludf.DUMMYFUNCTION("IFERROR(JOIN("","", UNIQUE(filter({C524; E524}, {C524; E524}&lt;&gt;""""))), """")"),"")</f>
        <v/>
      </c>
      <c r="H524" s="96"/>
      <c r="I524" s="96"/>
      <c r="J524" s="96"/>
      <c r="K524" s="96"/>
      <c r="L524" s="96"/>
      <c r="M524" s="95" t="str">
        <f ca="1">IFERROR(__xludf.DUMMYFUNCTION("IFERROR(JOIN("","", UNIQUE(filter({I524; K524}, {I524; K524}&lt;&gt;""""))), """")"),"")</f>
        <v/>
      </c>
      <c r="N524" s="98"/>
      <c r="O524" s="98"/>
      <c r="P524" s="98"/>
      <c r="Q524" s="98"/>
      <c r="R524" s="98"/>
      <c r="S524" s="95" t="str">
        <f ca="1">IFERROR(__xludf.DUMMYFUNCTION("IFERROR(JOIN("","", UNIQUE(filter({O524; Q524}, {O524; Q524}&lt;&gt;""""))), """")"),"")</f>
        <v/>
      </c>
      <c r="T524" s="99"/>
      <c r="U524" s="99"/>
      <c r="V524" s="99"/>
      <c r="W524" s="99"/>
      <c r="X524" s="99"/>
      <c r="Y524" s="95" t="str">
        <f ca="1">IFERROR(__xludf.DUMMYFUNCTION("IFERROR(JOIN("","", UNIQUE(filter({U524; W524}, {U524; W524}&lt;&gt;""""))), """")"),"")</f>
        <v/>
      </c>
    </row>
    <row r="525" spans="2:25" ht="13" x14ac:dyDescent="0.15">
      <c r="B525" s="10"/>
      <c r="C525" s="10"/>
      <c r="D525" s="10"/>
      <c r="E525" s="10"/>
      <c r="F525" s="10"/>
      <c r="G525" s="95" t="str">
        <f ca="1">IFERROR(__xludf.DUMMYFUNCTION("IFERROR(JOIN("","", UNIQUE(filter({C525; E525}, {C525; E525}&lt;&gt;""""))), """")"),"")</f>
        <v/>
      </c>
      <c r="H525" s="96"/>
      <c r="I525" s="96"/>
      <c r="J525" s="96"/>
      <c r="K525" s="96"/>
      <c r="L525" s="96"/>
      <c r="M525" s="95" t="str">
        <f ca="1">IFERROR(__xludf.DUMMYFUNCTION("IFERROR(JOIN("","", UNIQUE(filter({I525; K525}, {I525; K525}&lt;&gt;""""))), """")"),"")</f>
        <v/>
      </c>
      <c r="N525" s="98"/>
      <c r="O525" s="98"/>
      <c r="P525" s="98"/>
      <c r="Q525" s="98"/>
      <c r="R525" s="98"/>
      <c r="S525" s="95" t="str">
        <f ca="1">IFERROR(__xludf.DUMMYFUNCTION("IFERROR(JOIN("","", UNIQUE(filter({O525; Q525}, {O525; Q525}&lt;&gt;""""))), """")"),"")</f>
        <v/>
      </c>
      <c r="T525" s="99"/>
      <c r="U525" s="99"/>
      <c r="V525" s="99"/>
      <c r="W525" s="99"/>
      <c r="X525" s="99"/>
      <c r="Y525" s="95" t="str">
        <f ca="1">IFERROR(__xludf.DUMMYFUNCTION("IFERROR(JOIN("","", UNIQUE(filter({U525; W525}, {U525; W525}&lt;&gt;""""))), """")"),"")</f>
        <v/>
      </c>
    </row>
    <row r="526" spans="2:25" ht="13" x14ac:dyDescent="0.15">
      <c r="B526" s="10"/>
      <c r="C526" s="10"/>
      <c r="D526" s="10"/>
      <c r="E526" s="10"/>
      <c r="F526" s="10"/>
      <c r="G526" s="95" t="str">
        <f ca="1">IFERROR(__xludf.DUMMYFUNCTION("IFERROR(JOIN("","", UNIQUE(filter({C526; E526}, {C526; E526}&lt;&gt;""""))), """")"),"")</f>
        <v/>
      </c>
      <c r="H526" s="96"/>
      <c r="I526" s="96"/>
      <c r="J526" s="96"/>
      <c r="K526" s="96"/>
      <c r="L526" s="96"/>
      <c r="M526" s="95" t="str">
        <f ca="1">IFERROR(__xludf.DUMMYFUNCTION("IFERROR(JOIN("","", UNIQUE(filter({I526; K526}, {I526; K526}&lt;&gt;""""))), """")"),"")</f>
        <v/>
      </c>
      <c r="N526" s="98"/>
      <c r="O526" s="98"/>
      <c r="P526" s="98"/>
      <c r="Q526" s="98"/>
      <c r="R526" s="98"/>
      <c r="S526" s="95" t="str">
        <f ca="1">IFERROR(__xludf.DUMMYFUNCTION("IFERROR(JOIN("","", UNIQUE(filter({O526; Q526}, {O526; Q526}&lt;&gt;""""))), """")"),"")</f>
        <v/>
      </c>
      <c r="T526" s="99"/>
      <c r="U526" s="99"/>
      <c r="V526" s="99"/>
      <c r="W526" s="99"/>
      <c r="X526" s="99"/>
      <c r="Y526" s="95" t="str">
        <f ca="1">IFERROR(__xludf.DUMMYFUNCTION("IFERROR(JOIN("","", UNIQUE(filter({U526; W526}, {U526; W526}&lt;&gt;""""))), """")"),"")</f>
        <v/>
      </c>
    </row>
    <row r="527" spans="2:25" ht="13" x14ac:dyDescent="0.15">
      <c r="B527" s="10"/>
      <c r="C527" s="10"/>
      <c r="D527" s="10"/>
      <c r="E527" s="10"/>
      <c r="F527" s="10"/>
      <c r="G527" s="95" t="str">
        <f ca="1">IFERROR(__xludf.DUMMYFUNCTION("IFERROR(JOIN("","", UNIQUE(filter({C527; E527}, {C527; E527}&lt;&gt;""""))), """")"),"")</f>
        <v/>
      </c>
      <c r="H527" s="96"/>
      <c r="I527" s="96"/>
      <c r="J527" s="96"/>
      <c r="K527" s="96"/>
      <c r="L527" s="96"/>
      <c r="M527" s="95" t="str">
        <f ca="1">IFERROR(__xludf.DUMMYFUNCTION("IFERROR(JOIN("","", UNIQUE(filter({I527; K527}, {I527; K527}&lt;&gt;""""))), """")"),"")</f>
        <v/>
      </c>
      <c r="N527" s="98"/>
      <c r="O527" s="98"/>
      <c r="P527" s="98"/>
      <c r="Q527" s="98"/>
      <c r="R527" s="98"/>
      <c r="S527" s="95" t="str">
        <f ca="1">IFERROR(__xludf.DUMMYFUNCTION("IFERROR(JOIN("","", UNIQUE(filter({O527; Q527}, {O527; Q527}&lt;&gt;""""))), """")"),"")</f>
        <v/>
      </c>
      <c r="T527" s="99"/>
      <c r="U527" s="99"/>
      <c r="V527" s="99"/>
      <c r="W527" s="99"/>
      <c r="X527" s="99"/>
      <c r="Y527" s="95" t="str">
        <f ca="1">IFERROR(__xludf.DUMMYFUNCTION("IFERROR(JOIN("","", UNIQUE(filter({U527; W527}, {U527; W527}&lt;&gt;""""))), """")"),"")</f>
        <v/>
      </c>
    </row>
    <row r="528" spans="2:25" ht="13" x14ac:dyDescent="0.15">
      <c r="B528" s="10"/>
      <c r="C528" s="10"/>
      <c r="D528" s="10"/>
      <c r="E528" s="10"/>
      <c r="F528" s="10"/>
      <c r="G528" s="95" t="str">
        <f ca="1">IFERROR(__xludf.DUMMYFUNCTION("IFERROR(JOIN("","", UNIQUE(filter({C528; E528}, {C528; E528}&lt;&gt;""""))), """")"),"")</f>
        <v/>
      </c>
      <c r="H528" s="96"/>
      <c r="I528" s="96"/>
      <c r="J528" s="96"/>
      <c r="K528" s="96"/>
      <c r="L528" s="96"/>
      <c r="M528" s="95" t="str">
        <f ca="1">IFERROR(__xludf.DUMMYFUNCTION("IFERROR(JOIN("","", UNIQUE(filter({I528; K528}, {I528; K528}&lt;&gt;""""))), """")"),"")</f>
        <v/>
      </c>
      <c r="N528" s="98"/>
      <c r="O528" s="98"/>
      <c r="P528" s="98"/>
      <c r="Q528" s="98"/>
      <c r="R528" s="98"/>
      <c r="S528" s="95" t="str">
        <f ca="1">IFERROR(__xludf.DUMMYFUNCTION("IFERROR(JOIN("","", UNIQUE(filter({O528; Q528}, {O528; Q528}&lt;&gt;""""))), """")"),"")</f>
        <v/>
      </c>
      <c r="T528" s="99"/>
      <c r="U528" s="99"/>
      <c r="V528" s="99"/>
      <c r="W528" s="99"/>
      <c r="X528" s="99"/>
      <c r="Y528" s="95" t="str">
        <f ca="1">IFERROR(__xludf.DUMMYFUNCTION("IFERROR(JOIN("","", UNIQUE(filter({U528; W528}, {U528; W528}&lt;&gt;""""))), """")"),"")</f>
        <v/>
      </c>
    </row>
    <row r="529" spans="2:25" ht="13" x14ac:dyDescent="0.15">
      <c r="B529" s="10"/>
      <c r="C529" s="10"/>
      <c r="D529" s="10"/>
      <c r="E529" s="10"/>
      <c r="F529" s="10"/>
      <c r="G529" s="95" t="str">
        <f ca="1">IFERROR(__xludf.DUMMYFUNCTION("IFERROR(JOIN("","", UNIQUE(filter({C529; E529}, {C529; E529}&lt;&gt;""""))), """")"),"")</f>
        <v/>
      </c>
      <c r="H529" s="96"/>
      <c r="I529" s="96"/>
      <c r="J529" s="96"/>
      <c r="K529" s="96"/>
      <c r="L529" s="96"/>
      <c r="M529" s="95" t="str">
        <f ca="1">IFERROR(__xludf.DUMMYFUNCTION("IFERROR(JOIN("","", UNIQUE(filter({I529; K529}, {I529; K529}&lt;&gt;""""))), """")"),"")</f>
        <v/>
      </c>
      <c r="N529" s="98"/>
      <c r="O529" s="98"/>
      <c r="P529" s="98"/>
      <c r="Q529" s="98"/>
      <c r="R529" s="98"/>
      <c r="S529" s="95" t="str">
        <f ca="1">IFERROR(__xludf.DUMMYFUNCTION("IFERROR(JOIN("","", UNIQUE(filter({O529; Q529}, {O529; Q529}&lt;&gt;""""))), """")"),"")</f>
        <v/>
      </c>
      <c r="T529" s="99"/>
      <c r="U529" s="99"/>
      <c r="V529" s="99"/>
      <c r="W529" s="99"/>
      <c r="X529" s="99"/>
      <c r="Y529" s="95" t="str">
        <f ca="1">IFERROR(__xludf.DUMMYFUNCTION("IFERROR(JOIN("","", UNIQUE(filter({U529; W529}, {U529; W529}&lt;&gt;""""))), """")"),"")</f>
        <v/>
      </c>
    </row>
    <row r="530" spans="2:25" ht="13" x14ac:dyDescent="0.15">
      <c r="B530" s="10"/>
      <c r="C530" s="10"/>
      <c r="D530" s="10"/>
      <c r="E530" s="10"/>
      <c r="F530" s="10"/>
      <c r="G530" s="95" t="str">
        <f ca="1">IFERROR(__xludf.DUMMYFUNCTION("IFERROR(JOIN("","", UNIQUE(filter({C530; E530}, {C530; E530}&lt;&gt;""""))), """")"),"")</f>
        <v/>
      </c>
      <c r="H530" s="96"/>
      <c r="I530" s="96"/>
      <c r="J530" s="96"/>
      <c r="K530" s="96"/>
      <c r="L530" s="96"/>
      <c r="M530" s="95" t="str">
        <f ca="1">IFERROR(__xludf.DUMMYFUNCTION("IFERROR(JOIN("","", UNIQUE(filter({I530; K530}, {I530; K530}&lt;&gt;""""))), """")"),"")</f>
        <v/>
      </c>
      <c r="N530" s="98"/>
      <c r="O530" s="98"/>
      <c r="P530" s="98"/>
      <c r="Q530" s="98"/>
      <c r="R530" s="98"/>
      <c r="S530" s="95" t="str">
        <f ca="1">IFERROR(__xludf.DUMMYFUNCTION("IFERROR(JOIN("","", UNIQUE(filter({O530; Q530}, {O530; Q530}&lt;&gt;""""))), """")"),"")</f>
        <v/>
      </c>
      <c r="T530" s="99"/>
      <c r="U530" s="99"/>
      <c r="V530" s="99"/>
      <c r="W530" s="99"/>
      <c r="X530" s="99"/>
      <c r="Y530" s="95" t="str">
        <f ca="1">IFERROR(__xludf.DUMMYFUNCTION("IFERROR(JOIN("","", UNIQUE(filter({U530; W530}, {U530; W530}&lt;&gt;""""))), """")"),"")</f>
        <v/>
      </c>
    </row>
    <row r="531" spans="2:25" ht="13" x14ac:dyDescent="0.15">
      <c r="B531" s="10"/>
      <c r="C531" s="10"/>
      <c r="D531" s="10"/>
      <c r="E531" s="10"/>
      <c r="F531" s="10"/>
      <c r="G531" s="95" t="str">
        <f ca="1">IFERROR(__xludf.DUMMYFUNCTION("IFERROR(JOIN("","", UNIQUE(filter({C531; E531}, {C531; E531}&lt;&gt;""""))), """")"),"")</f>
        <v/>
      </c>
      <c r="H531" s="96"/>
      <c r="I531" s="96"/>
      <c r="J531" s="96"/>
      <c r="K531" s="96"/>
      <c r="L531" s="96"/>
      <c r="M531" s="95" t="str">
        <f ca="1">IFERROR(__xludf.DUMMYFUNCTION("IFERROR(JOIN("","", UNIQUE(filter({I531; K531}, {I531; K531}&lt;&gt;""""))), """")"),"")</f>
        <v/>
      </c>
      <c r="N531" s="98"/>
      <c r="O531" s="98"/>
      <c r="P531" s="98"/>
      <c r="Q531" s="98"/>
      <c r="R531" s="98"/>
      <c r="S531" s="95" t="str">
        <f ca="1">IFERROR(__xludf.DUMMYFUNCTION("IFERROR(JOIN("","", UNIQUE(filter({O531; Q531}, {O531; Q531}&lt;&gt;""""))), """")"),"")</f>
        <v/>
      </c>
      <c r="T531" s="99"/>
      <c r="U531" s="99"/>
      <c r="V531" s="99"/>
      <c r="W531" s="99"/>
      <c r="X531" s="99"/>
      <c r="Y531" s="95" t="str">
        <f ca="1">IFERROR(__xludf.DUMMYFUNCTION("IFERROR(JOIN("","", UNIQUE(filter({U531; W531}, {U531; W531}&lt;&gt;""""))), """")"),"")</f>
        <v/>
      </c>
    </row>
    <row r="532" spans="2:25" ht="13" x14ac:dyDescent="0.15">
      <c r="B532" s="10"/>
      <c r="C532" s="10"/>
      <c r="D532" s="10"/>
      <c r="E532" s="10"/>
      <c r="F532" s="10"/>
      <c r="G532" s="95" t="str">
        <f ca="1">IFERROR(__xludf.DUMMYFUNCTION("IFERROR(JOIN("","", UNIQUE(filter({C532; E532}, {C532; E532}&lt;&gt;""""))), """")"),"")</f>
        <v/>
      </c>
      <c r="H532" s="96"/>
      <c r="I532" s="96"/>
      <c r="J532" s="96"/>
      <c r="K532" s="96"/>
      <c r="L532" s="96"/>
      <c r="M532" s="95" t="str">
        <f ca="1">IFERROR(__xludf.DUMMYFUNCTION("IFERROR(JOIN("","", UNIQUE(filter({I532; K532}, {I532; K532}&lt;&gt;""""))), """")"),"")</f>
        <v/>
      </c>
      <c r="N532" s="98"/>
      <c r="O532" s="98"/>
      <c r="P532" s="98"/>
      <c r="Q532" s="98"/>
      <c r="R532" s="98"/>
      <c r="S532" s="95" t="str">
        <f ca="1">IFERROR(__xludf.DUMMYFUNCTION("IFERROR(JOIN("","", UNIQUE(filter({O532; Q532}, {O532; Q532}&lt;&gt;""""))), """")"),"")</f>
        <v/>
      </c>
      <c r="T532" s="99"/>
      <c r="U532" s="99"/>
      <c r="V532" s="99"/>
      <c r="W532" s="99"/>
      <c r="X532" s="99"/>
      <c r="Y532" s="95" t="str">
        <f ca="1">IFERROR(__xludf.DUMMYFUNCTION("IFERROR(JOIN("","", UNIQUE(filter({U532; W532}, {U532; W532}&lt;&gt;""""))), """")"),"")</f>
        <v/>
      </c>
    </row>
    <row r="533" spans="2:25" ht="13" x14ac:dyDescent="0.15">
      <c r="B533" s="10"/>
      <c r="C533" s="10"/>
      <c r="D533" s="10"/>
      <c r="E533" s="10"/>
      <c r="F533" s="10"/>
      <c r="G533" s="95" t="str">
        <f ca="1">IFERROR(__xludf.DUMMYFUNCTION("IFERROR(JOIN("","", UNIQUE(filter({C533; E533}, {C533; E533}&lt;&gt;""""))), """")"),"")</f>
        <v/>
      </c>
      <c r="H533" s="96"/>
      <c r="I533" s="96"/>
      <c r="J533" s="96"/>
      <c r="K533" s="96"/>
      <c r="L533" s="96"/>
      <c r="M533" s="95" t="str">
        <f ca="1">IFERROR(__xludf.DUMMYFUNCTION("IFERROR(JOIN("","", UNIQUE(filter({I533; K533}, {I533; K533}&lt;&gt;""""))), """")"),"")</f>
        <v/>
      </c>
      <c r="N533" s="98"/>
      <c r="O533" s="98"/>
      <c r="P533" s="98"/>
      <c r="Q533" s="98"/>
      <c r="R533" s="98"/>
      <c r="S533" s="95" t="str">
        <f ca="1">IFERROR(__xludf.DUMMYFUNCTION("IFERROR(JOIN("","", UNIQUE(filter({O533; Q533}, {O533; Q533}&lt;&gt;""""))), """")"),"")</f>
        <v/>
      </c>
      <c r="T533" s="99"/>
      <c r="U533" s="99"/>
      <c r="V533" s="99"/>
      <c r="W533" s="99"/>
      <c r="X533" s="99"/>
      <c r="Y533" s="95" t="str">
        <f ca="1">IFERROR(__xludf.DUMMYFUNCTION("IFERROR(JOIN("","", UNIQUE(filter({U533; W533}, {U533; W533}&lt;&gt;""""))), """")"),"")</f>
        <v/>
      </c>
    </row>
    <row r="534" spans="2:25" ht="13" x14ac:dyDescent="0.15">
      <c r="B534" s="10"/>
      <c r="C534" s="10"/>
      <c r="D534" s="10"/>
      <c r="E534" s="10"/>
      <c r="F534" s="10"/>
      <c r="G534" s="95" t="str">
        <f ca="1">IFERROR(__xludf.DUMMYFUNCTION("IFERROR(JOIN("","", UNIQUE(filter({C534; E534}, {C534; E534}&lt;&gt;""""))), """")"),"")</f>
        <v/>
      </c>
      <c r="H534" s="96"/>
      <c r="I534" s="96"/>
      <c r="J534" s="96"/>
      <c r="K534" s="96"/>
      <c r="L534" s="96"/>
      <c r="M534" s="95" t="str">
        <f ca="1">IFERROR(__xludf.DUMMYFUNCTION("IFERROR(JOIN("","", UNIQUE(filter({I534; K534}, {I534; K534}&lt;&gt;""""))), """")"),"")</f>
        <v/>
      </c>
      <c r="N534" s="98"/>
      <c r="O534" s="98"/>
      <c r="P534" s="98"/>
      <c r="Q534" s="98"/>
      <c r="R534" s="98"/>
      <c r="S534" s="95" t="str">
        <f ca="1">IFERROR(__xludf.DUMMYFUNCTION("IFERROR(JOIN("","", UNIQUE(filter({O534; Q534}, {O534; Q534}&lt;&gt;""""))), """")"),"")</f>
        <v/>
      </c>
      <c r="T534" s="99"/>
      <c r="U534" s="99"/>
      <c r="V534" s="99"/>
      <c r="W534" s="99"/>
      <c r="X534" s="99"/>
      <c r="Y534" s="95" t="str">
        <f ca="1">IFERROR(__xludf.DUMMYFUNCTION("IFERROR(JOIN("","", UNIQUE(filter({U534; W534}, {U534; W534}&lt;&gt;""""))), """")"),"")</f>
        <v/>
      </c>
    </row>
    <row r="535" spans="2:25" ht="13" x14ac:dyDescent="0.15">
      <c r="B535" s="10"/>
      <c r="C535" s="10"/>
      <c r="D535" s="10"/>
      <c r="E535" s="10"/>
      <c r="F535" s="10"/>
      <c r="G535" s="95" t="str">
        <f ca="1">IFERROR(__xludf.DUMMYFUNCTION("IFERROR(JOIN("","", UNIQUE(filter({C535; E535}, {C535; E535}&lt;&gt;""""))), """")"),"")</f>
        <v/>
      </c>
      <c r="H535" s="96"/>
      <c r="I535" s="96"/>
      <c r="J535" s="96"/>
      <c r="K535" s="96"/>
      <c r="L535" s="96"/>
      <c r="M535" s="95" t="str">
        <f ca="1">IFERROR(__xludf.DUMMYFUNCTION("IFERROR(JOIN("","", UNIQUE(filter({I535; K535}, {I535; K535}&lt;&gt;""""))), """")"),"")</f>
        <v/>
      </c>
      <c r="N535" s="98"/>
      <c r="O535" s="98"/>
      <c r="P535" s="98"/>
      <c r="Q535" s="98"/>
      <c r="R535" s="98"/>
      <c r="S535" s="95" t="str">
        <f ca="1">IFERROR(__xludf.DUMMYFUNCTION("IFERROR(JOIN("","", UNIQUE(filter({O535; Q535}, {O535; Q535}&lt;&gt;""""))), """")"),"")</f>
        <v/>
      </c>
      <c r="T535" s="99"/>
      <c r="U535" s="99"/>
      <c r="V535" s="99"/>
      <c r="W535" s="99"/>
      <c r="X535" s="99"/>
      <c r="Y535" s="95" t="str">
        <f ca="1">IFERROR(__xludf.DUMMYFUNCTION("IFERROR(JOIN("","", UNIQUE(filter({U535; W535}, {U535; W535}&lt;&gt;""""))), """")"),"")</f>
        <v/>
      </c>
    </row>
    <row r="536" spans="2:25" ht="13" x14ac:dyDescent="0.15">
      <c r="B536" s="10"/>
      <c r="C536" s="10"/>
      <c r="D536" s="10"/>
      <c r="E536" s="10"/>
      <c r="F536" s="10"/>
      <c r="G536" s="95" t="str">
        <f ca="1">IFERROR(__xludf.DUMMYFUNCTION("IFERROR(JOIN("","", UNIQUE(filter({C536; E536}, {C536; E536}&lt;&gt;""""))), """")"),"")</f>
        <v/>
      </c>
      <c r="H536" s="96"/>
      <c r="I536" s="96"/>
      <c r="J536" s="96"/>
      <c r="K536" s="96"/>
      <c r="L536" s="96"/>
      <c r="M536" s="95" t="str">
        <f ca="1">IFERROR(__xludf.DUMMYFUNCTION("IFERROR(JOIN("","", UNIQUE(filter({I536; K536}, {I536; K536}&lt;&gt;""""))), """")"),"")</f>
        <v/>
      </c>
      <c r="N536" s="98"/>
      <c r="O536" s="98"/>
      <c r="P536" s="98"/>
      <c r="Q536" s="98"/>
      <c r="R536" s="98"/>
      <c r="S536" s="95" t="str">
        <f ca="1">IFERROR(__xludf.DUMMYFUNCTION("IFERROR(JOIN("","", UNIQUE(filter({O536; Q536}, {O536; Q536}&lt;&gt;""""))), """")"),"")</f>
        <v/>
      </c>
      <c r="T536" s="99"/>
      <c r="U536" s="99"/>
      <c r="V536" s="99"/>
      <c r="W536" s="99"/>
      <c r="X536" s="99"/>
      <c r="Y536" s="95" t="str">
        <f ca="1">IFERROR(__xludf.DUMMYFUNCTION("IFERROR(JOIN("","", UNIQUE(filter({U536; W536}, {U536; W536}&lt;&gt;""""))), """")"),"")</f>
        <v/>
      </c>
    </row>
    <row r="537" spans="2:25" ht="13" x14ac:dyDescent="0.15">
      <c r="B537" s="10"/>
      <c r="C537" s="10"/>
      <c r="D537" s="10"/>
      <c r="E537" s="10"/>
      <c r="F537" s="10"/>
      <c r="G537" s="95" t="str">
        <f ca="1">IFERROR(__xludf.DUMMYFUNCTION("IFERROR(JOIN("","", UNIQUE(filter({C537; E537}, {C537; E537}&lt;&gt;""""))), """")"),"")</f>
        <v/>
      </c>
      <c r="H537" s="96"/>
      <c r="I537" s="96"/>
      <c r="J537" s="96"/>
      <c r="K537" s="96"/>
      <c r="L537" s="96"/>
      <c r="M537" s="95" t="str">
        <f ca="1">IFERROR(__xludf.DUMMYFUNCTION("IFERROR(JOIN("","", UNIQUE(filter({I537; K537}, {I537; K537}&lt;&gt;""""))), """")"),"")</f>
        <v/>
      </c>
      <c r="N537" s="98"/>
      <c r="O537" s="98"/>
      <c r="P537" s="98"/>
      <c r="Q537" s="98"/>
      <c r="R537" s="98"/>
      <c r="S537" s="95" t="str">
        <f ca="1">IFERROR(__xludf.DUMMYFUNCTION("IFERROR(JOIN("","", UNIQUE(filter({O537; Q537}, {O537; Q537}&lt;&gt;""""))), """")"),"")</f>
        <v/>
      </c>
      <c r="T537" s="99"/>
      <c r="U537" s="99"/>
      <c r="V537" s="99"/>
      <c r="W537" s="99"/>
      <c r="X537" s="99"/>
      <c r="Y537" s="95" t="str">
        <f ca="1">IFERROR(__xludf.DUMMYFUNCTION("IFERROR(JOIN("","", UNIQUE(filter({U537; W537}, {U537; W537}&lt;&gt;""""))), """")"),"")</f>
        <v/>
      </c>
    </row>
    <row r="538" spans="2:25" ht="13" x14ac:dyDescent="0.15">
      <c r="B538" s="10"/>
      <c r="C538" s="10"/>
      <c r="D538" s="10"/>
      <c r="E538" s="10"/>
      <c r="F538" s="10"/>
      <c r="G538" s="95" t="str">
        <f ca="1">IFERROR(__xludf.DUMMYFUNCTION("IFERROR(JOIN("","", UNIQUE(filter({C538; E538}, {C538; E538}&lt;&gt;""""))), """")"),"")</f>
        <v/>
      </c>
      <c r="H538" s="96"/>
      <c r="I538" s="96"/>
      <c r="J538" s="96"/>
      <c r="K538" s="96"/>
      <c r="L538" s="96"/>
      <c r="M538" s="95" t="str">
        <f ca="1">IFERROR(__xludf.DUMMYFUNCTION("IFERROR(JOIN("","", UNIQUE(filter({I538; K538}, {I538; K538}&lt;&gt;""""))), """")"),"")</f>
        <v/>
      </c>
      <c r="N538" s="98"/>
      <c r="O538" s="98"/>
      <c r="P538" s="98"/>
      <c r="Q538" s="98"/>
      <c r="R538" s="98"/>
      <c r="S538" s="95" t="str">
        <f ca="1">IFERROR(__xludf.DUMMYFUNCTION("IFERROR(JOIN("","", UNIQUE(filter({O538; Q538}, {O538; Q538}&lt;&gt;""""))), """")"),"")</f>
        <v/>
      </c>
      <c r="T538" s="99"/>
      <c r="U538" s="99"/>
      <c r="V538" s="99"/>
      <c r="W538" s="99"/>
      <c r="X538" s="99"/>
      <c r="Y538" s="95" t="str">
        <f ca="1">IFERROR(__xludf.DUMMYFUNCTION("IFERROR(JOIN("","", UNIQUE(filter({U538; W538}, {U538; W538}&lt;&gt;""""))), """")"),"")</f>
        <v/>
      </c>
    </row>
    <row r="539" spans="2:25" ht="13" x14ac:dyDescent="0.15">
      <c r="B539" s="10"/>
      <c r="C539" s="10"/>
      <c r="D539" s="10"/>
      <c r="E539" s="10"/>
      <c r="F539" s="10"/>
      <c r="G539" s="95" t="str">
        <f ca="1">IFERROR(__xludf.DUMMYFUNCTION("IFERROR(JOIN("","", UNIQUE(filter({C539; E539}, {C539; E539}&lt;&gt;""""))), """")"),"")</f>
        <v/>
      </c>
      <c r="H539" s="96"/>
      <c r="I539" s="96"/>
      <c r="J539" s="96"/>
      <c r="K539" s="96"/>
      <c r="L539" s="96"/>
      <c r="M539" s="95" t="str">
        <f ca="1">IFERROR(__xludf.DUMMYFUNCTION("IFERROR(JOIN("","", UNIQUE(filter({I539; K539}, {I539; K539}&lt;&gt;""""))), """")"),"")</f>
        <v/>
      </c>
      <c r="N539" s="98"/>
      <c r="O539" s="98"/>
      <c r="P539" s="98"/>
      <c r="Q539" s="98"/>
      <c r="R539" s="98"/>
      <c r="S539" s="95" t="str">
        <f ca="1">IFERROR(__xludf.DUMMYFUNCTION("IFERROR(JOIN("","", UNIQUE(filter({O539; Q539}, {O539; Q539}&lt;&gt;""""))), """")"),"")</f>
        <v/>
      </c>
      <c r="T539" s="99"/>
      <c r="U539" s="99"/>
      <c r="V539" s="99"/>
      <c r="W539" s="99"/>
      <c r="X539" s="99"/>
      <c r="Y539" s="95" t="str">
        <f ca="1">IFERROR(__xludf.DUMMYFUNCTION("IFERROR(JOIN("","", UNIQUE(filter({U539; W539}, {U539; W539}&lt;&gt;""""))), """")"),"")</f>
        <v/>
      </c>
    </row>
    <row r="540" spans="2:25" ht="13" x14ac:dyDescent="0.15">
      <c r="B540" s="10"/>
      <c r="C540" s="10"/>
      <c r="D540" s="10"/>
      <c r="E540" s="10"/>
      <c r="F540" s="10"/>
      <c r="G540" s="95" t="str">
        <f ca="1">IFERROR(__xludf.DUMMYFUNCTION("IFERROR(JOIN("","", UNIQUE(filter({C540; E540}, {C540; E540}&lt;&gt;""""))), """")"),"")</f>
        <v/>
      </c>
      <c r="H540" s="96"/>
      <c r="I540" s="96"/>
      <c r="J540" s="96"/>
      <c r="K540" s="96"/>
      <c r="L540" s="96"/>
      <c r="M540" s="95" t="str">
        <f ca="1">IFERROR(__xludf.DUMMYFUNCTION("IFERROR(JOIN("","", UNIQUE(filter({I540; K540}, {I540; K540}&lt;&gt;""""))), """")"),"")</f>
        <v/>
      </c>
      <c r="N540" s="98"/>
      <c r="O540" s="98"/>
      <c r="P540" s="98"/>
      <c r="Q540" s="98"/>
      <c r="R540" s="98"/>
      <c r="S540" s="95" t="str">
        <f ca="1">IFERROR(__xludf.DUMMYFUNCTION("IFERROR(JOIN("","", UNIQUE(filter({O540; Q540}, {O540; Q540}&lt;&gt;""""))), """")"),"")</f>
        <v/>
      </c>
      <c r="T540" s="99"/>
      <c r="U540" s="99"/>
      <c r="V540" s="99"/>
      <c r="W540" s="99"/>
      <c r="X540" s="99"/>
      <c r="Y540" s="95" t="str">
        <f ca="1">IFERROR(__xludf.DUMMYFUNCTION("IFERROR(JOIN("","", UNIQUE(filter({U540; W540}, {U540; W540}&lt;&gt;""""))), """")"),"")</f>
        <v/>
      </c>
    </row>
  </sheetData>
  <hyperlinks>
    <hyperlink ref="A2" r:id="rId1" location="gid=146894212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1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5.1640625" customWidth="1"/>
    <col min="2" max="2" width="13.83203125" customWidth="1"/>
    <col min="3" max="3" width="17.6640625" customWidth="1"/>
    <col min="4" max="4" width="15.33203125" customWidth="1"/>
    <col min="5" max="5" width="27.83203125" customWidth="1"/>
    <col min="6" max="6" width="31.83203125" customWidth="1"/>
    <col min="7" max="7" width="29" customWidth="1"/>
    <col min="8" max="8" width="16.6640625" customWidth="1"/>
    <col min="9" max="10" width="15.1640625" customWidth="1"/>
    <col min="11" max="11" width="31.6640625" customWidth="1"/>
  </cols>
  <sheetData>
    <row r="1" spans="1:11" ht="15.75" customHeight="1" x14ac:dyDescent="0.15">
      <c r="A1" s="1" t="s">
        <v>1069</v>
      </c>
      <c r="B1" s="101" t="s">
        <v>1070</v>
      </c>
      <c r="C1" s="1" t="s">
        <v>1071</v>
      </c>
      <c r="D1" s="1" t="s">
        <v>1072</v>
      </c>
      <c r="E1" s="1" t="s">
        <v>1073</v>
      </c>
      <c r="F1" s="1" t="s">
        <v>1074</v>
      </c>
      <c r="G1" s="1" t="s">
        <v>1075</v>
      </c>
      <c r="H1" s="1" t="s">
        <v>1076</v>
      </c>
      <c r="I1" s="1" t="s">
        <v>1077</v>
      </c>
      <c r="J1" s="1" t="s">
        <v>1078</v>
      </c>
      <c r="K1" s="1" t="s">
        <v>1079</v>
      </c>
    </row>
    <row r="2" spans="1:11" ht="15.75" customHeight="1" x14ac:dyDescent="0.15">
      <c r="A2" s="1" t="s">
        <v>203</v>
      </c>
      <c r="B2" s="102">
        <v>561</v>
      </c>
      <c r="C2" s="103" t="s">
        <v>1080</v>
      </c>
      <c r="E2" s="1"/>
      <c r="F2" s="103" t="s">
        <v>1081</v>
      </c>
      <c r="H2" s="1" t="s">
        <v>1082</v>
      </c>
      <c r="I2" s="1" t="s">
        <v>1083</v>
      </c>
      <c r="J2" s="1">
        <v>10</v>
      </c>
      <c r="K2" s="101">
        <f t="shared" ref="K2:K3" si="0">B2-J2</f>
        <v>551</v>
      </c>
    </row>
    <row r="3" spans="1:11" ht="15.75" customHeight="1" x14ac:dyDescent="0.15">
      <c r="A3" s="1" t="s">
        <v>280</v>
      </c>
      <c r="B3" s="102">
        <v>561</v>
      </c>
      <c r="C3" s="103" t="s">
        <v>1080</v>
      </c>
      <c r="D3" s="103" t="s">
        <v>1084</v>
      </c>
      <c r="E3" s="103" t="s">
        <v>1085</v>
      </c>
      <c r="F3" s="103" t="s">
        <v>1081</v>
      </c>
      <c r="G3" s="103" t="s">
        <v>1086</v>
      </c>
      <c r="H3" s="1" t="s">
        <v>1082</v>
      </c>
      <c r="I3" s="1" t="s">
        <v>1083</v>
      </c>
      <c r="J3" s="1">
        <v>10</v>
      </c>
      <c r="K3" s="101">
        <f t="shared" si="0"/>
        <v>551</v>
      </c>
    </row>
    <row r="4" spans="1:11" ht="15.75" customHeight="1" x14ac:dyDescent="0.15">
      <c r="B4" s="101"/>
    </row>
    <row r="5" spans="1:11" ht="15.75" customHeight="1" x14ac:dyDescent="0.15">
      <c r="B5" s="101"/>
    </row>
    <row r="6" spans="1:11" ht="15.75" customHeight="1" x14ac:dyDescent="0.15">
      <c r="B6" s="101"/>
    </row>
    <row r="7" spans="1:11" ht="15.75" customHeight="1" x14ac:dyDescent="0.15">
      <c r="B7" s="101"/>
    </row>
    <row r="8" spans="1:11" ht="15.75" customHeight="1" x14ac:dyDescent="0.15">
      <c r="B8" s="101"/>
    </row>
    <row r="9" spans="1:11" ht="15.75" customHeight="1" x14ac:dyDescent="0.15">
      <c r="B9" s="101"/>
    </row>
    <row r="10" spans="1:11" ht="15.75" customHeight="1" x14ac:dyDescent="0.15">
      <c r="B10" s="101"/>
    </row>
    <row r="11" spans="1:11" ht="15.75" customHeight="1" x14ac:dyDescent="0.15">
      <c r="B11" s="101"/>
    </row>
    <row r="12" spans="1:11" ht="15.75" customHeight="1" x14ac:dyDescent="0.15">
      <c r="B12" s="101"/>
    </row>
    <row r="13" spans="1:11" ht="15.75" customHeight="1" x14ac:dyDescent="0.15">
      <c r="B13" s="101"/>
    </row>
    <row r="14" spans="1:11" ht="15.75" customHeight="1" x14ac:dyDescent="0.15">
      <c r="B14" s="101"/>
    </row>
    <row r="15" spans="1:11" ht="15.75" customHeight="1" x14ac:dyDescent="0.15">
      <c r="B15" s="101"/>
    </row>
    <row r="16" spans="1:11" ht="15.75" customHeight="1" x14ac:dyDescent="0.15">
      <c r="B16" s="101"/>
    </row>
    <row r="17" spans="2:2" ht="15.75" customHeight="1" x14ac:dyDescent="0.15">
      <c r="B17" s="101"/>
    </row>
    <row r="18" spans="2:2" ht="15.75" customHeight="1" x14ac:dyDescent="0.15">
      <c r="B18" s="101"/>
    </row>
    <row r="19" spans="2:2" ht="15.75" customHeight="1" x14ac:dyDescent="0.15">
      <c r="B19" s="101"/>
    </row>
  </sheetData>
  <dataValidations count="1">
    <dataValidation type="decimal" operator="greaterThan" allowBlank="1" showDropDown="1" showInputMessage="1" showErrorMessage="1" prompt="Must be a number" sqref="B2:B19" xr:uid="{00000000-0002-0000-0900-000000000000}">
      <formula1>0</formula1>
    </dataValidation>
  </dataValidations>
  <hyperlinks>
    <hyperlink ref="B2" r:id="rId1" display="https://www.idex-hs.com/store/product-detail/di02_r561_25x36/fl-007137" xr:uid="{00000000-0004-0000-0900-000000000000}"/>
    <hyperlink ref="C2" r:id="rId2" xr:uid="{00000000-0004-0000-0900-000001000000}"/>
    <hyperlink ref="F2" r:id="rId3" xr:uid="{00000000-0004-0000-0900-000002000000}"/>
    <hyperlink ref="B3" r:id="rId4" display="https://www.idex-hs.com/store/product-detail/di02_r561_25x36/fl-007137" xr:uid="{00000000-0004-0000-0900-000003000000}"/>
    <hyperlink ref="C3" r:id="rId5" xr:uid="{00000000-0004-0000-0900-000004000000}"/>
    <hyperlink ref="D3" r:id="rId6" xr:uid="{00000000-0004-0000-0900-000005000000}"/>
    <hyperlink ref="E3" r:id="rId7" xr:uid="{00000000-0004-0000-0900-000006000000}"/>
    <hyperlink ref="F3" r:id="rId8" xr:uid="{00000000-0004-0000-0900-000007000000}"/>
    <hyperlink ref="G3" r:id="rId9" xr:uid="{00000000-0004-0000-09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Imaging list</vt:lpstr>
      <vt:lpstr>Weekly ZF Imaging Plan</vt:lpstr>
      <vt:lpstr>Visual imaging schedule</vt:lpstr>
      <vt:lpstr>Dev Timescales</vt:lpstr>
      <vt:lpstr>Orientations</vt:lpstr>
      <vt:lpstr>DM_fish</vt:lpstr>
      <vt:lpstr>external_fish</vt:lpstr>
      <vt:lpstr>Image_Locations</vt:lpstr>
      <vt:lpstr>Injections</vt:lpstr>
      <vt:lpstr>imaging_filters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Kokel</cp:lastModifiedBy>
  <dcterms:created xsi:type="dcterms:W3CDTF">2025-12-24T01:17:30Z</dcterms:created>
  <dcterms:modified xsi:type="dcterms:W3CDTF">2025-12-24T01:17:30Z</dcterms:modified>
</cp:coreProperties>
</file>