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davemc\source\repos\Stock\"/>
    </mc:Choice>
  </mc:AlternateContent>
  <xr:revisionPtr revIDLastSave="0" documentId="13_ncr:1_{8A15A599-2C30-4BD5-B5A4-A7A631E89A64}" xr6:coauthVersionLast="41" xr6:coauthVersionMax="44" xr10:uidLastSave="{00000000-0000-0000-0000-000000000000}"/>
  <bookViews>
    <workbookView xWindow="-120" yWindow="-120" windowWidth="29040" windowHeight="15840" tabRatio="790" xr2:uid="{00000000-000D-0000-FFFF-FFFF00000000}"/>
  </bookViews>
  <sheets>
    <sheet name="Instructions" sheetId="1" r:id="rId1"/>
    <sheet name="Portfolio" sheetId="67" r:id="rId2"/>
    <sheet name="Exposure" sheetId="68" r:id="rId3"/>
    <sheet name="Generator" sheetId="18" r:id="rId4"/>
    <sheet name="Calls SSTK" sheetId="62" r:id="rId5"/>
    <sheet name="Puts TEAM" sheetId="33" r:id="rId6"/>
    <sheet name="Multileg MKTX" sheetId="50" r:id="rId7"/>
    <sheet name="BCS NVDA" sheetId="61" r:id="rId8"/>
    <sheet name="Buy Calls NVDA" sheetId="58" r:id="rId9"/>
  </sheets>
  <definedNames>
    <definedName name="_xlnm._FilterDatabase" localSheetId="4" hidden="1">'Calls SSTK'!$A$1:$Y$100</definedName>
    <definedName name="joe" localSheetId="8">Instructions!#REF!</definedName>
    <definedName name="joe" localSheetId="4">Instructions!#REF!</definedName>
    <definedName name="joe" localSheetId="1">Instructions!#REF!</definedName>
    <definedName name="joe">Instructions!#REF!</definedName>
    <definedName name="tda">Instructions!$A$5</definedName>
    <definedName name="tfrac" localSheetId="8">Instructions!#REF!</definedName>
    <definedName name="tfrac" localSheetId="4">Instructions!#REF!</definedName>
    <definedName name="tfrac" localSheetId="1">Instructions!#REF!</definedName>
    <definedName name="tfrac">Instructions!#REF!</definedName>
    <definedName name="ttotal" localSheetId="8">Instructions!#REF!</definedName>
    <definedName name="ttotal" localSheetId="4">Instructions!#REF!</definedName>
    <definedName name="ttotal" localSheetId="1">Instructions!#REF!</definedName>
    <definedName name="ttotal">Instructions!#REF!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 i="58" l="1"/>
  <c r="I1" i="58" s="1"/>
  <c r="J1" i="58" s="1"/>
  <c r="K1" i="58" s="1"/>
  <c r="L1" i="58" s="1"/>
  <c r="M1" i="58" s="1"/>
  <c r="N1" i="58" s="1"/>
  <c r="O1" i="58" s="1"/>
  <c r="P1" i="58" s="1"/>
  <c r="Q1" i="58" s="1"/>
  <c r="R1" i="58" s="1"/>
  <c r="S1" i="58" s="1"/>
  <c r="T1" i="58" s="1"/>
  <c r="U1" i="58" s="1"/>
  <c r="V1" i="58" s="1"/>
  <c r="W1" i="58" s="1"/>
  <c r="X1" i="58" s="1"/>
  <c r="Y1" i="58" s="1"/>
  <c r="Z1" i="58" s="1"/>
  <c r="AA1" i="58" s="1"/>
  <c r="AB1" i="58" s="1"/>
  <c r="AC1" i="58" s="1"/>
  <c r="AD1" i="58" s="1"/>
  <c r="AE1" i="58" s="1"/>
  <c r="AF1" i="58" s="1"/>
  <c r="AG1" i="58" s="1"/>
  <c r="AH1" i="58" s="1"/>
  <c r="AI1" i="58" s="1"/>
  <c r="AJ1" i="58" s="1"/>
  <c r="AK1" i="58" s="1"/>
  <c r="AL1" i="58" s="1"/>
  <c r="AM1" i="58" s="1"/>
  <c r="AN1" i="58" s="1"/>
  <c r="AO1" i="58" s="1"/>
  <c r="B4" i="58"/>
  <c r="B5" i="58" s="1"/>
  <c r="B6" i="58" s="1"/>
  <c r="B7" i="58" s="1"/>
  <c r="B8" i="58" s="1"/>
  <c r="B9" i="58" s="1"/>
  <c r="B10" i="58" s="1"/>
  <c r="B11" i="58" s="1"/>
  <c r="B12" i="58" s="1"/>
  <c r="B13" i="58" s="1"/>
  <c r="B14" i="58" s="1"/>
  <c r="B15" i="58" s="1"/>
  <c r="B16" i="58" s="1"/>
  <c r="B17" i="58" s="1"/>
  <c r="B18" i="58" s="1"/>
  <c r="B19" i="58" s="1"/>
  <c r="B20" i="58" s="1"/>
  <c r="B21" i="58" s="1"/>
  <c r="B22" i="58" s="1"/>
  <c r="I5" i="68"/>
  <c r="N43" i="68"/>
  <c r="J38" i="68"/>
  <c r="N41" i="68"/>
  <c r="O36" i="68"/>
  <c r="Q3" i="68"/>
  <c r="N47" i="68"/>
  <c r="I43" i="68"/>
  <c r="Q27" i="68"/>
  <c r="O2" i="68"/>
  <c r="Q21" i="68"/>
  <c r="L4" i="68"/>
  <c r="O45" i="68"/>
  <c r="L54" i="68"/>
  <c r="P41" i="68"/>
  <c r="Q22" i="68"/>
  <c r="P55" i="68"/>
  <c r="Q24" i="68"/>
  <c r="Q2" i="68"/>
  <c r="P27" i="68"/>
  <c r="P20" i="68"/>
  <c r="N38" i="68"/>
  <c r="P31" i="68"/>
  <c r="Q47" i="68"/>
  <c r="Q44" i="68"/>
  <c r="L41" i="68"/>
  <c r="Q29" i="68"/>
  <c r="J11" i="68"/>
  <c r="Q9" i="68"/>
  <c r="J20" i="68"/>
  <c r="Q32" i="68"/>
  <c r="Q38" i="68"/>
  <c r="L9" i="68"/>
  <c r="L34" i="68"/>
  <c r="M33" i="68"/>
  <c r="J51" i="68"/>
  <c r="L17" i="68"/>
  <c r="O24" i="68"/>
  <c r="K5" i="68"/>
  <c r="O42" i="68"/>
  <c r="I36" i="68"/>
  <c r="L15" i="68"/>
  <c r="N39" i="68"/>
  <c r="M10" i="68"/>
  <c r="N21" i="68"/>
  <c r="I40" i="68"/>
  <c r="O55" i="68"/>
  <c r="Q31" i="68"/>
  <c r="I45" i="68"/>
  <c r="Q25" i="68"/>
  <c r="P25" i="68"/>
  <c r="J24" i="68"/>
  <c r="L53" i="68"/>
  <c r="J42" i="68"/>
  <c r="J29" i="68"/>
  <c r="M21" i="68"/>
  <c r="M9" i="68"/>
  <c r="L40" i="68"/>
  <c r="N3" i="68"/>
  <c r="I33" i="68"/>
  <c r="K52" i="68"/>
  <c r="N45" i="68"/>
  <c r="Q49" i="68"/>
  <c r="O50" i="68"/>
  <c r="N28" i="68"/>
  <c r="L50" i="68"/>
  <c r="M8" i="68"/>
  <c r="I42" i="68"/>
  <c r="N10" i="68"/>
  <c r="N20" i="68"/>
  <c r="M42" i="68"/>
  <c r="N32" i="68"/>
  <c r="P33" i="68"/>
  <c r="P13" i="68"/>
  <c r="N35" i="68"/>
  <c r="J41" i="68"/>
  <c r="M53" i="68"/>
  <c r="O56" i="68"/>
  <c r="M39" i="68"/>
  <c r="I48" i="68"/>
  <c r="N2" i="68"/>
  <c r="N7" i="68"/>
  <c r="K39" i="68"/>
  <c r="I17" i="68"/>
  <c r="Q8" i="68"/>
  <c r="O32" i="68"/>
  <c r="I39" i="68"/>
  <c r="J25" i="68"/>
  <c r="L52" i="68"/>
  <c r="L37" i="68"/>
  <c r="M47" i="68"/>
  <c r="K57" i="68"/>
  <c r="O49" i="68"/>
  <c r="N23" i="68"/>
  <c r="L10" i="68"/>
  <c r="L28" i="68"/>
  <c r="I11" i="68"/>
  <c r="L31" i="68"/>
  <c r="Q43" i="68"/>
  <c r="L24" i="68"/>
  <c r="K3" i="68"/>
  <c r="M56" i="68"/>
  <c r="P12" i="68"/>
  <c r="N19" i="68"/>
  <c r="J5" i="68"/>
  <c r="L20" i="68"/>
  <c r="J55" i="68"/>
  <c r="M43" i="68"/>
  <c r="N46" i="68"/>
  <c r="K42" i="68"/>
  <c r="O13" i="68"/>
  <c r="Q12" i="68"/>
  <c r="K29" i="68"/>
  <c r="Q42" i="68"/>
  <c r="P46" i="68"/>
  <c r="Q5" i="68"/>
  <c r="K26" i="68"/>
  <c r="P26" i="68"/>
  <c r="N27" i="68"/>
  <c r="N50" i="68"/>
  <c r="K19" i="68"/>
  <c r="K37" i="68"/>
  <c r="N5" i="68"/>
  <c r="N24" i="68"/>
  <c r="O53" i="68"/>
  <c r="N37" i="68"/>
  <c r="L43" i="68"/>
  <c r="O48" i="68"/>
  <c r="I8" i="68"/>
  <c r="I24" i="68"/>
  <c r="M20" i="68"/>
  <c r="O10" i="68"/>
  <c r="M31" i="68"/>
  <c r="P29" i="68"/>
  <c r="P53" i="68"/>
  <c r="M57" i="68"/>
  <c r="K16" i="68"/>
  <c r="L2" i="68"/>
  <c r="K6" i="68"/>
  <c r="J22" i="68"/>
  <c r="I14" i="68"/>
  <c r="J19" i="68"/>
  <c r="O31" i="68"/>
  <c r="Q57" i="68"/>
  <c r="I32" i="68"/>
  <c r="P40" i="68"/>
  <c r="Q13" i="68"/>
  <c r="O29" i="68"/>
  <c r="M2" i="68"/>
  <c r="I16" i="68"/>
  <c r="L5" i="68"/>
  <c r="P43" i="68"/>
  <c r="K15" i="68"/>
  <c r="O8" i="68"/>
  <c r="M55" i="68"/>
  <c r="J52" i="68"/>
  <c r="M46" i="68"/>
  <c r="P5" i="68"/>
  <c r="O34" i="68"/>
  <c r="K31" i="68"/>
  <c r="O28" i="68"/>
  <c r="O15" i="68"/>
  <c r="K17" i="68"/>
  <c r="M11" i="68"/>
  <c r="Q55" i="68"/>
  <c r="O30" i="68"/>
  <c r="Q37" i="68"/>
  <c r="N16" i="68"/>
  <c r="L45" i="68"/>
  <c r="O39" i="68"/>
  <c r="N6" i="68"/>
  <c r="L22" i="68"/>
  <c r="M27" i="68"/>
  <c r="L25" i="68"/>
  <c r="Q4" i="68"/>
  <c r="J49" i="68"/>
  <c r="O20" i="68"/>
  <c r="J23" i="68"/>
  <c r="I44" i="68"/>
  <c r="L23" i="68"/>
  <c r="J14" i="68"/>
  <c r="N34" i="68"/>
  <c r="K51" i="68"/>
  <c r="L8" i="68"/>
  <c r="L32" i="68"/>
  <c r="L16" i="68"/>
  <c r="M29" i="68"/>
  <c r="K13" i="68"/>
  <c r="N48" i="68"/>
  <c r="P16" i="68"/>
  <c r="P22" i="68"/>
  <c r="I13" i="68"/>
  <c r="M5" i="68"/>
  <c r="M3" i="68"/>
  <c r="P34" i="68"/>
  <c r="P45" i="68"/>
  <c r="M22" i="68"/>
  <c r="I54" i="68"/>
  <c r="J47" i="68"/>
  <c r="I56" i="68"/>
  <c r="I6" i="68"/>
  <c r="M4" i="68"/>
  <c r="Q33" i="68"/>
  <c r="P35" i="68"/>
  <c r="O51" i="68"/>
  <c r="K55" i="68"/>
  <c r="O41" i="68"/>
  <c r="M30" i="68"/>
  <c r="O57" i="68"/>
  <c r="O44" i="68"/>
  <c r="O14" i="68"/>
  <c r="N56" i="68"/>
  <c r="O21" i="68"/>
  <c r="K27" i="68"/>
  <c r="J21" i="68"/>
  <c r="L14" i="68"/>
  <c r="N49" i="68"/>
  <c r="M51" i="68"/>
  <c r="P44" i="68"/>
  <c r="Q30" i="68"/>
  <c r="J9" i="68"/>
  <c r="I55" i="68"/>
  <c r="I50" i="68"/>
  <c r="N57" i="68"/>
  <c r="I52" i="68"/>
  <c r="I47" i="68"/>
  <c r="M37" i="68"/>
  <c r="N52" i="68"/>
  <c r="J28" i="68"/>
  <c r="I4" i="68"/>
  <c r="I51" i="68"/>
  <c r="Q51" i="68"/>
  <c r="N29" i="68"/>
  <c r="P52" i="68"/>
  <c r="N8" i="68"/>
  <c r="J32" i="68"/>
  <c r="K20" i="68"/>
  <c r="J39" i="68"/>
  <c r="O18" i="68"/>
  <c r="J30" i="68"/>
  <c r="L21" i="68"/>
  <c r="L38" i="68"/>
  <c r="O7" i="68"/>
  <c r="P42" i="68"/>
  <c r="N18" i="68"/>
  <c r="N51" i="68"/>
  <c r="I20" i="68"/>
  <c r="K41" i="68"/>
  <c r="P19" i="68"/>
  <c r="L7" i="68"/>
  <c r="K23" i="68"/>
  <c r="I30" i="68"/>
  <c r="M34" i="68"/>
  <c r="K10" i="68"/>
  <c r="M26" i="68"/>
  <c r="Q26" i="68"/>
  <c r="I31" i="68"/>
  <c r="O17" i="68"/>
  <c r="N22" i="68"/>
  <c r="M52" i="68"/>
  <c r="J54" i="68"/>
  <c r="M18" i="68"/>
  <c r="P50" i="68"/>
  <c r="Q19" i="68"/>
  <c r="K21" i="68"/>
  <c r="Q28" i="68"/>
  <c r="M44" i="68"/>
  <c r="L11" i="68"/>
  <c r="J18" i="68"/>
  <c r="O12" i="68"/>
  <c r="I46" i="68"/>
  <c r="N44" i="68"/>
  <c r="J40" i="68"/>
  <c r="P57" i="68"/>
  <c r="I25" i="68"/>
  <c r="P11" i="68"/>
  <c r="O11" i="68"/>
  <c r="P8" i="68"/>
  <c r="M24" i="68"/>
  <c r="L27" i="68"/>
  <c r="K40" i="68"/>
  <c r="K11" i="68"/>
  <c r="Q20" i="68"/>
  <c r="K8" i="68"/>
  <c r="J34" i="68"/>
  <c r="L56" i="68"/>
  <c r="O3" i="68"/>
  <c r="N9" i="68"/>
  <c r="J31" i="68"/>
  <c r="N40" i="68"/>
  <c r="J7" i="68"/>
  <c r="P10" i="68"/>
  <c r="I49" i="68"/>
  <c r="L30" i="68"/>
  <c r="O40" i="68"/>
  <c r="N30" i="68"/>
  <c r="I10" i="68"/>
  <c r="K34" i="68"/>
  <c r="M19" i="68"/>
  <c r="L36" i="68"/>
  <c r="Q36" i="68"/>
  <c r="K48" i="68"/>
  <c r="M35" i="68"/>
  <c r="N17" i="68"/>
  <c r="Q14" i="68"/>
  <c r="K25" i="68"/>
  <c r="M16" i="68"/>
  <c r="K56" i="68"/>
  <c r="N11" i="68"/>
  <c r="I38" i="68"/>
  <c r="J4" i="68"/>
  <c r="O27" i="68"/>
  <c r="Q39" i="68"/>
  <c r="Q7" i="68"/>
  <c r="P28" i="68"/>
  <c r="Q53" i="68"/>
  <c r="J8" i="68"/>
  <c r="L46" i="68"/>
  <c r="P47" i="68"/>
  <c r="P15" i="68"/>
  <c r="J6" i="68"/>
  <c r="J43" i="68"/>
  <c r="K53" i="68"/>
  <c r="I18" i="68"/>
  <c r="L39" i="68"/>
  <c r="K49" i="68"/>
  <c r="I26" i="68"/>
  <c r="O52" i="68"/>
  <c r="I9" i="68"/>
  <c r="P4" i="68"/>
  <c r="K50" i="68"/>
  <c r="M15" i="68"/>
  <c r="Q18" i="68"/>
  <c r="K22" i="68"/>
  <c r="N42" i="68"/>
  <c r="L19" i="68"/>
  <c r="O43" i="68"/>
  <c r="L48" i="68"/>
  <c r="P2" i="68"/>
  <c r="Q40" i="68"/>
  <c r="O16" i="68"/>
  <c r="M50" i="68"/>
  <c r="I27" i="68"/>
  <c r="P30" i="68"/>
  <c r="N33" i="68"/>
  <c r="P24" i="68"/>
  <c r="J2" i="68"/>
  <c r="J50" i="68"/>
  <c r="K14" i="68"/>
  <c r="O47" i="68"/>
  <c r="M32" i="68"/>
  <c r="M12" i="68"/>
  <c r="Q46" i="68"/>
  <c r="O38" i="68"/>
  <c r="I22" i="68"/>
  <c r="M13" i="68"/>
  <c r="P18" i="68"/>
  <c r="I34" i="68"/>
  <c r="I19" i="68"/>
  <c r="P9" i="68"/>
  <c r="Q48" i="68"/>
  <c r="M41" i="68"/>
  <c r="M17" i="68"/>
  <c r="Q16" i="68"/>
  <c r="L55" i="68"/>
  <c r="K35" i="68"/>
  <c r="M6" i="68"/>
  <c r="K38" i="68"/>
  <c r="Q35" i="68"/>
  <c r="I3" i="68"/>
  <c r="M40" i="68"/>
  <c r="J44" i="68"/>
  <c r="J45" i="68"/>
  <c r="L47" i="68"/>
  <c r="P17" i="68"/>
  <c r="L13" i="68"/>
  <c r="K24" i="68"/>
  <c r="N15" i="68"/>
  <c r="I57" i="68"/>
  <c r="L44" i="68"/>
  <c r="P49" i="68"/>
  <c r="I41" i="68"/>
  <c r="P23" i="68"/>
  <c r="Q11" i="68"/>
  <c r="O6" i="68"/>
  <c r="P14" i="68"/>
  <c r="P36" i="68"/>
  <c r="I7" i="68"/>
  <c r="Q34" i="68"/>
  <c r="M7" i="68"/>
  <c r="L51" i="68"/>
  <c r="P37" i="68"/>
  <c r="M28" i="68"/>
  <c r="I35" i="68"/>
  <c r="N55" i="68"/>
  <c r="N14" i="68"/>
  <c r="P54" i="68"/>
  <c r="N36" i="68"/>
  <c r="J33" i="68"/>
  <c r="N12" i="68"/>
  <c r="O33" i="68"/>
  <c r="L35" i="68"/>
  <c r="O19" i="68"/>
  <c r="M54" i="68"/>
  <c r="K2" i="68"/>
  <c r="O5" i="68"/>
  <c r="J17" i="68"/>
  <c r="L18" i="68"/>
  <c r="P32" i="68"/>
  <c r="P39" i="68"/>
  <c r="L57" i="68"/>
  <c r="Q50" i="68"/>
  <c r="K44" i="68"/>
  <c r="J48" i="68"/>
  <c r="O26" i="68"/>
  <c r="I37" i="68"/>
  <c r="K54" i="68"/>
  <c r="M14" i="68"/>
  <c r="I53" i="68"/>
  <c r="Q23" i="68"/>
  <c r="K33" i="68"/>
  <c r="J56" i="68"/>
  <c r="P6" i="68"/>
  <c r="P38" i="68"/>
  <c r="I29" i="68"/>
  <c r="K18" i="68"/>
  <c r="K46" i="68"/>
  <c r="J37" i="68"/>
  <c r="J27" i="68"/>
  <c r="J46" i="68"/>
  <c r="J10" i="68"/>
  <c r="O25" i="68"/>
  <c r="M49" i="68"/>
  <c r="L49" i="68"/>
  <c r="M23" i="68"/>
  <c r="K7" i="68"/>
  <c r="L33" i="68"/>
  <c r="M25" i="68"/>
  <c r="O46" i="68"/>
  <c r="Q41" i="68"/>
  <c r="Q15" i="68"/>
  <c r="N26" i="68"/>
  <c r="Q10" i="68"/>
  <c r="K47" i="68"/>
  <c r="Q45" i="68"/>
  <c r="K28" i="68"/>
  <c r="K32" i="68"/>
  <c r="I2" i="68"/>
  <c r="J3" i="68"/>
  <c r="K43" i="68"/>
  <c r="P48" i="68"/>
  <c r="Q54" i="68"/>
  <c r="J57" i="68"/>
  <c r="L3" i="68"/>
  <c r="M36" i="68"/>
  <c r="P21" i="68"/>
  <c r="K45" i="68"/>
  <c r="M45" i="68"/>
  <c r="O4" i="68"/>
  <c r="K4" i="68"/>
  <c r="J12" i="68"/>
  <c r="O54" i="68"/>
  <c r="M38" i="68"/>
  <c r="L12" i="68"/>
  <c r="P51" i="68"/>
  <c r="Q56" i="68"/>
  <c r="K9" i="68"/>
  <c r="J53" i="68"/>
  <c r="P56" i="68"/>
  <c r="N31" i="68"/>
  <c r="O23" i="68"/>
  <c r="I12" i="68"/>
  <c r="K36" i="68"/>
  <c r="Q17" i="68"/>
  <c r="N53" i="68"/>
  <c r="L42" i="68"/>
  <c r="N25" i="68"/>
  <c r="J35" i="68"/>
  <c r="K30" i="68"/>
  <c r="J36" i="68"/>
  <c r="J16" i="68"/>
  <c r="I21" i="68"/>
  <c r="P7" i="68"/>
  <c r="I15" i="68"/>
  <c r="P3" i="68"/>
  <c r="Q52" i="68"/>
  <c r="L26" i="68"/>
  <c r="O9" i="68"/>
  <c r="O22" i="68"/>
  <c r="I23" i="68"/>
  <c r="J13" i="68"/>
  <c r="N4" i="68"/>
  <c r="Q6" i="68"/>
  <c r="N13" i="68"/>
  <c r="K12" i="68"/>
  <c r="O37" i="68"/>
  <c r="M48" i="68"/>
  <c r="O35" i="68"/>
  <c r="I28" i="68"/>
  <c r="N54" i="68"/>
  <c r="L6" i="68"/>
  <c r="L29" i="68"/>
  <c r="J26" i="68"/>
  <c r="J15" i="68"/>
  <c r="G50" i="68" l="1"/>
  <c r="G35" i="68"/>
  <c r="G32" i="68"/>
  <c r="G29" i="68"/>
  <c r="G12" i="68"/>
  <c r="G27" i="68"/>
  <c r="G44" i="68"/>
  <c r="G26" i="68"/>
  <c r="G23" i="68"/>
  <c r="G36" i="68"/>
  <c r="G33" i="68"/>
  <c r="G13" i="68"/>
  <c r="H4" i="68"/>
  <c r="H8" i="68"/>
  <c r="B51" i="68"/>
  <c r="H2" i="68"/>
  <c r="B10" i="68"/>
  <c r="H31" i="68"/>
  <c r="H7" i="68"/>
  <c r="H16" i="68"/>
  <c r="B26" i="68"/>
  <c r="B50" i="68"/>
  <c r="B27" i="68"/>
  <c r="H52" i="68"/>
  <c r="B42" i="68"/>
  <c r="B20" i="68"/>
  <c r="H46" i="68"/>
  <c r="H34" i="68"/>
  <c r="H17" i="68"/>
  <c r="H49" i="68"/>
  <c r="B23" i="68"/>
  <c r="H13" i="68"/>
  <c r="H6" i="68"/>
  <c r="B22" i="68"/>
  <c r="B37" i="68"/>
  <c r="B38" i="68"/>
  <c r="B14" i="68"/>
  <c r="B32" i="68"/>
  <c r="B19" i="68"/>
  <c r="B55" i="68"/>
  <c r="B54" i="68"/>
  <c r="H41" i="68"/>
  <c r="H44" i="68"/>
  <c r="B25" i="68"/>
  <c r="B39" i="68"/>
  <c r="H10" i="68"/>
  <c r="H18" i="68"/>
  <c r="B41" i="68"/>
  <c r="B47" i="68"/>
  <c r="B34" i="68"/>
  <c r="B31" i="68"/>
  <c r="H38" i="68"/>
  <c r="B2" i="68"/>
  <c r="B30" i="68"/>
  <c r="H27" i="68"/>
  <c r="B11" i="68"/>
  <c r="B24" i="68"/>
  <c r="H42" i="68"/>
  <c r="H51" i="68"/>
  <c r="H53" i="68"/>
  <c r="B7" i="68"/>
  <c r="B45" i="68"/>
  <c r="H50" i="68"/>
  <c r="H28" i="68"/>
  <c r="B46" i="68"/>
  <c r="B16" i="68"/>
  <c r="B28" i="68"/>
  <c r="H29" i="68"/>
  <c r="H22" i="68"/>
  <c r="B12" i="68"/>
  <c r="B15" i="68"/>
  <c r="B48" i="68"/>
  <c r="H35" i="68"/>
  <c r="H43" i="68"/>
  <c r="B43" i="68"/>
  <c r="H14" i="68"/>
  <c r="B35" i="68"/>
  <c r="H54" i="68"/>
  <c r="H47" i="68"/>
  <c r="B40" i="68"/>
  <c r="B3" i="68"/>
  <c r="H37" i="68"/>
  <c r="B18" i="68"/>
  <c r="H39" i="68"/>
  <c r="H36" i="68"/>
  <c r="B52" i="68"/>
  <c r="B6" i="68"/>
  <c r="H48" i="68"/>
  <c r="H11" i="68"/>
  <c r="H5" i="68"/>
  <c r="B5" i="68"/>
  <c r="B21" i="68"/>
  <c r="H33" i="68"/>
  <c r="H32" i="68"/>
  <c r="H23" i="68"/>
  <c r="H21" i="68"/>
  <c r="B56" i="68"/>
  <c r="B9" i="68"/>
  <c r="B44" i="68"/>
  <c r="H25" i="68"/>
  <c r="H56" i="68"/>
  <c r="B36" i="68"/>
  <c r="B33" i="68"/>
  <c r="B4" i="68"/>
  <c r="H26" i="68"/>
  <c r="H40" i="68"/>
  <c r="H30" i="68"/>
  <c r="H15" i="68"/>
  <c r="H12" i="68"/>
  <c r="H9" i="68"/>
  <c r="H20" i="68"/>
  <c r="H57" i="68"/>
  <c r="B29" i="68"/>
  <c r="H19" i="68"/>
  <c r="H3" i="68"/>
  <c r="B57" i="68"/>
  <c r="H24" i="68"/>
  <c r="B17" i="68"/>
  <c r="H55" i="68"/>
  <c r="H45" i="68"/>
  <c r="B49" i="68"/>
  <c r="B53" i="68"/>
  <c r="B8" i="68"/>
  <c r="B13" i="68"/>
  <c r="K21" i="67" l="1"/>
  <c r="K45" i="67"/>
  <c r="K57" i="67"/>
  <c r="K69" i="67"/>
  <c r="K81" i="67"/>
  <c r="K34" i="67"/>
  <c r="K82" i="67"/>
  <c r="K35" i="67"/>
  <c r="K83" i="67"/>
  <c r="K46" i="67"/>
  <c r="K70" i="67"/>
  <c r="K11" i="67"/>
  <c r="K47" i="67"/>
  <c r="K71" i="67"/>
  <c r="K12" i="67"/>
  <c r="K24" i="67"/>
  <c r="K36" i="67"/>
  <c r="K48" i="67"/>
  <c r="K60" i="67"/>
  <c r="K72" i="67"/>
  <c r="K84" i="67"/>
  <c r="K22" i="67"/>
  <c r="K58" i="67"/>
  <c r="K23" i="67"/>
  <c r="K59" i="67"/>
  <c r="K13" i="67"/>
  <c r="K25" i="67"/>
  <c r="K37" i="67"/>
  <c r="K49" i="67"/>
  <c r="K61" i="67"/>
  <c r="K73" i="67"/>
  <c r="K85" i="67"/>
  <c r="K2" i="67"/>
  <c r="K26" i="67"/>
  <c r="K38" i="67"/>
  <c r="K50" i="67"/>
  <c r="K62" i="67"/>
  <c r="K74" i="67"/>
  <c r="K86" i="67"/>
  <c r="K33" i="67"/>
  <c r="K14" i="67"/>
  <c r="K3" i="67"/>
  <c r="K15" i="67"/>
  <c r="K27" i="67"/>
  <c r="K39" i="67"/>
  <c r="K51" i="67"/>
  <c r="K63" i="67"/>
  <c r="K75" i="67"/>
  <c r="K87" i="67"/>
  <c r="K10" i="67"/>
  <c r="K4" i="67"/>
  <c r="K16" i="67"/>
  <c r="K28" i="67"/>
  <c r="K40" i="67"/>
  <c r="K52" i="67"/>
  <c r="K64" i="67"/>
  <c r="K76" i="67"/>
  <c r="K88" i="67"/>
  <c r="K9" i="67"/>
  <c r="K5" i="67"/>
  <c r="K17" i="67"/>
  <c r="K29" i="67"/>
  <c r="K41" i="67"/>
  <c r="K53" i="67"/>
  <c r="K65" i="67"/>
  <c r="K77" i="67"/>
  <c r="K89" i="67"/>
  <c r="K6" i="67"/>
  <c r="K18" i="67"/>
  <c r="K30" i="67"/>
  <c r="K42" i="67"/>
  <c r="K54" i="67"/>
  <c r="K66" i="67"/>
  <c r="K78" i="67"/>
  <c r="K90" i="67"/>
  <c r="K7" i="67"/>
  <c r="K19" i="67"/>
  <c r="K31" i="67"/>
  <c r="K43" i="67"/>
  <c r="K55" i="67"/>
  <c r="K67" i="67"/>
  <c r="K79" i="67"/>
  <c r="K91" i="67"/>
  <c r="K8" i="67"/>
  <c r="K20" i="67"/>
  <c r="K32" i="67"/>
  <c r="K44" i="67"/>
  <c r="K56" i="67"/>
  <c r="K68" i="67"/>
  <c r="K80" i="67"/>
  <c r="K92" i="67"/>
  <c r="F18" i="67"/>
  <c r="G80" i="67"/>
  <c r="B80" i="67"/>
  <c r="G87" i="67"/>
  <c r="G77" i="67"/>
  <c r="B88" i="67"/>
  <c r="G79" i="67"/>
  <c r="G62" i="67"/>
  <c r="B79" i="67"/>
  <c r="G83" i="67"/>
  <c r="B62" i="67"/>
  <c r="G85" i="67"/>
  <c r="B89" i="67"/>
  <c r="G84" i="67"/>
  <c r="B85" i="67"/>
  <c r="G92" i="67"/>
  <c r="B81" i="67"/>
  <c r="B84" i="67"/>
  <c r="G78" i="67"/>
  <c r="G88" i="67"/>
  <c r="G2" i="67"/>
  <c r="G91" i="67"/>
  <c r="B92" i="67"/>
  <c r="B87" i="67"/>
  <c r="B2" i="67"/>
  <c r="G57" i="67"/>
  <c r="G89" i="67"/>
  <c r="B90" i="67"/>
  <c r="G82" i="67"/>
  <c r="G86" i="67"/>
  <c r="B57" i="67"/>
  <c r="B83" i="67"/>
  <c r="B77" i="67"/>
  <c r="B82" i="67"/>
  <c r="G81" i="67"/>
  <c r="G90" i="67"/>
  <c r="B55" i="67"/>
  <c r="B91" i="67"/>
  <c r="B86" i="67"/>
  <c r="G55" i="67"/>
  <c r="B78" i="67"/>
  <c r="L86" i="67" l="1"/>
  <c r="M86" i="67" s="1"/>
  <c r="N86" i="67" s="1"/>
  <c r="L88" i="67"/>
  <c r="M88" i="67" s="1"/>
  <c r="N88" i="67" s="1"/>
  <c r="L84" i="67"/>
  <c r="M84" i="67" s="1"/>
  <c r="N84" i="67" s="1"/>
  <c r="L81" i="67"/>
  <c r="M81" i="67" s="1"/>
  <c r="N81" i="67" s="1"/>
  <c r="L91" i="67"/>
  <c r="M91" i="67" s="1"/>
  <c r="N91" i="67" s="1"/>
  <c r="L79" i="67"/>
  <c r="M79" i="67" s="1"/>
  <c r="N79" i="67" s="1"/>
  <c r="L62" i="67"/>
  <c r="M62" i="67" s="1"/>
  <c r="N62" i="67" s="1"/>
  <c r="L83" i="67"/>
  <c r="M83" i="67" s="1"/>
  <c r="N83" i="67" s="1"/>
  <c r="L89" i="67"/>
  <c r="M89" i="67" s="1"/>
  <c r="N89" i="67" s="1"/>
  <c r="L77" i="67"/>
  <c r="M77" i="67" s="1"/>
  <c r="N77" i="67" s="1"/>
  <c r="L57" i="67"/>
  <c r="M57" i="67" s="1"/>
  <c r="N57" i="67" s="1"/>
  <c r="L78" i="67"/>
  <c r="M78" i="67" s="1"/>
  <c r="N78" i="67" s="1"/>
  <c r="L82" i="67"/>
  <c r="M82" i="67" s="1"/>
  <c r="N82" i="67" s="1"/>
  <c r="L55" i="67"/>
  <c r="M55" i="67" s="1"/>
  <c r="N55" i="67" s="1"/>
  <c r="L85" i="67"/>
  <c r="M85" i="67" s="1"/>
  <c r="N85" i="67" s="1"/>
  <c r="L87" i="67"/>
  <c r="M87" i="67" s="1"/>
  <c r="N87" i="67" s="1"/>
  <c r="L92" i="67"/>
  <c r="M92" i="67" s="1"/>
  <c r="N92" i="67" s="1"/>
  <c r="L90" i="67"/>
  <c r="M90" i="67" s="1"/>
  <c r="N90" i="67" s="1"/>
  <c r="L80" i="67"/>
  <c r="M80" i="67" s="1"/>
  <c r="N80" i="67" s="1"/>
  <c r="L2" i="67"/>
  <c r="M2" i="67" s="1"/>
  <c r="N2" i="67" s="1"/>
  <c r="F25" i="67"/>
  <c r="F26" i="67"/>
  <c r="F24" i="67"/>
  <c r="F10" i="67"/>
  <c r="F17" i="67"/>
  <c r="F28" i="67"/>
  <c r="F27" i="67"/>
  <c r="F23" i="67"/>
  <c r="F12" i="67"/>
  <c r="F54" i="67"/>
  <c r="F11" i="67"/>
  <c r="F5" i="67"/>
  <c r="F9" i="67"/>
  <c r="F22" i="67"/>
  <c r="F8" i="67"/>
  <c r="F21" i="67"/>
  <c r="F20" i="67"/>
  <c r="F7" i="67"/>
  <c r="F19" i="67"/>
  <c r="F6" i="67"/>
  <c r="F69" i="67"/>
  <c r="F16" i="67"/>
  <c r="F15" i="67"/>
  <c r="F14" i="67"/>
  <c r="F30" i="67"/>
  <c r="F53" i="67"/>
  <c r="F13" i="67"/>
  <c r="F70" i="67"/>
  <c r="F52" i="67"/>
  <c r="F40" i="67"/>
  <c r="F48" i="67"/>
  <c r="F47" i="67"/>
  <c r="F46" i="67"/>
  <c r="F63" i="67"/>
  <c r="F75" i="67"/>
  <c r="F51" i="67"/>
  <c r="F39" i="67"/>
  <c r="F38" i="67"/>
  <c r="F36" i="67"/>
  <c r="F45" i="67"/>
  <c r="F35" i="67"/>
  <c r="F43" i="67"/>
  <c r="F74" i="67"/>
  <c r="F33" i="67"/>
  <c r="F31" i="67"/>
  <c r="F65" i="67"/>
  <c r="F29" i="67"/>
  <c r="F68" i="67"/>
  <c r="F64" i="67"/>
  <c r="G30" i="67"/>
  <c r="B22" i="67"/>
  <c r="G9" i="67"/>
  <c r="B54" i="67"/>
  <c r="G65" i="67"/>
  <c r="B40" i="67"/>
  <c r="G61" i="67"/>
  <c r="G46" i="67"/>
  <c r="B47" i="67"/>
  <c r="G34" i="67"/>
  <c r="G38" i="67"/>
  <c r="G50" i="67"/>
  <c r="B7" i="67"/>
  <c r="G16" i="67"/>
  <c r="G26" i="67"/>
  <c r="B3" i="67"/>
  <c r="B32" i="67"/>
  <c r="G22" i="67"/>
  <c r="B9" i="67"/>
  <c r="B45" i="67"/>
  <c r="B6" i="67"/>
  <c r="B75" i="67"/>
  <c r="G13" i="67"/>
  <c r="B23" i="67"/>
  <c r="B74" i="67"/>
  <c r="G67" i="67"/>
  <c r="G36" i="67"/>
  <c r="G73" i="67"/>
  <c r="G41" i="67"/>
  <c r="G4" i="67"/>
  <c r="G66" i="67"/>
  <c r="G43" i="67"/>
  <c r="B38" i="67"/>
  <c r="G42" i="67"/>
  <c r="B24" i="67"/>
  <c r="G32" i="67"/>
  <c r="B60" i="67"/>
  <c r="B37" i="67"/>
  <c r="B30" i="67"/>
  <c r="G6" i="67"/>
  <c r="G35" i="67"/>
  <c r="B5" i="67"/>
  <c r="B48" i="67"/>
  <c r="B25" i="67"/>
  <c r="G69" i="67"/>
  <c r="G54" i="67"/>
  <c r="B8" i="67"/>
  <c r="B43" i="67"/>
  <c r="G60" i="67"/>
  <c r="B35" i="67"/>
  <c r="B65" i="67"/>
  <c r="B73" i="67"/>
  <c r="G44" i="67"/>
  <c r="G19" i="67"/>
  <c r="G10" i="67"/>
  <c r="G49" i="67"/>
  <c r="B42" i="67"/>
  <c r="B15" i="67"/>
  <c r="G53" i="67"/>
  <c r="B33" i="67"/>
  <c r="B53" i="67"/>
  <c r="B72" i="67"/>
  <c r="G58" i="67"/>
  <c r="B11" i="67"/>
  <c r="G40" i="67"/>
  <c r="B46" i="67"/>
  <c r="B26" i="67"/>
  <c r="G5" i="67"/>
  <c r="B67" i="67"/>
  <c r="G51" i="67"/>
  <c r="B63" i="67"/>
  <c r="G8" i="67"/>
  <c r="G74" i="67"/>
  <c r="G63" i="67"/>
  <c r="G28" i="67"/>
  <c r="G15" i="67"/>
  <c r="G18" i="67"/>
  <c r="B13" i="67"/>
  <c r="B44" i="67"/>
  <c r="G68" i="67"/>
  <c r="G17" i="67"/>
  <c r="G70" i="67"/>
  <c r="G7" i="67"/>
  <c r="B69" i="67"/>
  <c r="B17" i="67"/>
  <c r="G52" i="67"/>
  <c r="B50" i="67"/>
  <c r="G37" i="67"/>
  <c r="G12" i="67"/>
  <c r="B56" i="67"/>
  <c r="B20" i="67"/>
  <c r="G71" i="67"/>
  <c r="B76" i="67"/>
  <c r="G14" i="67"/>
  <c r="G24" i="67"/>
  <c r="G31" i="67"/>
  <c r="B34" i="67"/>
  <c r="G59" i="67"/>
  <c r="B16" i="67"/>
  <c r="G39" i="67"/>
  <c r="B66" i="67"/>
  <c r="B12" i="67"/>
  <c r="B61" i="67"/>
  <c r="G11" i="67"/>
  <c r="G29" i="67"/>
  <c r="G3" i="67"/>
  <c r="G72" i="67"/>
  <c r="B27" i="67"/>
  <c r="G56" i="67"/>
  <c r="B59" i="67"/>
  <c r="G64" i="67"/>
  <c r="B28" i="67"/>
  <c r="B51" i="67"/>
  <c r="B31" i="67"/>
  <c r="B29" i="67"/>
  <c r="B49" i="67"/>
  <c r="G21" i="67"/>
  <c r="G75" i="67"/>
  <c r="B41" i="67"/>
  <c r="G27" i="67"/>
  <c r="G45" i="67"/>
  <c r="B39" i="67"/>
  <c r="G20" i="67"/>
  <c r="B10" i="67"/>
  <c r="B64" i="67"/>
  <c r="G47" i="67"/>
  <c r="B4" i="67"/>
  <c r="B58" i="67"/>
  <c r="G33" i="67"/>
  <c r="B36" i="67"/>
  <c r="B14" i="67"/>
  <c r="B19" i="67"/>
  <c r="B21" i="67"/>
  <c r="G25" i="67"/>
  <c r="B18" i="67"/>
  <c r="G23" i="67"/>
  <c r="B71" i="67"/>
  <c r="B70" i="67"/>
  <c r="G48" i="67"/>
  <c r="B68" i="67"/>
  <c r="B52" i="67"/>
  <c r="G76" i="67"/>
  <c r="L68" i="67" l="1"/>
  <c r="M68" i="67" s="1"/>
  <c r="N68" i="67" s="1"/>
  <c r="L33" i="67"/>
  <c r="M33" i="67" s="1"/>
  <c r="N33" i="67" s="1"/>
  <c r="L26" i="67"/>
  <c r="M26" i="67" s="1"/>
  <c r="N26" i="67" s="1"/>
  <c r="L25" i="67"/>
  <c r="M25" i="67" s="1"/>
  <c r="N25" i="67" s="1"/>
  <c r="L12" i="67"/>
  <c r="M12" i="67" s="1"/>
  <c r="N12" i="67" s="1"/>
  <c r="L48" i="67"/>
  <c r="M48" i="67" s="1"/>
  <c r="N48" i="67" s="1"/>
  <c r="L47" i="67"/>
  <c r="M47" i="67" s="1"/>
  <c r="N47" i="67" s="1"/>
  <c r="L23" i="67"/>
  <c r="M23" i="67" s="1"/>
  <c r="N23" i="67" s="1"/>
  <c r="L31" i="67"/>
  <c r="M31" i="67" s="1"/>
  <c r="N31" i="67" s="1"/>
  <c r="L64" i="67"/>
  <c r="M64" i="67" s="1"/>
  <c r="N64" i="67" s="1"/>
  <c r="L50" i="67"/>
  <c r="M50" i="67" s="1"/>
  <c r="N50" i="67" s="1"/>
  <c r="L15" i="67"/>
  <c r="M15" i="67" s="1"/>
  <c r="N15" i="67" s="1"/>
  <c r="L27" i="67"/>
  <c r="M27" i="67" s="1"/>
  <c r="N27" i="67" s="1"/>
  <c r="L71" i="67"/>
  <c r="M71" i="67" s="1"/>
  <c r="N71" i="67" s="1"/>
  <c r="L11" i="67"/>
  <c r="M11" i="67" s="1"/>
  <c r="N11" i="67" s="1"/>
  <c r="L22" i="67"/>
  <c r="M22" i="67" s="1"/>
  <c r="N22" i="67" s="1"/>
  <c r="L8" i="67"/>
  <c r="M8" i="67" s="1"/>
  <c r="N8" i="67" s="1"/>
  <c r="L66" i="67"/>
  <c r="M66" i="67" s="1"/>
  <c r="N66" i="67" s="1"/>
  <c r="L13" i="67"/>
  <c r="M13" i="67" s="1"/>
  <c r="N13" i="67" s="1"/>
  <c r="L29" i="67"/>
  <c r="M29" i="67" s="1"/>
  <c r="N29" i="67" s="1"/>
  <c r="L14" i="67"/>
  <c r="M14" i="67" s="1"/>
  <c r="N14" i="67" s="1"/>
  <c r="L63" i="67"/>
  <c r="M63" i="67" s="1"/>
  <c r="N63" i="67" s="1"/>
  <c r="L20" i="67"/>
  <c r="M20" i="67" s="1"/>
  <c r="N20" i="67" s="1"/>
  <c r="L36" i="67"/>
  <c r="M36" i="67" s="1"/>
  <c r="N36" i="67" s="1"/>
  <c r="L7" i="67"/>
  <c r="M7" i="67" s="1"/>
  <c r="N7" i="67" s="1"/>
  <c r="L51" i="67"/>
  <c r="M51" i="67" s="1"/>
  <c r="N51" i="67" s="1"/>
  <c r="L24" i="67"/>
  <c r="M24" i="67" s="1"/>
  <c r="N24" i="67" s="1"/>
  <c r="L19" i="67"/>
  <c r="M19" i="67" s="1"/>
  <c r="N19" i="67" s="1"/>
  <c r="L49" i="67"/>
  <c r="M49" i="67" s="1"/>
  <c r="N49" i="67" s="1"/>
  <c r="L40" i="67"/>
  <c r="M40" i="67" s="1"/>
  <c r="N40" i="67" s="1"/>
  <c r="L9" i="67"/>
  <c r="M9" i="67" s="1"/>
  <c r="N9" i="67" s="1"/>
  <c r="L72" i="67"/>
  <c r="M72" i="67" s="1"/>
  <c r="N72" i="67" s="1"/>
  <c r="L6" i="67"/>
  <c r="M6" i="67" s="1"/>
  <c r="N6" i="67" s="1"/>
  <c r="L56" i="67"/>
  <c r="M56" i="67" s="1"/>
  <c r="N56" i="67" s="1"/>
  <c r="L52" i="67"/>
  <c r="M52" i="67" s="1"/>
  <c r="N52" i="67" s="1"/>
  <c r="L5" i="67"/>
  <c r="M5" i="67" s="1"/>
  <c r="N5" i="67" s="1"/>
  <c r="L75" i="67"/>
  <c r="M75" i="67" s="1"/>
  <c r="N75" i="67" s="1"/>
  <c r="L74" i="67"/>
  <c r="M74" i="67" s="1"/>
  <c r="N74" i="67" s="1"/>
  <c r="L69" i="67"/>
  <c r="M69" i="67" s="1"/>
  <c r="N69" i="67" s="1"/>
  <c r="L28" i="67"/>
  <c r="M28" i="67" s="1"/>
  <c r="N28" i="67" s="1"/>
  <c r="L38" i="67"/>
  <c r="M38" i="67" s="1"/>
  <c r="N38" i="67" s="1"/>
  <c r="L58" i="67"/>
  <c r="M58" i="67" s="1"/>
  <c r="N58" i="67" s="1"/>
  <c r="L67" i="67"/>
  <c r="M67" i="67" s="1"/>
  <c r="N67" i="67" s="1"/>
  <c r="L37" i="67"/>
  <c r="M37" i="67" s="1"/>
  <c r="N37" i="67" s="1"/>
  <c r="L70" i="67"/>
  <c r="M70" i="67" s="1"/>
  <c r="N70" i="67" s="1"/>
  <c r="L54" i="67"/>
  <c r="M54" i="67" s="1"/>
  <c r="N54" i="67" s="1"/>
  <c r="L59" i="67"/>
  <c r="M59" i="67" s="1"/>
  <c r="N59" i="67" s="1"/>
  <c r="L30" i="67"/>
  <c r="M30" i="67" s="1"/>
  <c r="N30" i="67" s="1"/>
  <c r="L39" i="67"/>
  <c r="M39" i="67" s="1"/>
  <c r="N39" i="67" s="1"/>
  <c r="L76" i="67"/>
  <c r="M76" i="67" s="1"/>
  <c r="N76" i="67" s="1"/>
  <c r="L17" i="67"/>
  <c r="M17" i="67" s="1"/>
  <c r="N17" i="67" s="1"/>
  <c r="L3" i="67"/>
  <c r="M3" i="67" s="1"/>
  <c r="N3" i="67" s="1"/>
  <c r="L61" i="67"/>
  <c r="M61" i="67" s="1"/>
  <c r="N61" i="67" s="1"/>
  <c r="L42" i="67"/>
  <c r="M42" i="67" s="1"/>
  <c r="N42" i="67" s="1"/>
  <c r="L53" i="67"/>
  <c r="M53" i="67" s="1"/>
  <c r="N53" i="67" s="1"/>
  <c r="L18" i="67"/>
  <c r="M18" i="67" s="1"/>
  <c r="N18" i="67" s="1"/>
  <c r="L46" i="67"/>
  <c r="M46" i="67" s="1"/>
  <c r="N46" i="67" s="1"/>
  <c r="L21" i="67"/>
  <c r="M21" i="67" s="1"/>
  <c r="N21" i="67" s="1"/>
  <c r="L44" i="67"/>
  <c r="M44" i="67" s="1"/>
  <c r="N44" i="67" s="1"/>
  <c r="L41" i="67"/>
  <c r="M41" i="67" s="1"/>
  <c r="N41" i="67" s="1"/>
  <c r="L43" i="67"/>
  <c r="M43" i="67" s="1"/>
  <c r="N43" i="67" s="1"/>
  <c r="L16" i="67"/>
  <c r="M16" i="67" s="1"/>
  <c r="N16" i="67" s="1"/>
  <c r="L60" i="67"/>
  <c r="M60" i="67" s="1"/>
  <c r="N60" i="67" s="1"/>
  <c r="L65" i="67"/>
  <c r="M65" i="67" s="1"/>
  <c r="N65" i="67" s="1"/>
  <c r="L32" i="67"/>
  <c r="M32" i="67" s="1"/>
  <c r="N32" i="67" s="1"/>
  <c r="L10" i="67"/>
  <c r="M10" i="67" s="1"/>
  <c r="N10" i="67" s="1"/>
  <c r="L35" i="67"/>
  <c r="M35" i="67" s="1"/>
  <c r="N35" i="67" s="1"/>
  <c r="L73" i="67"/>
  <c r="M73" i="67" s="1"/>
  <c r="N73" i="67" s="1"/>
  <c r="L45" i="67"/>
  <c r="M45" i="67" s="1"/>
  <c r="N45" i="67" s="1"/>
  <c r="L34" i="67"/>
  <c r="M34" i="67" s="1"/>
  <c r="N34" i="67" s="1"/>
  <c r="L4" i="67"/>
  <c r="M4" i="67" s="1"/>
  <c r="N4" i="67" s="1"/>
  <c r="G98" i="62" l="1"/>
  <c r="H98" i="62" s="1"/>
  <c r="G97" i="62"/>
  <c r="H97" i="62" s="1"/>
  <c r="G96" i="62"/>
  <c r="H96" i="62" s="1"/>
  <c r="G95" i="62"/>
  <c r="H95" i="62" s="1"/>
  <c r="G91" i="62"/>
  <c r="H91" i="62" s="1"/>
  <c r="G89" i="62"/>
  <c r="H89" i="62" s="1"/>
  <c r="G100" i="62"/>
  <c r="H100" i="62" s="1"/>
  <c r="G99" i="62"/>
  <c r="H99" i="62" s="1"/>
  <c r="G93" i="62"/>
  <c r="H93" i="62" s="1"/>
  <c r="G94" i="62"/>
  <c r="H94" i="62" s="1"/>
  <c r="G92" i="62"/>
  <c r="H92" i="62" s="1"/>
  <c r="G90" i="62"/>
  <c r="H90" i="62" s="1"/>
  <c r="G88" i="62"/>
  <c r="H88" i="62" s="1"/>
  <c r="G87" i="62"/>
  <c r="H87" i="62" s="1"/>
  <c r="G41" i="62"/>
  <c r="H41" i="62" s="1"/>
  <c r="G40" i="62"/>
  <c r="H40" i="62" s="1"/>
  <c r="G39" i="62"/>
  <c r="H39" i="62" s="1"/>
  <c r="G38" i="62"/>
  <c r="H38" i="62" s="1"/>
  <c r="G37" i="62"/>
  <c r="H37" i="62" s="1"/>
  <c r="G36" i="62"/>
  <c r="H36" i="62" s="1"/>
  <c r="G35" i="62"/>
  <c r="H35" i="62" s="1"/>
  <c r="G34" i="62"/>
  <c r="H34" i="62" s="1"/>
  <c r="G33" i="62"/>
  <c r="H33" i="62" s="1"/>
  <c r="G32" i="62"/>
  <c r="H32" i="62" s="1"/>
  <c r="G31" i="62"/>
  <c r="H31" i="62" s="1"/>
  <c r="G30" i="62"/>
  <c r="H30" i="62" s="1"/>
  <c r="G29" i="62"/>
  <c r="H29" i="62" s="1"/>
  <c r="G28" i="62"/>
  <c r="H28" i="62" s="1"/>
  <c r="G27" i="62"/>
  <c r="H27" i="62" s="1"/>
  <c r="G26" i="62"/>
  <c r="H26" i="62" s="1"/>
  <c r="G25" i="62"/>
  <c r="H25" i="62" s="1"/>
  <c r="G24" i="62"/>
  <c r="H24" i="62" s="1"/>
  <c r="G23" i="62"/>
  <c r="H23" i="62" s="1"/>
  <c r="G22" i="62"/>
  <c r="H22" i="62" s="1"/>
  <c r="G21" i="62"/>
  <c r="H21" i="62" s="1"/>
  <c r="G20" i="62"/>
  <c r="H20" i="62" s="1"/>
  <c r="G19" i="62"/>
  <c r="H19" i="62" s="1"/>
  <c r="G18" i="62"/>
  <c r="H18" i="62" s="1"/>
  <c r="G17" i="62"/>
  <c r="H17" i="62" s="1"/>
  <c r="G16" i="62"/>
  <c r="H16" i="62" s="1"/>
  <c r="G12" i="62"/>
  <c r="H12" i="62" s="1"/>
  <c r="G15" i="62"/>
  <c r="H15" i="62" s="1"/>
  <c r="G11" i="62"/>
  <c r="H11" i="62" s="1"/>
  <c r="G14" i="62"/>
  <c r="H14" i="62" s="1"/>
  <c r="G10" i="62"/>
  <c r="H10" i="62" s="1"/>
  <c r="G9" i="62"/>
  <c r="H9" i="62" s="1"/>
  <c r="G8" i="62"/>
  <c r="H8" i="62" s="1"/>
  <c r="G7" i="62"/>
  <c r="H7" i="62" s="1"/>
  <c r="G6" i="62"/>
  <c r="H6" i="62" s="1"/>
  <c r="G5" i="62"/>
  <c r="H5" i="62" s="1"/>
  <c r="G4" i="62"/>
  <c r="H4" i="62" s="1"/>
  <c r="G3" i="62"/>
  <c r="H3" i="62" s="1"/>
  <c r="G2" i="62"/>
  <c r="H2" i="62" s="1"/>
  <c r="G83" i="62"/>
  <c r="H83" i="62" s="1"/>
  <c r="G82" i="62"/>
  <c r="H82" i="62" s="1"/>
  <c r="G81" i="62"/>
  <c r="H81" i="62" s="1"/>
  <c r="G80" i="62"/>
  <c r="H80" i="62" s="1"/>
  <c r="G79" i="62"/>
  <c r="H79" i="62" s="1"/>
  <c r="G78" i="62"/>
  <c r="H78" i="62" s="1"/>
  <c r="G77" i="62"/>
  <c r="H77" i="62" s="1"/>
  <c r="G76" i="62"/>
  <c r="H76" i="62" s="1"/>
  <c r="G75" i="62"/>
  <c r="H75" i="62" s="1"/>
  <c r="G74" i="62"/>
  <c r="H74" i="62" s="1"/>
  <c r="G73" i="62"/>
  <c r="H73" i="62" s="1"/>
  <c r="G72" i="62"/>
  <c r="H72" i="62" s="1"/>
  <c r="G71" i="62"/>
  <c r="H71" i="62" s="1"/>
  <c r="G70" i="62"/>
  <c r="H70" i="62" s="1"/>
  <c r="G69" i="62"/>
  <c r="H69" i="62" s="1"/>
  <c r="G68" i="62"/>
  <c r="H68" i="62" s="1"/>
  <c r="G86" i="62"/>
  <c r="H86" i="62" s="1"/>
  <c r="G85" i="62"/>
  <c r="H85" i="62" s="1"/>
  <c r="G84" i="62"/>
  <c r="H84" i="62" s="1"/>
  <c r="G13" i="62"/>
  <c r="H13" i="62" s="1"/>
  <c r="G65" i="62"/>
  <c r="H65" i="62" s="1"/>
  <c r="G64" i="62"/>
  <c r="H64" i="62" s="1"/>
  <c r="G63" i="62"/>
  <c r="H63" i="62" s="1"/>
  <c r="G62" i="62"/>
  <c r="H62" i="62" s="1"/>
  <c r="G61" i="62"/>
  <c r="H61" i="62" s="1"/>
  <c r="G60" i="62"/>
  <c r="H60" i="62" s="1"/>
  <c r="G59" i="62"/>
  <c r="H59" i="62" s="1"/>
  <c r="G58" i="62"/>
  <c r="H58" i="62" s="1"/>
  <c r="G57" i="62"/>
  <c r="H57" i="62" s="1"/>
  <c r="G56" i="62"/>
  <c r="H56" i="62" s="1"/>
  <c r="G55" i="62"/>
  <c r="H55" i="62" s="1"/>
  <c r="G54" i="62"/>
  <c r="H54" i="62" s="1"/>
  <c r="G53" i="62"/>
  <c r="H53" i="62" s="1"/>
  <c r="G52" i="62"/>
  <c r="H52" i="62" s="1"/>
  <c r="G51" i="62"/>
  <c r="H51" i="62" s="1"/>
  <c r="G50" i="62"/>
  <c r="H50" i="62" s="1"/>
  <c r="G49" i="62"/>
  <c r="H49" i="62" s="1"/>
  <c r="G42" i="62"/>
  <c r="H42" i="62" s="1"/>
  <c r="G48" i="62"/>
  <c r="H48" i="62" s="1"/>
  <c r="G47" i="62"/>
  <c r="H47" i="62" s="1"/>
  <c r="G46" i="62"/>
  <c r="H46" i="62" s="1"/>
  <c r="Y6" i="62"/>
  <c r="O83" i="62" s="1"/>
  <c r="G45" i="62"/>
  <c r="H45" i="62" s="1"/>
  <c r="G44" i="62"/>
  <c r="H44" i="62" s="1"/>
  <c r="G43" i="62"/>
  <c r="H43" i="62" s="1"/>
  <c r="G67" i="62"/>
  <c r="H67" i="62" s="1"/>
  <c r="Y2" i="62"/>
  <c r="G66" i="62"/>
  <c r="H66" i="62" s="1"/>
  <c r="Y4" i="62"/>
  <c r="C21" i="62" l="1"/>
  <c r="C22" i="62"/>
  <c r="C23" i="62"/>
  <c r="C24" i="62"/>
  <c r="C25" i="62"/>
  <c r="C76" i="62"/>
  <c r="C66" i="62"/>
  <c r="C88" i="62"/>
  <c r="C70" i="62"/>
  <c r="C59" i="62"/>
  <c r="C53" i="62"/>
  <c r="C63" i="62"/>
  <c r="C45" i="62"/>
  <c r="C72" i="62"/>
  <c r="C29" i="62"/>
  <c r="C39" i="62"/>
  <c r="C43" i="62"/>
  <c r="C61" i="62"/>
  <c r="C78" i="62"/>
  <c r="C82" i="62"/>
  <c r="K88" i="62"/>
  <c r="K87" i="62"/>
  <c r="K41" i="62"/>
  <c r="K40" i="62"/>
  <c r="K39" i="62"/>
  <c r="K38" i="62"/>
  <c r="K98" i="62"/>
  <c r="K89" i="62"/>
  <c r="K30" i="62"/>
  <c r="K26" i="62"/>
  <c r="K22" i="62"/>
  <c r="K18" i="62"/>
  <c r="K15" i="62"/>
  <c r="K9" i="62"/>
  <c r="K5" i="62"/>
  <c r="K83" i="62"/>
  <c r="K91" i="62"/>
  <c r="K94" i="62"/>
  <c r="K34" i="62"/>
  <c r="K29" i="62"/>
  <c r="K25" i="62"/>
  <c r="K21" i="62"/>
  <c r="K17" i="62"/>
  <c r="K11" i="62"/>
  <c r="K8" i="62"/>
  <c r="K4" i="62"/>
  <c r="K82" i="62"/>
  <c r="K93" i="62"/>
  <c r="K33" i="62"/>
  <c r="K95" i="62"/>
  <c r="K96" i="62"/>
  <c r="K99" i="62"/>
  <c r="K24" i="62"/>
  <c r="K14" i="62"/>
  <c r="K77" i="62"/>
  <c r="K73" i="62"/>
  <c r="K69" i="62"/>
  <c r="K65" i="62"/>
  <c r="K36" i="62"/>
  <c r="K32" i="62"/>
  <c r="K20" i="62"/>
  <c r="K3" i="62"/>
  <c r="K64" i="62"/>
  <c r="K100" i="62"/>
  <c r="K90" i="62"/>
  <c r="K23" i="62"/>
  <c r="K10" i="62"/>
  <c r="K79" i="62"/>
  <c r="K75" i="62"/>
  <c r="K71" i="62"/>
  <c r="K86" i="62"/>
  <c r="K43" i="62"/>
  <c r="K97" i="62"/>
  <c r="K37" i="62"/>
  <c r="K7" i="62"/>
  <c r="K81" i="62"/>
  <c r="K13" i="62"/>
  <c r="K28" i="62"/>
  <c r="K16" i="62"/>
  <c r="K78" i="62"/>
  <c r="K74" i="62"/>
  <c r="K70" i="62"/>
  <c r="K44" i="62"/>
  <c r="K61" i="62"/>
  <c r="K2" i="62"/>
  <c r="K80" i="62"/>
  <c r="K47" i="62"/>
  <c r="K27" i="62"/>
  <c r="K68" i="62"/>
  <c r="K57" i="62"/>
  <c r="K52" i="62"/>
  <c r="K48" i="62"/>
  <c r="K62" i="62"/>
  <c r="K84" i="62"/>
  <c r="K53" i="62"/>
  <c r="K42" i="62"/>
  <c r="K72" i="62"/>
  <c r="K63" i="62"/>
  <c r="K58" i="62"/>
  <c r="K49" i="62"/>
  <c r="K6" i="62"/>
  <c r="K85" i="62"/>
  <c r="K59" i="62"/>
  <c r="K54" i="62"/>
  <c r="K67" i="62"/>
  <c r="K19" i="62"/>
  <c r="K55" i="62"/>
  <c r="K92" i="62"/>
  <c r="K76" i="62"/>
  <c r="K60" i="62"/>
  <c r="K50" i="62"/>
  <c r="K66" i="62"/>
  <c r="K35" i="62"/>
  <c r="K31" i="62"/>
  <c r="K51" i="62"/>
  <c r="K45" i="62"/>
  <c r="K12" i="62"/>
  <c r="K56" i="62"/>
  <c r="K46" i="62"/>
  <c r="C49" i="62"/>
  <c r="O77" i="62"/>
  <c r="C3" i="62"/>
  <c r="O8" i="62"/>
  <c r="C11" i="62"/>
  <c r="O21" i="62"/>
  <c r="O45" i="62"/>
  <c r="O46" i="62"/>
  <c r="O86" i="62"/>
  <c r="O25" i="62"/>
  <c r="O65" i="62"/>
  <c r="C84" i="62"/>
  <c r="O73" i="62"/>
  <c r="O11" i="62"/>
  <c r="C17" i="62"/>
  <c r="O5" i="62"/>
  <c r="O43" i="62"/>
  <c r="C48" i="62"/>
  <c r="C57" i="62"/>
  <c r="O29" i="62"/>
  <c r="O71" i="62"/>
  <c r="O64" i="62"/>
  <c r="C13" i="62"/>
  <c r="C68" i="62"/>
  <c r="C74" i="62"/>
  <c r="O98" i="62"/>
  <c r="O96" i="62"/>
  <c r="O91" i="62"/>
  <c r="O100" i="62"/>
  <c r="O93" i="62"/>
  <c r="O92" i="62"/>
  <c r="O97" i="62"/>
  <c r="O37" i="62"/>
  <c r="O94" i="62"/>
  <c r="O34" i="62"/>
  <c r="O79" i="62"/>
  <c r="O33" i="62"/>
  <c r="O95" i="62"/>
  <c r="O32" i="62"/>
  <c r="O28" i="62"/>
  <c r="O24" i="62"/>
  <c r="O20" i="62"/>
  <c r="O16" i="62"/>
  <c r="O14" i="62"/>
  <c r="O7" i="62"/>
  <c r="O3" i="62"/>
  <c r="O81" i="62"/>
  <c r="O99" i="62"/>
  <c r="O90" i="62"/>
  <c r="O31" i="62"/>
  <c r="O27" i="62"/>
  <c r="O23" i="62"/>
  <c r="O19" i="62"/>
  <c r="O12" i="62"/>
  <c r="O10" i="62"/>
  <c r="O6" i="62"/>
  <c r="O22" i="62"/>
  <c r="O9" i="62"/>
  <c r="O2" i="62"/>
  <c r="O76" i="62"/>
  <c r="O72" i="62"/>
  <c r="O68" i="62"/>
  <c r="O84" i="62"/>
  <c r="O62" i="62"/>
  <c r="O60" i="62"/>
  <c r="O58" i="62"/>
  <c r="O56" i="62"/>
  <c r="O54" i="62"/>
  <c r="O52" i="62"/>
  <c r="O50" i="62"/>
  <c r="O42" i="62"/>
  <c r="O47" i="62"/>
  <c r="O89" i="62"/>
  <c r="O40" i="62"/>
  <c r="O87" i="62"/>
  <c r="O30" i="62"/>
  <c r="O18" i="62"/>
  <c r="O80" i="62"/>
  <c r="O66" i="62"/>
  <c r="O39" i="62"/>
  <c r="O78" i="62"/>
  <c r="O74" i="62"/>
  <c r="O70" i="62"/>
  <c r="O63" i="62"/>
  <c r="O61" i="62"/>
  <c r="O59" i="62"/>
  <c r="O57" i="62"/>
  <c r="O55" i="62"/>
  <c r="O53" i="62"/>
  <c r="O51" i="62"/>
  <c r="O49" i="62"/>
  <c r="O48" i="62"/>
  <c r="O4" i="62"/>
  <c r="O41" i="62"/>
  <c r="O35" i="62"/>
  <c r="O26" i="62"/>
  <c r="O15" i="62"/>
  <c r="O82" i="62"/>
  <c r="O85" i="62"/>
  <c r="O44" i="62"/>
  <c r="O38" i="62"/>
  <c r="O36" i="62"/>
  <c r="O69" i="62"/>
  <c r="O17" i="62"/>
  <c r="C51" i="62"/>
  <c r="O75" i="62"/>
  <c r="C80" i="62"/>
  <c r="O67" i="62"/>
  <c r="C97" i="62"/>
  <c r="C95" i="62"/>
  <c r="C89" i="62"/>
  <c r="C99" i="62"/>
  <c r="C94" i="62"/>
  <c r="C90" i="62"/>
  <c r="C87" i="62"/>
  <c r="C40" i="62"/>
  <c r="C38" i="62"/>
  <c r="C36" i="62"/>
  <c r="C34" i="62"/>
  <c r="C96" i="62"/>
  <c r="C100" i="62"/>
  <c r="C92" i="62"/>
  <c r="C37" i="62"/>
  <c r="C31" i="62"/>
  <c r="C27" i="62"/>
  <c r="C19" i="62"/>
  <c r="C12" i="62"/>
  <c r="C10" i="62"/>
  <c r="C6" i="62"/>
  <c r="C2" i="62"/>
  <c r="C98" i="62"/>
  <c r="C91" i="62"/>
  <c r="C35" i="62"/>
  <c r="C30" i="62"/>
  <c r="C26" i="62"/>
  <c r="C18" i="62"/>
  <c r="C15" i="62"/>
  <c r="C9" i="62"/>
  <c r="C5" i="62"/>
  <c r="C41" i="62"/>
  <c r="C28" i="62"/>
  <c r="C16" i="62"/>
  <c r="C4" i="62"/>
  <c r="C81" i="62"/>
  <c r="C79" i="62"/>
  <c r="C75" i="62"/>
  <c r="C71" i="62"/>
  <c r="C64" i="62"/>
  <c r="C33" i="62"/>
  <c r="C8" i="62"/>
  <c r="C14" i="62"/>
  <c r="C83" i="62"/>
  <c r="C93" i="62"/>
  <c r="C77" i="62"/>
  <c r="C73" i="62"/>
  <c r="C69" i="62"/>
  <c r="C85" i="62"/>
  <c r="C46" i="62"/>
  <c r="C65" i="62"/>
  <c r="C32" i="62"/>
  <c r="C20" i="62"/>
  <c r="C67" i="62"/>
  <c r="C7" i="62"/>
  <c r="C62" i="62"/>
  <c r="C60" i="62"/>
  <c r="C58" i="62"/>
  <c r="C56" i="62"/>
  <c r="C54" i="62"/>
  <c r="C52" i="62"/>
  <c r="C50" i="62"/>
  <c r="C42" i="62"/>
  <c r="C47" i="62"/>
  <c r="C44" i="62"/>
  <c r="C55" i="62"/>
  <c r="C86" i="62"/>
  <c r="O88" i="62"/>
  <c r="O13" i="62"/>
  <c r="A106" i="61"/>
  <c r="A102" i="61"/>
  <c r="N98" i="61"/>
  <c r="S98" i="61" s="1"/>
  <c r="X98" i="61" s="1"/>
  <c r="M98" i="61"/>
  <c r="R98" i="61" s="1"/>
  <c r="W98" i="61" s="1"/>
  <c r="AL98" i="61" s="1"/>
  <c r="AQ98" i="61" s="1"/>
  <c r="L98" i="61"/>
  <c r="Q98" i="61" s="1"/>
  <c r="V98" i="61" s="1"/>
  <c r="K98" i="61"/>
  <c r="P98" i="61" s="1"/>
  <c r="U98" i="61" s="1"/>
  <c r="A82" i="61"/>
  <c r="A78" i="61"/>
  <c r="N74" i="61"/>
  <c r="S74" i="61" s="1"/>
  <c r="X74" i="61" s="1"/>
  <c r="M74" i="61"/>
  <c r="R74" i="61" s="1"/>
  <c r="W74" i="61" s="1"/>
  <c r="L74" i="61"/>
  <c r="K74" i="61"/>
  <c r="A74" i="61"/>
  <c r="A58" i="61"/>
  <c r="A54" i="61"/>
  <c r="N50" i="61"/>
  <c r="S50" i="61" s="1"/>
  <c r="X50" i="61" s="1"/>
  <c r="AM50" i="61" s="1"/>
  <c r="AR50" i="61" s="1"/>
  <c r="M50" i="61"/>
  <c r="L50" i="61"/>
  <c r="K50" i="61"/>
  <c r="P50" i="61" s="1"/>
  <c r="U50" i="61" s="1"/>
  <c r="A50" i="61"/>
  <c r="A34" i="61"/>
  <c r="A30" i="61"/>
  <c r="B27" i="61"/>
  <c r="B51" i="61" s="1"/>
  <c r="N26" i="61"/>
  <c r="M26" i="61"/>
  <c r="R26" i="61" s="1"/>
  <c r="W26" i="61" s="1"/>
  <c r="L26" i="61"/>
  <c r="K26" i="61"/>
  <c r="P26" i="61" s="1"/>
  <c r="U26" i="61" s="1"/>
  <c r="AJ26" i="61" s="1"/>
  <c r="AO26" i="61" s="1"/>
  <c r="A26" i="61"/>
  <c r="A98" i="61" s="1"/>
  <c r="A10" i="61"/>
  <c r="A6" i="61"/>
  <c r="A7" i="61" s="1"/>
  <c r="B5" i="61"/>
  <c r="R2" i="61"/>
  <c r="W2" i="61" s="1"/>
  <c r="N2" i="61"/>
  <c r="M2" i="61"/>
  <c r="L2" i="61"/>
  <c r="K2" i="61"/>
  <c r="P2" i="61" s="1"/>
  <c r="U2" i="61" s="1"/>
  <c r="U49" i="62"/>
  <c r="D84" i="62"/>
  <c r="E2" i="62"/>
  <c r="D83" i="62"/>
  <c r="D2" i="62"/>
  <c r="D89" i="62"/>
  <c r="E36" i="62"/>
  <c r="E74" i="62"/>
  <c r="D80" i="62"/>
  <c r="U69" i="62"/>
  <c r="A75" i="61"/>
  <c r="D73" i="62"/>
  <c r="D40" i="62"/>
  <c r="D54" i="62"/>
  <c r="U20" i="62"/>
  <c r="E24" i="62"/>
  <c r="E82" i="62"/>
  <c r="U68" i="62"/>
  <c r="E26" i="62"/>
  <c r="U63" i="62"/>
  <c r="U60" i="62"/>
  <c r="E79" i="62"/>
  <c r="E56" i="62"/>
  <c r="U46" i="62"/>
  <c r="A20" i="61"/>
  <c r="D88" i="62"/>
  <c r="E17" i="62"/>
  <c r="U13" i="62"/>
  <c r="D81" i="62"/>
  <c r="E7" i="62"/>
  <c r="E14" i="62"/>
  <c r="E71" i="62"/>
  <c r="E49" i="62"/>
  <c r="E91" i="62"/>
  <c r="U21" i="62"/>
  <c r="D8" i="62"/>
  <c r="D63" i="62"/>
  <c r="U61" i="62"/>
  <c r="U19" i="62"/>
  <c r="E8" i="62"/>
  <c r="E69" i="62"/>
  <c r="U16" i="62"/>
  <c r="U92" i="62"/>
  <c r="E99" i="62"/>
  <c r="U85" i="62"/>
  <c r="E62" i="62"/>
  <c r="D57" i="62"/>
  <c r="U77" i="62"/>
  <c r="U3" i="62"/>
  <c r="U90" i="62"/>
  <c r="D93" i="62"/>
  <c r="U57" i="62"/>
  <c r="U48" i="62"/>
  <c r="E39" i="62"/>
  <c r="D12" i="62"/>
  <c r="D25" i="62"/>
  <c r="D72" i="62"/>
  <c r="U96" i="62"/>
  <c r="D53" i="62"/>
  <c r="E65" i="62"/>
  <c r="E53" i="62"/>
  <c r="D78" i="62"/>
  <c r="D69" i="62"/>
  <c r="E42" i="62"/>
  <c r="E12" i="62"/>
  <c r="D60" i="62"/>
  <c r="U74" i="62"/>
  <c r="D98" i="62"/>
  <c r="D29" i="62"/>
  <c r="E66" i="62"/>
  <c r="U66" i="62"/>
  <c r="A99" i="61"/>
  <c r="U95" i="62"/>
  <c r="A27" i="61"/>
  <c r="D46" i="62"/>
  <c r="D38" i="62"/>
  <c r="D41" i="62"/>
  <c r="D3" i="62"/>
  <c r="D59" i="62"/>
  <c r="E3" i="62"/>
  <c r="E38" i="62"/>
  <c r="D43" i="62"/>
  <c r="U33" i="62"/>
  <c r="D82" i="62"/>
  <c r="E40" i="62"/>
  <c r="E94" i="62"/>
  <c r="E11" i="62"/>
  <c r="U51" i="62"/>
  <c r="E46" i="62"/>
  <c r="E25" i="62"/>
  <c r="E68" i="62"/>
  <c r="E47" i="62"/>
  <c r="E45" i="62"/>
  <c r="D47" i="62"/>
  <c r="D18" i="62"/>
  <c r="D100" i="62"/>
  <c r="E27" i="62"/>
  <c r="D39" i="62"/>
  <c r="U45" i="62"/>
  <c r="E78" i="62"/>
  <c r="E86" i="62"/>
  <c r="E88" i="62"/>
  <c r="U100" i="62"/>
  <c r="U12" i="62"/>
  <c r="U15" i="62"/>
  <c r="U18" i="62"/>
  <c r="E89" i="62"/>
  <c r="U53" i="62"/>
  <c r="E60" i="62"/>
  <c r="E83" i="62"/>
  <c r="E32" i="62"/>
  <c r="U52" i="62"/>
  <c r="U50" i="62"/>
  <c r="U47" i="62"/>
  <c r="U89" i="62"/>
  <c r="D64" i="62"/>
  <c r="D13" i="62"/>
  <c r="E59" i="62"/>
  <c r="E96" i="62"/>
  <c r="U98" i="62"/>
  <c r="E37" i="62"/>
  <c r="E55" i="62"/>
  <c r="D10" i="62"/>
  <c r="U84" i="62"/>
  <c r="E34" i="62"/>
  <c r="D48" i="62"/>
  <c r="U28" i="62"/>
  <c r="E23" i="62"/>
  <c r="U43" i="62"/>
  <c r="U42" i="62"/>
  <c r="U56" i="62"/>
  <c r="U91" i="62"/>
  <c r="D21" i="62"/>
  <c r="D27" i="62"/>
  <c r="D85" i="62"/>
  <c r="E70" i="62"/>
  <c r="U32" i="62"/>
  <c r="U4" i="62"/>
  <c r="U34" i="62"/>
  <c r="E15" i="62"/>
  <c r="D34" i="62"/>
  <c r="D79" i="62"/>
  <c r="E64" i="62"/>
  <c r="D67" i="62"/>
  <c r="E28" i="62"/>
  <c r="D95" i="62"/>
  <c r="D92" i="62"/>
  <c r="D61" i="62"/>
  <c r="D55" i="62"/>
  <c r="U86" i="62"/>
  <c r="U29" i="62"/>
  <c r="U37" i="62"/>
  <c r="D4" i="62"/>
  <c r="D56" i="62"/>
  <c r="D66" i="62"/>
  <c r="E43" i="62"/>
  <c r="E93" i="62"/>
  <c r="D28" i="62"/>
  <c r="D15" i="62"/>
  <c r="U23" i="62"/>
  <c r="U72" i="62"/>
  <c r="D17" i="62"/>
  <c r="U5" i="62"/>
  <c r="U83" i="62"/>
  <c r="U38" i="62"/>
  <c r="U44" i="62"/>
  <c r="U27" i="62"/>
  <c r="D71" i="62"/>
  <c r="E72" i="62"/>
  <c r="D44" i="62"/>
  <c r="E10" i="62"/>
  <c r="U55" i="62"/>
  <c r="U17" i="62"/>
  <c r="U65" i="62"/>
  <c r="E9" i="62"/>
  <c r="E58" i="62"/>
  <c r="E52" i="62"/>
  <c r="D23" i="62"/>
  <c r="U31" i="62"/>
  <c r="D94" i="62"/>
  <c r="D7" i="62"/>
  <c r="E16" i="62"/>
  <c r="E31" i="62"/>
  <c r="U59" i="62"/>
  <c r="D24" i="62"/>
  <c r="D45" i="62"/>
  <c r="D49" i="62"/>
  <c r="D52" i="62"/>
  <c r="D19" i="62"/>
  <c r="D70" i="62"/>
  <c r="U64" i="62"/>
  <c r="U62" i="62"/>
  <c r="U36" i="62"/>
  <c r="A3" i="61"/>
  <c r="D30" i="62"/>
  <c r="D91" i="62"/>
  <c r="U2" i="62"/>
  <c r="U81" i="62"/>
  <c r="U82" i="62"/>
  <c r="E73" i="62"/>
  <c r="D62" i="62"/>
  <c r="U10" i="62"/>
  <c r="E13" i="62"/>
  <c r="D9" i="62"/>
  <c r="U87" i="62"/>
  <c r="U40" i="62"/>
  <c r="D14" i="62"/>
  <c r="E77" i="62"/>
  <c r="U24" i="62"/>
  <c r="E87" i="62"/>
  <c r="U80" i="62"/>
  <c r="E63" i="62"/>
  <c r="D37" i="62"/>
  <c r="U94" i="62"/>
  <c r="E22" i="62"/>
  <c r="U75" i="62"/>
  <c r="U70" i="62"/>
  <c r="D20" i="62"/>
  <c r="D99" i="62"/>
  <c r="E19" i="62"/>
  <c r="U39" i="62"/>
  <c r="U97" i="62"/>
  <c r="A51" i="61"/>
  <c r="U14" i="62"/>
  <c r="E95" i="62"/>
  <c r="U78" i="62"/>
  <c r="U8" i="62"/>
  <c r="D96" i="62"/>
  <c r="E98" i="62"/>
  <c r="E30" i="62"/>
  <c r="D77" i="62"/>
  <c r="E29" i="62"/>
  <c r="D75" i="62"/>
  <c r="E61" i="62"/>
  <c r="E54" i="62"/>
  <c r="E100" i="62"/>
  <c r="E67" i="62"/>
  <c r="D50" i="62"/>
  <c r="D11" i="62"/>
  <c r="U35" i="62"/>
  <c r="E75" i="62"/>
  <c r="D35" i="62"/>
  <c r="E50" i="62"/>
  <c r="U9" i="62"/>
  <c r="E76" i="62"/>
  <c r="E92" i="62"/>
  <c r="E18" i="62"/>
  <c r="E85" i="62"/>
  <c r="D42" i="62"/>
  <c r="U67" i="62"/>
  <c r="D31" i="62"/>
  <c r="U41" i="62"/>
  <c r="U73" i="62"/>
  <c r="D36" i="62"/>
  <c r="D87" i="62"/>
  <c r="E90" i="62"/>
  <c r="E44" i="62"/>
  <c r="D74" i="62"/>
  <c r="U30" i="62"/>
  <c r="E35" i="62"/>
  <c r="U99" i="62"/>
  <c r="E6" i="62"/>
  <c r="D51" i="62"/>
  <c r="U88" i="62"/>
  <c r="D58" i="62"/>
  <c r="E57" i="62"/>
  <c r="E81" i="62"/>
  <c r="E5" i="62"/>
  <c r="D76" i="62"/>
  <c r="D68" i="62"/>
  <c r="D6" i="62"/>
  <c r="E51" i="62"/>
  <c r="U7" i="62"/>
  <c r="E4" i="62"/>
  <c r="D32" i="62"/>
  <c r="U25" i="62"/>
  <c r="D5" i="62"/>
  <c r="E20" i="62"/>
  <c r="U76" i="62"/>
  <c r="D65" i="62"/>
  <c r="D33" i="62"/>
  <c r="U26" i="62"/>
  <c r="E21" i="62"/>
  <c r="E33" i="62"/>
  <c r="E41" i="62"/>
  <c r="D90" i="62"/>
  <c r="E97" i="62"/>
  <c r="U79" i="62"/>
  <c r="U11" i="62"/>
  <c r="D16" i="62"/>
  <c r="U93" i="62"/>
  <c r="D86" i="62"/>
  <c r="U58" i="62"/>
  <c r="D97" i="62"/>
  <c r="E80" i="62"/>
  <c r="U71" i="62"/>
  <c r="U54" i="62"/>
  <c r="U22" i="62"/>
  <c r="D26" i="62"/>
  <c r="D22" i="62"/>
  <c r="U6" i="62"/>
  <c r="E84" i="62"/>
  <c r="E48" i="62"/>
  <c r="F21" i="62" l="1"/>
  <c r="M21" i="62" s="1"/>
  <c r="F72" i="62"/>
  <c r="L72" i="62" s="1"/>
  <c r="J72" i="62" s="1"/>
  <c r="F45" i="62"/>
  <c r="L45" i="62" s="1"/>
  <c r="J45" i="62" s="1"/>
  <c r="F63" i="62"/>
  <c r="I63" i="62" s="1"/>
  <c r="F53" i="62"/>
  <c r="M53" i="62" s="1"/>
  <c r="F59" i="62"/>
  <c r="M59" i="62" s="1"/>
  <c r="F70" i="62"/>
  <c r="L70" i="62" s="1"/>
  <c r="J70" i="62" s="1"/>
  <c r="F88" i="62"/>
  <c r="I88" i="62" s="1"/>
  <c r="F66" i="62"/>
  <c r="L66" i="62" s="1"/>
  <c r="J66" i="62" s="1"/>
  <c r="F76" i="62"/>
  <c r="I76" i="62" s="1"/>
  <c r="F25" i="62"/>
  <c r="M25" i="62" s="1"/>
  <c r="F82" i="62"/>
  <c r="I82" i="62" s="1"/>
  <c r="F78" i="62"/>
  <c r="L78" i="62" s="1"/>
  <c r="J78" i="62" s="1"/>
  <c r="F61" i="62"/>
  <c r="M61" i="62" s="1"/>
  <c r="F43" i="62"/>
  <c r="L43" i="62" s="1"/>
  <c r="J43" i="62" s="1"/>
  <c r="F39" i="62"/>
  <c r="L39" i="62" s="1"/>
  <c r="J39" i="62" s="1"/>
  <c r="F29" i="62"/>
  <c r="L29" i="62" s="1"/>
  <c r="J29" i="62" s="1"/>
  <c r="F50" i="62"/>
  <c r="F22" i="62"/>
  <c r="F52" i="62"/>
  <c r="F75" i="62"/>
  <c r="F54" i="62"/>
  <c r="F69" i="62"/>
  <c r="F79" i="62"/>
  <c r="F30" i="62"/>
  <c r="F37" i="62"/>
  <c r="F89" i="62"/>
  <c r="F17" i="62"/>
  <c r="F3" i="62"/>
  <c r="F58" i="62"/>
  <c r="F49" i="62"/>
  <c r="F35" i="62"/>
  <c r="F77" i="62"/>
  <c r="F97" i="62"/>
  <c r="F60" i="62"/>
  <c r="F93" i="62"/>
  <c r="F16" i="62"/>
  <c r="F98" i="62"/>
  <c r="F96" i="62"/>
  <c r="F68" i="62"/>
  <c r="F84" i="62"/>
  <c r="F91" i="62"/>
  <c r="F74" i="62"/>
  <c r="F83" i="62"/>
  <c r="F2" i="62"/>
  <c r="F34" i="62"/>
  <c r="F80" i="62"/>
  <c r="F13" i="62"/>
  <c r="F73" i="62"/>
  <c r="F4" i="62"/>
  <c r="F100" i="62"/>
  <c r="F62" i="62"/>
  <c r="F28" i="62"/>
  <c r="F86" i="62"/>
  <c r="F7" i="62"/>
  <c r="F14" i="62"/>
  <c r="F41" i="62"/>
  <c r="F6" i="62"/>
  <c r="F36" i="62"/>
  <c r="F95" i="62"/>
  <c r="F67" i="62"/>
  <c r="F5" i="62"/>
  <c r="F51" i="62"/>
  <c r="F55" i="62"/>
  <c r="F24" i="62"/>
  <c r="F10" i="62"/>
  <c r="F38" i="62"/>
  <c r="F44" i="62"/>
  <c r="F20" i="62"/>
  <c r="F8" i="62"/>
  <c r="F9" i="62"/>
  <c r="F12" i="62"/>
  <c r="F40" i="62"/>
  <c r="F81" i="62"/>
  <c r="F32" i="62"/>
  <c r="F15" i="62"/>
  <c r="F19" i="62"/>
  <c r="F87" i="62"/>
  <c r="F57" i="62"/>
  <c r="F92" i="62"/>
  <c r="F47" i="62"/>
  <c r="F33" i="62"/>
  <c r="F42" i="62"/>
  <c r="F65" i="62"/>
  <c r="F64" i="62"/>
  <c r="F18" i="62"/>
  <c r="F23" i="62"/>
  <c r="F90" i="62"/>
  <c r="F48" i="62"/>
  <c r="F71" i="62"/>
  <c r="F94" i="62"/>
  <c r="F11" i="62"/>
  <c r="F56" i="62"/>
  <c r="F46" i="62"/>
  <c r="F27" i="62"/>
  <c r="F85" i="62"/>
  <c r="F26" i="62"/>
  <c r="F31" i="62"/>
  <c r="F99" i="62"/>
  <c r="AB74" i="61"/>
  <c r="AG74" i="61" s="1"/>
  <c r="AL74" i="61"/>
  <c r="AQ74" i="61" s="1"/>
  <c r="A103" i="61"/>
  <c r="B28" i="61"/>
  <c r="B29" i="61" s="1"/>
  <c r="A79" i="61"/>
  <c r="AJ2" i="61"/>
  <c r="AO2" i="61" s="1"/>
  <c r="Z2" i="61"/>
  <c r="AE2" i="61" s="1"/>
  <c r="AE5" i="61" s="1"/>
  <c r="AL2" i="61"/>
  <c r="AQ2" i="61" s="1"/>
  <c r="AB2" i="61"/>
  <c r="AG2" i="61" s="1"/>
  <c r="AL26" i="61"/>
  <c r="AQ26" i="61" s="1"/>
  <c r="AB26" i="61"/>
  <c r="AG26" i="61" s="1"/>
  <c r="Q2" i="61"/>
  <c r="V2" i="61" s="1"/>
  <c r="Z26" i="61"/>
  <c r="AE26" i="61" s="1"/>
  <c r="AJ50" i="61"/>
  <c r="AO50" i="61" s="1"/>
  <c r="Z50" i="61"/>
  <c r="AE50" i="61" s="1"/>
  <c r="B75" i="61"/>
  <c r="B52" i="61"/>
  <c r="B6" i="61"/>
  <c r="Q26" i="61"/>
  <c r="V26" i="61" s="1"/>
  <c r="AC50" i="61"/>
  <c r="AH50" i="61" s="1"/>
  <c r="A55" i="61"/>
  <c r="S2" i="61"/>
  <c r="X2" i="61" s="1"/>
  <c r="A31" i="61"/>
  <c r="Q74" i="61"/>
  <c r="V74" i="61" s="1"/>
  <c r="S26" i="61"/>
  <c r="X26" i="61" s="1"/>
  <c r="AA98" i="61"/>
  <c r="AF98" i="61" s="1"/>
  <c r="AK98" i="61"/>
  <c r="AP98" i="61" s="1"/>
  <c r="Q50" i="61"/>
  <c r="V50" i="61" s="1"/>
  <c r="AM74" i="61"/>
  <c r="AR74" i="61" s="1"/>
  <c r="AC74" i="61"/>
  <c r="AH74" i="61" s="1"/>
  <c r="R50" i="61"/>
  <c r="W50" i="61" s="1"/>
  <c r="P74" i="61"/>
  <c r="U74" i="61" s="1"/>
  <c r="AJ98" i="61"/>
  <c r="AO98" i="61" s="1"/>
  <c r="Z98" i="61"/>
  <c r="AE98" i="61" s="1"/>
  <c r="AM98" i="61"/>
  <c r="AR98" i="61" s="1"/>
  <c r="AC98" i="61"/>
  <c r="AH98" i="61" s="1"/>
  <c r="AB98" i="61"/>
  <c r="AG98" i="61" s="1"/>
  <c r="E75" i="61"/>
  <c r="E4" i="61"/>
  <c r="D3" i="61"/>
  <c r="E5" i="61"/>
  <c r="E3" i="61"/>
  <c r="D75" i="61"/>
  <c r="D5" i="61"/>
  <c r="D4" i="61"/>
  <c r="L21" i="62" l="1"/>
  <c r="J21" i="62" s="1"/>
  <c r="I21" i="62"/>
  <c r="L88" i="62"/>
  <c r="J88" i="62" s="1"/>
  <c r="I66" i="62"/>
  <c r="M66" i="62"/>
  <c r="M72" i="62"/>
  <c r="I72" i="62"/>
  <c r="I59" i="62"/>
  <c r="L59" i="62"/>
  <c r="J59" i="62" s="1"/>
  <c r="M70" i="62"/>
  <c r="L63" i="62"/>
  <c r="J63" i="62" s="1"/>
  <c r="M63" i="62"/>
  <c r="I70" i="62"/>
  <c r="M76" i="62"/>
  <c r="L76" i="62"/>
  <c r="J76" i="62" s="1"/>
  <c r="M88" i="62"/>
  <c r="L53" i="62"/>
  <c r="J53" i="62" s="1"/>
  <c r="I45" i="62"/>
  <c r="I53" i="62"/>
  <c r="M45" i="62"/>
  <c r="M29" i="62"/>
  <c r="L25" i="62"/>
  <c r="J25" i="62" s="1"/>
  <c r="I29" i="62"/>
  <c r="L82" i="62"/>
  <c r="J82" i="62" s="1"/>
  <c r="I78" i="62"/>
  <c r="I25" i="62"/>
  <c r="M78" i="62"/>
  <c r="L61" i="62"/>
  <c r="J61" i="62" s="1"/>
  <c r="I43" i="62"/>
  <c r="M82" i="62"/>
  <c r="M43" i="62"/>
  <c r="I61" i="62"/>
  <c r="I39" i="62"/>
  <c r="M39" i="62"/>
  <c r="Y7" i="62"/>
  <c r="P28" i="62" s="1"/>
  <c r="Q28" i="62" s="1"/>
  <c r="I47" i="62"/>
  <c r="M47" i="62"/>
  <c r="L47" i="62"/>
  <c r="J47" i="62" s="1"/>
  <c r="L77" i="62"/>
  <c r="J77" i="62" s="1"/>
  <c r="I77" i="62"/>
  <c r="M77" i="62"/>
  <c r="M92" i="62"/>
  <c r="L92" i="62"/>
  <c r="J92" i="62" s="1"/>
  <c r="I92" i="62"/>
  <c r="L14" i="62"/>
  <c r="J14" i="62" s="1"/>
  <c r="I14" i="62"/>
  <c r="M14" i="62"/>
  <c r="L35" i="62"/>
  <c r="J35" i="62" s="1"/>
  <c r="I35" i="62"/>
  <c r="M35" i="62"/>
  <c r="L94" i="62"/>
  <c r="J94" i="62" s="1"/>
  <c r="I94" i="62"/>
  <c r="M94" i="62"/>
  <c r="L7" i="62"/>
  <c r="J7" i="62" s="1"/>
  <c r="I7" i="62"/>
  <c r="M7" i="62"/>
  <c r="L48" i="62"/>
  <c r="J48" i="62" s="1"/>
  <c r="I48" i="62"/>
  <c r="M48" i="62"/>
  <c r="L19" i="62"/>
  <c r="J19" i="62" s="1"/>
  <c r="M19" i="62"/>
  <c r="I19" i="62"/>
  <c r="L24" i="62"/>
  <c r="J24" i="62" s="1"/>
  <c r="I24" i="62"/>
  <c r="M24" i="62"/>
  <c r="L28" i="62"/>
  <c r="J28" i="62" s="1"/>
  <c r="I28" i="62"/>
  <c r="M28" i="62"/>
  <c r="M84" i="62"/>
  <c r="L84" i="62"/>
  <c r="J84" i="62" s="1"/>
  <c r="I84" i="62"/>
  <c r="L3" i="62"/>
  <c r="J3" i="62" s="1"/>
  <c r="I3" i="62"/>
  <c r="M3" i="62"/>
  <c r="L20" i="62"/>
  <c r="J20" i="62" s="1"/>
  <c r="I20" i="62"/>
  <c r="M20" i="62"/>
  <c r="L15" i="62"/>
  <c r="J15" i="62" s="1"/>
  <c r="I15" i="62"/>
  <c r="M15" i="62"/>
  <c r="L62" i="62"/>
  <c r="J62" i="62" s="1"/>
  <c r="I62" i="62"/>
  <c r="M62" i="62"/>
  <c r="L17" i="62"/>
  <c r="J17" i="62" s="1"/>
  <c r="M17" i="62"/>
  <c r="I17" i="62"/>
  <c r="L23" i="62"/>
  <c r="J23" i="62" s="1"/>
  <c r="M23" i="62"/>
  <c r="I23" i="62"/>
  <c r="L32" i="62"/>
  <c r="J32" i="62" s="1"/>
  <c r="I32" i="62"/>
  <c r="M32" i="62"/>
  <c r="M51" i="62"/>
  <c r="L51" i="62"/>
  <c r="J51" i="62" s="1"/>
  <c r="I51" i="62"/>
  <c r="M100" i="62"/>
  <c r="L100" i="62"/>
  <c r="J100" i="62" s="1"/>
  <c r="I100" i="62"/>
  <c r="M96" i="62"/>
  <c r="L96" i="62"/>
  <c r="J96" i="62" s="1"/>
  <c r="I96" i="62"/>
  <c r="L89" i="62"/>
  <c r="J89" i="62" s="1"/>
  <c r="I89" i="62"/>
  <c r="M89" i="62"/>
  <c r="L31" i="62"/>
  <c r="J31" i="62" s="1"/>
  <c r="M31" i="62"/>
  <c r="I31" i="62"/>
  <c r="L18" i="62"/>
  <c r="J18" i="62" s="1"/>
  <c r="I18" i="62"/>
  <c r="M18" i="62"/>
  <c r="L81" i="62"/>
  <c r="J81" i="62" s="1"/>
  <c r="I81" i="62"/>
  <c r="M81" i="62"/>
  <c r="L5" i="62"/>
  <c r="J5" i="62" s="1"/>
  <c r="I5" i="62"/>
  <c r="M5" i="62"/>
  <c r="L4" i="62"/>
  <c r="J4" i="62" s="1"/>
  <c r="I4" i="62"/>
  <c r="M4" i="62"/>
  <c r="M98" i="62"/>
  <c r="L98" i="62"/>
  <c r="J98" i="62" s="1"/>
  <c r="I98" i="62"/>
  <c r="L37" i="62"/>
  <c r="J37" i="62" s="1"/>
  <c r="I37" i="62"/>
  <c r="M37" i="62"/>
  <c r="L26" i="62"/>
  <c r="J26" i="62" s="1"/>
  <c r="I26" i="62"/>
  <c r="M26" i="62"/>
  <c r="L64" i="62"/>
  <c r="J64" i="62" s="1"/>
  <c r="I64" i="62"/>
  <c r="M64" i="62"/>
  <c r="L40" i="62"/>
  <c r="J40" i="62" s="1"/>
  <c r="M40" i="62"/>
  <c r="I40" i="62"/>
  <c r="L67" i="62"/>
  <c r="J67" i="62" s="1"/>
  <c r="M67" i="62"/>
  <c r="I67" i="62"/>
  <c r="L73" i="62"/>
  <c r="J73" i="62" s="1"/>
  <c r="M73" i="62"/>
  <c r="I73" i="62"/>
  <c r="L16" i="62"/>
  <c r="J16" i="62" s="1"/>
  <c r="I16" i="62"/>
  <c r="M16" i="62"/>
  <c r="L30" i="62"/>
  <c r="J30" i="62" s="1"/>
  <c r="I30" i="62"/>
  <c r="M30" i="62"/>
  <c r="L2" i="62"/>
  <c r="J2" i="62" s="1"/>
  <c r="M2" i="62"/>
  <c r="I2" i="62"/>
  <c r="L90" i="62"/>
  <c r="J90" i="62" s="1"/>
  <c r="M90" i="62"/>
  <c r="I90" i="62"/>
  <c r="M55" i="62"/>
  <c r="L55" i="62"/>
  <c r="J55" i="62" s="1"/>
  <c r="I55" i="62"/>
  <c r="L68" i="62"/>
  <c r="J68" i="62" s="1"/>
  <c r="I68" i="62"/>
  <c r="M68" i="62"/>
  <c r="L99" i="62"/>
  <c r="J99" i="62" s="1"/>
  <c r="I99" i="62"/>
  <c r="M99" i="62"/>
  <c r="L85" i="62"/>
  <c r="J85" i="62" s="1"/>
  <c r="I85" i="62"/>
  <c r="M85" i="62"/>
  <c r="L65" i="62"/>
  <c r="J65" i="62" s="1"/>
  <c r="M65" i="62"/>
  <c r="I65" i="62"/>
  <c r="L12" i="62"/>
  <c r="J12" i="62" s="1"/>
  <c r="M12" i="62"/>
  <c r="I12" i="62"/>
  <c r="L95" i="62"/>
  <c r="J95" i="62" s="1"/>
  <c r="M95" i="62"/>
  <c r="I95" i="62"/>
  <c r="L13" i="62"/>
  <c r="J13" i="62" s="1"/>
  <c r="M13" i="62"/>
  <c r="I13" i="62"/>
  <c r="M93" i="62"/>
  <c r="L93" i="62"/>
  <c r="J93" i="62" s="1"/>
  <c r="I93" i="62"/>
  <c r="M79" i="62"/>
  <c r="I79" i="62"/>
  <c r="L79" i="62"/>
  <c r="J79" i="62" s="1"/>
  <c r="L27" i="62"/>
  <c r="J27" i="62" s="1"/>
  <c r="M27" i="62"/>
  <c r="I27" i="62"/>
  <c r="M42" i="62"/>
  <c r="L42" i="62"/>
  <c r="J42" i="62" s="1"/>
  <c r="I42" i="62"/>
  <c r="L9" i="62"/>
  <c r="J9" i="62" s="1"/>
  <c r="I9" i="62"/>
  <c r="M9" i="62"/>
  <c r="L36" i="62"/>
  <c r="J36" i="62" s="1"/>
  <c r="M36" i="62"/>
  <c r="I36" i="62"/>
  <c r="L80" i="62"/>
  <c r="J80" i="62" s="1"/>
  <c r="M80" i="62"/>
  <c r="I80" i="62"/>
  <c r="L60" i="62"/>
  <c r="J60" i="62" s="1"/>
  <c r="M60" i="62"/>
  <c r="I60" i="62"/>
  <c r="L69" i="62"/>
  <c r="J69" i="62" s="1"/>
  <c r="M69" i="62"/>
  <c r="I69" i="62"/>
  <c r="I46" i="62"/>
  <c r="M46" i="62"/>
  <c r="L46" i="62"/>
  <c r="J46" i="62" s="1"/>
  <c r="L33" i="62"/>
  <c r="J33" i="62" s="1"/>
  <c r="I33" i="62"/>
  <c r="M33" i="62"/>
  <c r="L8" i="62"/>
  <c r="J8" i="62" s="1"/>
  <c r="I8" i="62"/>
  <c r="M8" i="62"/>
  <c r="L6" i="62"/>
  <c r="J6" i="62" s="1"/>
  <c r="M6" i="62"/>
  <c r="I6" i="62"/>
  <c r="L34" i="62"/>
  <c r="J34" i="62" s="1"/>
  <c r="I34" i="62"/>
  <c r="M34" i="62"/>
  <c r="L97" i="62"/>
  <c r="J97" i="62" s="1"/>
  <c r="M97" i="62"/>
  <c r="I97" i="62"/>
  <c r="M54" i="62"/>
  <c r="L54" i="62"/>
  <c r="J54" i="62" s="1"/>
  <c r="I54" i="62"/>
  <c r="M56" i="62"/>
  <c r="I56" i="62"/>
  <c r="L56" i="62"/>
  <c r="J56" i="62" s="1"/>
  <c r="L41" i="62"/>
  <c r="J41" i="62" s="1"/>
  <c r="I41" i="62"/>
  <c r="M41" i="62"/>
  <c r="M75" i="62"/>
  <c r="I75" i="62"/>
  <c r="L75" i="62"/>
  <c r="J75" i="62" s="1"/>
  <c r="L11" i="62"/>
  <c r="J11" i="62" s="1"/>
  <c r="M11" i="62"/>
  <c r="I11" i="62"/>
  <c r="M44" i="62"/>
  <c r="L44" i="62"/>
  <c r="J44" i="62" s="1"/>
  <c r="I44" i="62"/>
  <c r="L83" i="62"/>
  <c r="J83" i="62" s="1"/>
  <c r="I83" i="62"/>
  <c r="M83" i="62"/>
  <c r="I52" i="62"/>
  <c r="L52" i="62"/>
  <c r="J52" i="62" s="1"/>
  <c r="M52" i="62"/>
  <c r="M57" i="62"/>
  <c r="L57" i="62"/>
  <c r="J57" i="62" s="1"/>
  <c r="I57" i="62"/>
  <c r="L38" i="62"/>
  <c r="J38" i="62" s="1"/>
  <c r="M38" i="62"/>
  <c r="I38" i="62"/>
  <c r="L74" i="62"/>
  <c r="J74" i="62" s="1"/>
  <c r="M74" i="62"/>
  <c r="I74" i="62"/>
  <c r="M49" i="62"/>
  <c r="L49" i="62"/>
  <c r="J49" i="62" s="1"/>
  <c r="I49" i="62"/>
  <c r="L22" i="62"/>
  <c r="J22" i="62" s="1"/>
  <c r="I22" i="62"/>
  <c r="M22" i="62"/>
  <c r="M71" i="62"/>
  <c r="I71" i="62"/>
  <c r="L71" i="62"/>
  <c r="J71" i="62" s="1"/>
  <c r="L87" i="62"/>
  <c r="J87" i="62" s="1"/>
  <c r="M87" i="62"/>
  <c r="I87" i="62"/>
  <c r="L10" i="62"/>
  <c r="J10" i="62" s="1"/>
  <c r="M10" i="62"/>
  <c r="I10" i="62"/>
  <c r="M86" i="62"/>
  <c r="I86" i="62"/>
  <c r="L86" i="62"/>
  <c r="J86" i="62" s="1"/>
  <c r="M91" i="62"/>
  <c r="L91" i="62"/>
  <c r="J91" i="62" s="1"/>
  <c r="I91" i="62"/>
  <c r="M58" i="62"/>
  <c r="L58" i="62"/>
  <c r="J58" i="62" s="1"/>
  <c r="I58" i="62"/>
  <c r="M50" i="62"/>
  <c r="L50" i="62"/>
  <c r="J50" i="62" s="1"/>
  <c r="I50" i="62"/>
  <c r="AE27" i="61"/>
  <c r="AE28" i="61"/>
  <c r="AE51" i="61"/>
  <c r="C75" i="61"/>
  <c r="C4" i="61"/>
  <c r="C5" i="61"/>
  <c r="C3" i="61"/>
  <c r="AL50" i="61"/>
  <c r="AQ50" i="61" s="1"/>
  <c r="AB50" i="61"/>
  <c r="AG50" i="61" s="1"/>
  <c r="AG4" i="61"/>
  <c r="AG3" i="61"/>
  <c r="AG51" i="61"/>
  <c r="AG28" i="61"/>
  <c r="AG27" i="61"/>
  <c r="AG5" i="61"/>
  <c r="AJ74" i="61"/>
  <c r="AO74" i="61" s="1"/>
  <c r="Z74" i="61"/>
  <c r="AE74" i="61" s="1"/>
  <c r="AK50" i="61"/>
  <c r="AP50" i="61" s="1"/>
  <c r="AA50" i="61"/>
  <c r="AF50" i="61" s="1"/>
  <c r="B30" i="61"/>
  <c r="AG29" i="61"/>
  <c r="AE29" i="61"/>
  <c r="B53" i="61"/>
  <c r="AG52" i="61"/>
  <c r="AE52" i="61"/>
  <c r="AK74" i="61"/>
  <c r="AP74" i="61" s="1"/>
  <c r="AA74" i="61"/>
  <c r="AF74" i="61" s="1"/>
  <c r="AG6" i="61"/>
  <c r="AE6" i="61"/>
  <c r="B7" i="61"/>
  <c r="AM26" i="61"/>
  <c r="AR26" i="61" s="1"/>
  <c r="AC26" i="61"/>
  <c r="AH26" i="61" s="1"/>
  <c r="AK2" i="61"/>
  <c r="AP2" i="61" s="1"/>
  <c r="AA2" i="61"/>
  <c r="AF2" i="61" s="1"/>
  <c r="AF75" i="61" s="1"/>
  <c r="AE4" i="61"/>
  <c r="AE3" i="61"/>
  <c r="AM2" i="61"/>
  <c r="AR2" i="61" s="1"/>
  <c r="AC2" i="61"/>
  <c r="AH2" i="61" s="1"/>
  <c r="AH52" i="61" s="1"/>
  <c r="AK26" i="61"/>
  <c r="AP26" i="61" s="1"/>
  <c r="AA26" i="61"/>
  <c r="AF26" i="61" s="1"/>
  <c r="B99" i="61"/>
  <c r="AE75" i="61"/>
  <c r="B76" i="61"/>
  <c r="AG75" i="61"/>
  <c r="E51" i="61"/>
  <c r="E27" i="61"/>
  <c r="E30" i="61"/>
  <c r="D6" i="61"/>
  <c r="E52" i="61"/>
  <c r="E29" i="61"/>
  <c r="D53" i="61"/>
  <c r="E28" i="61"/>
  <c r="E6" i="61"/>
  <c r="E53" i="61"/>
  <c r="D52" i="61"/>
  <c r="D29" i="61"/>
  <c r="D51" i="61"/>
  <c r="D28" i="61"/>
  <c r="D27" i="61"/>
  <c r="AH75" i="61" l="1"/>
  <c r="AH29" i="61"/>
  <c r="P48" i="62"/>
  <c r="Q48" i="62" s="1"/>
  <c r="R48" i="62" s="1"/>
  <c r="S48" i="62" s="1"/>
  <c r="P23" i="62"/>
  <c r="Q23" i="62" s="1"/>
  <c r="T23" i="62" s="1"/>
  <c r="P72" i="62"/>
  <c r="Q72" i="62" s="1"/>
  <c r="T72" i="62" s="1"/>
  <c r="P18" i="62"/>
  <c r="Q18" i="62" s="1"/>
  <c r="R18" i="62" s="1"/>
  <c r="S18" i="62" s="1"/>
  <c r="P21" i="62"/>
  <c r="Q21" i="62" s="1"/>
  <c r="R21" i="62" s="1"/>
  <c r="S21" i="62" s="1"/>
  <c r="P76" i="62"/>
  <c r="Q76" i="62" s="1"/>
  <c r="R76" i="62" s="1"/>
  <c r="S76" i="62" s="1"/>
  <c r="P25" i="62"/>
  <c r="Q25" i="62" s="1"/>
  <c r="R25" i="62" s="1"/>
  <c r="S25" i="62" s="1"/>
  <c r="P98" i="62"/>
  <c r="Q98" i="62" s="1"/>
  <c r="T98" i="62" s="1"/>
  <c r="P96" i="62"/>
  <c r="Q96" i="62" s="1"/>
  <c r="T96" i="62" s="1"/>
  <c r="P39" i="62"/>
  <c r="Q39" i="62" s="1"/>
  <c r="R39" i="62" s="1"/>
  <c r="S39" i="62" s="1"/>
  <c r="P29" i="62"/>
  <c r="Q29" i="62" s="1"/>
  <c r="R29" i="62" s="1"/>
  <c r="S29" i="62" s="1"/>
  <c r="P30" i="62"/>
  <c r="Q30" i="62" s="1"/>
  <c r="T30" i="62" s="1"/>
  <c r="P33" i="62"/>
  <c r="Q33" i="62" s="1"/>
  <c r="T33" i="62" s="1"/>
  <c r="P12" i="62"/>
  <c r="Q12" i="62" s="1"/>
  <c r="T12" i="62" s="1"/>
  <c r="P75" i="62"/>
  <c r="Q75" i="62" s="1"/>
  <c r="T75" i="62" s="1"/>
  <c r="P91" i="62"/>
  <c r="Q91" i="62" s="1"/>
  <c r="T91" i="62" s="1"/>
  <c r="P41" i="62"/>
  <c r="Q41" i="62" s="1"/>
  <c r="T41" i="62" s="1"/>
  <c r="P100" i="62"/>
  <c r="Q100" i="62" s="1"/>
  <c r="T100" i="62" s="1"/>
  <c r="P63" i="62"/>
  <c r="Q63" i="62" s="1"/>
  <c r="T63" i="62" s="1"/>
  <c r="P51" i="62"/>
  <c r="Q51" i="62" s="1"/>
  <c r="R51" i="62" s="1"/>
  <c r="S51" i="62" s="1"/>
  <c r="P10" i="62"/>
  <c r="Q10" i="62" s="1"/>
  <c r="R10" i="62" s="1"/>
  <c r="S10" i="62" s="1"/>
  <c r="P67" i="62"/>
  <c r="Q67" i="62" s="1"/>
  <c r="T67" i="62" s="1"/>
  <c r="P7" i="62"/>
  <c r="Q7" i="62" s="1"/>
  <c r="T7" i="62" s="1"/>
  <c r="P38" i="62"/>
  <c r="Q38" i="62" s="1"/>
  <c r="T38" i="62" s="1"/>
  <c r="P80" i="62"/>
  <c r="Q80" i="62" s="1"/>
  <c r="R80" i="62" s="1"/>
  <c r="S80" i="62" s="1"/>
  <c r="P19" i="62"/>
  <c r="Q19" i="62" s="1"/>
  <c r="R19" i="62" s="1"/>
  <c r="S19" i="62" s="1"/>
  <c r="P71" i="62"/>
  <c r="Q71" i="62" s="1"/>
  <c r="R71" i="62" s="1"/>
  <c r="S71" i="62" s="1"/>
  <c r="P65" i="62"/>
  <c r="Q65" i="62" s="1"/>
  <c r="R65" i="62" s="1"/>
  <c r="S65" i="62" s="1"/>
  <c r="P14" i="62"/>
  <c r="Q14" i="62" s="1"/>
  <c r="T14" i="62" s="1"/>
  <c r="P40" i="62"/>
  <c r="Q40" i="62" s="1"/>
  <c r="R40" i="62" s="1"/>
  <c r="S40" i="62" s="1"/>
  <c r="P69" i="62"/>
  <c r="Q69" i="62" s="1"/>
  <c r="R69" i="62" s="1"/>
  <c r="S69" i="62" s="1"/>
  <c r="P99" i="62"/>
  <c r="Q99" i="62" s="1"/>
  <c r="T99" i="62" s="1"/>
  <c r="P47" i="62"/>
  <c r="Q47" i="62" s="1"/>
  <c r="R47" i="62" s="1"/>
  <c r="S47" i="62" s="1"/>
  <c r="P86" i="62"/>
  <c r="Q86" i="62" s="1"/>
  <c r="R86" i="62" s="1"/>
  <c r="S86" i="62" s="1"/>
  <c r="P89" i="62"/>
  <c r="Q89" i="62" s="1"/>
  <c r="T89" i="62" s="1"/>
  <c r="P20" i="62"/>
  <c r="Q20" i="62" s="1"/>
  <c r="T20" i="62" s="1"/>
  <c r="P66" i="62"/>
  <c r="Q66" i="62" s="1"/>
  <c r="T66" i="62" s="1"/>
  <c r="P56" i="62"/>
  <c r="Q56" i="62" s="1"/>
  <c r="T56" i="62" s="1"/>
  <c r="P5" i="62"/>
  <c r="Q5" i="62" s="1"/>
  <c r="R5" i="62" s="1"/>
  <c r="S5" i="62" s="1"/>
  <c r="P24" i="62"/>
  <c r="Q24" i="62" s="1"/>
  <c r="T24" i="62" s="1"/>
  <c r="P95" i="62"/>
  <c r="Q95" i="62" s="1"/>
  <c r="T95" i="62" s="1"/>
  <c r="P31" i="62"/>
  <c r="Q31" i="62" s="1"/>
  <c r="T31" i="62" s="1"/>
  <c r="P16" i="62"/>
  <c r="Q16" i="62" s="1"/>
  <c r="T16" i="62" s="1"/>
  <c r="P54" i="62"/>
  <c r="Q54" i="62" s="1"/>
  <c r="R54" i="62" s="1"/>
  <c r="S54" i="62" s="1"/>
  <c r="P83" i="62"/>
  <c r="Q83" i="62" s="1"/>
  <c r="T83" i="62" s="1"/>
  <c r="P44" i="62"/>
  <c r="Q44" i="62" s="1"/>
  <c r="T44" i="62" s="1"/>
  <c r="P58" i="62"/>
  <c r="Q58" i="62" s="1"/>
  <c r="T58" i="62" s="1"/>
  <c r="P35" i="62"/>
  <c r="Q35" i="62" s="1"/>
  <c r="R35" i="62" s="1"/>
  <c r="S35" i="62" s="1"/>
  <c r="P93" i="62"/>
  <c r="Q93" i="62" s="1"/>
  <c r="R93" i="62" s="1"/>
  <c r="S93" i="62" s="1"/>
  <c r="P97" i="62"/>
  <c r="Q97" i="62" s="1"/>
  <c r="T97" i="62" s="1"/>
  <c r="P46" i="62"/>
  <c r="Q46" i="62" s="1"/>
  <c r="R46" i="62" s="1"/>
  <c r="S46" i="62" s="1"/>
  <c r="P43" i="62"/>
  <c r="Q43" i="62" s="1"/>
  <c r="R43" i="62" s="1"/>
  <c r="S43" i="62" s="1"/>
  <c r="P60" i="62"/>
  <c r="Q60" i="62" s="1"/>
  <c r="T60" i="62" s="1"/>
  <c r="P82" i="62"/>
  <c r="Q82" i="62" s="1"/>
  <c r="R82" i="62" s="1"/>
  <c r="S82" i="62" s="1"/>
  <c r="P27" i="62"/>
  <c r="Q27" i="62" s="1"/>
  <c r="T27" i="62" s="1"/>
  <c r="P59" i="62"/>
  <c r="Q59" i="62" s="1"/>
  <c r="T59" i="62" s="1"/>
  <c r="P62" i="62"/>
  <c r="Q62" i="62" s="1"/>
  <c r="T62" i="62" s="1"/>
  <c r="P13" i="62"/>
  <c r="Q13" i="62" s="1"/>
  <c r="T13" i="62" s="1"/>
  <c r="P17" i="62"/>
  <c r="Q17" i="62" s="1"/>
  <c r="R17" i="62" s="1"/>
  <c r="S17" i="62" s="1"/>
  <c r="P79" i="62"/>
  <c r="Q79" i="62" s="1"/>
  <c r="T79" i="62" s="1"/>
  <c r="P53" i="62"/>
  <c r="Q53" i="62" s="1"/>
  <c r="T53" i="62" s="1"/>
  <c r="P84" i="62"/>
  <c r="Q84" i="62" s="1"/>
  <c r="T84" i="62" s="1"/>
  <c r="P73" i="62"/>
  <c r="Q73" i="62" s="1"/>
  <c r="R73" i="62" s="1"/>
  <c r="S73" i="62" s="1"/>
  <c r="P92" i="62"/>
  <c r="Q92" i="62" s="1"/>
  <c r="T92" i="62" s="1"/>
  <c r="P34" i="62"/>
  <c r="Q34" i="62" s="1"/>
  <c r="T34" i="62" s="1"/>
  <c r="P74" i="62"/>
  <c r="Q74" i="62" s="1"/>
  <c r="T74" i="62" s="1"/>
  <c r="P57" i="62"/>
  <c r="Q57" i="62" s="1"/>
  <c r="T57" i="62" s="1"/>
  <c r="P78" i="62"/>
  <c r="Q78" i="62" s="1"/>
  <c r="T78" i="62" s="1"/>
  <c r="P68" i="62"/>
  <c r="Q68" i="62" s="1"/>
  <c r="T68" i="62" s="1"/>
  <c r="P77" i="62"/>
  <c r="Q77" i="62" s="1"/>
  <c r="T77" i="62" s="1"/>
  <c r="P37" i="62"/>
  <c r="Q37" i="62" s="1"/>
  <c r="T37" i="62" s="1"/>
  <c r="P32" i="62"/>
  <c r="Q32" i="62" s="1"/>
  <c r="T32" i="62" s="1"/>
  <c r="P36" i="62"/>
  <c r="Q36" i="62" s="1"/>
  <c r="R36" i="62" s="1"/>
  <c r="S36" i="62" s="1"/>
  <c r="P42" i="62"/>
  <c r="Q42" i="62" s="1"/>
  <c r="T42" i="62" s="1"/>
  <c r="P45" i="62"/>
  <c r="Q45" i="62" s="1"/>
  <c r="R45" i="62" s="1"/>
  <c r="S45" i="62" s="1"/>
  <c r="P85" i="62"/>
  <c r="Q85" i="62" s="1"/>
  <c r="T85" i="62" s="1"/>
  <c r="P87" i="62"/>
  <c r="Q87" i="62" s="1"/>
  <c r="R87" i="62" s="1"/>
  <c r="S87" i="62" s="1"/>
  <c r="P55" i="62"/>
  <c r="Q55" i="62" s="1"/>
  <c r="R55" i="62" s="1"/>
  <c r="S55" i="62" s="1"/>
  <c r="P49" i="62"/>
  <c r="Q49" i="62" s="1"/>
  <c r="R49" i="62" s="1"/>
  <c r="S49" i="62" s="1"/>
  <c r="P50" i="62"/>
  <c r="Q50" i="62" s="1"/>
  <c r="R50" i="62" s="1"/>
  <c r="S50" i="62" s="1"/>
  <c r="P9" i="62"/>
  <c r="Q9" i="62" s="1"/>
  <c r="R9" i="62" s="1"/>
  <c r="S9" i="62" s="1"/>
  <c r="P15" i="62"/>
  <c r="Q15" i="62" s="1"/>
  <c r="R15" i="62" s="1"/>
  <c r="S15" i="62" s="1"/>
  <c r="P81" i="62"/>
  <c r="Q81" i="62" s="1"/>
  <c r="R81" i="62" s="1"/>
  <c r="S81" i="62" s="1"/>
  <c r="P8" i="62"/>
  <c r="Q8" i="62" s="1"/>
  <c r="T8" i="62" s="1"/>
  <c r="P90" i="62"/>
  <c r="Q90" i="62" s="1"/>
  <c r="T90" i="62" s="1"/>
  <c r="P6" i="62"/>
  <c r="Q6" i="62" s="1"/>
  <c r="R6" i="62" s="1"/>
  <c r="S6" i="62" s="1"/>
  <c r="P2" i="62"/>
  <c r="Q2" i="62" s="1"/>
  <c r="T2" i="62" s="1"/>
  <c r="P88" i="62"/>
  <c r="Q88" i="62" s="1"/>
  <c r="T88" i="62" s="1"/>
  <c r="P4" i="62"/>
  <c r="Q4" i="62" s="1"/>
  <c r="T4" i="62" s="1"/>
  <c r="P70" i="62"/>
  <c r="Q70" i="62" s="1"/>
  <c r="T70" i="62" s="1"/>
  <c r="P64" i="62"/>
  <c r="Q64" i="62" s="1"/>
  <c r="T64" i="62" s="1"/>
  <c r="P52" i="62"/>
  <c r="Q52" i="62" s="1"/>
  <c r="T52" i="62" s="1"/>
  <c r="P22" i="62"/>
  <c r="Q22" i="62" s="1"/>
  <c r="R22" i="62" s="1"/>
  <c r="S22" i="62" s="1"/>
  <c r="P26" i="62"/>
  <c r="Q26" i="62" s="1"/>
  <c r="R26" i="62" s="1"/>
  <c r="S26" i="62" s="1"/>
  <c r="P3" i="62"/>
  <c r="Q3" i="62" s="1"/>
  <c r="T3" i="62" s="1"/>
  <c r="P11" i="62"/>
  <c r="Q11" i="62" s="1"/>
  <c r="T11" i="62" s="1"/>
  <c r="P94" i="62"/>
  <c r="Q94" i="62" s="1"/>
  <c r="T94" i="62" s="1"/>
  <c r="P61" i="62"/>
  <c r="Q61" i="62" s="1"/>
  <c r="T61" i="62" s="1"/>
  <c r="T28" i="62"/>
  <c r="R28" i="62"/>
  <c r="S28" i="62" s="1"/>
  <c r="AH6" i="61"/>
  <c r="C53" i="61"/>
  <c r="C51" i="61"/>
  <c r="C52" i="61"/>
  <c r="C28" i="61"/>
  <c r="C27" i="61"/>
  <c r="C29" i="61"/>
  <c r="C6" i="61"/>
  <c r="B77" i="61"/>
  <c r="AH76" i="61"/>
  <c r="AG76" i="61"/>
  <c r="AF76" i="61"/>
  <c r="AE76" i="61"/>
  <c r="B8" i="61"/>
  <c r="AH7" i="61"/>
  <c r="AG7" i="61"/>
  <c r="AF7" i="61"/>
  <c r="AE7" i="61"/>
  <c r="AG99" i="61"/>
  <c r="AF99" i="61"/>
  <c r="AH99" i="61"/>
  <c r="AE99" i="61"/>
  <c r="B100" i="61"/>
  <c r="AF53" i="61"/>
  <c r="AE53" i="61"/>
  <c r="B54" i="61"/>
  <c r="AH53" i="61"/>
  <c r="AG53" i="61"/>
  <c r="AF27" i="61"/>
  <c r="AF4" i="61"/>
  <c r="AF3" i="61"/>
  <c r="AF51" i="61"/>
  <c r="AF5" i="61"/>
  <c r="AF28" i="61"/>
  <c r="AF30" i="61"/>
  <c r="AE30" i="61"/>
  <c r="B31" i="61"/>
  <c r="AH30" i="61"/>
  <c r="AG30" i="61"/>
  <c r="AF6" i="61"/>
  <c r="AF52" i="61"/>
  <c r="AH4" i="61"/>
  <c r="AH3" i="61"/>
  <c r="AH28" i="61"/>
  <c r="AH5" i="61"/>
  <c r="AH51" i="61"/>
  <c r="AH27" i="61"/>
  <c r="AF29" i="61"/>
  <c r="H3" i="61"/>
  <c r="F5" i="61"/>
  <c r="G75" i="61"/>
  <c r="F4" i="61"/>
  <c r="D7" i="61"/>
  <c r="D76" i="61"/>
  <c r="E99" i="61"/>
  <c r="G4" i="61"/>
  <c r="D99" i="61"/>
  <c r="G3" i="61"/>
  <c r="I3" i="61"/>
  <c r="D30" i="61"/>
  <c r="H5" i="61"/>
  <c r="G5" i="61"/>
  <c r="E7" i="61"/>
  <c r="I5" i="61"/>
  <c r="F3" i="61"/>
  <c r="H4" i="61"/>
  <c r="E76" i="61"/>
  <c r="I75" i="61"/>
  <c r="I4" i="61"/>
  <c r="F75" i="61"/>
  <c r="H75" i="61"/>
  <c r="R16" i="62" l="1"/>
  <c r="S16" i="62" s="1"/>
  <c r="T54" i="62"/>
  <c r="R98" i="62"/>
  <c r="S98" i="62" s="1"/>
  <c r="R63" i="62"/>
  <c r="S63" i="62" s="1"/>
  <c r="T51" i="62"/>
  <c r="T48" i="62"/>
  <c r="T69" i="62"/>
  <c r="T93" i="62"/>
  <c r="T80" i="62"/>
  <c r="T25" i="62"/>
  <c r="R94" i="62"/>
  <c r="S94" i="62" s="1"/>
  <c r="R57" i="62"/>
  <c r="S57" i="62" s="1"/>
  <c r="R64" i="62"/>
  <c r="S64" i="62" s="1"/>
  <c r="R66" i="62"/>
  <c r="S66" i="62" s="1"/>
  <c r="T49" i="62"/>
  <c r="T73" i="62"/>
  <c r="R92" i="62"/>
  <c r="S92" i="62" s="1"/>
  <c r="R75" i="62"/>
  <c r="S75" i="62" s="1"/>
  <c r="T45" i="62"/>
  <c r="T71" i="62"/>
  <c r="R27" i="62"/>
  <c r="S27" i="62" s="1"/>
  <c r="R72" i="62"/>
  <c r="S72" i="62" s="1"/>
  <c r="R91" i="62"/>
  <c r="S91" i="62" s="1"/>
  <c r="R100" i="62"/>
  <c r="S100" i="62" s="1"/>
  <c r="T40" i="62"/>
  <c r="T82" i="62"/>
  <c r="R31" i="62"/>
  <c r="S31" i="62" s="1"/>
  <c r="T76" i="62"/>
  <c r="T55" i="62"/>
  <c r="R74" i="62"/>
  <c r="S74" i="62" s="1"/>
  <c r="T50" i="62"/>
  <c r="R78" i="62"/>
  <c r="S78" i="62" s="1"/>
  <c r="R34" i="62"/>
  <c r="S34" i="62" s="1"/>
  <c r="R70" i="62"/>
  <c r="S70" i="62" s="1"/>
  <c r="R44" i="62"/>
  <c r="S44" i="62" s="1"/>
  <c r="T10" i="62"/>
  <c r="R30" i="62"/>
  <c r="S30" i="62" s="1"/>
  <c r="R20" i="62"/>
  <c r="S20" i="62" s="1"/>
  <c r="T18" i="62"/>
  <c r="R52" i="62"/>
  <c r="S52" i="62" s="1"/>
  <c r="T47" i="62"/>
  <c r="R13" i="62"/>
  <c r="S13" i="62" s="1"/>
  <c r="R59" i="62"/>
  <c r="S59" i="62" s="1"/>
  <c r="T22" i="62"/>
  <c r="R83" i="62"/>
  <c r="S83" i="62" s="1"/>
  <c r="R77" i="62"/>
  <c r="S77" i="62" s="1"/>
  <c r="R99" i="62"/>
  <c r="S99" i="62" s="1"/>
  <c r="R67" i="62"/>
  <c r="S67" i="62" s="1"/>
  <c r="R7" i="62"/>
  <c r="S7" i="62" s="1"/>
  <c r="T39" i="62"/>
  <c r="T29" i="62"/>
  <c r="R96" i="62"/>
  <c r="S96" i="62" s="1"/>
  <c r="R58" i="62"/>
  <c r="S58" i="62" s="1"/>
  <c r="T86" i="62"/>
  <c r="R62" i="62"/>
  <c r="S62" i="62" s="1"/>
  <c r="R3" i="62"/>
  <c r="S3" i="62" s="1"/>
  <c r="R23" i="62"/>
  <c r="S23" i="62" s="1"/>
  <c r="T81" i="62"/>
  <c r="R37" i="62"/>
  <c r="S37" i="62" s="1"/>
  <c r="T19" i="62"/>
  <c r="R97" i="62"/>
  <c r="S97" i="62" s="1"/>
  <c r="T17" i="62"/>
  <c r="R89" i="62"/>
  <c r="S89" i="62" s="1"/>
  <c r="R42" i="62"/>
  <c r="S42" i="62" s="1"/>
  <c r="R41" i="62"/>
  <c r="S41" i="62" s="1"/>
  <c r="T87" i="62"/>
  <c r="T21" i="62"/>
  <c r="R90" i="62"/>
  <c r="S90" i="62" s="1"/>
  <c r="R4" i="62"/>
  <c r="S4" i="62" s="1"/>
  <c r="T36" i="62"/>
  <c r="R84" i="62"/>
  <c r="S84" i="62" s="1"/>
  <c r="R95" i="62"/>
  <c r="S95" i="62" s="1"/>
  <c r="R33" i="62"/>
  <c r="S33" i="62" s="1"/>
  <c r="R14" i="62"/>
  <c r="S14" i="62" s="1"/>
  <c r="R85" i="62"/>
  <c r="S85" i="62" s="1"/>
  <c r="R53" i="62"/>
  <c r="S53" i="62" s="1"/>
  <c r="T65" i="62"/>
  <c r="R8" i="62"/>
  <c r="S8" i="62" s="1"/>
  <c r="T43" i="62"/>
  <c r="R38" i="62"/>
  <c r="S38" i="62" s="1"/>
  <c r="R32" i="62"/>
  <c r="S32" i="62" s="1"/>
  <c r="R79" i="62"/>
  <c r="S79" i="62" s="1"/>
  <c r="T46" i="62"/>
  <c r="T35" i="62"/>
  <c r="R2" i="62"/>
  <c r="S2" i="62" s="1"/>
  <c r="R24" i="62"/>
  <c r="S24" i="62" s="1"/>
  <c r="R60" i="62"/>
  <c r="S60" i="62" s="1"/>
  <c r="T5" i="62"/>
  <c r="R12" i="62"/>
  <c r="S12" i="62" s="1"/>
  <c r="T6" i="62"/>
  <c r="R56" i="62"/>
  <c r="S56" i="62" s="1"/>
  <c r="R11" i="62"/>
  <c r="S11" i="62" s="1"/>
  <c r="T26" i="62"/>
  <c r="R61" i="62"/>
  <c r="S61" i="62" s="1"/>
  <c r="R68" i="62"/>
  <c r="S68" i="62" s="1"/>
  <c r="T9" i="62"/>
  <c r="T15" i="62"/>
  <c r="R88" i="62"/>
  <c r="S88" i="62" s="1"/>
  <c r="X4" i="61"/>
  <c r="AM4" i="61"/>
  <c r="N4" i="61"/>
  <c r="S4" i="61" s="1"/>
  <c r="AC4" i="61" s="1"/>
  <c r="AJ75" i="61"/>
  <c r="K75" i="61"/>
  <c r="P75" i="61" s="1"/>
  <c r="Z75" i="61" s="1"/>
  <c r="U75" i="61"/>
  <c r="X3" i="61"/>
  <c r="AM3" i="61"/>
  <c r="N3" i="61"/>
  <c r="S3" i="61" s="1"/>
  <c r="AC3" i="61" s="1"/>
  <c r="C7" i="61"/>
  <c r="AM5" i="61"/>
  <c r="N5" i="61"/>
  <c r="S5" i="61" s="1"/>
  <c r="AC5" i="61" s="1"/>
  <c r="X5" i="61"/>
  <c r="AK75" i="61"/>
  <c r="L75" i="61"/>
  <c r="Q75" i="61" s="1"/>
  <c r="AA75" i="61" s="1"/>
  <c r="V75" i="61"/>
  <c r="AJ3" i="61"/>
  <c r="U3" i="61"/>
  <c r="K3" i="61"/>
  <c r="P3" i="61" s="1"/>
  <c r="Z3" i="61" s="1"/>
  <c r="AK3" i="61"/>
  <c r="V3" i="61"/>
  <c r="L3" i="61"/>
  <c r="Q3" i="61" s="1"/>
  <c r="AA3" i="61" s="1"/>
  <c r="W4" i="61"/>
  <c r="AL4" i="61"/>
  <c r="M4" i="61"/>
  <c r="R4" i="61" s="1"/>
  <c r="AB4" i="61" s="1"/>
  <c r="K4" i="61"/>
  <c r="P4" i="61" s="1"/>
  <c r="Z4" i="61" s="1"/>
  <c r="U4" i="61"/>
  <c r="AJ4" i="61"/>
  <c r="AK5" i="61"/>
  <c r="V5" i="61"/>
  <c r="L5" i="61"/>
  <c r="Q5" i="61" s="1"/>
  <c r="AA5" i="61" s="1"/>
  <c r="AM75" i="61"/>
  <c r="N75" i="61"/>
  <c r="S75" i="61" s="1"/>
  <c r="AC75" i="61" s="1"/>
  <c r="X75" i="61"/>
  <c r="K5" i="61"/>
  <c r="P5" i="61" s="1"/>
  <c r="Z5" i="61" s="1"/>
  <c r="AJ5" i="61"/>
  <c r="U5" i="61"/>
  <c r="AL3" i="61"/>
  <c r="W3" i="61"/>
  <c r="M3" i="61"/>
  <c r="R3" i="61" s="1"/>
  <c r="AB3" i="61" s="1"/>
  <c r="AL75" i="61"/>
  <c r="M75" i="61"/>
  <c r="R75" i="61" s="1"/>
  <c r="AB75" i="61" s="1"/>
  <c r="W75" i="61"/>
  <c r="C30" i="61"/>
  <c r="V4" i="61"/>
  <c r="AK4" i="61"/>
  <c r="L4" i="61"/>
  <c r="Q4" i="61" s="1"/>
  <c r="AA4" i="61" s="1"/>
  <c r="AL5" i="61"/>
  <c r="W5" i="61"/>
  <c r="M5" i="61"/>
  <c r="R5" i="61" s="1"/>
  <c r="AB5" i="61" s="1"/>
  <c r="C99" i="61"/>
  <c r="C76" i="61"/>
  <c r="AH54" i="61"/>
  <c r="AG54" i="61"/>
  <c r="AF54" i="61"/>
  <c r="AE54" i="61"/>
  <c r="B55" i="61"/>
  <c r="B32" i="61"/>
  <c r="AH31" i="61"/>
  <c r="AG31" i="61"/>
  <c r="AF31" i="61"/>
  <c r="AE31" i="61"/>
  <c r="AH100" i="61"/>
  <c r="AG100" i="61"/>
  <c r="AF100" i="61"/>
  <c r="B101" i="61"/>
  <c r="AE100" i="61"/>
  <c r="AE77" i="61"/>
  <c r="B78" i="61"/>
  <c r="AH77" i="61"/>
  <c r="AG77" i="61"/>
  <c r="AF77" i="61"/>
  <c r="AF8" i="61"/>
  <c r="AE8" i="61"/>
  <c r="AG8" i="61"/>
  <c r="B9" i="61"/>
  <c r="AH8" i="61"/>
  <c r="F6" i="61"/>
  <c r="G51" i="61"/>
  <c r="E54" i="61"/>
  <c r="D100" i="61"/>
  <c r="G53" i="61"/>
  <c r="F27" i="61"/>
  <c r="F28" i="61"/>
  <c r="E8" i="61"/>
  <c r="F53" i="61"/>
  <c r="E100" i="61"/>
  <c r="H29" i="61"/>
  <c r="I52" i="61"/>
  <c r="H52" i="61"/>
  <c r="H51" i="61"/>
  <c r="I6" i="61"/>
  <c r="F52" i="61"/>
  <c r="I27" i="61"/>
  <c r="I53" i="61"/>
  <c r="G28" i="61"/>
  <c r="H53" i="61"/>
  <c r="H27" i="61"/>
  <c r="E77" i="61"/>
  <c r="D77" i="61"/>
  <c r="G29" i="61"/>
  <c r="D54" i="61"/>
  <c r="H6" i="61"/>
  <c r="D8" i="61"/>
  <c r="F29" i="61"/>
  <c r="I51" i="61"/>
  <c r="I28" i="61"/>
  <c r="G27" i="61"/>
  <c r="I29" i="61"/>
  <c r="F51" i="61"/>
  <c r="H28" i="61"/>
  <c r="D31" i="61"/>
  <c r="G52" i="61"/>
  <c r="E31" i="61"/>
  <c r="G6" i="61"/>
  <c r="AQ5" i="61" l="1"/>
  <c r="AR75" i="61"/>
  <c r="AQ4" i="61"/>
  <c r="AR3" i="61"/>
  <c r="AO4" i="61"/>
  <c r="AQ75" i="61"/>
  <c r="AO5" i="61"/>
  <c r="AR4" i="61"/>
  <c r="AJ27" i="61"/>
  <c r="U27" i="61"/>
  <c r="K27" i="61"/>
  <c r="P27" i="61" s="1"/>
  <c r="Z27" i="61" s="1"/>
  <c r="AM53" i="61"/>
  <c r="N53" i="61"/>
  <c r="S53" i="61" s="1"/>
  <c r="AC53" i="61" s="1"/>
  <c r="X53" i="61"/>
  <c r="AJ51" i="61"/>
  <c r="K51" i="61"/>
  <c r="P51" i="61" s="1"/>
  <c r="Z51" i="61" s="1"/>
  <c r="U51" i="61"/>
  <c r="C8" i="61"/>
  <c r="AK6" i="61"/>
  <c r="L6" i="61"/>
  <c r="Q6" i="61" s="1"/>
  <c r="AA6" i="61" s="1"/>
  <c r="V6" i="61"/>
  <c r="AK27" i="61"/>
  <c r="V27" i="61"/>
  <c r="L27" i="61"/>
  <c r="Q27" i="61" s="1"/>
  <c r="AA27" i="61" s="1"/>
  <c r="AJ29" i="61"/>
  <c r="K29" i="61"/>
  <c r="P29" i="61" s="1"/>
  <c r="Z29" i="61" s="1"/>
  <c r="U29" i="61"/>
  <c r="C54" i="61"/>
  <c r="AK51" i="61"/>
  <c r="V51" i="61"/>
  <c r="L51" i="61"/>
  <c r="Q51" i="61" s="1"/>
  <c r="AA51" i="61" s="1"/>
  <c r="AL6" i="61"/>
  <c r="M6" i="61"/>
  <c r="R6" i="61" s="1"/>
  <c r="AB6" i="61" s="1"/>
  <c r="W6" i="61"/>
  <c r="AL27" i="61"/>
  <c r="M27" i="61"/>
  <c r="R27" i="61" s="1"/>
  <c r="AB27" i="61" s="1"/>
  <c r="W27" i="61"/>
  <c r="AM29" i="61"/>
  <c r="N29" i="61"/>
  <c r="S29" i="61" s="1"/>
  <c r="AC29" i="61" s="1"/>
  <c r="X29" i="61"/>
  <c r="AM28" i="61"/>
  <c r="N28" i="61"/>
  <c r="S28" i="61" s="1"/>
  <c r="AC28" i="61" s="1"/>
  <c r="X28" i="61"/>
  <c r="AJ6" i="61"/>
  <c r="K6" i="61"/>
  <c r="P6" i="61" s="1"/>
  <c r="Z6" i="61" s="1"/>
  <c r="U6" i="61"/>
  <c r="AL51" i="61"/>
  <c r="M51" i="61"/>
  <c r="R51" i="61" s="1"/>
  <c r="AB51" i="61" s="1"/>
  <c r="W51" i="61"/>
  <c r="AM6" i="61"/>
  <c r="N6" i="61"/>
  <c r="S6" i="61" s="1"/>
  <c r="AC6" i="61" s="1"/>
  <c r="X6" i="61"/>
  <c r="AK29" i="61"/>
  <c r="L29" i="61"/>
  <c r="Q29" i="61" s="1"/>
  <c r="AA29" i="61" s="1"/>
  <c r="V29" i="61"/>
  <c r="AL53" i="61"/>
  <c r="M53" i="61"/>
  <c r="R53" i="61" s="1"/>
  <c r="AB53" i="61" s="1"/>
  <c r="W53" i="61"/>
  <c r="AK52" i="61"/>
  <c r="L52" i="61"/>
  <c r="Q52" i="61" s="1"/>
  <c r="AA52" i="61" s="1"/>
  <c r="V52" i="61"/>
  <c r="AM51" i="61"/>
  <c r="X51" i="61"/>
  <c r="N51" i="61"/>
  <c r="S51" i="61" s="1"/>
  <c r="AC51" i="61" s="1"/>
  <c r="AJ28" i="61"/>
  <c r="K28" i="61"/>
  <c r="P28" i="61" s="1"/>
  <c r="Z28" i="61" s="1"/>
  <c r="U28" i="61"/>
  <c r="C77" i="61"/>
  <c r="C100" i="61"/>
  <c r="AL29" i="61"/>
  <c r="M29" i="61"/>
  <c r="R29" i="61" s="1"/>
  <c r="AB29" i="61" s="1"/>
  <c r="W29" i="61"/>
  <c r="AJ52" i="61"/>
  <c r="K52" i="61"/>
  <c r="P52" i="61" s="1"/>
  <c r="Z52" i="61" s="1"/>
  <c r="U52" i="61"/>
  <c r="AM27" i="61"/>
  <c r="X27" i="61"/>
  <c r="N27" i="61"/>
  <c r="S27" i="61" s="1"/>
  <c r="AC27" i="61" s="1"/>
  <c r="AJ53" i="61"/>
  <c r="K53" i="61"/>
  <c r="P53" i="61" s="1"/>
  <c r="Z53" i="61" s="1"/>
  <c r="U53" i="61"/>
  <c r="AL52" i="61"/>
  <c r="M52" i="61"/>
  <c r="R52" i="61" s="1"/>
  <c r="AB52" i="61" s="1"/>
  <c r="W52" i="61"/>
  <c r="AK28" i="61"/>
  <c r="V28" i="61"/>
  <c r="L28" i="61"/>
  <c r="Q28" i="61" s="1"/>
  <c r="AA28" i="61" s="1"/>
  <c r="AK53" i="61"/>
  <c r="L53" i="61"/>
  <c r="Q53" i="61" s="1"/>
  <c r="AA53" i="61" s="1"/>
  <c r="V53" i="61"/>
  <c r="AM52" i="61"/>
  <c r="N52" i="61"/>
  <c r="S52" i="61" s="1"/>
  <c r="AC52" i="61" s="1"/>
  <c r="X52" i="61"/>
  <c r="AL28" i="61"/>
  <c r="W28" i="61"/>
  <c r="M28" i="61"/>
  <c r="R28" i="61" s="1"/>
  <c r="AB28" i="61" s="1"/>
  <c r="C31" i="61"/>
  <c r="B56" i="61"/>
  <c r="AH55" i="61"/>
  <c r="AG55" i="61"/>
  <c r="AF55" i="61"/>
  <c r="AE55" i="61"/>
  <c r="AP4" i="61"/>
  <c r="AQ3" i="61"/>
  <c r="AP75" i="61"/>
  <c r="AP5" i="61"/>
  <c r="AP3" i="61"/>
  <c r="AO75" i="61"/>
  <c r="AE32" i="61"/>
  <c r="B33" i="61"/>
  <c r="AH32" i="61"/>
  <c r="AG32" i="61"/>
  <c r="AF32" i="61"/>
  <c r="AH78" i="61"/>
  <c r="AG78" i="61"/>
  <c r="AF78" i="61"/>
  <c r="AE78" i="61"/>
  <c r="B79" i="61"/>
  <c r="AR5" i="61"/>
  <c r="B10" i="61"/>
  <c r="AH9" i="61"/>
  <c r="AG9" i="61"/>
  <c r="AF9" i="61"/>
  <c r="AE9" i="61"/>
  <c r="B102" i="61"/>
  <c r="AH101" i="61"/>
  <c r="AG101" i="61"/>
  <c r="AF101" i="61"/>
  <c r="AE101" i="61"/>
  <c r="AO3" i="61"/>
  <c r="D55" i="61"/>
  <c r="D9" i="61"/>
  <c r="I99" i="61"/>
  <c r="H7" i="61"/>
  <c r="F76" i="61"/>
  <c r="H76" i="61"/>
  <c r="E101" i="61"/>
  <c r="E78" i="61"/>
  <c r="H30" i="61"/>
  <c r="H99" i="61"/>
  <c r="F7" i="61"/>
  <c r="F99" i="61"/>
  <c r="D32" i="61"/>
  <c r="I7" i="61"/>
  <c r="E32" i="61"/>
  <c r="I30" i="61"/>
  <c r="F30" i="61"/>
  <c r="E9" i="61"/>
  <c r="G7" i="61"/>
  <c r="G30" i="61"/>
  <c r="I76" i="61"/>
  <c r="G76" i="61"/>
  <c r="G99" i="61"/>
  <c r="E55" i="61"/>
  <c r="D78" i="61"/>
  <c r="D101" i="61"/>
  <c r="AQ6" i="61" l="1"/>
  <c r="AR6" i="61"/>
  <c r="AO6" i="61"/>
  <c r="AR53" i="61"/>
  <c r="AQ52" i="61"/>
  <c r="AR27" i="61"/>
  <c r="AP53" i="61"/>
  <c r="AQ53" i="61"/>
  <c r="AJ7" i="61"/>
  <c r="K7" i="61"/>
  <c r="P7" i="61" s="1"/>
  <c r="Z7" i="61" s="1"/>
  <c r="U7" i="61"/>
  <c r="AL99" i="61"/>
  <c r="M99" i="61"/>
  <c r="R99" i="61" s="1"/>
  <c r="AB99" i="61" s="1"/>
  <c r="W99" i="61"/>
  <c r="AJ76" i="61"/>
  <c r="K76" i="61"/>
  <c r="P76" i="61" s="1"/>
  <c r="Z76" i="61" s="1"/>
  <c r="U76" i="61"/>
  <c r="C101" i="61"/>
  <c r="AK7" i="61"/>
  <c r="L7" i="61"/>
  <c r="Q7" i="61" s="1"/>
  <c r="AA7" i="61" s="1"/>
  <c r="V7" i="61"/>
  <c r="AM99" i="61"/>
  <c r="N99" i="61"/>
  <c r="S99" i="61" s="1"/>
  <c r="AC99" i="61" s="1"/>
  <c r="X99" i="61"/>
  <c r="AK99" i="61"/>
  <c r="L99" i="61"/>
  <c r="Q99" i="61" s="1"/>
  <c r="AA99" i="61" s="1"/>
  <c r="V99" i="61"/>
  <c r="AJ30" i="61"/>
  <c r="K30" i="61"/>
  <c r="P30" i="61" s="1"/>
  <c r="Z30" i="61" s="1"/>
  <c r="U30" i="61"/>
  <c r="AM7" i="61"/>
  <c r="N7" i="61"/>
  <c r="S7" i="61" s="1"/>
  <c r="AC7" i="61" s="1"/>
  <c r="X7" i="61"/>
  <c r="C9" i="61"/>
  <c r="C78" i="61"/>
  <c r="AK30" i="61"/>
  <c r="L30" i="61"/>
  <c r="Q30" i="61" s="1"/>
  <c r="AA30" i="61" s="1"/>
  <c r="V30" i="61"/>
  <c r="AK76" i="61"/>
  <c r="L76" i="61"/>
  <c r="Q76" i="61" s="1"/>
  <c r="AA76" i="61" s="1"/>
  <c r="V76" i="61"/>
  <c r="C55" i="61"/>
  <c r="AL7" i="61"/>
  <c r="M7" i="61"/>
  <c r="R7" i="61" s="1"/>
  <c r="AB7" i="61" s="1"/>
  <c r="W7" i="61"/>
  <c r="AL30" i="61"/>
  <c r="M30" i="61"/>
  <c r="R30" i="61" s="1"/>
  <c r="AB30" i="61" s="1"/>
  <c r="W30" i="61"/>
  <c r="M76" i="61"/>
  <c r="R76" i="61" s="1"/>
  <c r="AB76" i="61" s="1"/>
  <c r="AL76" i="61"/>
  <c r="W76" i="61"/>
  <c r="AJ99" i="61"/>
  <c r="K99" i="61"/>
  <c r="P99" i="61" s="1"/>
  <c r="Z99" i="61" s="1"/>
  <c r="U99" i="61"/>
  <c r="C32" i="61"/>
  <c r="AM30" i="61"/>
  <c r="N30" i="61"/>
  <c r="S30" i="61" s="1"/>
  <c r="AC30" i="61" s="1"/>
  <c r="X30" i="61"/>
  <c r="AM76" i="61"/>
  <c r="N76" i="61"/>
  <c r="S76" i="61" s="1"/>
  <c r="AC76" i="61" s="1"/>
  <c r="X76" i="61"/>
  <c r="AQ28" i="61"/>
  <c r="AQ29" i="61"/>
  <c r="AR51" i="61"/>
  <c r="AR29" i="61"/>
  <c r="AP27" i="61"/>
  <c r="AP28" i="61"/>
  <c r="AP29" i="61"/>
  <c r="AP51" i="61"/>
  <c r="AO53" i="61"/>
  <c r="AQ51" i="61"/>
  <c r="AG102" i="61"/>
  <c r="AF102" i="61"/>
  <c r="AE102" i="61"/>
  <c r="B103" i="61"/>
  <c r="AH102" i="61"/>
  <c r="AO51" i="61"/>
  <c r="AR52" i="61"/>
  <c r="AP52" i="61"/>
  <c r="AQ27" i="61"/>
  <c r="AP6" i="61"/>
  <c r="AE79" i="61"/>
  <c r="B80" i="61"/>
  <c r="AH79" i="61"/>
  <c r="AG79" i="61"/>
  <c r="AF79" i="61"/>
  <c r="AH56" i="61"/>
  <c r="AG56" i="61"/>
  <c r="AF56" i="61"/>
  <c r="AE56" i="61"/>
  <c r="B57" i="61"/>
  <c r="AE10" i="61"/>
  <c r="AF10" i="61"/>
  <c r="B11" i="61"/>
  <c r="AH10" i="61"/>
  <c r="AG10" i="61"/>
  <c r="AH33" i="61"/>
  <c r="AG33" i="61"/>
  <c r="AF33" i="61"/>
  <c r="AE33" i="61"/>
  <c r="B34" i="61"/>
  <c r="AO52" i="61"/>
  <c r="AO28" i="61"/>
  <c r="AR28" i="61"/>
  <c r="AO29" i="61"/>
  <c r="AO27" i="61"/>
  <c r="A18" i="50"/>
  <c r="H77" i="61"/>
  <c r="E79" i="61"/>
  <c r="G100" i="61"/>
  <c r="I77" i="61"/>
  <c r="I8" i="61"/>
  <c r="D102" i="61"/>
  <c r="I54" i="61"/>
  <c r="E10" i="61"/>
  <c r="D33" i="61"/>
  <c r="H100" i="61"/>
  <c r="F8" i="61"/>
  <c r="H8" i="61"/>
  <c r="H54" i="61"/>
  <c r="H31" i="61"/>
  <c r="G77" i="61"/>
  <c r="D79" i="61"/>
  <c r="E56" i="61"/>
  <c r="F100" i="61"/>
  <c r="G8" i="61"/>
  <c r="G31" i="61"/>
  <c r="F54" i="61"/>
  <c r="F31" i="61"/>
  <c r="E102" i="61"/>
  <c r="D10" i="61"/>
  <c r="F77" i="61"/>
  <c r="E33" i="61"/>
  <c r="I100" i="61"/>
  <c r="I31" i="61"/>
  <c r="D56" i="61"/>
  <c r="G54" i="61"/>
  <c r="AQ30" i="61" l="1"/>
  <c r="AP99" i="61"/>
  <c r="AQ99" i="61"/>
  <c r="AR99" i="61"/>
  <c r="AJ31" i="61"/>
  <c r="K31" i="61"/>
  <c r="P31" i="61" s="1"/>
  <c r="Z31" i="61" s="1"/>
  <c r="U31" i="61"/>
  <c r="AK8" i="61"/>
  <c r="L8" i="61"/>
  <c r="Q8" i="61" s="1"/>
  <c r="AA8" i="61" s="1"/>
  <c r="V8" i="61"/>
  <c r="AM77" i="61"/>
  <c r="N77" i="61"/>
  <c r="S77" i="61" s="1"/>
  <c r="AC77" i="61" s="1"/>
  <c r="X77" i="61"/>
  <c r="M8" i="61"/>
  <c r="R8" i="61" s="1"/>
  <c r="AB8" i="61" s="1"/>
  <c r="AL8" i="61"/>
  <c r="W8" i="61"/>
  <c r="AM8" i="61"/>
  <c r="N8" i="61"/>
  <c r="S8" i="61" s="1"/>
  <c r="AC8" i="61" s="1"/>
  <c r="X8" i="61"/>
  <c r="AM54" i="61"/>
  <c r="N54" i="61"/>
  <c r="S54" i="61" s="1"/>
  <c r="AC54" i="61" s="1"/>
  <c r="X54" i="61"/>
  <c r="AJ100" i="61"/>
  <c r="K100" i="61"/>
  <c r="P100" i="61" s="1"/>
  <c r="Z100" i="61" s="1"/>
  <c r="U100" i="61"/>
  <c r="AL54" i="61"/>
  <c r="M54" i="61"/>
  <c r="R54" i="61" s="1"/>
  <c r="AB54" i="61" s="1"/>
  <c r="W54" i="61"/>
  <c r="C10" i="61"/>
  <c r="C56" i="61"/>
  <c r="AJ54" i="61"/>
  <c r="K54" i="61"/>
  <c r="P54" i="61" s="1"/>
  <c r="Z54" i="61" s="1"/>
  <c r="U54" i="61"/>
  <c r="AM100" i="61"/>
  <c r="N100" i="61"/>
  <c r="S100" i="61" s="1"/>
  <c r="AC100" i="61" s="1"/>
  <c r="X100" i="61"/>
  <c r="C102" i="61"/>
  <c r="AK31" i="61"/>
  <c r="L31" i="61"/>
  <c r="Q31" i="61" s="1"/>
  <c r="AA31" i="61" s="1"/>
  <c r="V31" i="61"/>
  <c r="AJ77" i="61"/>
  <c r="K77" i="61"/>
  <c r="P77" i="61" s="1"/>
  <c r="Z77" i="61" s="1"/>
  <c r="U77" i="61"/>
  <c r="AK100" i="61"/>
  <c r="L100" i="61"/>
  <c r="Q100" i="61" s="1"/>
  <c r="AA100" i="61" s="1"/>
  <c r="V100" i="61"/>
  <c r="AK54" i="61"/>
  <c r="L54" i="61"/>
  <c r="Q54" i="61" s="1"/>
  <c r="AA54" i="61" s="1"/>
  <c r="V54" i="61"/>
  <c r="C33" i="61"/>
  <c r="AL31" i="61"/>
  <c r="M31" i="61"/>
  <c r="R31" i="61" s="1"/>
  <c r="AB31" i="61" s="1"/>
  <c r="W31" i="61"/>
  <c r="C79" i="61"/>
  <c r="AK77" i="61"/>
  <c r="L77" i="61"/>
  <c r="Q77" i="61" s="1"/>
  <c r="AA77" i="61" s="1"/>
  <c r="V77" i="61"/>
  <c r="AL100" i="61"/>
  <c r="M100" i="61"/>
  <c r="R100" i="61" s="1"/>
  <c r="AB100" i="61" s="1"/>
  <c r="W100" i="61"/>
  <c r="AM31" i="61"/>
  <c r="N31" i="61"/>
  <c r="S31" i="61" s="1"/>
  <c r="AC31" i="61" s="1"/>
  <c r="X31" i="61"/>
  <c r="AJ8" i="61"/>
  <c r="K8" i="61"/>
  <c r="P8" i="61" s="1"/>
  <c r="Z8" i="61" s="1"/>
  <c r="U8" i="61"/>
  <c r="AL77" i="61"/>
  <c r="M77" i="61"/>
  <c r="R77" i="61" s="1"/>
  <c r="AB77" i="61" s="1"/>
  <c r="W77" i="61"/>
  <c r="B35" i="61"/>
  <c r="AH34" i="61"/>
  <c r="AG34" i="61"/>
  <c r="AF34" i="61"/>
  <c r="AE34" i="61"/>
  <c r="B12" i="61"/>
  <c r="AH11" i="61"/>
  <c r="AG11" i="61"/>
  <c r="AF11" i="61"/>
  <c r="AE11" i="61"/>
  <c r="AQ7" i="61"/>
  <c r="AO76" i="61"/>
  <c r="AO99" i="61"/>
  <c r="AQ76" i="61"/>
  <c r="AO7" i="61"/>
  <c r="AH57" i="61"/>
  <c r="AE57" i="61"/>
  <c r="B58" i="61"/>
  <c r="AG57" i="61"/>
  <c r="AF57" i="61"/>
  <c r="B104" i="61"/>
  <c r="AH103" i="61"/>
  <c r="AG103" i="61"/>
  <c r="AF103" i="61"/>
  <c r="AE103" i="61"/>
  <c r="AO30" i="61"/>
  <c r="AR30" i="61"/>
  <c r="AP30" i="61"/>
  <c r="B81" i="61"/>
  <c r="AF80" i="61"/>
  <c r="AE80" i="61"/>
  <c r="AH80" i="61"/>
  <c r="AG80" i="61"/>
  <c r="AR76" i="61"/>
  <c r="AP76" i="61"/>
  <c r="AR7" i="61"/>
  <c r="AP7" i="61"/>
  <c r="AQ39" i="58"/>
  <c r="AQ38" i="58"/>
  <c r="AQ37" i="58"/>
  <c r="AQ36" i="58"/>
  <c r="AQ35" i="58"/>
  <c r="AQ34" i="58"/>
  <c r="AQ33" i="58"/>
  <c r="AQ32" i="58"/>
  <c r="AQ31" i="58"/>
  <c r="AQ30" i="58"/>
  <c r="AQ29" i="58"/>
  <c r="A5" i="58"/>
  <c r="A6" i="58" s="1"/>
  <c r="AQ5" i="58" s="1"/>
  <c r="I55" i="61"/>
  <c r="H78" i="61"/>
  <c r="D57" i="61"/>
  <c r="AR5" i="58"/>
  <c r="H55" i="61"/>
  <c r="I78" i="61"/>
  <c r="G32" i="61"/>
  <c r="D80" i="61"/>
  <c r="F101" i="61"/>
  <c r="G9" i="61"/>
  <c r="E11" i="61"/>
  <c r="G55" i="61"/>
  <c r="I101" i="61"/>
  <c r="E57" i="61"/>
  <c r="D34" i="61"/>
  <c r="G78" i="61"/>
  <c r="D103" i="61"/>
  <c r="F55" i="61"/>
  <c r="E34" i="61"/>
  <c r="G101" i="61"/>
  <c r="F32" i="61"/>
  <c r="D11" i="61"/>
  <c r="H9" i="61"/>
  <c r="A2" i="58"/>
  <c r="H101" i="61"/>
  <c r="I32" i="61"/>
  <c r="E103" i="61"/>
  <c r="F78" i="61"/>
  <c r="I9" i="61"/>
  <c r="E80" i="61"/>
  <c r="H32" i="61"/>
  <c r="F9" i="61"/>
  <c r="AP77" i="61" l="1"/>
  <c r="AQ77" i="61"/>
  <c r="AR54" i="61"/>
  <c r="AO77" i="61"/>
  <c r="AP8" i="61"/>
  <c r="AP31" i="61"/>
  <c r="AR8" i="61"/>
  <c r="AO100" i="61"/>
  <c r="AQ8" i="61"/>
  <c r="AP100" i="61"/>
  <c r="AM55" i="61"/>
  <c r="N55" i="61"/>
  <c r="S55" i="61" s="1"/>
  <c r="AC55" i="61" s="1"/>
  <c r="X55" i="61"/>
  <c r="C34" i="61"/>
  <c r="AJ32" i="61"/>
  <c r="K32" i="61"/>
  <c r="P32" i="61" s="1"/>
  <c r="Z32" i="61" s="1"/>
  <c r="U32" i="61"/>
  <c r="C103" i="61"/>
  <c r="AL9" i="61"/>
  <c r="M9" i="61"/>
  <c r="R9" i="61" s="1"/>
  <c r="AB9" i="61" s="1"/>
  <c r="W9" i="61"/>
  <c r="AK32" i="61"/>
  <c r="L32" i="61"/>
  <c r="Q32" i="61" s="1"/>
  <c r="AA32" i="61" s="1"/>
  <c r="V32" i="61"/>
  <c r="C80" i="61"/>
  <c r="AJ9" i="61"/>
  <c r="K9" i="61"/>
  <c r="P9" i="61" s="1"/>
  <c r="Z9" i="61" s="1"/>
  <c r="U9" i="61"/>
  <c r="AL32" i="61"/>
  <c r="M32" i="61"/>
  <c r="R32" i="61" s="1"/>
  <c r="AB32" i="61" s="1"/>
  <c r="W32" i="61"/>
  <c r="AJ101" i="61"/>
  <c r="K101" i="61"/>
  <c r="P101" i="61" s="1"/>
  <c r="Z101" i="61" s="1"/>
  <c r="U101" i="61"/>
  <c r="AM9" i="61"/>
  <c r="N9" i="61"/>
  <c r="S9" i="61" s="1"/>
  <c r="AC9" i="61" s="1"/>
  <c r="X9" i="61"/>
  <c r="C57" i="61"/>
  <c r="AK9" i="61"/>
  <c r="L9" i="61"/>
  <c r="Q9" i="61" s="1"/>
  <c r="AA9" i="61" s="1"/>
  <c r="V9" i="61"/>
  <c r="AJ78" i="61"/>
  <c r="K78" i="61"/>
  <c r="P78" i="61" s="1"/>
  <c r="Z78" i="61" s="1"/>
  <c r="U78" i="61"/>
  <c r="AM32" i="61"/>
  <c r="N32" i="61"/>
  <c r="S32" i="61" s="1"/>
  <c r="AC32" i="61" s="1"/>
  <c r="X32" i="61"/>
  <c r="AK101" i="61"/>
  <c r="L101" i="61"/>
  <c r="Q101" i="61" s="1"/>
  <c r="AA101" i="61" s="1"/>
  <c r="V101" i="61"/>
  <c r="AJ55" i="61"/>
  <c r="K55" i="61"/>
  <c r="P55" i="61" s="1"/>
  <c r="Z55" i="61" s="1"/>
  <c r="U55" i="61"/>
  <c r="AK78" i="61"/>
  <c r="L78" i="61"/>
  <c r="Q78" i="61" s="1"/>
  <c r="AA78" i="61" s="1"/>
  <c r="V78" i="61"/>
  <c r="AL101" i="61"/>
  <c r="M101" i="61"/>
  <c r="R101" i="61" s="1"/>
  <c r="AB101" i="61" s="1"/>
  <c r="W101" i="61"/>
  <c r="AK55" i="61"/>
  <c r="L55" i="61"/>
  <c r="Q55" i="61" s="1"/>
  <c r="AA55" i="61" s="1"/>
  <c r="V55" i="61"/>
  <c r="AL78" i="61"/>
  <c r="M78" i="61"/>
  <c r="R78" i="61" s="1"/>
  <c r="AB78" i="61" s="1"/>
  <c r="W78" i="61"/>
  <c r="C11" i="61"/>
  <c r="AM101" i="61"/>
  <c r="N101" i="61"/>
  <c r="S101" i="61" s="1"/>
  <c r="AC101" i="61" s="1"/>
  <c r="X101" i="61"/>
  <c r="AL55" i="61"/>
  <c r="M55" i="61"/>
  <c r="R55" i="61" s="1"/>
  <c r="AB55" i="61" s="1"/>
  <c r="W55" i="61"/>
  <c r="AM78" i="61"/>
  <c r="N78" i="61"/>
  <c r="S78" i="61" s="1"/>
  <c r="AC78" i="61" s="1"/>
  <c r="X78" i="61"/>
  <c r="AQ100" i="61"/>
  <c r="AQ31" i="61"/>
  <c r="AR77" i="61"/>
  <c r="AH35" i="61"/>
  <c r="AG35" i="61"/>
  <c r="AF35" i="61"/>
  <c r="AE35" i="61"/>
  <c r="B36" i="61"/>
  <c r="AR100" i="61"/>
  <c r="AQ54" i="61"/>
  <c r="AF104" i="61"/>
  <c r="AE104" i="61"/>
  <c r="B105" i="61"/>
  <c r="AH104" i="61"/>
  <c r="AG104" i="61"/>
  <c r="AO8" i="61"/>
  <c r="AH58" i="61"/>
  <c r="AG58" i="61"/>
  <c r="B59" i="61"/>
  <c r="AF58" i="61"/>
  <c r="AE58" i="61"/>
  <c r="AE81" i="61"/>
  <c r="B82" i="61"/>
  <c r="AG81" i="61"/>
  <c r="AF81" i="61"/>
  <c r="AH81" i="61"/>
  <c r="AP54" i="61"/>
  <c r="AO54" i="61"/>
  <c r="AR31" i="61"/>
  <c r="AE12" i="61"/>
  <c r="B13" i="61"/>
  <c r="AH12" i="61"/>
  <c r="AG12" i="61"/>
  <c r="AF12" i="61"/>
  <c r="AO31" i="61"/>
  <c r="AQ17" i="58"/>
  <c r="AQ20" i="58"/>
  <c r="AQ18" i="58"/>
  <c r="AQ21" i="58"/>
  <c r="AQ16" i="58"/>
  <c r="AQ13" i="58"/>
  <c r="AQ19" i="58"/>
  <c r="AQ11" i="58"/>
  <c r="AQ14" i="58"/>
  <c r="AQ9" i="58"/>
  <c r="AQ15" i="58"/>
  <c r="AQ10" i="58"/>
  <c r="AQ8" i="58"/>
  <c r="AQ4" i="58"/>
  <c r="AQ12" i="58"/>
  <c r="AQ22" i="58"/>
  <c r="AQ6" i="58"/>
  <c r="AQ3" i="58"/>
  <c r="AQ7" i="58"/>
  <c r="F23" i="58"/>
  <c r="AQ2" i="58"/>
  <c r="AR78" i="61" l="1"/>
  <c r="AQ101" i="61"/>
  <c r="AQ78" i="61"/>
  <c r="AO78" i="61"/>
  <c r="AP32" i="61"/>
  <c r="AO32" i="61"/>
  <c r="AP9" i="61"/>
  <c r="AQ32" i="61"/>
  <c r="AP55" i="61"/>
  <c r="B14" i="61"/>
  <c r="AH13" i="61"/>
  <c r="AG13" i="61"/>
  <c r="AF13" i="61"/>
  <c r="AE13" i="61"/>
  <c r="B37" i="61"/>
  <c r="AH36" i="61"/>
  <c r="AG36" i="61"/>
  <c r="AF36" i="61"/>
  <c r="AE36" i="61"/>
  <c r="AO55" i="61"/>
  <c r="AQ9" i="61"/>
  <c r="AG59" i="61"/>
  <c r="AE59" i="61"/>
  <c r="AH59" i="61"/>
  <c r="AF59" i="61"/>
  <c r="B60" i="61"/>
  <c r="AQ55" i="61"/>
  <c r="AP78" i="61"/>
  <c r="AO9" i="61"/>
  <c r="AH82" i="61"/>
  <c r="AG82" i="61"/>
  <c r="AF82" i="61"/>
  <c r="AE82" i="61"/>
  <c r="B83" i="61"/>
  <c r="B106" i="61"/>
  <c r="AH105" i="61"/>
  <c r="AG105" i="61"/>
  <c r="AF105" i="61"/>
  <c r="AE105" i="61"/>
  <c r="AP101" i="61"/>
  <c r="AR9" i="61"/>
  <c r="AR101" i="61"/>
  <c r="AR32" i="61"/>
  <c r="AO101" i="61"/>
  <c r="AR55" i="61"/>
  <c r="G23" i="58"/>
  <c r="D18" i="58"/>
  <c r="AR16" i="58"/>
  <c r="G34" i="61"/>
  <c r="H79" i="61"/>
  <c r="D35" i="61"/>
  <c r="E59" i="61"/>
  <c r="E81" i="61"/>
  <c r="I103" i="61"/>
  <c r="D5" i="58"/>
  <c r="G11" i="61"/>
  <c r="D7" i="58"/>
  <c r="D105" i="61"/>
  <c r="G57" i="61"/>
  <c r="D10" i="58"/>
  <c r="AR2" i="58"/>
  <c r="AR19" i="58"/>
  <c r="D81" i="61"/>
  <c r="F33" i="61"/>
  <c r="AR11" i="58"/>
  <c r="AR17" i="58"/>
  <c r="D6" i="58"/>
  <c r="D22" i="58"/>
  <c r="G79" i="61"/>
  <c r="H56" i="61"/>
  <c r="AR12" i="58"/>
  <c r="AR13" i="58"/>
  <c r="D17" i="58"/>
  <c r="D9" i="58"/>
  <c r="AR18" i="58"/>
  <c r="H57" i="61"/>
  <c r="D15" i="58"/>
  <c r="F57" i="61"/>
  <c r="D11" i="58"/>
  <c r="AR21" i="58"/>
  <c r="F56" i="61"/>
  <c r="D14" i="58"/>
  <c r="I10" i="61"/>
  <c r="AR10" i="58"/>
  <c r="AR22" i="58"/>
  <c r="E13" i="61"/>
  <c r="E105" i="61"/>
  <c r="AR3" i="58"/>
  <c r="D13" i="61"/>
  <c r="G103" i="61"/>
  <c r="H11" i="61"/>
  <c r="I34" i="61"/>
  <c r="F10" i="61"/>
  <c r="AR14" i="58"/>
  <c r="I56" i="61"/>
  <c r="AR6" i="58"/>
  <c r="G10" i="61"/>
  <c r="F103" i="61"/>
  <c r="AR20" i="58"/>
  <c r="G80" i="61"/>
  <c r="G102" i="61"/>
  <c r="I33" i="61"/>
  <c r="AR7" i="58"/>
  <c r="E82" i="61"/>
  <c r="D12" i="58"/>
  <c r="I80" i="61"/>
  <c r="AR4" i="58"/>
  <c r="AR9" i="58"/>
  <c r="D13" i="58"/>
  <c r="H102" i="61"/>
  <c r="D19" i="58"/>
  <c r="H10" i="61"/>
  <c r="H103" i="61"/>
  <c r="F102" i="61"/>
  <c r="I11" i="61"/>
  <c r="F79" i="61"/>
  <c r="E104" i="61"/>
  <c r="D4" i="58"/>
  <c r="D16" i="58"/>
  <c r="E58" i="61"/>
  <c r="D21" i="58"/>
  <c r="E12" i="61"/>
  <c r="D82" i="61"/>
  <c r="H80" i="61"/>
  <c r="D2" i="58"/>
  <c r="E35" i="61"/>
  <c r="H34" i="61"/>
  <c r="I102" i="61"/>
  <c r="G33" i="61"/>
  <c r="D104" i="61"/>
  <c r="E36" i="61"/>
  <c r="I79" i="61"/>
  <c r="D3" i="58"/>
  <c r="AR8" i="58"/>
  <c r="AR15" i="58"/>
  <c r="D12" i="61"/>
  <c r="D36" i="61"/>
  <c r="I57" i="61"/>
  <c r="D58" i="61"/>
  <c r="D20" i="58"/>
  <c r="F11" i="61"/>
  <c r="D8" i="58"/>
  <c r="G56" i="61"/>
  <c r="D59" i="61"/>
  <c r="H33" i="61"/>
  <c r="F34" i="61"/>
  <c r="F80" i="61"/>
  <c r="G16" i="58" l="1"/>
  <c r="E16" i="58"/>
  <c r="F16" i="58"/>
  <c r="AL10" i="61"/>
  <c r="M10" i="61"/>
  <c r="R10" i="61" s="1"/>
  <c r="AB10" i="61" s="1"/>
  <c r="W10" i="61"/>
  <c r="V10" i="61"/>
  <c r="L10" i="61"/>
  <c r="Q10" i="61" s="1"/>
  <c r="AA10" i="61" s="1"/>
  <c r="AK10" i="61"/>
  <c r="AK33" i="61"/>
  <c r="L33" i="61"/>
  <c r="Q33" i="61" s="1"/>
  <c r="AA33" i="61" s="1"/>
  <c r="V33" i="61"/>
  <c r="AJ79" i="61"/>
  <c r="K79" i="61"/>
  <c r="P79" i="61" s="1"/>
  <c r="Z79" i="61" s="1"/>
  <c r="U79" i="61"/>
  <c r="G15" i="58"/>
  <c r="F15" i="58"/>
  <c r="E15" i="58"/>
  <c r="AM102" i="61"/>
  <c r="N102" i="61"/>
  <c r="S102" i="61" s="1"/>
  <c r="AC102" i="61" s="1"/>
  <c r="X102" i="61"/>
  <c r="AL56" i="61"/>
  <c r="M56" i="61"/>
  <c r="R56" i="61" s="1"/>
  <c r="AB56" i="61" s="1"/>
  <c r="W56" i="61"/>
  <c r="G4" i="58"/>
  <c r="F4" i="58"/>
  <c r="E4" i="58"/>
  <c r="G21" i="58"/>
  <c r="E21" i="58"/>
  <c r="F21" i="58"/>
  <c r="X33" i="61"/>
  <c r="AM33" i="61"/>
  <c r="N33" i="61"/>
  <c r="S33" i="61" s="1"/>
  <c r="AC33" i="61" s="1"/>
  <c r="AJ56" i="61"/>
  <c r="K56" i="61"/>
  <c r="P56" i="61" s="1"/>
  <c r="Z56" i="61" s="1"/>
  <c r="U56" i="61"/>
  <c r="AM79" i="61"/>
  <c r="N79" i="61"/>
  <c r="S79" i="61" s="1"/>
  <c r="AC79" i="61" s="1"/>
  <c r="X79" i="61"/>
  <c r="G13" i="58"/>
  <c r="F13" i="58"/>
  <c r="E13" i="58"/>
  <c r="C35" i="61"/>
  <c r="AM56" i="61"/>
  <c r="N56" i="61"/>
  <c r="S56" i="61" s="1"/>
  <c r="AC56" i="61" s="1"/>
  <c r="X56" i="61"/>
  <c r="C12" i="61"/>
  <c r="E10" i="58"/>
  <c r="F10" i="58"/>
  <c r="G10" i="58"/>
  <c r="N10" i="61"/>
  <c r="S10" i="61" s="1"/>
  <c r="AC10" i="61" s="1"/>
  <c r="X10" i="61"/>
  <c r="AM10" i="61"/>
  <c r="W79" i="61"/>
  <c r="AL79" i="61"/>
  <c r="M79" i="61"/>
  <c r="R79" i="61" s="1"/>
  <c r="AB79" i="61" s="1"/>
  <c r="F9" i="58"/>
  <c r="E9" i="58"/>
  <c r="G9" i="58"/>
  <c r="F14" i="58"/>
  <c r="E14" i="58"/>
  <c r="G14" i="58"/>
  <c r="F3" i="58"/>
  <c r="G3" i="58"/>
  <c r="E3" i="58"/>
  <c r="AK79" i="61"/>
  <c r="L79" i="61"/>
  <c r="Q79" i="61" s="1"/>
  <c r="AA79" i="61" s="1"/>
  <c r="V79" i="61"/>
  <c r="F6" i="58"/>
  <c r="E6" i="58"/>
  <c r="G6" i="58"/>
  <c r="G22" i="58"/>
  <c r="E22" i="58"/>
  <c r="F22" i="58"/>
  <c r="AL102" i="61"/>
  <c r="M102" i="61"/>
  <c r="R102" i="61" s="1"/>
  <c r="AB102" i="61" s="1"/>
  <c r="W102" i="61"/>
  <c r="E17" i="58"/>
  <c r="F17" i="58"/>
  <c r="G17" i="58"/>
  <c r="E8" i="58"/>
  <c r="F8" i="58"/>
  <c r="G8" i="58"/>
  <c r="U102" i="61"/>
  <c r="K102" i="61"/>
  <c r="P102" i="61" s="1"/>
  <c r="Z102" i="61" s="1"/>
  <c r="AJ102" i="61"/>
  <c r="E11" i="58"/>
  <c r="G11" i="58"/>
  <c r="F11" i="58"/>
  <c r="AJ33" i="61"/>
  <c r="K33" i="61"/>
  <c r="P33" i="61" s="1"/>
  <c r="Z33" i="61" s="1"/>
  <c r="U33" i="61"/>
  <c r="AK56" i="61"/>
  <c r="L56" i="61"/>
  <c r="Q56" i="61" s="1"/>
  <c r="AA56" i="61" s="1"/>
  <c r="V56" i="61"/>
  <c r="F19" i="58"/>
  <c r="G19" i="58"/>
  <c r="E19" i="58"/>
  <c r="C81" i="61"/>
  <c r="G7" i="58"/>
  <c r="E7" i="58"/>
  <c r="F7" i="58"/>
  <c r="L102" i="61"/>
  <c r="Q102" i="61" s="1"/>
  <c r="AA102" i="61" s="1"/>
  <c r="V102" i="61"/>
  <c r="AK102" i="61"/>
  <c r="C104" i="61"/>
  <c r="K10" i="61"/>
  <c r="P10" i="61" s="1"/>
  <c r="Z10" i="61" s="1"/>
  <c r="AJ10" i="61"/>
  <c r="U10" i="61"/>
  <c r="F12" i="58"/>
  <c r="E12" i="58"/>
  <c r="G12" i="58"/>
  <c r="E20" i="58"/>
  <c r="F20" i="58"/>
  <c r="G20" i="58"/>
  <c r="G18" i="58"/>
  <c r="E18" i="58"/>
  <c r="F18" i="58"/>
  <c r="C58" i="61"/>
  <c r="AL33" i="61"/>
  <c r="M33" i="61"/>
  <c r="R33" i="61" s="1"/>
  <c r="AB33" i="61" s="1"/>
  <c r="W33" i="61"/>
  <c r="G5" i="58"/>
  <c r="E5" i="58"/>
  <c r="F5" i="58"/>
  <c r="F2" i="58"/>
  <c r="E2" i="58"/>
  <c r="G2" i="58"/>
  <c r="C82" i="61"/>
  <c r="AL11" i="61"/>
  <c r="M11" i="61"/>
  <c r="R11" i="61" s="1"/>
  <c r="AB11" i="61" s="1"/>
  <c r="W11" i="61"/>
  <c r="AJ80" i="61"/>
  <c r="K80" i="61"/>
  <c r="P80" i="61" s="1"/>
  <c r="Z80" i="61" s="1"/>
  <c r="U80" i="61"/>
  <c r="AJ57" i="61"/>
  <c r="K57" i="61"/>
  <c r="P57" i="61" s="1"/>
  <c r="Z57" i="61" s="1"/>
  <c r="U57" i="61"/>
  <c r="AJ103" i="61"/>
  <c r="K103" i="61"/>
  <c r="P103" i="61" s="1"/>
  <c r="Z103" i="61" s="1"/>
  <c r="U103" i="61"/>
  <c r="AK103" i="61"/>
  <c r="L103" i="61"/>
  <c r="Q103" i="61" s="1"/>
  <c r="AA103" i="61" s="1"/>
  <c r="V103" i="61"/>
  <c r="AM11" i="61"/>
  <c r="N11" i="61"/>
  <c r="S11" i="61" s="1"/>
  <c r="AC11" i="61" s="1"/>
  <c r="X11" i="61"/>
  <c r="AK57" i="61"/>
  <c r="L57" i="61"/>
  <c r="Q57" i="61" s="1"/>
  <c r="AA57" i="61" s="1"/>
  <c r="V57" i="61"/>
  <c r="C13" i="61"/>
  <c r="AL80" i="61"/>
  <c r="M80" i="61"/>
  <c r="R80" i="61" s="1"/>
  <c r="AB80" i="61" s="1"/>
  <c r="W80" i="61"/>
  <c r="AM80" i="61"/>
  <c r="N80" i="61"/>
  <c r="S80" i="61" s="1"/>
  <c r="AC80" i="61" s="1"/>
  <c r="X80" i="61"/>
  <c r="AK11" i="61"/>
  <c r="L11" i="61"/>
  <c r="Q11" i="61" s="1"/>
  <c r="AA11" i="61" s="1"/>
  <c r="V11" i="61"/>
  <c r="AL57" i="61"/>
  <c r="M57" i="61"/>
  <c r="R57" i="61" s="1"/>
  <c r="AB57" i="61" s="1"/>
  <c r="W57" i="61"/>
  <c r="AJ11" i="61"/>
  <c r="K11" i="61"/>
  <c r="P11" i="61" s="1"/>
  <c r="Z11" i="61" s="1"/>
  <c r="U11" i="61"/>
  <c r="AJ34" i="61"/>
  <c r="K34" i="61"/>
  <c r="P34" i="61" s="1"/>
  <c r="Z34" i="61" s="1"/>
  <c r="U34" i="61"/>
  <c r="AM57" i="61"/>
  <c r="N57" i="61"/>
  <c r="S57" i="61" s="1"/>
  <c r="AC57" i="61" s="1"/>
  <c r="X57" i="61"/>
  <c r="AM34" i="61"/>
  <c r="N34" i="61"/>
  <c r="S34" i="61" s="1"/>
  <c r="AC34" i="61" s="1"/>
  <c r="X34" i="61"/>
  <c r="AL103" i="61"/>
  <c r="M103" i="61"/>
  <c r="R103" i="61" s="1"/>
  <c r="AB103" i="61" s="1"/>
  <c r="W103" i="61"/>
  <c r="C105" i="61"/>
  <c r="AK34" i="61"/>
  <c r="L34" i="61"/>
  <c r="Q34" i="61" s="1"/>
  <c r="AA34" i="61" s="1"/>
  <c r="V34" i="61"/>
  <c r="AM103" i="61"/>
  <c r="N103" i="61"/>
  <c r="S103" i="61" s="1"/>
  <c r="AC103" i="61" s="1"/>
  <c r="X103" i="61"/>
  <c r="AK80" i="61"/>
  <c r="L80" i="61"/>
  <c r="Q80" i="61" s="1"/>
  <c r="AA80" i="61" s="1"/>
  <c r="V80" i="61"/>
  <c r="C59" i="61"/>
  <c r="AL34" i="61"/>
  <c r="M34" i="61"/>
  <c r="R34" i="61" s="1"/>
  <c r="AB34" i="61" s="1"/>
  <c r="W34" i="61"/>
  <c r="C36" i="61"/>
  <c r="B61" i="61"/>
  <c r="AH60" i="61"/>
  <c r="AF60" i="61"/>
  <c r="AE60" i="61"/>
  <c r="AG60" i="61"/>
  <c r="AH37" i="61"/>
  <c r="AG37" i="61"/>
  <c r="AF37" i="61"/>
  <c r="AE37" i="61"/>
  <c r="B38" i="61"/>
  <c r="B84" i="61"/>
  <c r="AH83" i="61"/>
  <c r="AF83" i="61"/>
  <c r="AE83" i="61"/>
  <c r="AG83" i="61"/>
  <c r="AE14" i="61"/>
  <c r="AF14" i="61"/>
  <c r="B15" i="61"/>
  <c r="AH14" i="61"/>
  <c r="AG14" i="61"/>
  <c r="AE106" i="61"/>
  <c r="B107" i="61"/>
  <c r="AH106" i="61"/>
  <c r="AG106" i="61"/>
  <c r="AF106" i="61"/>
  <c r="H22" i="58"/>
  <c r="H19" i="58"/>
  <c r="H17" i="58"/>
  <c r="H20" i="58"/>
  <c r="H23" i="58"/>
  <c r="H18" i="58"/>
  <c r="H15" i="58"/>
  <c r="H10" i="58"/>
  <c r="H13" i="58"/>
  <c r="H21" i="58"/>
  <c r="H11" i="58"/>
  <c r="H16" i="58"/>
  <c r="H9" i="58"/>
  <c r="H7" i="58"/>
  <c r="H12" i="58"/>
  <c r="H14" i="58"/>
  <c r="H5" i="58"/>
  <c r="H8" i="58"/>
  <c r="H2" i="58"/>
  <c r="H4" i="58"/>
  <c r="H3" i="58"/>
  <c r="H6" i="58"/>
  <c r="Q2" i="18"/>
  <c r="G35" i="61"/>
  <c r="E60" i="61"/>
  <c r="E106" i="61"/>
  <c r="E14" i="61"/>
  <c r="E83" i="61"/>
  <c r="D37" i="61"/>
  <c r="D60" i="61"/>
  <c r="D14" i="61"/>
  <c r="D83" i="61"/>
  <c r="F12" i="61"/>
  <c r="D106" i="61"/>
  <c r="H58" i="61"/>
  <c r="F58" i="61"/>
  <c r="E37" i="61"/>
  <c r="F81" i="61"/>
  <c r="H104" i="61"/>
  <c r="AQ10" i="61" l="1"/>
  <c r="AO79" i="61"/>
  <c r="AR79" i="61"/>
  <c r="AR102" i="61"/>
  <c r="AP79" i="61"/>
  <c r="AO33" i="61"/>
  <c r="AP10" i="61"/>
  <c r="AO10" i="61"/>
  <c r="AP33" i="61"/>
  <c r="AR10" i="61"/>
  <c r="AQ102" i="61"/>
  <c r="AR56" i="61"/>
  <c r="AQ56" i="61"/>
  <c r="AQ33" i="61"/>
  <c r="AO56" i="61"/>
  <c r="AP102" i="61"/>
  <c r="AR33" i="61"/>
  <c r="AQ79" i="61"/>
  <c r="AO102" i="61"/>
  <c r="AP56" i="61"/>
  <c r="AO103" i="61"/>
  <c r="AR103" i="61"/>
  <c r="AP80" i="61"/>
  <c r="AQ103" i="61"/>
  <c r="AO80" i="61"/>
  <c r="AR57" i="61"/>
  <c r="AP57" i="61"/>
  <c r="AO57" i="61"/>
  <c r="AP34" i="61"/>
  <c r="AQ34" i="61"/>
  <c r="AO34" i="61"/>
  <c r="AR34" i="61"/>
  <c r="AP11" i="61"/>
  <c r="AJ12" i="61"/>
  <c r="K12" i="61"/>
  <c r="P12" i="61" s="1"/>
  <c r="Z12" i="61" s="1"/>
  <c r="U12" i="61"/>
  <c r="AJ58" i="61"/>
  <c r="K58" i="61"/>
  <c r="P58" i="61" s="1"/>
  <c r="Z58" i="61" s="1"/>
  <c r="U58" i="61"/>
  <c r="AK35" i="61"/>
  <c r="L35" i="61"/>
  <c r="Q35" i="61" s="1"/>
  <c r="AA35" i="61" s="1"/>
  <c r="V35" i="61"/>
  <c r="C83" i="61"/>
  <c r="C60" i="61"/>
  <c r="AJ81" i="61"/>
  <c r="K81" i="61"/>
  <c r="P81" i="61" s="1"/>
  <c r="Z81" i="61" s="1"/>
  <c r="U81" i="61"/>
  <c r="AL58" i="61"/>
  <c r="M58" i="61"/>
  <c r="R58" i="61" s="1"/>
  <c r="AB58" i="61" s="1"/>
  <c r="W58" i="61"/>
  <c r="C106" i="61"/>
  <c r="AL104" i="61"/>
  <c r="M104" i="61"/>
  <c r="R104" i="61" s="1"/>
  <c r="AB104" i="61" s="1"/>
  <c r="W104" i="61"/>
  <c r="C14" i="61"/>
  <c r="C37" i="61"/>
  <c r="B39" i="61"/>
  <c r="AH38" i="61"/>
  <c r="AG38" i="61"/>
  <c r="AF38" i="61"/>
  <c r="AE38" i="61"/>
  <c r="AQ57" i="61"/>
  <c r="AR11" i="61"/>
  <c r="AH84" i="61"/>
  <c r="AG84" i="61"/>
  <c r="AF84" i="61"/>
  <c r="AE84" i="61"/>
  <c r="B85" i="61"/>
  <c r="AR80" i="61"/>
  <c r="AQ11" i="61"/>
  <c r="AG61" i="61"/>
  <c r="AF61" i="61"/>
  <c r="AE61" i="61"/>
  <c r="AH61" i="61"/>
  <c r="B62" i="61"/>
  <c r="AP103" i="61"/>
  <c r="B108" i="61"/>
  <c r="AH107" i="61"/>
  <c r="AG107" i="61"/>
  <c r="AF107" i="61"/>
  <c r="AE107" i="61"/>
  <c r="B16" i="61"/>
  <c r="AH15" i="61"/>
  <c r="AG15" i="61"/>
  <c r="AF15" i="61"/>
  <c r="AE15" i="61"/>
  <c r="AO11" i="61"/>
  <c r="AQ80" i="61"/>
  <c r="I22" i="58"/>
  <c r="I19" i="58"/>
  <c r="I17" i="58"/>
  <c r="I20" i="58"/>
  <c r="I23" i="58"/>
  <c r="I18" i="58"/>
  <c r="I21" i="58"/>
  <c r="I10" i="58"/>
  <c r="I13" i="58"/>
  <c r="I11" i="58"/>
  <c r="I14" i="58"/>
  <c r="I12" i="58"/>
  <c r="I15" i="58"/>
  <c r="I7" i="58"/>
  <c r="I4" i="58"/>
  <c r="I16" i="58"/>
  <c r="I5" i="58"/>
  <c r="I8" i="58"/>
  <c r="I6" i="58"/>
  <c r="I2" i="58"/>
  <c r="I9" i="58"/>
  <c r="I3" i="58"/>
  <c r="F36" i="61"/>
  <c r="G36" i="61"/>
  <c r="I82" i="61"/>
  <c r="F13" i="61"/>
  <c r="D15" i="61"/>
  <c r="I35" i="61"/>
  <c r="I58" i="61"/>
  <c r="F104" i="61"/>
  <c r="E107" i="61"/>
  <c r="I104" i="61"/>
  <c r="H12" i="61"/>
  <c r="G12" i="61"/>
  <c r="F35" i="61"/>
  <c r="D84" i="61"/>
  <c r="I105" i="61"/>
  <c r="H105" i="61"/>
  <c r="G58" i="61"/>
  <c r="H82" i="61"/>
  <c r="D107" i="61"/>
  <c r="H35" i="61"/>
  <c r="E38" i="61"/>
  <c r="G104" i="61"/>
  <c r="I81" i="61"/>
  <c r="G82" i="61"/>
  <c r="I12" i="61"/>
  <c r="D38" i="61"/>
  <c r="E84" i="61"/>
  <c r="G105" i="61"/>
  <c r="D61" i="61"/>
  <c r="I13" i="61"/>
  <c r="H36" i="61"/>
  <c r="G13" i="61"/>
  <c r="G81" i="61"/>
  <c r="I36" i="61"/>
  <c r="I59" i="61"/>
  <c r="E15" i="61"/>
  <c r="E61" i="61"/>
  <c r="F105" i="61"/>
  <c r="H81" i="61"/>
  <c r="F82" i="61"/>
  <c r="H59" i="61"/>
  <c r="H13" i="61"/>
  <c r="G59" i="61"/>
  <c r="F59" i="61"/>
  <c r="AM58" i="61" l="1"/>
  <c r="N58" i="61"/>
  <c r="S58" i="61" s="1"/>
  <c r="AC58" i="61" s="1"/>
  <c r="X58" i="61"/>
  <c r="AK58" i="61"/>
  <c r="L58" i="61"/>
  <c r="Q58" i="61" s="1"/>
  <c r="AA58" i="61" s="1"/>
  <c r="V58" i="61"/>
  <c r="AL12" i="61"/>
  <c r="M12" i="61"/>
  <c r="R12" i="61" s="1"/>
  <c r="AB12" i="61" s="1"/>
  <c r="W12" i="61"/>
  <c r="W35" i="61"/>
  <c r="AL35" i="61"/>
  <c r="M35" i="61"/>
  <c r="R35" i="61" s="1"/>
  <c r="AB35" i="61" s="1"/>
  <c r="V12" i="61"/>
  <c r="L12" i="61"/>
  <c r="Q12" i="61" s="1"/>
  <c r="AA12" i="61" s="1"/>
  <c r="AK12" i="61"/>
  <c r="AM12" i="61"/>
  <c r="N12" i="61"/>
  <c r="S12" i="61" s="1"/>
  <c r="AC12" i="61" s="1"/>
  <c r="X12" i="61"/>
  <c r="AM35" i="61"/>
  <c r="N35" i="61"/>
  <c r="S35" i="61" s="1"/>
  <c r="AC35" i="61" s="1"/>
  <c r="X35" i="61"/>
  <c r="AJ35" i="61"/>
  <c r="K35" i="61"/>
  <c r="P35" i="61" s="1"/>
  <c r="Z35" i="61" s="1"/>
  <c r="U35" i="61"/>
  <c r="AK81" i="61"/>
  <c r="L81" i="61"/>
  <c r="Q81" i="61" s="1"/>
  <c r="AA81" i="61" s="1"/>
  <c r="V81" i="61"/>
  <c r="AL81" i="61"/>
  <c r="M81" i="61"/>
  <c r="R81" i="61" s="1"/>
  <c r="AB81" i="61" s="1"/>
  <c r="W81" i="61"/>
  <c r="L104" i="61"/>
  <c r="Q104" i="61" s="1"/>
  <c r="AA104" i="61" s="1"/>
  <c r="AK104" i="61"/>
  <c r="V104" i="61"/>
  <c r="X104" i="61"/>
  <c r="N104" i="61"/>
  <c r="S104" i="61" s="1"/>
  <c r="AC104" i="61" s="1"/>
  <c r="AM104" i="61"/>
  <c r="U104" i="61"/>
  <c r="AJ104" i="61"/>
  <c r="K104" i="61"/>
  <c r="P104" i="61" s="1"/>
  <c r="Z104" i="61" s="1"/>
  <c r="AM81" i="61"/>
  <c r="N81" i="61"/>
  <c r="S81" i="61" s="1"/>
  <c r="AC81" i="61" s="1"/>
  <c r="X81" i="61"/>
  <c r="AO81" i="61"/>
  <c r="AO58" i="61"/>
  <c r="AQ104" i="61"/>
  <c r="AQ58" i="61"/>
  <c r="AO12" i="61"/>
  <c r="AP35" i="61"/>
  <c r="AK105" i="61"/>
  <c r="L105" i="61"/>
  <c r="Q105" i="61" s="1"/>
  <c r="AA105" i="61" s="1"/>
  <c r="V105" i="61"/>
  <c r="AK13" i="61"/>
  <c r="L13" i="61"/>
  <c r="Q13" i="61" s="1"/>
  <c r="AA13" i="61" s="1"/>
  <c r="V13" i="61"/>
  <c r="AJ105" i="61"/>
  <c r="K105" i="61"/>
  <c r="P105" i="61" s="1"/>
  <c r="Z105" i="61" s="1"/>
  <c r="U105" i="61"/>
  <c r="AM36" i="61"/>
  <c r="N36" i="61"/>
  <c r="S36" i="61" s="1"/>
  <c r="AC36" i="61" s="1"/>
  <c r="X36" i="61"/>
  <c r="AJ13" i="61"/>
  <c r="K13" i="61"/>
  <c r="P13" i="61" s="1"/>
  <c r="Z13" i="61" s="1"/>
  <c r="U13" i="61"/>
  <c r="AJ82" i="61"/>
  <c r="K82" i="61"/>
  <c r="P82" i="61" s="1"/>
  <c r="Z82" i="61" s="1"/>
  <c r="U82" i="61"/>
  <c r="AJ59" i="61"/>
  <c r="K59" i="61"/>
  <c r="P59" i="61" s="1"/>
  <c r="Z59" i="61" s="1"/>
  <c r="U59" i="61"/>
  <c r="AK82" i="61"/>
  <c r="L82" i="61"/>
  <c r="Q82" i="61" s="1"/>
  <c r="AA82" i="61" s="1"/>
  <c r="V82" i="61"/>
  <c r="AK59" i="61"/>
  <c r="L59" i="61"/>
  <c r="Q59" i="61" s="1"/>
  <c r="AA59" i="61" s="1"/>
  <c r="V59" i="61"/>
  <c r="AM82" i="61"/>
  <c r="N82" i="61"/>
  <c r="S82" i="61" s="1"/>
  <c r="AC82" i="61" s="1"/>
  <c r="X82" i="61"/>
  <c r="AJ36" i="61"/>
  <c r="K36" i="61"/>
  <c r="P36" i="61" s="1"/>
  <c r="Z36" i="61" s="1"/>
  <c r="U36" i="61"/>
  <c r="AL59" i="61"/>
  <c r="M59" i="61"/>
  <c r="R59" i="61" s="1"/>
  <c r="AB59" i="61" s="1"/>
  <c r="W59" i="61"/>
  <c r="AL82" i="61"/>
  <c r="M82" i="61"/>
  <c r="R82" i="61" s="1"/>
  <c r="AB82" i="61" s="1"/>
  <c r="W82" i="61"/>
  <c r="AL13" i="61"/>
  <c r="M13" i="61"/>
  <c r="R13" i="61" s="1"/>
  <c r="AB13" i="61" s="1"/>
  <c r="W13" i="61"/>
  <c r="AL105" i="61"/>
  <c r="M105" i="61"/>
  <c r="R105" i="61" s="1"/>
  <c r="AB105" i="61" s="1"/>
  <c r="W105" i="61"/>
  <c r="AK36" i="61"/>
  <c r="L36" i="61"/>
  <c r="Q36" i="61" s="1"/>
  <c r="AA36" i="61" s="1"/>
  <c r="V36" i="61"/>
  <c r="C61" i="61"/>
  <c r="AM59" i="61"/>
  <c r="N59" i="61"/>
  <c r="S59" i="61" s="1"/>
  <c r="AC59" i="61" s="1"/>
  <c r="X59" i="61"/>
  <c r="C107" i="61"/>
  <c r="C15" i="61"/>
  <c r="AM13" i="61"/>
  <c r="N13" i="61"/>
  <c r="S13" i="61" s="1"/>
  <c r="AC13" i="61" s="1"/>
  <c r="X13" i="61"/>
  <c r="AM105" i="61"/>
  <c r="N105" i="61"/>
  <c r="S105" i="61" s="1"/>
  <c r="AC105" i="61" s="1"/>
  <c r="X105" i="61"/>
  <c r="AL36" i="61"/>
  <c r="M36" i="61"/>
  <c r="R36" i="61" s="1"/>
  <c r="AB36" i="61" s="1"/>
  <c r="W36" i="61"/>
  <c r="C84" i="61"/>
  <c r="C38" i="61"/>
  <c r="B86" i="61"/>
  <c r="AH85" i="61"/>
  <c r="AF85" i="61"/>
  <c r="AE85" i="61"/>
  <c r="AG85" i="61"/>
  <c r="AE108" i="61"/>
  <c r="B109" i="61"/>
  <c r="AH108" i="61"/>
  <c r="AG108" i="61"/>
  <c r="AF108" i="61"/>
  <c r="AE16" i="61"/>
  <c r="AF16" i="61"/>
  <c r="B17" i="61"/>
  <c r="AH16" i="61"/>
  <c r="AG16" i="61"/>
  <c r="AH39" i="61"/>
  <c r="AG39" i="61"/>
  <c r="AF39" i="61"/>
  <c r="AE39" i="61"/>
  <c r="B40" i="61"/>
  <c r="B63" i="61"/>
  <c r="AH62" i="61"/>
  <c r="AF62" i="61"/>
  <c r="AE62" i="61"/>
  <c r="AG62" i="61"/>
  <c r="J17" i="58"/>
  <c r="J20" i="58"/>
  <c r="J23" i="58"/>
  <c r="J18" i="58"/>
  <c r="J21" i="58"/>
  <c r="J16" i="58"/>
  <c r="J13" i="58"/>
  <c r="J22" i="58"/>
  <c r="J11" i="58"/>
  <c r="J14" i="58"/>
  <c r="J9" i="58"/>
  <c r="J19" i="58"/>
  <c r="J15" i="58"/>
  <c r="J10" i="58"/>
  <c r="J4" i="58"/>
  <c r="J12" i="58"/>
  <c r="J8" i="58"/>
  <c r="J6" i="58"/>
  <c r="J3" i="58"/>
  <c r="J5" i="58"/>
  <c r="J2" i="58"/>
  <c r="J7" i="58"/>
  <c r="H106" i="61"/>
  <c r="F106" i="61"/>
  <c r="G14" i="61"/>
  <c r="G37" i="61"/>
  <c r="E62" i="61"/>
  <c r="A2" i="50"/>
  <c r="E16" i="61"/>
  <c r="G83" i="61"/>
  <c r="D85" i="61"/>
  <c r="H37" i="61"/>
  <c r="H60" i="61"/>
  <c r="F14" i="61"/>
  <c r="G60" i="61"/>
  <c r="D16" i="61"/>
  <c r="G106" i="61"/>
  <c r="F60" i="61"/>
  <c r="E85" i="61"/>
  <c r="I37" i="61"/>
  <c r="H14" i="61"/>
  <c r="F83" i="61"/>
  <c r="E39" i="61"/>
  <c r="D108" i="61"/>
  <c r="D39" i="61"/>
  <c r="I60" i="61"/>
  <c r="I106" i="61"/>
  <c r="D62" i="61"/>
  <c r="F37" i="61"/>
  <c r="I83" i="61"/>
  <c r="E108" i="61"/>
  <c r="I14" i="61"/>
  <c r="H83" i="61"/>
  <c r="AR58" i="61" l="1"/>
  <c r="AP58" i="61"/>
  <c r="AQ12" i="61"/>
  <c r="AQ35" i="61"/>
  <c r="AP12" i="61"/>
  <c r="AR12" i="61"/>
  <c r="AR35" i="61"/>
  <c r="AP81" i="61"/>
  <c r="AO35" i="61"/>
  <c r="AQ81" i="61"/>
  <c r="AP104" i="61"/>
  <c r="AO104" i="61"/>
  <c r="AR104" i="61"/>
  <c r="AR81" i="61"/>
  <c r="AO59" i="61"/>
  <c r="AO13" i="61"/>
  <c r="AQ59" i="61"/>
  <c r="AQ105" i="61"/>
  <c r="AP36" i="61"/>
  <c r="AR82" i="61"/>
  <c r="AP13" i="61"/>
  <c r="AR36" i="61"/>
  <c r="AJ106" i="61"/>
  <c r="K106" i="61"/>
  <c r="P106" i="61" s="1"/>
  <c r="Z106" i="61" s="1"/>
  <c r="U106" i="61"/>
  <c r="AL60" i="61"/>
  <c r="M60" i="61"/>
  <c r="R60" i="61" s="1"/>
  <c r="AB60" i="61" s="1"/>
  <c r="W60" i="61"/>
  <c r="AM37" i="61"/>
  <c r="N37" i="61"/>
  <c r="S37" i="61" s="1"/>
  <c r="AC37" i="61" s="1"/>
  <c r="X37" i="61"/>
  <c r="AK106" i="61"/>
  <c r="L106" i="61"/>
  <c r="Q106" i="61" s="1"/>
  <c r="AA106" i="61" s="1"/>
  <c r="V106" i="61"/>
  <c r="C39" i="61"/>
  <c r="C108" i="61"/>
  <c r="C85" i="61"/>
  <c r="AL106" i="61"/>
  <c r="M106" i="61"/>
  <c r="R106" i="61" s="1"/>
  <c r="AB106" i="61" s="1"/>
  <c r="W106" i="61"/>
  <c r="AK60" i="61"/>
  <c r="L60" i="61"/>
  <c r="Q60" i="61" s="1"/>
  <c r="AA60" i="61" s="1"/>
  <c r="V60" i="61"/>
  <c r="AJ14" i="61"/>
  <c r="K14" i="61"/>
  <c r="P14" i="61" s="1"/>
  <c r="Z14" i="61" s="1"/>
  <c r="U14" i="61"/>
  <c r="AM106" i="61"/>
  <c r="N106" i="61"/>
  <c r="S106" i="61" s="1"/>
  <c r="AC106" i="61" s="1"/>
  <c r="X106" i="61"/>
  <c r="L14" i="61"/>
  <c r="Q14" i="61" s="1"/>
  <c r="AA14" i="61" s="1"/>
  <c r="AK14" i="61"/>
  <c r="V14" i="61"/>
  <c r="AL37" i="61"/>
  <c r="M37" i="61"/>
  <c r="R37" i="61" s="1"/>
  <c r="AB37" i="61" s="1"/>
  <c r="W37" i="61"/>
  <c r="C62" i="61"/>
  <c r="AL14" i="61"/>
  <c r="M14" i="61"/>
  <c r="R14" i="61" s="1"/>
  <c r="AB14" i="61" s="1"/>
  <c r="W14" i="61"/>
  <c r="AJ37" i="61"/>
  <c r="K37" i="61"/>
  <c r="P37" i="61" s="1"/>
  <c r="Z37" i="61" s="1"/>
  <c r="U37" i="61"/>
  <c r="AJ83" i="61"/>
  <c r="K83" i="61"/>
  <c r="P83" i="61" s="1"/>
  <c r="Z83" i="61" s="1"/>
  <c r="U83" i="61"/>
  <c r="C16" i="61"/>
  <c r="AM60" i="61"/>
  <c r="N60" i="61"/>
  <c r="S60" i="61" s="1"/>
  <c r="AC60" i="61" s="1"/>
  <c r="X60" i="61"/>
  <c r="AL83" i="61"/>
  <c r="M83" i="61"/>
  <c r="R83" i="61" s="1"/>
  <c r="AB83" i="61" s="1"/>
  <c r="W83" i="61"/>
  <c r="AM83" i="61"/>
  <c r="N83" i="61"/>
  <c r="S83" i="61" s="1"/>
  <c r="AC83" i="61" s="1"/>
  <c r="X83" i="61"/>
  <c r="AM14" i="61"/>
  <c r="N14" i="61"/>
  <c r="S14" i="61" s="1"/>
  <c r="AC14" i="61" s="1"/>
  <c r="X14" i="61"/>
  <c r="AK37" i="61"/>
  <c r="L37" i="61"/>
  <c r="Q37" i="61" s="1"/>
  <c r="AA37" i="61" s="1"/>
  <c r="V37" i="61"/>
  <c r="AK83" i="61"/>
  <c r="L83" i="61"/>
  <c r="Q83" i="61" s="1"/>
  <c r="AA83" i="61" s="1"/>
  <c r="V83" i="61"/>
  <c r="AJ60" i="61"/>
  <c r="K60" i="61"/>
  <c r="P60" i="61" s="1"/>
  <c r="Z60" i="61" s="1"/>
  <c r="U60" i="61"/>
  <c r="AQ36" i="61"/>
  <c r="AQ13" i="61"/>
  <c r="AO36" i="61"/>
  <c r="AO82" i="61"/>
  <c r="AO105" i="61"/>
  <c r="B110" i="61"/>
  <c r="AH109" i="61"/>
  <c r="AG109" i="61"/>
  <c r="AF109" i="61"/>
  <c r="AE109" i="61"/>
  <c r="B18" i="61"/>
  <c r="AH17" i="61"/>
  <c r="AG17" i="61"/>
  <c r="AF17" i="61"/>
  <c r="AE17" i="61"/>
  <c r="B41" i="61"/>
  <c r="AH40" i="61"/>
  <c r="AG40" i="61"/>
  <c r="AF40" i="61"/>
  <c r="AE40" i="61"/>
  <c r="AH86" i="61"/>
  <c r="AG86" i="61"/>
  <c r="AF86" i="61"/>
  <c r="AE86" i="61"/>
  <c r="B87" i="61"/>
  <c r="AR105" i="61"/>
  <c r="AR59" i="61"/>
  <c r="AG63" i="61"/>
  <c r="AF63" i="61"/>
  <c r="AE63" i="61"/>
  <c r="B64" i="61"/>
  <c r="AH63" i="61"/>
  <c r="AP82" i="61"/>
  <c r="AR13" i="61"/>
  <c r="AQ82" i="61"/>
  <c r="AP59" i="61"/>
  <c r="AP105" i="61"/>
  <c r="K17" i="58"/>
  <c r="K20" i="58"/>
  <c r="K23" i="58"/>
  <c r="K18" i="58"/>
  <c r="K21" i="58"/>
  <c r="K16" i="58"/>
  <c r="K22" i="58"/>
  <c r="K19" i="58"/>
  <c r="K11" i="58"/>
  <c r="K14" i="58"/>
  <c r="K12" i="58"/>
  <c r="K10" i="58"/>
  <c r="K5" i="58"/>
  <c r="K8" i="58"/>
  <c r="K6" i="58"/>
  <c r="K15" i="58"/>
  <c r="K3" i="58"/>
  <c r="K13" i="58"/>
  <c r="K7" i="58"/>
  <c r="K9" i="58"/>
  <c r="K4" i="58"/>
  <c r="K2" i="58"/>
  <c r="G61" i="61"/>
  <c r="E86" i="61"/>
  <c r="I61" i="61"/>
  <c r="F61" i="61"/>
  <c r="F107" i="61"/>
  <c r="I107" i="61"/>
  <c r="D109" i="61"/>
  <c r="D63" i="61"/>
  <c r="E17" i="61"/>
  <c r="H61" i="61"/>
  <c r="I15" i="61"/>
  <c r="G107" i="61"/>
  <c r="I84" i="61"/>
  <c r="F15" i="61"/>
  <c r="F38" i="61"/>
  <c r="D17" i="61"/>
  <c r="E109" i="61"/>
  <c r="G84" i="61"/>
  <c r="H15" i="61"/>
  <c r="E40" i="61"/>
  <c r="I38" i="61"/>
  <c r="H38" i="61"/>
  <c r="D86" i="61"/>
  <c r="F84" i="61"/>
  <c r="G38" i="61"/>
  <c r="H107" i="61"/>
  <c r="D40" i="61"/>
  <c r="G15" i="61"/>
  <c r="E63" i="61"/>
  <c r="H84" i="61"/>
  <c r="AO83" i="61" l="1"/>
  <c r="AR14" i="61"/>
  <c r="AR60" i="61"/>
  <c r="AQ60" i="61"/>
  <c r="AP37" i="61"/>
  <c r="AP83" i="61"/>
  <c r="AP106" i="61"/>
  <c r="C63" i="61"/>
  <c r="AL61" i="61"/>
  <c r="M61" i="61"/>
  <c r="R61" i="61" s="1"/>
  <c r="AB61" i="61" s="1"/>
  <c r="W61" i="61"/>
  <c r="AK107" i="61"/>
  <c r="L107" i="61"/>
  <c r="Q107" i="61" s="1"/>
  <c r="AA107" i="61" s="1"/>
  <c r="V107" i="61"/>
  <c r="AJ61" i="61"/>
  <c r="K61" i="61"/>
  <c r="P61" i="61" s="1"/>
  <c r="Z61" i="61" s="1"/>
  <c r="U61" i="61"/>
  <c r="AL107" i="61"/>
  <c r="M107" i="61"/>
  <c r="R107" i="61" s="1"/>
  <c r="AB107" i="61" s="1"/>
  <c r="W107" i="61"/>
  <c r="AK61" i="61"/>
  <c r="L61" i="61"/>
  <c r="Q61" i="61" s="1"/>
  <c r="AA61" i="61" s="1"/>
  <c r="V61" i="61"/>
  <c r="AM107" i="61"/>
  <c r="N107" i="61"/>
  <c r="S107" i="61" s="1"/>
  <c r="AC107" i="61" s="1"/>
  <c r="X107" i="61"/>
  <c r="AJ38" i="61"/>
  <c r="K38" i="61"/>
  <c r="P38" i="61" s="1"/>
  <c r="Z38" i="61" s="1"/>
  <c r="U38" i="61"/>
  <c r="C40" i="61"/>
  <c r="AM61" i="61"/>
  <c r="N61" i="61"/>
  <c r="S61" i="61" s="1"/>
  <c r="AC61" i="61" s="1"/>
  <c r="X61" i="61"/>
  <c r="AJ107" i="61"/>
  <c r="K107" i="61"/>
  <c r="P107" i="61" s="1"/>
  <c r="Z107" i="61" s="1"/>
  <c r="U107" i="61"/>
  <c r="AK38" i="61"/>
  <c r="L38" i="61"/>
  <c r="Q38" i="61" s="1"/>
  <c r="AA38" i="61" s="1"/>
  <c r="V38" i="61"/>
  <c r="AL15" i="61"/>
  <c r="M15" i="61"/>
  <c r="R15" i="61" s="1"/>
  <c r="AB15" i="61" s="1"/>
  <c r="W15" i="61"/>
  <c r="AM84" i="61"/>
  <c r="N84" i="61"/>
  <c r="S84" i="61" s="1"/>
  <c r="AC84" i="61" s="1"/>
  <c r="X84" i="61"/>
  <c r="AL84" i="61"/>
  <c r="M84" i="61"/>
  <c r="R84" i="61" s="1"/>
  <c r="AB84" i="61" s="1"/>
  <c r="W84" i="61"/>
  <c r="AL38" i="61"/>
  <c r="M38" i="61"/>
  <c r="R38" i="61" s="1"/>
  <c r="AB38" i="61" s="1"/>
  <c r="W38" i="61"/>
  <c r="AM15" i="61"/>
  <c r="N15" i="61"/>
  <c r="S15" i="61" s="1"/>
  <c r="AC15" i="61" s="1"/>
  <c r="X15" i="61"/>
  <c r="AM38" i="61"/>
  <c r="N38" i="61"/>
  <c r="S38" i="61" s="1"/>
  <c r="AC38" i="61" s="1"/>
  <c r="X38" i="61"/>
  <c r="C86" i="61"/>
  <c r="AK15" i="61"/>
  <c r="L15" i="61"/>
  <c r="Q15" i="61" s="1"/>
  <c r="AA15" i="61" s="1"/>
  <c r="V15" i="61"/>
  <c r="C109" i="61"/>
  <c r="AJ84" i="61"/>
  <c r="K84" i="61"/>
  <c r="P84" i="61" s="1"/>
  <c r="Z84" i="61" s="1"/>
  <c r="U84" i="61"/>
  <c r="AK84" i="61"/>
  <c r="L84" i="61"/>
  <c r="Q84" i="61" s="1"/>
  <c r="AA84" i="61" s="1"/>
  <c r="V84" i="61"/>
  <c r="C17" i="61"/>
  <c r="AJ15" i="61"/>
  <c r="K15" i="61"/>
  <c r="P15" i="61" s="1"/>
  <c r="Z15" i="61" s="1"/>
  <c r="U15" i="61"/>
  <c r="AE18" i="61"/>
  <c r="AF18" i="61"/>
  <c r="B19" i="61"/>
  <c r="AH18" i="61"/>
  <c r="AG18" i="61"/>
  <c r="AQ83" i="61"/>
  <c r="AO14" i="61"/>
  <c r="AR37" i="61"/>
  <c r="B65" i="61"/>
  <c r="AH64" i="61"/>
  <c r="AF64" i="61"/>
  <c r="AE64" i="61"/>
  <c r="AG64" i="61"/>
  <c r="AO37" i="61"/>
  <c r="AQ106" i="61"/>
  <c r="AH41" i="61"/>
  <c r="AG41" i="61"/>
  <c r="AF41" i="61"/>
  <c r="AE41" i="61"/>
  <c r="B42" i="61"/>
  <c r="AQ37" i="61"/>
  <c r="AR83" i="61"/>
  <c r="AQ14" i="61"/>
  <c r="AR106" i="61"/>
  <c r="B88" i="61"/>
  <c r="AH87" i="61"/>
  <c r="AF87" i="61"/>
  <c r="AE87" i="61"/>
  <c r="AG87" i="61"/>
  <c r="AE110" i="61"/>
  <c r="B111" i="61"/>
  <c r="AH110" i="61"/>
  <c r="AG110" i="61"/>
  <c r="AF110" i="61"/>
  <c r="AO60" i="61"/>
  <c r="AP14" i="61"/>
  <c r="AP60" i="61"/>
  <c r="AO106" i="61"/>
  <c r="L20" i="58"/>
  <c r="L23" i="58"/>
  <c r="L18" i="58"/>
  <c r="L21" i="58"/>
  <c r="L16" i="58"/>
  <c r="L22" i="58"/>
  <c r="L19" i="58"/>
  <c r="L11" i="58"/>
  <c r="L17" i="58"/>
  <c r="L14" i="58"/>
  <c r="L12" i="58"/>
  <c r="L15" i="58"/>
  <c r="L13" i="58"/>
  <c r="L5" i="58"/>
  <c r="L8" i="58"/>
  <c r="L6" i="58"/>
  <c r="L3" i="58"/>
  <c r="L9" i="58"/>
  <c r="L7" i="58"/>
  <c r="L10" i="58"/>
  <c r="L4" i="58"/>
  <c r="L2" i="58"/>
  <c r="H62" i="61"/>
  <c r="G62" i="61"/>
  <c r="D18" i="61"/>
  <c r="G16" i="61"/>
  <c r="D110" i="61"/>
  <c r="I85" i="61"/>
  <c r="F85" i="61"/>
  <c r="E64" i="61"/>
  <c r="D64" i="61"/>
  <c r="I62" i="61"/>
  <c r="D87" i="61"/>
  <c r="H39" i="61"/>
  <c r="E110" i="61"/>
  <c r="D41" i="61"/>
  <c r="H85" i="61"/>
  <c r="G108" i="61"/>
  <c r="E41" i="61"/>
  <c r="H108" i="61"/>
  <c r="F39" i="61"/>
  <c r="G39" i="61"/>
  <c r="E18" i="61"/>
  <c r="F62" i="61"/>
  <c r="E87" i="61"/>
  <c r="G85" i="61"/>
  <c r="F108" i="61"/>
  <c r="I108" i="61"/>
  <c r="I16" i="61"/>
  <c r="F16" i="61"/>
  <c r="H16" i="61"/>
  <c r="I39" i="61"/>
  <c r="AR38" i="61" l="1"/>
  <c r="AQ84" i="61"/>
  <c r="AP61" i="61"/>
  <c r="AO38" i="61"/>
  <c r="AO61" i="61"/>
  <c r="AO84" i="61"/>
  <c r="AQ15" i="61"/>
  <c r="AJ16" i="61"/>
  <c r="K16" i="61"/>
  <c r="P16" i="61" s="1"/>
  <c r="Z16" i="61" s="1"/>
  <c r="U16" i="61"/>
  <c r="AJ39" i="61"/>
  <c r="K39" i="61"/>
  <c r="P39" i="61" s="1"/>
  <c r="Z39" i="61" s="1"/>
  <c r="U39" i="61"/>
  <c r="C110" i="61"/>
  <c r="AK16" i="61"/>
  <c r="L16" i="61"/>
  <c r="Q16" i="61" s="1"/>
  <c r="AA16" i="61" s="1"/>
  <c r="V16" i="61"/>
  <c r="AM62" i="61"/>
  <c r="N62" i="61"/>
  <c r="S62" i="61" s="1"/>
  <c r="AC62" i="61" s="1"/>
  <c r="X62" i="61"/>
  <c r="AK39" i="61"/>
  <c r="L39" i="61"/>
  <c r="Q39" i="61" s="1"/>
  <c r="AA39" i="61" s="1"/>
  <c r="V39" i="61"/>
  <c r="AJ108" i="61"/>
  <c r="K108" i="61"/>
  <c r="P108" i="61" s="1"/>
  <c r="Z108" i="61" s="1"/>
  <c r="U108" i="61"/>
  <c r="AL16" i="61"/>
  <c r="M16" i="61"/>
  <c r="R16" i="61" s="1"/>
  <c r="AB16" i="61" s="1"/>
  <c r="W16" i="61"/>
  <c r="AJ62" i="61"/>
  <c r="K62" i="61"/>
  <c r="P62" i="61" s="1"/>
  <c r="Z62" i="61" s="1"/>
  <c r="U62" i="61"/>
  <c r="C18" i="61"/>
  <c r="AL39" i="61"/>
  <c r="M39" i="61"/>
  <c r="R39" i="61" s="1"/>
  <c r="AB39" i="61" s="1"/>
  <c r="W39" i="61"/>
  <c r="C87" i="61"/>
  <c r="AK108" i="61"/>
  <c r="L108" i="61"/>
  <c r="Q108" i="61" s="1"/>
  <c r="AA108" i="61" s="1"/>
  <c r="V108" i="61"/>
  <c r="AJ85" i="61"/>
  <c r="K85" i="61"/>
  <c r="P85" i="61" s="1"/>
  <c r="Z85" i="61" s="1"/>
  <c r="U85" i="61"/>
  <c r="AM16" i="61"/>
  <c r="N16" i="61"/>
  <c r="S16" i="61" s="1"/>
  <c r="AC16" i="61" s="1"/>
  <c r="X16" i="61"/>
  <c r="AK62" i="61"/>
  <c r="L62" i="61"/>
  <c r="Q62" i="61" s="1"/>
  <c r="AA62" i="61" s="1"/>
  <c r="V62" i="61"/>
  <c r="AM39" i="61"/>
  <c r="N39" i="61"/>
  <c r="S39" i="61" s="1"/>
  <c r="AC39" i="61" s="1"/>
  <c r="X39" i="61"/>
  <c r="AL108" i="61"/>
  <c r="M108" i="61"/>
  <c r="R108" i="61" s="1"/>
  <c r="AB108" i="61" s="1"/>
  <c r="W108" i="61"/>
  <c r="AK85" i="61"/>
  <c r="L85" i="61"/>
  <c r="Q85" i="61" s="1"/>
  <c r="AA85" i="61" s="1"/>
  <c r="V85" i="61"/>
  <c r="C41" i="61"/>
  <c r="AL62" i="61"/>
  <c r="M62" i="61"/>
  <c r="R62" i="61" s="1"/>
  <c r="AB62" i="61" s="1"/>
  <c r="W62" i="61"/>
  <c r="AM108" i="61"/>
  <c r="N108" i="61"/>
  <c r="S108" i="61" s="1"/>
  <c r="AC108" i="61" s="1"/>
  <c r="X108" i="61"/>
  <c r="AL85" i="61"/>
  <c r="M85" i="61"/>
  <c r="R85" i="61" s="1"/>
  <c r="AB85" i="61" s="1"/>
  <c r="W85" i="61"/>
  <c r="AM85" i="61"/>
  <c r="N85" i="61"/>
  <c r="S85" i="61" s="1"/>
  <c r="AC85" i="61" s="1"/>
  <c r="X85" i="61"/>
  <c r="C64" i="61"/>
  <c r="B112" i="61"/>
  <c r="AH111" i="61"/>
  <c r="AG111" i="61"/>
  <c r="AF111" i="61"/>
  <c r="AE111" i="61"/>
  <c r="AG65" i="61"/>
  <c r="AF65" i="61"/>
  <c r="AE65" i="61"/>
  <c r="B66" i="61"/>
  <c r="AH65" i="61"/>
  <c r="AH19" i="61"/>
  <c r="AG19" i="61"/>
  <c r="AF19" i="61"/>
  <c r="AE19" i="61"/>
  <c r="B20" i="61"/>
  <c r="AP38" i="61"/>
  <c r="AQ107" i="61"/>
  <c r="AP15" i="61"/>
  <c r="AR15" i="61"/>
  <c r="AO107" i="61"/>
  <c r="AP84" i="61"/>
  <c r="AR84" i="61"/>
  <c r="AP107" i="61"/>
  <c r="AQ38" i="61"/>
  <c r="AR61" i="61"/>
  <c r="AR107" i="61"/>
  <c r="AQ61" i="61"/>
  <c r="AH88" i="61"/>
  <c r="AG88" i="61"/>
  <c r="AF88" i="61"/>
  <c r="AE88" i="61"/>
  <c r="B89" i="61"/>
  <c r="B43" i="61"/>
  <c r="AH42" i="61"/>
  <c r="AG42" i="61"/>
  <c r="AF42" i="61"/>
  <c r="AE42" i="61"/>
  <c r="AO15" i="61"/>
  <c r="M23" i="58"/>
  <c r="M18" i="58"/>
  <c r="M21" i="58"/>
  <c r="M22" i="58"/>
  <c r="M19" i="58"/>
  <c r="M17" i="58"/>
  <c r="M14" i="58"/>
  <c r="M9" i="58"/>
  <c r="M12" i="58"/>
  <c r="M15" i="58"/>
  <c r="M20" i="58"/>
  <c r="M16" i="58"/>
  <c r="M10" i="58"/>
  <c r="M8" i="58"/>
  <c r="M6" i="58"/>
  <c r="M11" i="58"/>
  <c r="M7" i="58"/>
  <c r="M13" i="58"/>
  <c r="M4" i="58"/>
  <c r="M5" i="58"/>
  <c r="M3" i="58"/>
  <c r="M2" i="58"/>
  <c r="O22" i="18"/>
  <c r="H40" i="61"/>
  <c r="G63" i="61"/>
  <c r="D19" i="61"/>
  <c r="E111" i="61"/>
  <c r="I40" i="61"/>
  <c r="D42" i="61"/>
  <c r="G86" i="61"/>
  <c r="F63" i="61"/>
  <c r="E88" i="61"/>
  <c r="D88" i="61"/>
  <c r="I17" i="61"/>
  <c r="D111" i="61"/>
  <c r="I86" i="61"/>
  <c r="H109" i="61"/>
  <c r="H63" i="61"/>
  <c r="D65" i="61"/>
  <c r="E19" i="61"/>
  <c r="F17" i="61"/>
  <c r="G40" i="61"/>
  <c r="H17" i="61"/>
  <c r="E42" i="61"/>
  <c r="I63" i="61"/>
  <c r="E65" i="61"/>
  <c r="H86" i="61"/>
  <c r="F109" i="61"/>
  <c r="F86" i="61"/>
  <c r="I109" i="61"/>
  <c r="G109" i="61"/>
  <c r="G17" i="61"/>
  <c r="F40" i="61"/>
  <c r="AP85" i="61" l="1"/>
  <c r="AQ16" i="61"/>
  <c r="AR108" i="61"/>
  <c r="AP39" i="61"/>
  <c r="AO108" i="61"/>
  <c r="AO62" i="61"/>
  <c r="AR39" i="61"/>
  <c r="AP108" i="61"/>
  <c r="AM17" i="61"/>
  <c r="N17" i="61"/>
  <c r="S17" i="61" s="1"/>
  <c r="AC17" i="61" s="1"/>
  <c r="X17" i="61"/>
  <c r="C88" i="61"/>
  <c r="AJ17" i="61"/>
  <c r="K17" i="61"/>
  <c r="P17" i="61" s="1"/>
  <c r="Z17" i="61" s="1"/>
  <c r="U17" i="61"/>
  <c r="AM40" i="61"/>
  <c r="N40" i="61"/>
  <c r="S40" i="61" s="1"/>
  <c r="AC40" i="61" s="1"/>
  <c r="X40" i="61"/>
  <c r="AL109" i="61"/>
  <c r="M109" i="61"/>
  <c r="R109" i="61" s="1"/>
  <c r="AB109" i="61" s="1"/>
  <c r="W109" i="61"/>
  <c r="AM63" i="61"/>
  <c r="N63" i="61"/>
  <c r="S63" i="61" s="1"/>
  <c r="AC63" i="61" s="1"/>
  <c r="X63" i="61"/>
  <c r="AL86" i="61"/>
  <c r="M86" i="61"/>
  <c r="R86" i="61" s="1"/>
  <c r="AB86" i="61" s="1"/>
  <c r="W86" i="61"/>
  <c r="C111" i="61"/>
  <c r="AL40" i="61"/>
  <c r="M40" i="61"/>
  <c r="R40" i="61" s="1"/>
  <c r="AB40" i="61" s="1"/>
  <c r="W40" i="61"/>
  <c r="C42" i="61"/>
  <c r="AJ86" i="61"/>
  <c r="K86" i="61"/>
  <c r="P86" i="61" s="1"/>
  <c r="Z86" i="61" s="1"/>
  <c r="U86" i="61"/>
  <c r="C19" i="61"/>
  <c r="AK63" i="61"/>
  <c r="L63" i="61"/>
  <c r="Q63" i="61" s="1"/>
  <c r="AA63" i="61" s="1"/>
  <c r="V63" i="61"/>
  <c r="AM109" i="61"/>
  <c r="N109" i="61"/>
  <c r="S109" i="61" s="1"/>
  <c r="AC109" i="61" s="1"/>
  <c r="X109" i="61"/>
  <c r="AK40" i="61"/>
  <c r="L40" i="61"/>
  <c r="Q40" i="61" s="1"/>
  <c r="AA40" i="61" s="1"/>
  <c r="V40" i="61"/>
  <c r="AJ109" i="61"/>
  <c r="K109" i="61"/>
  <c r="P109" i="61" s="1"/>
  <c r="Z109" i="61" s="1"/>
  <c r="U109" i="61"/>
  <c r="AL63" i="61"/>
  <c r="M63" i="61"/>
  <c r="R63" i="61" s="1"/>
  <c r="AB63" i="61" s="1"/>
  <c r="W63" i="61"/>
  <c r="AK86" i="61"/>
  <c r="L86" i="61"/>
  <c r="Q86" i="61" s="1"/>
  <c r="AA86" i="61" s="1"/>
  <c r="V86" i="61"/>
  <c r="AK17" i="61"/>
  <c r="L17" i="61"/>
  <c r="Q17" i="61" s="1"/>
  <c r="AA17" i="61" s="1"/>
  <c r="V17" i="61"/>
  <c r="AJ63" i="61"/>
  <c r="K63" i="61"/>
  <c r="P63" i="61" s="1"/>
  <c r="Z63" i="61" s="1"/>
  <c r="U63" i="61"/>
  <c r="AK109" i="61"/>
  <c r="L109" i="61"/>
  <c r="Q109" i="61" s="1"/>
  <c r="AA109" i="61" s="1"/>
  <c r="V109" i="61"/>
  <c r="AM86" i="61"/>
  <c r="N86" i="61"/>
  <c r="S86" i="61" s="1"/>
  <c r="AC86" i="61" s="1"/>
  <c r="X86" i="61"/>
  <c r="AL17" i="61"/>
  <c r="M17" i="61"/>
  <c r="R17" i="61" s="1"/>
  <c r="AB17" i="61" s="1"/>
  <c r="W17" i="61"/>
  <c r="AJ40" i="61"/>
  <c r="K40" i="61"/>
  <c r="P40" i="61" s="1"/>
  <c r="Z40" i="61" s="1"/>
  <c r="U40" i="61"/>
  <c r="C65" i="61"/>
  <c r="AQ39" i="61"/>
  <c r="AR62" i="61"/>
  <c r="AO16" i="61"/>
  <c r="AQ85" i="61"/>
  <c r="AO85" i="61"/>
  <c r="B90" i="61"/>
  <c r="AH89" i="61"/>
  <c r="AF89" i="61"/>
  <c r="AE89" i="61"/>
  <c r="AG89" i="61"/>
  <c r="B67" i="61"/>
  <c r="AH66" i="61"/>
  <c r="AF66" i="61"/>
  <c r="AE66" i="61"/>
  <c r="AG66" i="61"/>
  <c r="AR85" i="61"/>
  <c r="AQ62" i="61"/>
  <c r="AQ108" i="61"/>
  <c r="AO39" i="61"/>
  <c r="B113" i="61"/>
  <c r="AH112" i="61"/>
  <c r="AF112" i="61"/>
  <c r="AE112" i="61"/>
  <c r="AG112" i="61"/>
  <c r="AP62" i="61"/>
  <c r="AP16" i="61"/>
  <c r="AH43" i="61"/>
  <c r="AG43" i="61"/>
  <c r="AF43" i="61"/>
  <c r="AE43" i="61"/>
  <c r="B44" i="61"/>
  <c r="B21" i="61"/>
  <c r="AH20" i="61"/>
  <c r="AG20" i="61"/>
  <c r="AE20" i="61"/>
  <c r="AF20" i="61"/>
  <c r="AR16" i="61"/>
  <c r="N23" i="58"/>
  <c r="N18" i="58"/>
  <c r="N21" i="58"/>
  <c r="N16" i="58"/>
  <c r="N22" i="58"/>
  <c r="N19" i="58"/>
  <c r="N17" i="58"/>
  <c r="N20" i="58"/>
  <c r="N9" i="58"/>
  <c r="N12" i="58"/>
  <c r="N15" i="58"/>
  <c r="N13" i="58"/>
  <c r="N11" i="58"/>
  <c r="N8" i="58"/>
  <c r="N6" i="58"/>
  <c r="N14" i="58"/>
  <c r="N7" i="58"/>
  <c r="N4" i="58"/>
  <c r="N10" i="58"/>
  <c r="N3" i="58"/>
  <c r="N2" i="58"/>
  <c r="N5" i="58"/>
  <c r="F110" i="61"/>
  <c r="H18" i="61"/>
  <c r="I41" i="61"/>
  <c r="D112" i="61"/>
  <c r="E43" i="61"/>
  <c r="H87" i="61"/>
  <c r="F87" i="61"/>
  <c r="I64" i="61"/>
  <c r="D20" i="61"/>
  <c r="H110" i="61"/>
  <c r="I87" i="61"/>
  <c r="G87" i="61"/>
  <c r="H64" i="61"/>
  <c r="E20" i="61"/>
  <c r="H41" i="61"/>
  <c r="G64" i="61"/>
  <c r="G110" i="61"/>
  <c r="I110" i="61"/>
  <c r="F18" i="61"/>
  <c r="G18" i="61"/>
  <c r="I18" i="61"/>
  <c r="E89" i="61"/>
  <c r="F64" i="61"/>
  <c r="D66" i="61"/>
  <c r="D43" i="61"/>
  <c r="G41" i="61"/>
  <c r="F41" i="61"/>
  <c r="D89" i="61"/>
  <c r="E112" i="61"/>
  <c r="E66" i="61"/>
  <c r="AP109" i="61" l="1"/>
  <c r="AP86" i="61"/>
  <c r="AO40" i="61"/>
  <c r="AO17" i="61"/>
  <c r="AP40" i="61"/>
  <c r="AQ63" i="61"/>
  <c r="AP17" i="61"/>
  <c r="AQ109" i="61"/>
  <c r="AP63" i="61"/>
  <c r="AQ40" i="61"/>
  <c r="AK41" i="61"/>
  <c r="L41" i="61"/>
  <c r="Q41" i="61" s="1"/>
  <c r="AA41" i="61" s="1"/>
  <c r="V41" i="61"/>
  <c r="AL41" i="61"/>
  <c r="M41" i="61"/>
  <c r="R41" i="61" s="1"/>
  <c r="AB41" i="61" s="1"/>
  <c r="W41" i="61"/>
  <c r="C112" i="61"/>
  <c r="AM41" i="61"/>
  <c r="N41" i="61"/>
  <c r="S41" i="61" s="1"/>
  <c r="AC41" i="61" s="1"/>
  <c r="X41" i="61"/>
  <c r="AJ87" i="61"/>
  <c r="K87" i="61"/>
  <c r="P87" i="61" s="1"/>
  <c r="Z87" i="61" s="1"/>
  <c r="U87" i="61"/>
  <c r="AM64" i="61"/>
  <c r="N64" i="61"/>
  <c r="S64" i="61" s="1"/>
  <c r="AC64" i="61" s="1"/>
  <c r="X64" i="61"/>
  <c r="AJ110" i="61"/>
  <c r="K110" i="61"/>
  <c r="P110" i="61" s="1"/>
  <c r="Z110" i="61" s="1"/>
  <c r="U110" i="61"/>
  <c r="AK110" i="61"/>
  <c r="L110" i="61"/>
  <c r="Q110" i="61" s="1"/>
  <c r="AA110" i="61" s="1"/>
  <c r="V110" i="61"/>
  <c r="AJ18" i="61"/>
  <c r="K18" i="61"/>
  <c r="P18" i="61" s="1"/>
  <c r="Z18" i="61" s="1"/>
  <c r="U18" i="61"/>
  <c r="AL87" i="61"/>
  <c r="M87" i="61"/>
  <c r="R87" i="61" s="1"/>
  <c r="AB87" i="61" s="1"/>
  <c r="W87" i="61"/>
  <c r="AK64" i="61"/>
  <c r="L64" i="61"/>
  <c r="Q64" i="61" s="1"/>
  <c r="AA64" i="61" s="1"/>
  <c r="V64" i="61"/>
  <c r="AL110" i="61"/>
  <c r="M110" i="61"/>
  <c r="R110" i="61" s="1"/>
  <c r="AB110" i="61" s="1"/>
  <c r="W110" i="61"/>
  <c r="L18" i="61"/>
  <c r="Q18" i="61" s="1"/>
  <c r="AA18" i="61" s="1"/>
  <c r="AK18" i="61"/>
  <c r="V18" i="61"/>
  <c r="AJ64" i="61"/>
  <c r="K64" i="61"/>
  <c r="P64" i="61" s="1"/>
  <c r="Z64" i="61" s="1"/>
  <c r="U64" i="61"/>
  <c r="AM87" i="61"/>
  <c r="N87" i="61"/>
  <c r="S87" i="61" s="1"/>
  <c r="AC87" i="61" s="1"/>
  <c r="X87" i="61"/>
  <c r="AL64" i="61"/>
  <c r="M64" i="61"/>
  <c r="R64" i="61" s="1"/>
  <c r="AB64" i="61" s="1"/>
  <c r="W64" i="61"/>
  <c r="C43" i="61"/>
  <c r="AM110" i="61"/>
  <c r="N110" i="61"/>
  <c r="S110" i="61" s="1"/>
  <c r="AC110" i="61" s="1"/>
  <c r="X110" i="61"/>
  <c r="C89" i="61"/>
  <c r="AL18" i="61"/>
  <c r="M18" i="61"/>
  <c r="R18" i="61" s="1"/>
  <c r="AB18" i="61" s="1"/>
  <c r="W18" i="61"/>
  <c r="AK87" i="61"/>
  <c r="L87" i="61"/>
  <c r="Q87" i="61" s="1"/>
  <c r="AA87" i="61" s="1"/>
  <c r="V87" i="61"/>
  <c r="C66" i="61"/>
  <c r="C20" i="61"/>
  <c r="AJ41" i="61"/>
  <c r="K41" i="61"/>
  <c r="P41" i="61" s="1"/>
  <c r="Z41" i="61" s="1"/>
  <c r="U41" i="61"/>
  <c r="AM18" i="61"/>
  <c r="N18" i="61"/>
  <c r="S18" i="61" s="1"/>
  <c r="AC18" i="61" s="1"/>
  <c r="X18" i="61"/>
  <c r="AE21" i="61"/>
  <c r="AG21" i="61"/>
  <c r="AH21" i="61"/>
  <c r="AF21" i="61"/>
  <c r="B22" i="61"/>
  <c r="B45" i="61"/>
  <c r="AH44" i="61"/>
  <c r="AG44" i="61"/>
  <c r="AF44" i="61"/>
  <c r="AE44" i="61"/>
  <c r="AH90" i="61"/>
  <c r="AG90" i="61"/>
  <c r="AF90" i="61"/>
  <c r="AE90" i="61"/>
  <c r="B91" i="61"/>
  <c r="AR86" i="61"/>
  <c r="AO109" i="61"/>
  <c r="AO86" i="61"/>
  <c r="AQ86" i="61"/>
  <c r="AQ17" i="61"/>
  <c r="AG67" i="61"/>
  <c r="AF67" i="61"/>
  <c r="AE67" i="61"/>
  <c r="B68" i="61"/>
  <c r="AH67" i="61"/>
  <c r="AR40" i="61"/>
  <c r="AE113" i="61"/>
  <c r="B114" i="61"/>
  <c r="AG113" i="61"/>
  <c r="AF113" i="61"/>
  <c r="AH113" i="61"/>
  <c r="AO63" i="61"/>
  <c r="AR109" i="61"/>
  <c r="AR63" i="61"/>
  <c r="AR17" i="61"/>
  <c r="O21" i="58"/>
  <c r="O16" i="58"/>
  <c r="O22" i="58"/>
  <c r="O19" i="58"/>
  <c r="O17" i="58"/>
  <c r="O20" i="58"/>
  <c r="O12" i="58"/>
  <c r="O15" i="58"/>
  <c r="O13" i="58"/>
  <c r="O8" i="58"/>
  <c r="O14" i="58"/>
  <c r="O3" i="58"/>
  <c r="O23" i="58"/>
  <c r="O7" i="58"/>
  <c r="O11" i="58"/>
  <c r="O4" i="58"/>
  <c r="O9" i="58"/>
  <c r="O10" i="58"/>
  <c r="O5" i="58"/>
  <c r="O2" i="58"/>
  <c r="O18" i="58"/>
  <c r="O6" i="58"/>
  <c r="B4" i="50"/>
  <c r="B5" i="50" s="1"/>
  <c r="B6" i="50" s="1"/>
  <c r="B7" i="50" s="1"/>
  <c r="B8" i="50" s="1"/>
  <c r="B9" i="50" s="1"/>
  <c r="B10" i="50" s="1"/>
  <c r="B11" i="50" s="1"/>
  <c r="B12" i="50" s="1"/>
  <c r="B13" i="50" s="1"/>
  <c r="B14" i="50" s="1"/>
  <c r="B15" i="50" s="1"/>
  <c r="B16" i="50" s="1"/>
  <c r="B17" i="50" s="1"/>
  <c r="B18" i="50" s="1"/>
  <c r="B19" i="50" s="1"/>
  <c r="B20" i="50" s="1"/>
  <c r="B21" i="50" s="1"/>
  <c r="B22" i="50" s="1"/>
  <c r="F19" i="61"/>
  <c r="H88" i="61"/>
  <c r="H111" i="61"/>
  <c r="G88" i="61"/>
  <c r="E44" i="61"/>
  <c r="I19" i="61"/>
  <c r="D90" i="61"/>
  <c r="H65" i="61"/>
  <c r="G19" i="61"/>
  <c r="I111" i="61"/>
  <c r="F42" i="61"/>
  <c r="D67" i="61"/>
  <c r="F88" i="61"/>
  <c r="D21" i="61"/>
  <c r="I65" i="61"/>
  <c r="I88" i="61"/>
  <c r="D44" i="61"/>
  <c r="F111" i="61"/>
  <c r="G111" i="61"/>
  <c r="G65" i="61"/>
  <c r="F65" i="61"/>
  <c r="E90" i="61"/>
  <c r="E113" i="61"/>
  <c r="G42" i="61"/>
  <c r="D113" i="61"/>
  <c r="E67" i="61"/>
  <c r="H42" i="61"/>
  <c r="E21" i="61"/>
  <c r="I42" i="61"/>
  <c r="H19" i="61"/>
  <c r="AO18" i="61" l="1"/>
  <c r="AO41" i="61"/>
  <c r="AQ110" i="61"/>
  <c r="AR64" i="61"/>
  <c r="AQ64" i="61"/>
  <c r="AR18" i="61"/>
  <c r="AP18" i="61"/>
  <c r="AO64" i="61"/>
  <c r="AR87" i="61"/>
  <c r="AP110" i="61"/>
  <c r="AR41" i="61"/>
  <c r="AP87" i="61"/>
  <c r="AO87" i="61"/>
  <c r="AQ41" i="61"/>
  <c r="AK19" i="61"/>
  <c r="L19" i="61"/>
  <c r="Q19" i="61" s="1"/>
  <c r="AA19" i="61" s="1"/>
  <c r="V19" i="61"/>
  <c r="C67" i="61"/>
  <c r="AL65" i="61"/>
  <c r="M65" i="61"/>
  <c r="R65" i="61" s="1"/>
  <c r="AB65" i="61" s="1"/>
  <c r="W65" i="61"/>
  <c r="AM19" i="61"/>
  <c r="N19" i="61"/>
  <c r="S19" i="61" s="1"/>
  <c r="AC19" i="61" s="1"/>
  <c r="X19" i="61"/>
  <c r="AK111" i="61"/>
  <c r="L111" i="61"/>
  <c r="Q111" i="61" s="1"/>
  <c r="AA111" i="61" s="1"/>
  <c r="V111" i="61"/>
  <c r="AL88" i="61"/>
  <c r="M88" i="61"/>
  <c r="R88" i="61" s="1"/>
  <c r="AB88" i="61" s="1"/>
  <c r="W88" i="61"/>
  <c r="AJ65" i="61"/>
  <c r="K65" i="61"/>
  <c r="P65" i="61" s="1"/>
  <c r="Z65" i="61" s="1"/>
  <c r="U65" i="61"/>
  <c r="AK88" i="61"/>
  <c r="L88" i="61"/>
  <c r="Q88" i="61" s="1"/>
  <c r="AA88" i="61" s="1"/>
  <c r="V88" i="61"/>
  <c r="C113" i="61"/>
  <c r="AM65" i="61"/>
  <c r="N65" i="61"/>
  <c r="S65" i="61" s="1"/>
  <c r="AC65" i="61" s="1"/>
  <c r="X65" i="61"/>
  <c r="AJ111" i="61"/>
  <c r="K111" i="61"/>
  <c r="P111" i="61" s="1"/>
  <c r="Z111" i="61" s="1"/>
  <c r="U111" i="61"/>
  <c r="AM88" i="61"/>
  <c r="N88" i="61"/>
  <c r="S88" i="61" s="1"/>
  <c r="AC88" i="61" s="1"/>
  <c r="X88" i="61"/>
  <c r="AJ42" i="61"/>
  <c r="K42" i="61"/>
  <c r="P42" i="61" s="1"/>
  <c r="Z42" i="61" s="1"/>
  <c r="U42" i="61"/>
  <c r="C90" i="61"/>
  <c r="C21" i="61"/>
  <c r="AL111" i="61"/>
  <c r="M111" i="61"/>
  <c r="R111" i="61" s="1"/>
  <c r="AB111" i="61" s="1"/>
  <c r="W111" i="61"/>
  <c r="AK65" i="61"/>
  <c r="L65" i="61"/>
  <c r="Q65" i="61" s="1"/>
  <c r="AA65" i="61" s="1"/>
  <c r="V65" i="61"/>
  <c r="AM111" i="61"/>
  <c r="N111" i="61"/>
  <c r="S111" i="61" s="1"/>
  <c r="AC111" i="61" s="1"/>
  <c r="X111" i="61"/>
  <c r="AK42" i="61"/>
  <c r="L42" i="61"/>
  <c r="Q42" i="61" s="1"/>
  <c r="AA42" i="61" s="1"/>
  <c r="V42" i="61"/>
  <c r="AL42" i="61"/>
  <c r="M42" i="61"/>
  <c r="R42" i="61" s="1"/>
  <c r="AB42" i="61" s="1"/>
  <c r="W42" i="61"/>
  <c r="AJ88" i="61"/>
  <c r="K88" i="61"/>
  <c r="P88" i="61" s="1"/>
  <c r="Z88" i="61" s="1"/>
  <c r="U88" i="61"/>
  <c r="AJ19" i="61"/>
  <c r="K19" i="61"/>
  <c r="P19" i="61" s="1"/>
  <c r="Z19" i="61" s="1"/>
  <c r="U19" i="61"/>
  <c r="AL19" i="61"/>
  <c r="M19" i="61"/>
  <c r="R19" i="61" s="1"/>
  <c r="AB19" i="61" s="1"/>
  <c r="W19" i="61"/>
  <c r="AM42" i="61"/>
  <c r="N42" i="61"/>
  <c r="S42" i="61" s="1"/>
  <c r="AC42" i="61" s="1"/>
  <c r="X42" i="61"/>
  <c r="C44" i="61"/>
  <c r="B115" i="61"/>
  <c r="AH114" i="61"/>
  <c r="AF114" i="61"/>
  <c r="AE114" i="61"/>
  <c r="AG114" i="61"/>
  <c r="B69" i="61"/>
  <c r="AH68" i="61"/>
  <c r="AF68" i="61"/>
  <c r="AE68" i="61"/>
  <c r="AG68" i="61"/>
  <c r="AH45" i="61"/>
  <c r="AG45" i="61"/>
  <c r="AF45" i="61"/>
  <c r="AE45" i="61"/>
  <c r="B46" i="61"/>
  <c r="AR110" i="61"/>
  <c r="AO110" i="61"/>
  <c r="AP64" i="61"/>
  <c r="AP41" i="61"/>
  <c r="B23" i="61"/>
  <c r="AH22" i="61"/>
  <c r="AF22" i="61"/>
  <c r="AG22" i="61"/>
  <c r="AE22" i="61"/>
  <c r="B92" i="61"/>
  <c r="AH91" i="61"/>
  <c r="AF91" i="61"/>
  <c r="AE91" i="61"/>
  <c r="AG91" i="61"/>
  <c r="AQ18" i="61"/>
  <c r="AQ87" i="61"/>
  <c r="P22" i="58"/>
  <c r="P19" i="58"/>
  <c r="P17" i="58"/>
  <c r="P20" i="58"/>
  <c r="P15" i="58"/>
  <c r="P23" i="58"/>
  <c r="P18" i="58"/>
  <c r="P10" i="58"/>
  <c r="P21" i="58"/>
  <c r="P13" i="58"/>
  <c r="P16" i="58"/>
  <c r="P11" i="58"/>
  <c r="P9" i="58"/>
  <c r="P12" i="58"/>
  <c r="P14" i="58"/>
  <c r="P7" i="58"/>
  <c r="P5" i="58"/>
  <c r="P8" i="58"/>
  <c r="P2" i="58"/>
  <c r="P4" i="58"/>
  <c r="P3" i="58"/>
  <c r="P6" i="58"/>
  <c r="H89" i="61"/>
  <c r="G20" i="61"/>
  <c r="D22" i="61"/>
  <c r="I112" i="61"/>
  <c r="E114" i="61"/>
  <c r="G89" i="61"/>
  <c r="F89" i="61"/>
  <c r="F20" i="61"/>
  <c r="E45" i="61"/>
  <c r="E22" i="61"/>
  <c r="E91" i="61"/>
  <c r="D114" i="61"/>
  <c r="G66" i="61"/>
  <c r="H43" i="61"/>
  <c r="H66" i="61"/>
  <c r="G112" i="61"/>
  <c r="H112" i="61"/>
  <c r="I89" i="61"/>
  <c r="G43" i="61"/>
  <c r="D91" i="61"/>
  <c r="F43" i="61"/>
  <c r="F66" i="61"/>
  <c r="D68" i="61"/>
  <c r="E68" i="61"/>
  <c r="D45" i="61"/>
  <c r="I43" i="61"/>
  <c r="H20" i="61"/>
  <c r="I20" i="61"/>
  <c r="F112" i="61"/>
  <c r="I66" i="61"/>
  <c r="AQ42" i="61" l="1"/>
  <c r="AQ111" i="61"/>
  <c r="AR19" i="61"/>
  <c r="AQ65" i="61"/>
  <c r="AP111" i="61"/>
  <c r="AO88" i="61"/>
  <c r="AR65" i="61"/>
  <c r="AJ43" i="61"/>
  <c r="K43" i="61"/>
  <c r="P43" i="61" s="1"/>
  <c r="Z43" i="61" s="1"/>
  <c r="U43" i="61"/>
  <c r="C45" i="61"/>
  <c r="AM66" i="61"/>
  <c r="N66" i="61"/>
  <c r="S66" i="61" s="1"/>
  <c r="AC66" i="61" s="1"/>
  <c r="X66" i="61"/>
  <c r="AJ66" i="61"/>
  <c r="K66" i="61"/>
  <c r="P66" i="61" s="1"/>
  <c r="Z66" i="61" s="1"/>
  <c r="U66" i="61"/>
  <c r="AM89" i="61"/>
  <c r="N89" i="61"/>
  <c r="S89" i="61" s="1"/>
  <c r="AC89" i="61" s="1"/>
  <c r="X89" i="61"/>
  <c r="AL43" i="61"/>
  <c r="M43" i="61"/>
  <c r="R43" i="61" s="1"/>
  <c r="AB43" i="61" s="1"/>
  <c r="W43" i="61"/>
  <c r="AK66" i="61"/>
  <c r="L66" i="61"/>
  <c r="Q66" i="61" s="1"/>
  <c r="AA66" i="61" s="1"/>
  <c r="V66" i="61"/>
  <c r="C114" i="61"/>
  <c r="K20" i="61"/>
  <c r="P20" i="61" s="1"/>
  <c r="Z20" i="61" s="1"/>
  <c r="AJ20" i="61"/>
  <c r="U20" i="61"/>
  <c r="AM20" i="61"/>
  <c r="N20" i="61"/>
  <c r="S20" i="61" s="1"/>
  <c r="AC20" i="61" s="1"/>
  <c r="X20" i="61"/>
  <c r="AL89" i="61"/>
  <c r="M89" i="61"/>
  <c r="R89" i="61" s="1"/>
  <c r="AB89" i="61" s="1"/>
  <c r="W89" i="61"/>
  <c r="C91" i="61"/>
  <c r="AM43" i="61"/>
  <c r="N43" i="61"/>
  <c r="S43" i="61" s="1"/>
  <c r="AC43" i="61" s="1"/>
  <c r="X43" i="61"/>
  <c r="AL66" i="61"/>
  <c r="M66" i="61"/>
  <c r="R66" i="61" s="1"/>
  <c r="AB66" i="61" s="1"/>
  <c r="W66" i="61"/>
  <c r="AK89" i="61"/>
  <c r="L89" i="61"/>
  <c r="Q89" i="61" s="1"/>
  <c r="AA89" i="61" s="1"/>
  <c r="V89" i="61"/>
  <c r="AK43" i="61"/>
  <c r="L43" i="61"/>
  <c r="Q43" i="61" s="1"/>
  <c r="AA43" i="61" s="1"/>
  <c r="V43" i="61"/>
  <c r="AK112" i="61"/>
  <c r="L112" i="61"/>
  <c r="Q112" i="61" s="1"/>
  <c r="AA112" i="61" s="1"/>
  <c r="V112" i="61"/>
  <c r="C22" i="61"/>
  <c r="AM112" i="61"/>
  <c r="N112" i="61"/>
  <c r="S112" i="61" s="1"/>
  <c r="AC112" i="61" s="1"/>
  <c r="X112" i="61"/>
  <c r="AL112" i="61"/>
  <c r="M112" i="61"/>
  <c r="R112" i="61" s="1"/>
  <c r="AB112" i="61" s="1"/>
  <c r="W112" i="61"/>
  <c r="AK20" i="61"/>
  <c r="L20" i="61"/>
  <c r="Q20" i="61" s="1"/>
  <c r="AA20" i="61" s="1"/>
  <c r="V20" i="61"/>
  <c r="AJ89" i="61"/>
  <c r="K89" i="61"/>
  <c r="P89" i="61" s="1"/>
  <c r="Z89" i="61" s="1"/>
  <c r="U89" i="61"/>
  <c r="AL20" i="61"/>
  <c r="M20" i="61"/>
  <c r="R20" i="61" s="1"/>
  <c r="AB20" i="61" s="1"/>
  <c r="W20" i="61"/>
  <c r="AJ112" i="61"/>
  <c r="K112" i="61"/>
  <c r="P112" i="61" s="1"/>
  <c r="Z112" i="61" s="1"/>
  <c r="U112" i="61"/>
  <c r="C68" i="61"/>
  <c r="AG69" i="61"/>
  <c r="AF69" i="61"/>
  <c r="AE69" i="61"/>
  <c r="B70" i="61"/>
  <c r="AH69" i="61"/>
  <c r="AP42" i="61"/>
  <c r="AP88" i="61"/>
  <c r="AO19" i="61"/>
  <c r="AP65" i="61"/>
  <c r="AQ88" i="61"/>
  <c r="AH92" i="61"/>
  <c r="AG92" i="61"/>
  <c r="AF92" i="61"/>
  <c r="AE92" i="61"/>
  <c r="B93" i="61"/>
  <c r="B47" i="61"/>
  <c r="AH46" i="61"/>
  <c r="AG46" i="61"/>
  <c r="AF46" i="61"/>
  <c r="AE46" i="61"/>
  <c r="AR42" i="61"/>
  <c r="AE115" i="61"/>
  <c r="B116" i="61"/>
  <c r="AG115" i="61"/>
  <c r="AF115" i="61"/>
  <c r="AH115" i="61"/>
  <c r="AR88" i="61"/>
  <c r="AO65" i="61"/>
  <c r="AE23" i="61"/>
  <c r="AG23" i="61"/>
  <c r="AF23" i="61"/>
  <c r="AH23" i="61"/>
  <c r="AQ19" i="61"/>
  <c r="AO42" i="61"/>
  <c r="AR111" i="61"/>
  <c r="AO111" i="61"/>
  <c r="AP19" i="61"/>
  <c r="Q22" i="58"/>
  <c r="Q19" i="58"/>
  <c r="Q17" i="58"/>
  <c r="Q20" i="58"/>
  <c r="Q23" i="58"/>
  <c r="Q18" i="58"/>
  <c r="Q21" i="58"/>
  <c r="Q15" i="58"/>
  <c r="Q10" i="58"/>
  <c r="Q13" i="58"/>
  <c r="Q16" i="58"/>
  <c r="Q11" i="58"/>
  <c r="Q14" i="58"/>
  <c r="Q12" i="58"/>
  <c r="Q7" i="58"/>
  <c r="Q4" i="58"/>
  <c r="Q9" i="58"/>
  <c r="Q5" i="58"/>
  <c r="Q6" i="58"/>
  <c r="Q3" i="58"/>
  <c r="Q2" i="58"/>
  <c r="Q8" i="58"/>
  <c r="G21" i="61"/>
  <c r="G67" i="61"/>
  <c r="H90" i="61"/>
  <c r="G44" i="61"/>
  <c r="H44" i="61"/>
  <c r="D115" i="61"/>
  <c r="F21" i="61"/>
  <c r="D23" i="61"/>
  <c r="E46" i="61"/>
  <c r="D92" i="61"/>
  <c r="E23" i="61"/>
  <c r="D69" i="61"/>
  <c r="I21" i="61"/>
  <c r="F67" i="61"/>
  <c r="D46" i="61"/>
  <c r="G113" i="61"/>
  <c r="I44" i="61"/>
  <c r="I67" i="61"/>
  <c r="E92" i="61"/>
  <c r="F44" i="61"/>
  <c r="F113" i="61"/>
  <c r="G90" i="61"/>
  <c r="H67" i="61"/>
  <c r="F90" i="61"/>
  <c r="E69" i="61"/>
  <c r="E115" i="61"/>
  <c r="H21" i="61"/>
  <c r="I90" i="61"/>
  <c r="H113" i="61"/>
  <c r="I113" i="61"/>
  <c r="AP20" i="61" l="1"/>
  <c r="AP112" i="61"/>
  <c r="AR89" i="61"/>
  <c r="AP66" i="61"/>
  <c r="AQ20" i="61"/>
  <c r="AR112" i="61"/>
  <c r="AR66" i="61"/>
  <c r="AJ113" i="61"/>
  <c r="K113" i="61"/>
  <c r="P113" i="61" s="1"/>
  <c r="Z113" i="61" s="1"/>
  <c r="U113" i="61"/>
  <c r="AM90" i="61"/>
  <c r="N90" i="61"/>
  <c r="S90" i="61" s="1"/>
  <c r="AC90" i="61" s="1"/>
  <c r="X90" i="61"/>
  <c r="AK113" i="61"/>
  <c r="L113" i="61"/>
  <c r="Q113" i="61" s="1"/>
  <c r="AA113" i="61" s="1"/>
  <c r="V113" i="61"/>
  <c r="C23" i="61"/>
  <c r="AM113" i="61"/>
  <c r="N113" i="61"/>
  <c r="S113" i="61" s="1"/>
  <c r="AC113" i="61" s="1"/>
  <c r="X113" i="61"/>
  <c r="C46" i="61"/>
  <c r="AK21" i="61"/>
  <c r="L21" i="61"/>
  <c r="Q21" i="61" s="1"/>
  <c r="AA21" i="61" s="1"/>
  <c r="V21" i="61"/>
  <c r="AJ44" i="61"/>
  <c r="K44" i="61"/>
  <c r="P44" i="61" s="1"/>
  <c r="Z44" i="61" s="1"/>
  <c r="U44" i="61"/>
  <c r="AL67" i="61"/>
  <c r="M67" i="61"/>
  <c r="R67" i="61" s="1"/>
  <c r="AB67" i="61" s="1"/>
  <c r="W67" i="61"/>
  <c r="C115" i="61"/>
  <c r="AL21" i="61"/>
  <c r="M21" i="61"/>
  <c r="R21" i="61" s="1"/>
  <c r="AB21" i="61" s="1"/>
  <c r="W21" i="61"/>
  <c r="AK44" i="61"/>
  <c r="L44" i="61"/>
  <c r="Q44" i="61" s="1"/>
  <c r="AA44" i="61" s="1"/>
  <c r="V44" i="61"/>
  <c r="AJ67" i="61"/>
  <c r="K67" i="61"/>
  <c r="P67" i="61" s="1"/>
  <c r="Z67" i="61" s="1"/>
  <c r="U67" i="61"/>
  <c r="AM21" i="61"/>
  <c r="N21" i="61"/>
  <c r="S21" i="61" s="1"/>
  <c r="AC21" i="61" s="1"/>
  <c r="X21" i="61"/>
  <c r="AL44" i="61"/>
  <c r="M44" i="61"/>
  <c r="R44" i="61" s="1"/>
  <c r="AB44" i="61" s="1"/>
  <c r="W44" i="61"/>
  <c r="AK67" i="61"/>
  <c r="L67" i="61"/>
  <c r="Q67" i="61" s="1"/>
  <c r="AA67" i="61" s="1"/>
  <c r="V67" i="61"/>
  <c r="AL90" i="61"/>
  <c r="M90" i="61"/>
  <c r="R90" i="61" s="1"/>
  <c r="AB90" i="61" s="1"/>
  <c r="W90" i="61"/>
  <c r="AJ21" i="61"/>
  <c r="K21" i="61"/>
  <c r="P21" i="61" s="1"/>
  <c r="Z21" i="61" s="1"/>
  <c r="U21" i="61"/>
  <c r="AM44" i="61"/>
  <c r="N44" i="61"/>
  <c r="S44" i="61" s="1"/>
  <c r="AC44" i="61" s="1"/>
  <c r="X44" i="61"/>
  <c r="AM67" i="61"/>
  <c r="N67" i="61"/>
  <c r="S67" i="61" s="1"/>
  <c r="AC67" i="61" s="1"/>
  <c r="X67" i="61"/>
  <c r="AJ90" i="61"/>
  <c r="K90" i="61"/>
  <c r="P90" i="61" s="1"/>
  <c r="Z90" i="61" s="1"/>
  <c r="U90" i="61"/>
  <c r="C92" i="61"/>
  <c r="AL113" i="61"/>
  <c r="M113" i="61"/>
  <c r="R113" i="61" s="1"/>
  <c r="AB113" i="61" s="1"/>
  <c r="W113" i="61"/>
  <c r="AK90" i="61"/>
  <c r="L90" i="61"/>
  <c r="Q90" i="61" s="1"/>
  <c r="AA90" i="61" s="1"/>
  <c r="V90" i="61"/>
  <c r="C69" i="61"/>
  <c r="AO89" i="61"/>
  <c r="AP43" i="61"/>
  <c r="B117" i="61"/>
  <c r="AH116" i="61"/>
  <c r="AF116" i="61"/>
  <c r="AE116" i="61"/>
  <c r="AG116" i="61"/>
  <c r="AQ112" i="61"/>
  <c r="AQ66" i="61"/>
  <c r="AQ89" i="61"/>
  <c r="B71" i="61"/>
  <c r="AH70" i="61"/>
  <c r="AF70" i="61"/>
  <c r="AE70" i="61"/>
  <c r="AG70" i="61"/>
  <c r="AO112" i="61"/>
  <c r="AH47" i="61"/>
  <c r="AG47" i="61"/>
  <c r="AF47" i="61"/>
  <c r="AE47" i="61"/>
  <c r="AR43" i="61"/>
  <c r="AR20" i="61"/>
  <c r="AO66" i="61"/>
  <c r="B94" i="61"/>
  <c r="AH93" i="61"/>
  <c r="AF93" i="61"/>
  <c r="AE93" i="61"/>
  <c r="AG93" i="61"/>
  <c r="AP89" i="61"/>
  <c r="AO20" i="61"/>
  <c r="AQ43" i="61"/>
  <c r="AO43" i="61"/>
  <c r="R17" i="58"/>
  <c r="R20" i="58"/>
  <c r="R23" i="58"/>
  <c r="R18" i="58"/>
  <c r="R21" i="58"/>
  <c r="R16" i="58"/>
  <c r="R22" i="58"/>
  <c r="R13" i="58"/>
  <c r="R11" i="58"/>
  <c r="R14" i="58"/>
  <c r="R9" i="58"/>
  <c r="R4" i="58"/>
  <c r="R19" i="58"/>
  <c r="R10" i="58"/>
  <c r="R6" i="58"/>
  <c r="R8" i="58"/>
  <c r="R3" i="58"/>
  <c r="R7" i="58"/>
  <c r="R15" i="58"/>
  <c r="R12" i="58"/>
  <c r="R5" i="58"/>
  <c r="R2" i="58"/>
  <c r="D93" i="61"/>
  <c r="I114" i="61"/>
  <c r="G68" i="61"/>
  <c r="I68" i="61"/>
  <c r="I45" i="61"/>
  <c r="D116" i="61"/>
  <c r="H114" i="61"/>
  <c r="E47" i="61"/>
  <c r="I91" i="61"/>
  <c r="G22" i="61"/>
  <c r="G45" i="61"/>
  <c r="F114" i="61"/>
  <c r="H22" i="61"/>
  <c r="G91" i="61"/>
  <c r="F91" i="61"/>
  <c r="G114" i="61"/>
  <c r="E70" i="61"/>
  <c r="F68" i="61"/>
  <c r="E93" i="61"/>
  <c r="F22" i="61"/>
  <c r="D47" i="61"/>
  <c r="H68" i="61"/>
  <c r="E116" i="61"/>
  <c r="I22" i="61"/>
  <c r="H91" i="61"/>
  <c r="F45" i="61"/>
  <c r="D70" i="61"/>
  <c r="H45" i="61"/>
  <c r="AO113" i="61" l="1"/>
  <c r="AR44" i="61"/>
  <c r="AQ21" i="61"/>
  <c r="AP44" i="61"/>
  <c r="AQ90" i="61"/>
  <c r="AQ44" i="61"/>
  <c r="AO90" i="61"/>
  <c r="AP90" i="61"/>
  <c r="AM114" i="61"/>
  <c r="N114" i="61"/>
  <c r="S114" i="61" s="1"/>
  <c r="AC114" i="61" s="1"/>
  <c r="X114" i="61"/>
  <c r="C93" i="61"/>
  <c r="AK68" i="61"/>
  <c r="L68" i="61"/>
  <c r="Q68" i="61" s="1"/>
  <c r="AA68" i="61" s="1"/>
  <c r="V68" i="61"/>
  <c r="AJ91" i="61"/>
  <c r="K91" i="61"/>
  <c r="P91" i="61" s="1"/>
  <c r="Z91" i="61" s="1"/>
  <c r="U91" i="61"/>
  <c r="AK22" i="61"/>
  <c r="L22" i="61"/>
  <c r="Q22" i="61" s="1"/>
  <c r="AA22" i="61" s="1"/>
  <c r="V22" i="61"/>
  <c r="AL68" i="61"/>
  <c r="M68" i="61"/>
  <c r="R68" i="61" s="1"/>
  <c r="AB68" i="61" s="1"/>
  <c r="W68" i="61"/>
  <c r="C116" i="61"/>
  <c r="AM22" i="61"/>
  <c r="N22" i="61"/>
  <c r="S22" i="61" s="1"/>
  <c r="AC22" i="61" s="1"/>
  <c r="X22" i="61"/>
  <c r="AL91" i="61"/>
  <c r="M91" i="61"/>
  <c r="R91" i="61" s="1"/>
  <c r="AB91" i="61" s="1"/>
  <c r="W91" i="61"/>
  <c r="AL22" i="61"/>
  <c r="M22" i="61"/>
  <c r="R22" i="61" s="1"/>
  <c r="AB22" i="61" s="1"/>
  <c r="W22" i="61"/>
  <c r="AK45" i="61"/>
  <c r="L45" i="61"/>
  <c r="Q45" i="61" s="1"/>
  <c r="AA45" i="61" s="1"/>
  <c r="V45" i="61"/>
  <c r="AK91" i="61"/>
  <c r="L91" i="61"/>
  <c r="Q91" i="61" s="1"/>
  <c r="AA91" i="61" s="1"/>
  <c r="V91" i="61"/>
  <c r="AM91" i="61"/>
  <c r="N91" i="61"/>
  <c r="S91" i="61" s="1"/>
  <c r="AC91" i="61" s="1"/>
  <c r="X91" i="61"/>
  <c r="C70" i="61"/>
  <c r="AM45" i="61"/>
  <c r="N45" i="61"/>
  <c r="S45" i="61" s="1"/>
  <c r="AC45" i="61" s="1"/>
  <c r="X45" i="61"/>
  <c r="AK114" i="61"/>
  <c r="L114" i="61"/>
  <c r="Q114" i="61" s="1"/>
  <c r="AA114" i="61" s="1"/>
  <c r="V114" i="61"/>
  <c r="AJ45" i="61"/>
  <c r="K45" i="61"/>
  <c r="P45" i="61" s="1"/>
  <c r="Z45" i="61" s="1"/>
  <c r="U45" i="61"/>
  <c r="AJ22" i="61"/>
  <c r="K22" i="61"/>
  <c r="P22" i="61" s="1"/>
  <c r="Z22" i="61" s="1"/>
  <c r="U22" i="61"/>
  <c r="AM68" i="61"/>
  <c r="N68" i="61"/>
  <c r="S68" i="61" s="1"/>
  <c r="AC68" i="61" s="1"/>
  <c r="X68" i="61"/>
  <c r="AL114" i="61"/>
  <c r="M114" i="61"/>
  <c r="R114" i="61" s="1"/>
  <c r="AB114" i="61" s="1"/>
  <c r="W114" i="61"/>
  <c r="AL45" i="61"/>
  <c r="M45" i="61"/>
  <c r="R45" i="61" s="1"/>
  <c r="AB45" i="61" s="1"/>
  <c r="W45" i="61"/>
  <c r="C47" i="61"/>
  <c r="AJ68" i="61"/>
  <c r="K68" i="61"/>
  <c r="P68" i="61" s="1"/>
  <c r="Z68" i="61" s="1"/>
  <c r="U68" i="61"/>
  <c r="AJ114" i="61"/>
  <c r="K114" i="61"/>
  <c r="P114" i="61" s="1"/>
  <c r="Z114" i="61" s="1"/>
  <c r="U114" i="61"/>
  <c r="AH94" i="61"/>
  <c r="B95" i="61"/>
  <c r="AF94" i="61"/>
  <c r="AE94" i="61"/>
  <c r="AG94" i="61"/>
  <c r="AO67" i="61"/>
  <c r="AO44" i="61"/>
  <c r="AR90" i="61"/>
  <c r="AE117" i="61"/>
  <c r="B118" i="61"/>
  <c r="AG117" i="61"/>
  <c r="AF117" i="61"/>
  <c r="AH117" i="61"/>
  <c r="AQ113" i="61"/>
  <c r="AP21" i="61"/>
  <c r="AP113" i="61"/>
  <c r="AG71" i="61"/>
  <c r="AF71" i="61"/>
  <c r="AE71" i="61"/>
  <c r="AH71" i="61"/>
  <c r="AR67" i="61"/>
  <c r="AP67" i="61"/>
  <c r="AR21" i="61"/>
  <c r="AQ67" i="61"/>
  <c r="AO21" i="61"/>
  <c r="AR113" i="61"/>
  <c r="S17" i="58"/>
  <c r="S20" i="58"/>
  <c r="S23" i="58"/>
  <c r="S18" i="58"/>
  <c r="S21" i="58"/>
  <c r="S16" i="58"/>
  <c r="S22" i="58"/>
  <c r="S19" i="58"/>
  <c r="S11" i="58"/>
  <c r="S14" i="58"/>
  <c r="S12" i="58"/>
  <c r="S15" i="58"/>
  <c r="S10" i="58"/>
  <c r="S5" i="58"/>
  <c r="S9" i="58"/>
  <c r="S6" i="58"/>
  <c r="S13" i="58"/>
  <c r="S8" i="58"/>
  <c r="S4" i="58"/>
  <c r="S7" i="58"/>
  <c r="S3" i="58"/>
  <c r="S2" i="58"/>
  <c r="I69" i="61"/>
  <c r="G69" i="61"/>
  <c r="G92" i="61"/>
  <c r="E71" i="61"/>
  <c r="F46" i="61"/>
  <c r="E94" i="61"/>
  <c r="G115" i="61"/>
  <c r="F92" i="61"/>
  <c r="H92" i="61"/>
  <c r="H46" i="61"/>
  <c r="F115" i="61"/>
  <c r="H69" i="61"/>
  <c r="H115" i="61"/>
  <c r="G23" i="61"/>
  <c r="D71" i="61"/>
  <c r="H23" i="61"/>
  <c r="D94" i="61"/>
  <c r="I115" i="61"/>
  <c r="E117" i="61"/>
  <c r="F69" i="61"/>
  <c r="D117" i="61"/>
  <c r="I23" i="61"/>
  <c r="I46" i="61"/>
  <c r="I92" i="61"/>
  <c r="G46" i="61"/>
  <c r="F23" i="61"/>
  <c r="AR45" i="61" l="1"/>
  <c r="AP114" i="61"/>
  <c r="AQ45" i="61"/>
  <c r="AP68" i="61"/>
  <c r="AR68" i="61"/>
  <c r="AO91" i="61"/>
  <c r="AP45" i="61"/>
  <c r="AO114" i="61"/>
  <c r="AK69" i="61"/>
  <c r="L69" i="61"/>
  <c r="Q69" i="61" s="1"/>
  <c r="AA69" i="61" s="1"/>
  <c r="V69" i="61"/>
  <c r="C71" i="61"/>
  <c r="AJ92" i="61"/>
  <c r="K92" i="61"/>
  <c r="P92" i="61" s="1"/>
  <c r="Z92" i="61" s="1"/>
  <c r="U92" i="61"/>
  <c r="AL69" i="61"/>
  <c r="M69" i="61"/>
  <c r="R69" i="61" s="1"/>
  <c r="AB69" i="61" s="1"/>
  <c r="W69" i="61"/>
  <c r="AL115" i="61"/>
  <c r="M115" i="61"/>
  <c r="R115" i="61" s="1"/>
  <c r="AB115" i="61" s="1"/>
  <c r="W115" i="61"/>
  <c r="AJ23" i="61"/>
  <c r="K23" i="61"/>
  <c r="P23" i="61" s="1"/>
  <c r="Z23" i="61" s="1"/>
  <c r="U23" i="61"/>
  <c r="AK92" i="61"/>
  <c r="L92" i="61"/>
  <c r="Q92" i="61" s="1"/>
  <c r="AA92" i="61" s="1"/>
  <c r="V92" i="61"/>
  <c r="AJ69" i="61"/>
  <c r="K69" i="61"/>
  <c r="P69" i="61" s="1"/>
  <c r="Z69" i="61" s="1"/>
  <c r="U69" i="61"/>
  <c r="AJ115" i="61"/>
  <c r="K115" i="61"/>
  <c r="P115" i="61" s="1"/>
  <c r="Z115" i="61" s="1"/>
  <c r="U115" i="61"/>
  <c r="AK23" i="61"/>
  <c r="L23" i="61"/>
  <c r="Q23" i="61" s="1"/>
  <c r="AA23" i="61" s="1"/>
  <c r="V23" i="61"/>
  <c r="AM92" i="61"/>
  <c r="N92" i="61"/>
  <c r="S92" i="61" s="1"/>
  <c r="AC92" i="61" s="1"/>
  <c r="X92" i="61"/>
  <c r="AJ46" i="61"/>
  <c r="K46" i="61"/>
  <c r="P46" i="61" s="1"/>
  <c r="Z46" i="61" s="1"/>
  <c r="U46" i="61"/>
  <c r="AM115" i="61"/>
  <c r="N115" i="61"/>
  <c r="S115" i="61" s="1"/>
  <c r="AC115" i="61" s="1"/>
  <c r="X115" i="61"/>
  <c r="AK115" i="61"/>
  <c r="L115" i="61"/>
  <c r="Q115" i="61" s="1"/>
  <c r="AA115" i="61" s="1"/>
  <c r="V115" i="61"/>
  <c r="AM69" i="61"/>
  <c r="N69" i="61"/>
  <c r="S69" i="61" s="1"/>
  <c r="AC69" i="61" s="1"/>
  <c r="X69" i="61"/>
  <c r="AL46" i="61"/>
  <c r="M46" i="61"/>
  <c r="R46" i="61" s="1"/>
  <c r="AB46" i="61" s="1"/>
  <c r="W46" i="61"/>
  <c r="AK46" i="61"/>
  <c r="L46" i="61"/>
  <c r="Q46" i="61" s="1"/>
  <c r="AA46" i="61" s="1"/>
  <c r="V46" i="61"/>
  <c r="AM46" i="61"/>
  <c r="N46" i="61"/>
  <c r="S46" i="61" s="1"/>
  <c r="AC46" i="61" s="1"/>
  <c r="X46" i="61"/>
  <c r="C117" i="61"/>
  <c r="AM23" i="61"/>
  <c r="N23" i="61"/>
  <c r="S23" i="61" s="1"/>
  <c r="AC23" i="61" s="1"/>
  <c r="X23" i="61"/>
  <c r="C94" i="61"/>
  <c r="AL92" i="61"/>
  <c r="M92" i="61"/>
  <c r="R92" i="61" s="1"/>
  <c r="AB92" i="61" s="1"/>
  <c r="W92" i="61"/>
  <c r="AL23" i="61"/>
  <c r="M23" i="61"/>
  <c r="R23" i="61" s="1"/>
  <c r="AB23" i="61" s="1"/>
  <c r="W23" i="61"/>
  <c r="AF95" i="61"/>
  <c r="AH95" i="61"/>
  <c r="AG95" i="61"/>
  <c r="AE95" i="61"/>
  <c r="AR91" i="61"/>
  <c r="AQ91" i="61"/>
  <c r="AQ114" i="61"/>
  <c r="AQ22" i="61"/>
  <c r="AQ68" i="61"/>
  <c r="AR114" i="61"/>
  <c r="AO22" i="61"/>
  <c r="AP91" i="61"/>
  <c r="AR22" i="61"/>
  <c r="B119" i="61"/>
  <c r="AH118" i="61"/>
  <c r="AF118" i="61"/>
  <c r="AE118" i="61"/>
  <c r="AG118" i="61"/>
  <c r="AO68" i="61"/>
  <c r="AP22" i="61"/>
  <c r="AO45" i="61"/>
  <c r="T20" i="58"/>
  <c r="T23" i="58"/>
  <c r="T18" i="58"/>
  <c r="T21" i="58"/>
  <c r="T16" i="58"/>
  <c r="T22" i="58"/>
  <c r="T19" i="58"/>
  <c r="T17" i="58"/>
  <c r="T11" i="58"/>
  <c r="T14" i="58"/>
  <c r="T12" i="58"/>
  <c r="T13" i="58"/>
  <c r="T5" i="58"/>
  <c r="T9" i="58"/>
  <c r="T6" i="58"/>
  <c r="T10" i="58"/>
  <c r="T8" i="58"/>
  <c r="T3" i="58"/>
  <c r="T15" i="58"/>
  <c r="T7" i="58"/>
  <c r="T4" i="58"/>
  <c r="T2" i="58"/>
  <c r="H70" i="61"/>
  <c r="H47" i="61"/>
  <c r="I47" i="61"/>
  <c r="H116" i="61"/>
  <c r="I93" i="61"/>
  <c r="E118" i="61"/>
  <c r="F93" i="61"/>
  <c r="D118" i="61"/>
  <c r="I116" i="61"/>
  <c r="G70" i="61"/>
  <c r="F47" i="61"/>
  <c r="G93" i="61"/>
  <c r="F70" i="61"/>
  <c r="G47" i="61"/>
  <c r="F116" i="61"/>
  <c r="I70" i="61"/>
  <c r="D95" i="61"/>
  <c r="G116" i="61"/>
  <c r="E95" i="61"/>
  <c r="H93" i="61"/>
  <c r="AO69" i="61" l="1"/>
  <c r="AP46" i="61"/>
  <c r="AP23" i="61"/>
  <c r="AR46" i="61"/>
  <c r="AQ92" i="61"/>
  <c r="AO115" i="61"/>
  <c r="AP115" i="61"/>
  <c r="AP92" i="61"/>
  <c r="AO92" i="61"/>
  <c r="AJ93" i="61"/>
  <c r="K93" i="61"/>
  <c r="P93" i="61" s="1"/>
  <c r="Z93" i="61" s="1"/>
  <c r="U93" i="61"/>
  <c r="AJ70" i="61"/>
  <c r="K70" i="61"/>
  <c r="P70" i="61" s="1"/>
  <c r="Z70" i="61" s="1"/>
  <c r="U70" i="61"/>
  <c r="AJ47" i="61"/>
  <c r="K47" i="61"/>
  <c r="P47" i="61" s="1"/>
  <c r="Z47" i="61" s="1"/>
  <c r="U47" i="61"/>
  <c r="AK70" i="61"/>
  <c r="L70" i="61"/>
  <c r="Q70" i="61" s="1"/>
  <c r="AA70" i="61" s="1"/>
  <c r="V70" i="61"/>
  <c r="AL116" i="61"/>
  <c r="M116" i="61"/>
  <c r="R116" i="61" s="1"/>
  <c r="AB116" i="61" s="1"/>
  <c r="W116" i="61"/>
  <c r="AM47" i="61"/>
  <c r="N47" i="61"/>
  <c r="S47" i="61" s="1"/>
  <c r="AC47" i="61" s="1"/>
  <c r="X47" i="61"/>
  <c r="AJ116" i="61"/>
  <c r="K116" i="61"/>
  <c r="P116" i="61" s="1"/>
  <c r="Z116" i="61" s="1"/>
  <c r="U116" i="61"/>
  <c r="AL93" i="61"/>
  <c r="M93" i="61"/>
  <c r="R93" i="61" s="1"/>
  <c r="AB93" i="61" s="1"/>
  <c r="W93" i="61"/>
  <c r="AK47" i="61"/>
  <c r="L47" i="61"/>
  <c r="Q47" i="61" s="1"/>
  <c r="AA47" i="61" s="1"/>
  <c r="V47" i="61"/>
  <c r="AL47" i="61"/>
  <c r="M47" i="61"/>
  <c r="R47" i="61" s="1"/>
  <c r="AB47" i="61" s="1"/>
  <c r="W47" i="61"/>
  <c r="AK93" i="61"/>
  <c r="L93" i="61"/>
  <c r="Q93" i="61" s="1"/>
  <c r="AA93" i="61" s="1"/>
  <c r="V93" i="61"/>
  <c r="AM93" i="61"/>
  <c r="N93" i="61"/>
  <c r="S93" i="61" s="1"/>
  <c r="AC93" i="61" s="1"/>
  <c r="X93" i="61"/>
  <c r="C118" i="61"/>
  <c r="AM116" i="61"/>
  <c r="N116" i="61"/>
  <c r="S116" i="61" s="1"/>
  <c r="AC116" i="61" s="1"/>
  <c r="X116" i="61"/>
  <c r="C95" i="61"/>
  <c r="AK116" i="61"/>
  <c r="L116" i="61"/>
  <c r="Q116" i="61" s="1"/>
  <c r="AA116" i="61" s="1"/>
  <c r="V116" i="61"/>
  <c r="AL70" i="61"/>
  <c r="M70" i="61"/>
  <c r="R70" i="61" s="1"/>
  <c r="AB70" i="61" s="1"/>
  <c r="W70" i="61"/>
  <c r="AM70" i="61"/>
  <c r="N70" i="61"/>
  <c r="S70" i="61" s="1"/>
  <c r="AC70" i="61" s="1"/>
  <c r="X70" i="61"/>
  <c r="AQ23" i="61"/>
  <c r="AQ69" i="61"/>
  <c r="AR23" i="61"/>
  <c r="AR115" i="61"/>
  <c r="AO23" i="61"/>
  <c r="AR69" i="61"/>
  <c r="AR92" i="61"/>
  <c r="AQ46" i="61"/>
  <c r="AO46" i="61"/>
  <c r="AQ115" i="61"/>
  <c r="AE119" i="61"/>
  <c r="AG119" i="61"/>
  <c r="AF119" i="61"/>
  <c r="AH119" i="61"/>
  <c r="AP69" i="61"/>
  <c r="U23" i="58"/>
  <c r="U18" i="58"/>
  <c r="U21" i="58"/>
  <c r="U16" i="58"/>
  <c r="U22" i="58"/>
  <c r="U19" i="58"/>
  <c r="U17" i="58"/>
  <c r="U14" i="58"/>
  <c r="U9" i="58"/>
  <c r="U12" i="58"/>
  <c r="U20" i="58"/>
  <c r="U15" i="58"/>
  <c r="U10" i="58"/>
  <c r="U6" i="58"/>
  <c r="U11" i="58"/>
  <c r="U8" i="58"/>
  <c r="U13" i="58"/>
  <c r="U7" i="58"/>
  <c r="U4" i="58"/>
  <c r="U2" i="58"/>
  <c r="U5" i="58"/>
  <c r="U3" i="58"/>
  <c r="I117" i="61"/>
  <c r="F94" i="61"/>
  <c r="H117" i="61"/>
  <c r="G94" i="61"/>
  <c r="I71" i="61"/>
  <c r="F117" i="61"/>
  <c r="G117" i="61"/>
  <c r="F71" i="61"/>
  <c r="E119" i="61"/>
  <c r="G71" i="61"/>
  <c r="H71" i="61"/>
  <c r="H94" i="61"/>
  <c r="I94" i="61"/>
  <c r="D119" i="61"/>
  <c r="AO93" i="61" l="1"/>
  <c r="AR116" i="61"/>
  <c r="AP93" i="61"/>
  <c r="AP70" i="61"/>
  <c r="AR70" i="61"/>
  <c r="AQ47" i="61"/>
  <c r="AO47" i="61"/>
  <c r="AP47" i="61"/>
  <c r="AO116" i="61"/>
  <c r="AQ70" i="61"/>
  <c r="AL94" i="61"/>
  <c r="M94" i="61"/>
  <c r="R94" i="61" s="1"/>
  <c r="AB94" i="61" s="1"/>
  <c r="W94" i="61"/>
  <c r="C119" i="61"/>
  <c r="AM94" i="61"/>
  <c r="N94" i="61"/>
  <c r="S94" i="61" s="1"/>
  <c r="AC94" i="61" s="1"/>
  <c r="X94" i="61"/>
  <c r="AL117" i="61"/>
  <c r="M117" i="61"/>
  <c r="R117" i="61" s="1"/>
  <c r="AB117" i="61" s="1"/>
  <c r="W117" i="61"/>
  <c r="AJ94" i="61"/>
  <c r="K94" i="61"/>
  <c r="P94" i="61" s="1"/>
  <c r="Z94" i="61" s="1"/>
  <c r="U94" i="61"/>
  <c r="AM117" i="61"/>
  <c r="N117" i="61"/>
  <c r="S117" i="61" s="1"/>
  <c r="AC117" i="61" s="1"/>
  <c r="X117" i="61"/>
  <c r="AJ117" i="61"/>
  <c r="K117" i="61"/>
  <c r="P117" i="61" s="1"/>
  <c r="Z117" i="61" s="1"/>
  <c r="U117" i="61"/>
  <c r="AL71" i="61"/>
  <c r="M71" i="61"/>
  <c r="R71" i="61" s="1"/>
  <c r="AB71" i="61" s="1"/>
  <c r="W71" i="61"/>
  <c r="AK94" i="61"/>
  <c r="L94" i="61"/>
  <c r="Q94" i="61" s="1"/>
  <c r="AA94" i="61" s="1"/>
  <c r="V94" i="61"/>
  <c r="AJ71" i="61"/>
  <c r="K71" i="61"/>
  <c r="P71" i="61" s="1"/>
  <c r="Z71" i="61" s="1"/>
  <c r="U71" i="61"/>
  <c r="AK71" i="61"/>
  <c r="L71" i="61"/>
  <c r="Q71" i="61" s="1"/>
  <c r="AA71" i="61" s="1"/>
  <c r="V71" i="61"/>
  <c r="AK117" i="61"/>
  <c r="L117" i="61"/>
  <c r="Q117" i="61" s="1"/>
  <c r="AA117" i="61" s="1"/>
  <c r="V117" i="61"/>
  <c r="AM71" i="61"/>
  <c r="N71" i="61"/>
  <c r="S71" i="61" s="1"/>
  <c r="AC71" i="61" s="1"/>
  <c r="X71" i="61"/>
  <c r="AQ116" i="61"/>
  <c r="AO70" i="61"/>
  <c r="AR93" i="61"/>
  <c r="AR47" i="61"/>
  <c r="AP116" i="61"/>
  <c r="AQ93" i="61"/>
  <c r="V23" i="58"/>
  <c r="V18" i="58"/>
  <c r="V21" i="58"/>
  <c r="V16" i="58"/>
  <c r="V22" i="58"/>
  <c r="V19" i="58"/>
  <c r="V17" i="58"/>
  <c r="V20" i="58"/>
  <c r="V9" i="58"/>
  <c r="V12" i="58"/>
  <c r="V15" i="58"/>
  <c r="V13" i="58"/>
  <c r="V11" i="58"/>
  <c r="V14" i="58"/>
  <c r="V6" i="58"/>
  <c r="V8" i="58"/>
  <c r="V10" i="58"/>
  <c r="V7" i="58"/>
  <c r="V4" i="58"/>
  <c r="V2" i="58"/>
  <c r="V5" i="58"/>
  <c r="V3" i="58"/>
  <c r="O8" i="50"/>
  <c r="J11" i="50"/>
  <c r="J12" i="50" s="1"/>
  <c r="J13" i="50" s="1"/>
  <c r="J14" i="50" s="1"/>
  <c r="J15" i="50" s="1"/>
  <c r="J16" i="50" s="1"/>
  <c r="J17" i="50" s="1"/>
  <c r="J18" i="50" s="1"/>
  <c r="J19" i="50" s="1"/>
  <c r="J20" i="50" s="1"/>
  <c r="J21" i="50" s="1"/>
  <c r="J22" i="50" s="1"/>
  <c r="J23" i="50" s="1"/>
  <c r="J24" i="50" s="1"/>
  <c r="J25" i="50" s="1"/>
  <c r="J26" i="50" s="1"/>
  <c r="J27" i="50" s="1"/>
  <c r="J28" i="50" s="1"/>
  <c r="J29" i="50" s="1"/>
  <c r="J30" i="50" s="1"/>
  <c r="J31" i="50" s="1"/>
  <c r="J32" i="50" s="1"/>
  <c r="J33" i="50" s="1"/>
  <c r="J34" i="50" s="1"/>
  <c r="J35" i="50" s="1"/>
  <c r="J36" i="50" s="1"/>
  <c r="J37" i="50" s="1"/>
  <c r="J38" i="50" s="1"/>
  <c r="J39" i="50" s="1"/>
  <c r="J40" i="50" s="1"/>
  <c r="J41" i="50" s="1"/>
  <c r="J42" i="50" s="1"/>
  <c r="J43" i="50" s="1"/>
  <c r="J44" i="50" s="1"/>
  <c r="J45" i="50" s="1"/>
  <c r="J46" i="50" s="1"/>
  <c r="J47" i="50" s="1"/>
  <c r="J48" i="50" s="1"/>
  <c r="J49" i="50" s="1"/>
  <c r="J50" i="50" s="1"/>
  <c r="J51" i="50" s="1"/>
  <c r="J52" i="50" s="1"/>
  <c r="J53" i="50" s="1"/>
  <c r="J54" i="50" s="1"/>
  <c r="J55" i="50" s="1"/>
  <c r="J56" i="50" s="1"/>
  <c r="J57" i="50" s="1"/>
  <c r="J58" i="50" s="1"/>
  <c r="J59" i="50" s="1"/>
  <c r="J60" i="50" s="1"/>
  <c r="J61" i="50" s="1"/>
  <c r="J62" i="50" s="1"/>
  <c r="J63" i="50" s="1"/>
  <c r="J64" i="50" s="1"/>
  <c r="J65" i="50" s="1"/>
  <c r="J66" i="50" s="1"/>
  <c r="J67" i="50" s="1"/>
  <c r="J68" i="50" s="1"/>
  <c r="J69" i="50" s="1"/>
  <c r="J70" i="50" s="1"/>
  <c r="J71" i="50" s="1"/>
  <c r="J72" i="50" s="1"/>
  <c r="J73" i="50" s="1"/>
  <c r="J74" i="50" s="1"/>
  <c r="J75" i="50" s="1"/>
  <c r="J76" i="50" s="1"/>
  <c r="J77" i="50" s="1"/>
  <c r="J78" i="50" s="1"/>
  <c r="M8" i="50"/>
  <c r="N8" i="50"/>
  <c r="L8" i="50"/>
  <c r="I95" i="61"/>
  <c r="G95" i="61"/>
  <c r="H95" i="61"/>
  <c r="G118" i="61"/>
  <c r="I118" i="61"/>
  <c r="F118" i="61"/>
  <c r="F95" i="61"/>
  <c r="H118" i="61"/>
  <c r="AP94" i="61" l="1"/>
  <c r="AR94" i="61"/>
  <c r="AQ117" i="61"/>
  <c r="AO117" i="61"/>
  <c r="AP117" i="61"/>
  <c r="AQ71" i="61"/>
  <c r="AP71" i="61"/>
  <c r="AL118" i="61"/>
  <c r="M118" i="61"/>
  <c r="R118" i="61" s="1"/>
  <c r="AB118" i="61" s="1"/>
  <c r="W118" i="61"/>
  <c r="AM95" i="61"/>
  <c r="N95" i="61"/>
  <c r="S95" i="61" s="1"/>
  <c r="AC95" i="61" s="1"/>
  <c r="X95" i="61"/>
  <c r="AJ118" i="61"/>
  <c r="K118" i="61"/>
  <c r="P118" i="61" s="1"/>
  <c r="Z118" i="61" s="1"/>
  <c r="U118" i="61"/>
  <c r="AJ95" i="61"/>
  <c r="K95" i="61"/>
  <c r="P95" i="61" s="1"/>
  <c r="Z95" i="61" s="1"/>
  <c r="U95" i="61"/>
  <c r="AM118" i="61"/>
  <c r="N118" i="61"/>
  <c r="S118" i="61" s="1"/>
  <c r="AC118" i="61" s="1"/>
  <c r="X118" i="61"/>
  <c r="AK95" i="61"/>
  <c r="L95" i="61"/>
  <c r="Q95" i="61" s="1"/>
  <c r="AA95" i="61" s="1"/>
  <c r="V95" i="61"/>
  <c r="AK118" i="61"/>
  <c r="L118" i="61"/>
  <c r="Q118" i="61" s="1"/>
  <c r="AA118" i="61" s="1"/>
  <c r="V118" i="61"/>
  <c r="AL95" i="61"/>
  <c r="M95" i="61"/>
  <c r="R95" i="61" s="1"/>
  <c r="AB95" i="61" s="1"/>
  <c r="W95" i="61"/>
  <c r="AR71" i="61"/>
  <c r="AO71" i="61"/>
  <c r="AO94" i="61"/>
  <c r="AQ94" i="61"/>
  <c r="AR117" i="61"/>
  <c r="W21" i="58"/>
  <c r="W16" i="58"/>
  <c r="W22" i="58"/>
  <c r="W19" i="58"/>
  <c r="W17" i="58"/>
  <c r="W20" i="58"/>
  <c r="W12" i="58"/>
  <c r="W15" i="58"/>
  <c r="W13" i="58"/>
  <c r="W8" i="58"/>
  <c r="W23" i="58"/>
  <c r="W18" i="58"/>
  <c r="W14" i="58"/>
  <c r="W9" i="58"/>
  <c r="W3" i="58"/>
  <c r="W11" i="58"/>
  <c r="W10" i="58"/>
  <c r="W7" i="58"/>
  <c r="W4" i="58"/>
  <c r="W5" i="58"/>
  <c r="W2" i="58"/>
  <c r="W6" i="58"/>
  <c r="A9" i="50"/>
  <c r="A5" i="50"/>
  <c r="A6" i="50" s="1"/>
  <c r="H119" i="61"/>
  <c r="I119" i="61"/>
  <c r="F119" i="61"/>
  <c r="G119" i="61"/>
  <c r="AR95" i="61" l="1"/>
  <c r="AQ95" i="61"/>
  <c r="AO118" i="61"/>
  <c r="AR118" i="61"/>
  <c r="AO95" i="61"/>
  <c r="AL119" i="61"/>
  <c r="M119" i="61"/>
  <c r="R119" i="61" s="1"/>
  <c r="AB119" i="61" s="1"/>
  <c r="W119" i="61"/>
  <c r="AJ119" i="61"/>
  <c r="K119" i="61"/>
  <c r="P119" i="61" s="1"/>
  <c r="Z119" i="61" s="1"/>
  <c r="U119" i="61"/>
  <c r="AK119" i="61"/>
  <c r="L119" i="61"/>
  <c r="Q119" i="61" s="1"/>
  <c r="AA119" i="61" s="1"/>
  <c r="V119" i="61"/>
  <c r="AM119" i="61"/>
  <c r="N119" i="61"/>
  <c r="S119" i="61" s="1"/>
  <c r="AC119" i="61" s="1"/>
  <c r="X119" i="61"/>
  <c r="AP95" i="61"/>
  <c r="AP118" i="61"/>
  <c r="AQ118" i="61"/>
  <c r="X16" i="58"/>
  <c r="X22" i="58"/>
  <c r="X19" i="58"/>
  <c r="X17" i="58"/>
  <c r="X20" i="58"/>
  <c r="X15" i="58"/>
  <c r="X23" i="58"/>
  <c r="X18" i="58"/>
  <c r="X21" i="58"/>
  <c r="X10" i="58"/>
  <c r="X13" i="58"/>
  <c r="X11" i="58"/>
  <c r="X9" i="58"/>
  <c r="X8" i="58"/>
  <c r="X7" i="58"/>
  <c r="X5" i="58"/>
  <c r="X4" i="58"/>
  <c r="X2" i="58"/>
  <c r="X3" i="58"/>
  <c r="X6" i="58"/>
  <c r="X14" i="58"/>
  <c r="X12" i="58"/>
  <c r="A7" i="50"/>
  <c r="O23" i="18"/>
  <c r="AQ119" i="61" l="1"/>
  <c r="AR119" i="61"/>
  <c r="AO119" i="61"/>
  <c r="AP119" i="61"/>
  <c r="Y22" i="58"/>
  <c r="Y19" i="58"/>
  <c r="Y17" i="58"/>
  <c r="Y20" i="58"/>
  <c r="Y23" i="58"/>
  <c r="Y18" i="58"/>
  <c r="Y21" i="58"/>
  <c r="Y10" i="58"/>
  <c r="Y16" i="58"/>
  <c r="Y15" i="58"/>
  <c r="Y13" i="58"/>
  <c r="Y11" i="58"/>
  <c r="Y14" i="58"/>
  <c r="Y12" i="58"/>
  <c r="Y7" i="58"/>
  <c r="Y4" i="58"/>
  <c r="Y5" i="58"/>
  <c r="Y2" i="58"/>
  <c r="Y6" i="58"/>
  <c r="Y9" i="58"/>
  <c r="Y3" i="58"/>
  <c r="Y8" i="58"/>
  <c r="Z17" i="58" l="1"/>
  <c r="Z20" i="58"/>
  <c r="Z23" i="58"/>
  <c r="Z18" i="58"/>
  <c r="Z21" i="58"/>
  <c r="Z16" i="58"/>
  <c r="Z15" i="58"/>
  <c r="Z13" i="58"/>
  <c r="Z11" i="58"/>
  <c r="Z14" i="58"/>
  <c r="Z19" i="58"/>
  <c r="Z9" i="58"/>
  <c r="Z10" i="58"/>
  <c r="Z4" i="58"/>
  <c r="Z22" i="58"/>
  <c r="Z6" i="58"/>
  <c r="Z12" i="58"/>
  <c r="Z3" i="58"/>
  <c r="Z7" i="58"/>
  <c r="Z2" i="58"/>
  <c r="Z5" i="58"/>
  <c r="Z8" i="58"/>
  <c r="AA17" i="58" l="1"/>
  <c r="AA20" i="58"/>
  <c r="AA23" i="58"/>
  <c r="AA18" i="58"/>
  <c r="AA21" i="58"/>
  <c r="AA16" i="58"/>
  <c r="AA22" i="58"/>
  <c r="AA19" i="58"/>
  <c r="AA11" i="58"/>
  <c r="AA14" i="58"/>
  <c r="AA12" i="58"/>
  <c r="AA10" i="58"/>
  <c r="AA5" i="58"/>
  <c r="AA13" i="58"/>
  <c r="AA6" i="58"/>
  <c r="AA15" i="58"/>
  <c r="AA8" i="58"/>
  <c r="AA4" i="58"/>
  <c r="AA9" i="58"/>
  <c r="AA2" i="58"/>
  <c r="AA3" i="58"/>
  <c r="AA7" i="58"/>
  <c r="AB20" i="58" l="1"/>
  <c r="AB15" i="58"/>
  <c r="AB23" i="58"/>
  <c r="AB18" i="58"/>
  <c r="AB21" i="58"/>
  <c r="AB16" i="58"/>
  <c r="AB22" i="58"/>
  <c r="AB19" i="58"/>
  <c r="AB11" i="58"/>
  <c r="AB14" i="58"/>
  <c r="AB12" i="58"/>
  <c r="AB13" i="58"/>
  <c r="AB17" i="58"/>
  <c r="AB5" i="58"/>
  <c r="AB2" i="58"/>
  <c r="AB6" i="58"/>
  <c r="AB3" i="58"/>
  <c r="AB8" i="58"/>
  <c r="AB9" i="58"/>
  <c r="AB7" i="58"/>
  <c r="AB10" i="58"/>
  <c r="AB4" i="58"/>
  <c r="AC23" i="58" l="1"/>
  <c r="AC18" i="58"/>
  <c r="AC21" i="58"/>
  <c r="AC16" i="58"/>
  <c r="AC22" i="58"/>
  <c r="AC19" i="58"/>
  <c r="AC17" i="58"/>
  <c r="AC14" i="58"/>
  <c r="AC9" i="58"/>
  <c r="AC20" i="58"/>
  <c r="AC12" i="58"/>
  <c r="AC10" i="58"/>
  <c r="AC15" i="58"/>
  <c r="AC11" i="58"/>
  <c r="AC13" i="58"/>
  <c r="AC6" i="58"/>
  <c r="AC8" i="58"/>
  <c r="AC7" i="58"/>
  <c r="AC4" i="58"/>
  <c r="AC3" i="58"/>
  <c r="AC5" i="58"/>
  <c r="AC2" i="58"/>
  <c r="AD23" i="58" l="1"/>
  <c r="AD18" i="58"/>
  <c r="AD21" i="58"/>
  <c r="AD16" i="58"/>
  <c r="AD22" i="58"/>
  <c r="AD19" i="58"/>
  <c r="AD17" i="58"/>
  <c r="AD20" i="58"/>
  <c r="AD9" i="58"/>
  <c r="AD12" i="58"/>
  <c r="AD13" i="58"/>
  <c r="AD11" i="58"/>
  <c r="AD6" i="58"/>
  <c r="AD8" i="58"/>
  <c r="AD15" i="58"/>
  <c r="AD7" i="58"/>
  <c r="AD4" i="58"/>
  <c r="AD3" i="58"/>
  <c r="AD5" i="58"/>
  <c r="AD14" i="58"/>
  <c r="AD2" i="58"/>
  <c r="AD10" i="58"/>
  <c r="AE21" i="58" l="1"/>
  <c r="AE16" i="58"/>
  <c r="AE22" i="58"/>
  <c r="AE19" i="58"/>
  <c r="AE17" i="58"/>
  <c r="AE20" i="58"/>
  <c r="AE12" i="58"/>
  <c r="AE13" i="58"/>
  <c r="AE15" i="58"/>
  <c r="AE8" i="58"/>
  <c r="AE14" i="58"/>
  <c r="AE23" i="58"/>
  <c r="AE3" i="58"/>
  <c r="AE7" i="58"/>
  <c r="AE4" i="58"/>
  <c r="AE9" i="58"/>
  <c r="AE18" i="58"/>
  <c r="AE10" i="58"/>
  <c r="AE5" i="58"/>
  <c r="AE11" i="58"/>
  <c r="AE6" i="58"/>
  <c r="AE2" i="58"/>
  <c r="AF16" i="58" l="1"/>
  <c r="AF22" i="58"/>
  <c r="AF19" i="58"/>
  <c r="AF17" i="58"/>
  <c r="AF20" i="58"/>
  <c r="AF15" i="58"/>
  <c r="AF23" i="58"/>
  <c r="AF18" i="58"/>
  <c r="AF21" i="58"/>
  <c r="AF10" i="58"/>
  <c r="AF13" i="58"/>
  <c r="AF11" i="58"/>
  <c r="AF9" i="58"/>
  <c r="AF8" i="58"/>
  <c r="AF7" i="58"/>
  <c r="AF12" i="58"/>
  <c r="AF5" i="58"/>
  <c r="AF14" i="58"/>
  <c r="AF6" i="58"/>
  <c r="AF2" i="58"/>
  <c r="AF3" i="58"/>
  <c r="AF4" i="58"/>
  <c r="AG22" i="58" l="1"/>
  <c r="AG19" i="58"/>
  <c r="AG17" i="58"/>
  <c r="AG20" i="58"/>
  <c r="AG15" i="58"/>
  <c r="AG23" i="58"/>
  <c r="AG18" i="58"/>
  <c r="AG21" i="58"/>
  <c r="AG16" i="58"/>
  <c r="AG10" i="58"/>
  <c r="AG13" i="58"/>
  <c r="AG11" i="58"/>
  <c r="AG14" i="58"/>
  <c r="AG12" i="58"/>
  <c r="AG8" i="58"/>
  <c r="AG7" i="58"/>
  <c r="AG4" i="58"/>
  <c r="AG9" i="58"/>
  <c r="AG5" i="58"/>
  <c r="AG2" i="58"/>
  <c r="AG6" i="58"/>
  <c r="AG3" i="58"/>
  <c r="AH17" i="58" l="1"/>
  <c r="AH20" i="58"/>
  <c r="AH23" i="58"/>
  <c r="AH18" i="58"/>
  <c r="AH21" i="58"/>
  <c r="AH16" i="58"/>
  <c r="AH13" i="58"/>
  <c r="AH11" i="58"/>
  <c r="AH19" i="58"/>
  <c r="AH15" i="58"/>
  <c r="AH14" i="58"/>
  <c r="AH9" i="58"/>
  <c r="AH22" i="58"/>
  <c r="AH4" i="58"/>
  <c r="AH12" i="58"/>
  <c r="AH10" i="58"/>
  <c r="AH6" i="58"/>
  <c r="AH3" i="58"/>
  <c r="AH5" i="58"/>
  <c r="AH2" i="58"/>
  <c r="AH8" i="58"/>
  <c r="AH7" i="58"/>
  <c r="AI17" i="58" l="1"/>
  <c r="AI20" i="58"/>
  <c r="AI23" i="58"/>
  <c r="AI18" i="58"/>
  <c r="AI21" i="58"/>
  <c r="AI16" i="58"/>
  <c r="AI22" i="58"/>
  <c r="AI19" i="58"/>
  <c r="AI11" i="58"/>
  <c r="AI15" i="58"/>
  <c r="AI14" i="58"/>
  <c r="AI12" i="58"/>
  <c r="AI10" i="58"/>
  <c r="AI13" i="58"/>
  <c r="AI5" i="58"/>
  <c r="AI9" i="58"/>
  <c r="AI6" i="58"/>
  <c r="AI2" i="58"/>
  <c r="AI8" i="58"/>
  <c r="AI7" i="58"/>
  <c r="AI4" i="58"/>
  <c r="AI3" i="58"/>
  <c r="AJ20" i="58" l="1"/>
  <c r="AJ15" i="58"/>
  <c r="AJ23" i="58"/>
  <c r="AJ18" i="58"/>
  <c r="AJ21" i="58"/>
  <c r="AJ16" i="58"/>
  <c r="AJ22" i="58"/>
  <c r="AJ19" i="58"/>
  <c r="AJ11" i="58"/>
  <c r="AJ14" i="58"/>
  <c r="AJ12" i="58"/>
  <c r="AJ17" i="58"/>
  <c r="AJ13" i="58"/>
  <c r="AJ5" i="58"/>
  <c r="AJ2" i="58"/>
  <c r="AJ9" i="58"/>
  <c r="AJ6" i="58"/>
  <c r="AJ10" i="58"/>
  <c r="AJ3" i="58"/>
  <c r="AJ8" i="58"/>
  <c r="AJ7" i="58"/>
  <c r="AJ4" i="58"/>
  <c r="AK23" i="58" l="1"/>
  <c r="AK18" i="58"/>
  <c r="AK21" i="58"/>
  <c r="AK16" i="58"/>
  <c r="AK22" i="58"/>
  <c r="AK19" i="58"/>
  <c r="AK17" i="58"/>
  <c r="AK14" i="58"/>
  <c r="AK20" i="58"/>
  <c r="AK15" i="58"/>
  <c r="AK9" i="58"/>
  <c r="AK12" i="58"/>
  <c r="AK10" i="58"/>
  <c r="AK6" i="58"/>
  <c r="AK8" i="58"/>
  <c r="AK7" i="58"/>
  <c r="AK4" i="58"/>
  <c r="AK13" i="58"/>
  <c r="AK2" i="58"/>
  <c r="AK11" i="58"/>
  <c r="AK3" i="58"/>
  <c r="AK5" i="58"/>
  <c r="AL23" i="58" l="1"/>
  <c r="AL18" i="58"/>
  <c r="AL21" i="58"/>
  <c r="AL16" i="58"/>
  <c r="AL22" i="58"/>
  <c r="AL19" i="58"/>
  <c r="AL17" i="58"/>
  <c r="AL20" i="58"/>
  <c r="AL15" i="58"/>
  <c r="AL9" i="58"/>
  <c r="AL12" i="58"/>
  <c r="AL13" i="58"/>
  <c r="AL11" i="58"/>
  <c r="AL6" i="58"/>
  <c r="AL10" i="58"/>
  <c r="AL8" i="58"/>
  <c r="AL7" i="58"/>
  <c r="AL14" i="58"/>
  <c r="AL4" i="58"/>
  <c r="AL3" i="58"/>
  <c r="AL2" i="58"/>
  <c r="AL5" i="58"/>
  <c r="AM21" i="58" l="1"/>
  <c r="AM16" i="58"/>
  <c r="AM22" i="58"/>
  <c r="AM19" i="58"/>
  <c r="AM17" i="58"/>
  <c r="AM20" i="58"/>
  <c r="AM12" i="58"/>
  <c r="AM13" i="58"/>
  <c r="AM23" i="58"/>
  <c r="AM18" i="58"/>
  <c r="AM8" i="58"/>
  <c r="AM14" i="58"/>
  <c r="AM9" i="58"/>
  <c r="AM3" i="58"/>
  <c r="AM10" i="58"/>
  <c r="AM15" i="58"/>
  <c r="AM7" i="58"/>
  <c r="AM4" i="58"/>
  <c r="AM11" i="58"/>
  <c r="AM5" i="58"/>
  <c r="AM6" i="58"/>
  <c r="AM2" i="58"/>
  <c r="AN16" i="58" l="1"/>
  <c r="AN22" i="58"/>
  <c r="AN19" i="58"/>
  <c r="AN17" i="58"/>
  <c r="AN20" i="58"/>
  <c r="AN15" i="58"/>
  <c r="AN23" i="58"/>
  <c r="AN18" i="58"/>
  <c r="AN10" i="58"/>
  <c r="AN13" i="58"/>
  <c r="AN11" i="58"/>
  <c r="AN9" i="58"/>
  <c r="AN7" i="58"/>
  <c r="AN12" i="58"/>
  <c r="AN8" i="58"/>
  <c r="AN14" i="58"/>
  <c r="AN5" i="58"/>
  <c r="AN21" i="58"/>
  <c r="AN3" i="58"/>
  <c r="AN4" i="58"/>
  <c r="AN2" i="58"/>
  <c r="AN6" i="58"/>
  <c r="AO22" i="58" l="1"/>
  <c r="AO19" i="58"/>
  <c r="AO17" i="58"/>
  <c r="AO20" i="58"/>
  <c r="AO15" i="58"/>
  <c r="AO23" i="58"/>
  <c r="AO18" i="58"/>
  <c r="AO21" i="58"/>
  <c r="AO10" i="58"/>
  <c r="AO13" i="58"/>
  <c r="AO11" i="58"/>
  <c r="AO14" i="58"/>
  <c r="AO12" i="58"/>
  <c r="AO7" i="58"/>
  <c r="AO8" i="58"/>
  <c r="AO4" i="58"/>
  <c r="AO16" i="58"/>
  <c r="AO5" i="58"/>
  <c r="AO2" i="58"/>
  <c r="AO6" i="58"/>
  <c r="AO9" i="58"/>
  <c r="AO3" i="58"/>
  <c r="D23" i="58" l="1"/>
  <c r="AO24" i="58" s="1"/>
  <c r="CC6" i="58" l="1"/>
  <c r="CC5" i="58"/>
  <c r="CC13" i="58"/>
  <c r="CC8" i="58"/>
  <c r="CC18" i="58"/>
  <c r="CC15" i="58"/>
  <c r="CC12" i="58"/>
  <c r="CC21" i="58"/>
  <c r="CC17" i="58"/>
  <c r="CC9" i="58"/>
  <c r="CC4" i="58"/>
  <c r="CC11" i="58"/>
  <c r="F24" i="58"/>
  <c r="G24" i="58"/>
  <c r="H24" i="58"/>
  <c r="I24" i="58"/>
  <c r="J24" i="58"/>
  <c r="K24" i="58"/>
  <c r="L24" i="58"/>
  <c r="M24" i="58"/>
  <c r="N24" i="58"/>
  <c r="O24" i="58"/>
  <c r="P24" i="58"/>
  <c r="Q24" i="58"/>
  <c r="R24" i="58"/>
  <c r="S24" i="58"/>
  <c r="T24" i="58"/>
  <c r="U24" i="58"/>
  <c r="V24" i="58"/>
  <c r="W24" i="58"/>
  <c r="X24" i="58"/>
  <c r="Y24" i="58"/>
  <c r="Z24" i="58"/>
  <c r="AA24" i="58"/>
  <c r="AB24" i="58"/>
  <c r="AC24" i="58"/>
  <c r="AD24" i="58"/>
  <c r="AE24" i="58"/>
  <c r="AF24" i="58"/>
  <c r="AG24" i="58"/>
  <c r="AH24" i="58"/>
  <c r="AI24" i="58"/>
  <c r="AJ24" i="58"/>
  <c r="AK24" i="58"/>
  <c r="AL24" i="58"/>
  <c r="AM24" i="58"/>
  <c r="AN24" i="58"/>
  <c r="CC22" i="58"/>
  <c r="CC2" i="58"/>
  <c r="CC10" i="58"/>
  <c r="CC20" i="58"/>
  <c r="CC7" i="58"/>
  <c r="CC16" i="58"/>
  <c r="CC14" i="58"/>
  <c r="CC3" i="58"/>
  <c r="CC19" i="58"/>
  <c r="CA17" i="58" l="1"/>
  <c r="CA18" i="58"/>
  <c r="CA9" i="58"/>
  <c r="CA5" i="58"/>
  <c r="CA16" i="58"/>
  <c r="CA2" i="58"/>
  <c r="CA14" i="58"/>
  <c r="CA6" i="58"/>
  <c r="CA10" i="58"/>
  <c r="CA19" i="58"/>
  <c r="CA7" i="58"/>
  <c r="CA12" i="58"/>
  <c r="CA3" i="58"/>
  <c r="CA11" i="58"/>
  <c r="CA20" i="58"/>
  <c r="CA13" i="58"/>
  <c r="CA8" i="58"/>
  <c r="CA21" i="58"/>
  <c r="CA4" i="58"/>
  <c r="CA22" i="58"/>
  <c r="CA15" i="58"/>
  <c r="BS6" i="58"/>
  <c r="BS19" i="58"/>
  <c r="BS5" i="58"/>
  <c r="BS15" i="58"/>
  <c r="BS7" i="58"/>
  <c r="BS14" i="58"/>
  <c r="BS21" i="58"/>
  <c r="BS16" i="58"/>
  <c r="BS20" i="58"/>
  <c r="BS22" i="58"/>
  <c r="BS12" i="58"/>
  <c r="BS11" i="58"/>
  <c r="BS10" i="58"/>
  <c r="BS9" i="58"/>
  <c r="BS3" i="58"/>
  <c r="BS8" i="58"/>
  <c r="BS13" i="58"/>
  <c r="BS4" i="58"/>
  <c r="BS17" i="58"/>
  <c r="BS2" i="58"/>
  <c r="BS18" i="58"/>
  <c r="BK11" i="58"/>
  <c r="BK17" i="58"/>
  <c r="BK8" i="58"/>
  <c r="BK5" i="58"/>
  <c r="BK16" i="58"/>
  <c r="BK18" i="58"/>
  <c r="BK10" i="58"/>
  <c r="BK7" i="58"/>
  <c r="BK15" i="58"/>
  <c r="BK6" i="58"/>
  <c r="BK20" i="58"/>
  <c r="BK3" i="58"/>
  <c r="BK19" i="58"/>
  <c r="BK13" i="58"/>
  <c r="BK4" i="58"/>
  <c r="BK21" i="58"/>
  <c r="BK12" i="58"/>
  <c r="BK14" i="58"/>
  <c r="BK2" i="58"/>
  <c r="BK9" i="58"/>
  <c r="BK22" i="58"/>
  <c r="BC8" i="58"/>
  <c r="BC4" i="58"/>
  <c r="BC2" i="58"/>
  <c r="BC16" i="58"/>
  <c r="BC6" i="58"/>
  <c r="BC14" i="58"/>
  <c r="BC11" i="58"/>
  <c r="BC17" i="58"/>
  <c r="BC3" i="58"/>
  <c r="BC9" i="58"/>
  <c r="BC12" i="58"/>
  <c r="BC19" i="58"/>
  <c r="BC5" i="58"/>
  <c r="BC13" i="58"/>
  <c r="BC18" i="58"/>
  <c r="BC10" i="58"/>
  <c r="BC21" i="58"/>
  <c r="BC7" i="58"/>
  <c r="BC15" i="58"/>
  <c r="BC20" i="58"/>
  <c r="BC22" i="58"/>
  <c r="AU5" i="58"/>
  <c r="AU10" i="58"/>
  <c r="AU6" i="58"/>
  <c r="AU14" i="58"/>
  <c r="AU17" i="58"/>
  <c r="AU21" i="58"/>
  <c r="AU18" i="58"/>
  <c r="AU2" i="58"/>
  <c r="AU11" i="58"/>
  <c r="AU3" i="58"/>
  <c r="AU22" i="58"/>
  <c r="AU4" i="58"/>
  <c r="AU8" i="58"/>
  <c r="AU13" i="58"/>
  <c r="AU15" i="58"/>
  <c r="AU16" i="58"/>
  <c r="AU7" i="58"/>
  <c r="AU19" i="58"/>
  <c r="AU12" i="58"/>
  <c r="AU9" i="58"/>
  <c r="AU20" i="58"/>
  <c r="BZ2" i="58"/>
  <c r="BZ4" i="58"/>
  <c r="BZ7" i="58"/>
  <c r="BZ6" i="58"/>
  <c r="BZ12" i="58"/>
  <c r="BZ15" i="58"/>
  <c r="BZ19" i="58"/>
  <c r="BZ11" i="58"/>
  <c r="BZ21" i="58"/>
  <c r="BZ16" i="58"/>
  <c r="BZ22" i="58"/>
  <c r="BZ5" i="58"/>
  <c r="BZ8" i="58"/>
  <c r="BZ17" i="58"/>
  <c r="BZ14" i="58"/>
  <c r="BZ20" i="58"/>
  <c r="BZ10" i="58"/>
  <c r="BZ3" i="58"/>
  <c r="BZ9" i="58"/>
  <c r="BZ13" i="58"/>
  <c r="BZ18" i="58"/>
  <c r="BR3" i="58"/>
  <c r="BR10" i="58"/>
  <c r="BR22" i="58"/>
  <c r="BR11" i="58"/>
  <c r="BR12" i="58"/>
  <c r="BR15" i="58"/>
  <c r="BR16" i="58"/>
  <c r="BR18" i="58"/>
  <c r="BR17" i="58"/>
  <c r="BR5" i="58"/>
  <c r="BR6" i="58"/>
  <c r="BR4" i="58"/>
  <c r="BR2" i="58"/>
  <c r="BR13" i="58"/>
  <c r="BR21" i="58"/>
  <c r="BR9" i="58"/>
  <c r="BR8" i="58"/>
  <c r="BR19" i="58"/>
  <c r="BR7" i="58"/>
  <c r="BR14" i="58"/>
  <c r="BR20" i="58"/>
  <c r="BJ15" i="58"/>
  <c r="BJ9" i="58"/>
  <c r="BJ19" i="58"/>
  <c r="BJ21" i="58"/>
  <c r="BJ13" i="58"/>
  <c r="BJ8" i="58"/>
  <c r="BJ20" i="58"/>
  <c r="BJ16" i="58"/>
  <c r="BJ2" i="58"/>
  <c r="BJ7" i="58"/>
  <c r="BJ3" i="58"/>
  <c r="BJ11" i="58"/>
  <c r="BJ12" i="58"/>
  <c r="BJ6" i="58"/>
  <c r="BJ22" i="58"/>
  <c r="BJ18" i="58"/>
  <c r="BJ17" i="58"/>
  <c r="BJ5" i="58"/>
  <c r="BJ4" i="58"/>
  <c r="BJ10" i="58"/>
  <c r="BJ14" i="58"/>
  <c r="BB11" i="58"/>
  <c r="BB12" i="58"/>
  <c r="BB6" i="58"/>
  <c r="BB22" i="58"/>
  <c r="BB18" i="58"/>
  <c r="BB17" i="58"/>
  <c r="BB7" i="58"/>
  <c r="BB3" i="58"/>
  <c r="BB2" i="58"/>
  <c r="BB13" i="58"/>
  <c r="BB9" i="58"/>
  <c r="BB8" i="58"/>
  <c r="BB19" i="58"/>
  <c r="BB20" i="58"/>
  <c r="BB16" i="58"/>
  <c r="BB15" i="58"/>
  <c r="BB5" i="58"/>
  <c r="BB21" i="58"/>
  <c r="BB14" i="58"/>
  <c r="BB10" i="58"/>
  <c r="BB4" i="58"/>
  <c r="D24" i="58"/>
  <c r="AT8" i="58"/>
  <c r="AT7" i="58"/>
  <c r="AT6" i="58"/>
  <c r="AT2" i="58"/>
  <c r="AT22" i="58"/>
  <c r="AT18" i="58"/>
  <c r="AT13" i="58"/>
  <c r="AT10" i="58"/>
  <c r="AT11" i="58"/>
  <c r="AT3" i="58"/>
  <c r="AT19" i="58"/>
  <c r="AT12" i="58"/>
  <c r="AT15" i="58"/>
  <c r="AT21" i="58"/>
  <c r="AT14" i="58"/>
  <c r="AT16" i="58"/>
  <c r="AT9" i="58"/>
  <c r="AT4" i="58"/>
  <c r="AT17" i="58"/>
  <c r="AT5" i="58"/>
  <c r="AT20" i="58"/>
  <c r="BY9" i="58"/>
  <c r="BY7" i="58"/>
  <c r="BY19" i="58"/>
  <c r="BY10" i="58"/>
  <c r="BY6" i="58"/>
  <c r="BY13" i="58"/>
  <c r="BY14" i="58"/>
  <c r="BY22" i="58"/>
  <c r="BY15" i="58"/>
  <c r="BY2" i="58"/>
  <c r="BY11" i="58"/>
  <c r="BY18" i="58"/>
  <c r="BY5" i="58"/>
  <c r="BY12" i="58"/>
  <c r="BY21" i="58"/>
  <c r="BY8" i="58"/>
  <c r="BY16" i="58"/>
  <c r="BY4" i="58"/>
  <c r="BY17" i="58"/>
  <c r="BY20" i="58"/>
  <c r="BY3" i="58"/>
  <c r="BQ4" i="58"/>
  <c r="BQ15" i="58"/>
  <c r="BQ12" i="58"/>
  <c r="BQ6" i="58"/>
  <c r="BQ22" i="58"/>
  <c r="BQ21" i="58"/>
  <c r="BQ14" i="58"/>
  <c r="BQ3" i="58"/>
  <c r="BQ7" i="58"/>
  <c r="BQ2" i="58"/>
  <c r="BQ10" i="58"/>
  <c r="BQ20" i="58"/>
  <c r="BQ13" i="58"/>
  <c r="BQ16" i="58"/>
  <c r="BQ18" i="58"/>
  <c r="BQ17" i="58"/>
  <c r="BQ11" i="58"/>
  <c r="BQ8" i="58"/>
  <c r="BQ19" i="58"/>
  <c r="BQ9" i="58"/>
  <c r="BQ5" i="58"/>
  <c r="BI4" i="58"/>
  <c r="BI5" i="58"/>
  <c r="BI20" i="58"/>
  <c r="BI2" i="58"/>
  <c r="BI6" i="58"/>
  <c r="BI17" i="58"/>
  <c r="BI21" i="58"/>
  <c r="BI8" i="58"/>
  <c r="BI19" i="58"/>
  <c r="BI7" i="58"/>
  <c r="BI14" i="58"/>
  <c r="BI15" i="58"/>
  <c r="BI10" i="58"/>
  <c r="BI22" i="58"/>
  <c r="BI9" i="58"/>
  <c r="BI12" i="58"/>
  <c r="BI16" i="58"/>
  <c r="BI18" i="58"/>
  <c r="BI3" i="58"/>
  <c r="BI13" i="58"/>
  <c r="BI11" i="58"/>
  <c r="BA19" i="58"/>
  <c r="BA10" i="58"/>
  <c r="BA6" i="58"/>
  <c r="BA5" i="58"/>
  <c r="BA12" i="58"/>
  <c r="BA14" i="58"/>
  <c r="BA16" i="58"/>
  <c r="BA3" i="58"/>
  <c r="BA7" i="58"/>
  <c r="BA2" i="58"/>
  <c r="BA8" i="58"/>
  <c r="BA22" i="58"/>
  <c r="BA15" i="58"/>
  <c r="BA4" i="58"/>
  <c r="BA17" i="58"/>
  <c r="BA20" i="58"/>
  <c r="BA11" i="58"/>
  <c r="BA21" i="58"/>
  <c r="BA9" i="58"/>
  <c r="BA18" i="58"/>
  <c r="BA13" i="58"/>
  <c r="BX9" i="58"/>
  <c r="BX21" i="58"/>
  <c r="BX14" i="58"/>
  <c r="BX19" i="58"/>
  <c r="BX8" i="58"/>
  <c r="BX15" i="58"/>
  <c r="BX13" i="58"/>
  <c r="BX4" i="58"/>
  <c r="BX17" i="58"/>
  <c r="BX6" i="58"/>
  <c r="BX2" i="58"/>
  <c r="BX18" i="58"/>
  <c r="BX11" i="58"/>
  <c r="BX22" i="58"/>
  <c r="BX5" i="58"/>
  <c r="BX3" i="58"/>
  <c r="BX20" i="58"/>
  <c r="BX10" i="58"/>
  <c r="BX16" i="58"/>
  <c r="BX12" i="58"/>
  <c r="BX7" i="58"/>
  <c r="BP6" i="58"/>
  <c r="BP21" i="58"/>
  <c r="BP14" i="58"/>
  <c r="BP19" i="58"/>
  <c r="BP7" i="58"/>
  <c r="BP15" i="58"/>
  <c r="BP4" i="58"/>
  <c r="BP13" i="58"/>
  <c r="BP3" i="58"/>
  <c r="BP2" i="58"/>
  <c r="BP18" i="58"/>
  <c r="BP11" i="58"/>
  <c r="BP22" i="58"/>
  <c r="BP5" i="58"/>
  <c r="BP9" i="58"/>
  <c r="BP20" i="58"/>
  <c r="BP16" i="58"/>
  <c r="BP12" i="58"/>
  <c r="BP10" i="58"/>
  <c r="BP17" i="58"/>
  <c r="BP8" i="58"/>
  <c r="BH13" i="58"/>
  <c r="BH17" i="58"/>
  <c r="BH9" i="58"/>
  <c r="BH15" i="58"/>
  <c r="BH21" i="58"/>
  <c r="BH22" i="58"/>
  <c r="BH7" i="58"/>
  <c r="BH12" i="58"/>
  <c r="BH11" i="58"/>
  <c r="BH3" i="58"/>
  <c r="BH18" i="58"/>
  <c r="BH10" i="58"/>
  <c r="BH4" i="58"/>
  <c r="BH5" i="58"/>
  <c r="BH14" i="58"/>
  <c r="BH2" i="58"/>
  <c r="BH16" i="58"/>
  <c r="BH6" i="58"/>
  <c r="BH8" i="58"/>
  <c r="BH19" i="58"/>
  <c r="BH20" i="58"/>
  <c r="AZ6" i="58"/>
  <c r="AZ10" i="58"/>
  <c r="AZ14" i="58"/>
  <c r="AZ17" i="58"/>
  <c r="AZ7" i="58"/>
  <c r="AZ22" i="58"/>
  <c r="AZ11" i="58"/>
  <c r="AZ13" i="58"/>
  <c r="AZ2" i="58"/>
  <c r="AZ16" i="58"/>
  <c r="AZ15" i="58"/>
  <c r="AZ3" i="58"/>
  <c r="AZ21" i="58"/>
  <c r="AZ12" i="58"/>
  <c r="AZ8" i="58"/>
  <c r="AZ19" i="58"/>
  <c r="AZ20" i="58"/>
  <c r="AZ4" i="58"/>
  <c r="AZ9" i="58"/>
  <c r="AZ5" i="58"/>
  <c r="AZ18" i="58"/>
  <c r="BW2" i="58"/>
  <c r="BW22" i="58"/>
  <c r="BW12" i="58"/>
  <c r="BW15" i="58"/>
  <c r="BW3" i="58"/>
  <c r="BW18" i="58"/>
  <c r="BW20" i="58"/>
  <c r="BW13" i="58"/>
  <c r="BW8" i="58"/>
  <c r="BW6" i="58"/>
  <c r="BW16" i="58"/>
  <c r="BW14" i="58"/>
  <c r="BW11" i="58"/>
  <c r="BW4" i="58"/>
  <c r="BW17" i="58"/>
  <c r="BW10" i="58"/>
  <c r="BW9" i="58"/>
  <c r="BW21" i="58"/>
  <c r="BW19" i="58"/>
  <c r="BW5" i="58"/>
  <c r="BW7" i="58"/>
  <c r="BO16" i="58"/>
  <c r="BO12" i="58"/>
  <c r="BO15" i="58"/>
  <c r="BO3" i="58"/>
  <c r="BO19" i="58"/>
  <c r="BO5" i="58"/>
  <c r="BO4" i="58"/>
  <c r="BO7" i="58"/>
  <c r="BO21" i="58"/>
  <c r="BO14" i="58"/>
  <c r="BO6" i="58"/>
  <c r="BO2" i="58"/>
  <c r="BO20" i="58"/>
  <c r="BO22" i="58"/>
  <c r="BO10" i="58"/>
  <c r="BO8" i="58"/>
  <c r="BO18" i="58"/>
  <c r="BO11" i="58"/>
  <c r="BO13" i="58"/>
  <c r="BO9" i="58"/>
  <c r="BO17" i="58"/>
  <c r="BG3" i="58"/>
  <c r="BG20" i="58"/>
  <c r="BG2" i="58"/>
  <c r="BG16" i="58"/>
  <c r="BG7" i="58"/>
  <c r="BG21" i="58"/>
  <c r="BG9" i="58"/>
  <c r="BG15" i="58"/>
  <c r="BG13" i="58"/>
  <c r="BG22" i="58"/>
  <c r="BG5" i="58"/>
  <c r="BG18" i="58"/>
  <c r="BG11" i="58"/>
  <c r="BG12" i="58"/>
  <c r="BG4" i="58"/>
  <c r="BG17" i="58"/>
  <c r="BG10" i="58"/>
  <c r="BG6" i="58"/>
  <c r="BG14" i="58"/>
  <c r="BG8" i="58"/>
  <c r="BG19" i="58"/>
  <c r="AY15" i="58"/>
  <c r="AY9" i="58"/>
  <c r="AY14" i="58"/>
  <c r="AY19" i="58"/>
  <c r="AY10" i="58"/>
  <c r="AY20" i="58"/>
  <c r="AY6" i="58"/>
  <c r="AY18" i="58"/>
  <c r="AY7" i="58"/>
  <c r="AY22" i="58"/>
  <c r="AY12" i="58"/>
  <c r="AY3" i="58"/>
  <c r="AY4" i="58"/>
  <c r="AY11" i="58"/>
  <c r="AY8" i="58"/>
  <c r="AY17" i="58"/>
  <c r="AY16" i="58"/>
  <c r="AY2" i="58"/>
  <c r="AY21" i="58"/>
  <c r="AY5" i="58"/>
  <c r="AY13" i="58"/>
  <c r="BV2" i="58"/>
  <c r="BV20" i="58"/>
  <c r="BV4" i="58"/>
  <c r="BV9" i="58"/>
  <c r="BV6" i="58"/>
  <c r="BV16" i="58"/>
  <c r="BV18" i="58"/>
  <c r="BV19" i="58"/>
  <c r="BV8" i="58"/>
  <c r="BV5" i="58"/>
  <c r="BV17" i="58"/>
  <c r="BV22" i="58"/>
  <c r="BV14" i="58"/>
  <c r="BV10" i="58"/>
  <c r="BV21" i="58"/>
  <c r="BV11" i="58"/>
  <c r="BV12" i="58"/>
  <c r="BV3" i="58"/>
  <c r="BV13" i="58"/>
  <c r="BV15" i="58"/>
  <c r="BV7" i="58"/>
  <c r="BN6" i="58"/>
  <c r="BN21" i="58"/>
  <c r="BN14" i="58"/>
  <c r="BN13" i="58"/>
  <c r="BN22" i="58"/>
  <c r="BN2" i="58"/>
  <c r="BN20" i="58"/>
  <c r="BN15" i="58"/>
  <c r="BN9" i="58"/>
  <c r="BN12" i="58"/>
  <c r="BN8" i="58"/>
  <c r="BN18" i="58"/>
  <c r="BN11" i="58"/>
  <c r="BN4" i="58"/>
  <c r="BN7" i="58"/>
  <c r="BN17" i="58"/>
  <c r="BN16" i="58"/>
  <c r="BN19" i="58"/>
  <c r="BN5" i="58"/>
  <c r="BN10" i="58"/>
  <c r="BN3" i="58"/>
  <c r="BF2" i="58"/>
  <c r="BF18" i="58"/>
  <c r="BF20" i="58"/>
  <c r="BF14" i="58"/>
  <c r="BF6" i="58"/>
  <c r="BF13" i="58"/>
  <c r="BF8" i="58"/>
  <c r="BF12" i="58"/>
  <c r="BF22" i="58"/>
  <c r="BF10" i="58"/>
  <c r="BF4" i="58"/>
  <c r="BF3" i="58"/>
  <c r="BF16" i="58"/>
  <c r="BF15" i="58"/>
  <c r="BF11" i="58"/>
  <c r="BF19" i="58"/>
  <c r="BF5" i="58"/>
  <c r="BF9" i="58"/>
  <c r="BF17" i="58"/>
  <c r="BF21" i="58"/>
  <c r="BF7" i="58"/>
  <c r="AX10" i="58"/>
  <c r="AX18" i="58"/>
  <c r="AX11" i="58"/>
  <c r="AX16" i="58"/>
  <c r="AX17" i="58"/>
  <c r="AX15" i="58"/>
  <c r="AX9" i="58"/>
  <c r="AX6" i="58"/>
  <c r="AX20" i="58"/>
  <c r="AX3" i="58"/>
  <c r="AX21" i="58"/>
  <c r="AX12" i="58"/>
  <c r="AX4" i="58"/>
  <c r="AX22" i="58"/>
  <c r="AX2" i="58"/>
  <c r="AX14" i="58"/>
  <c r="AX5" i="58"/>
  <c r="AX13" i="58"/>
  <c r="AX7" i="58"/>
  <c r="AX19" i="58"/>
  <c r="AX8" i="58"/>
  <c r="BU6" i="58"/>
  <c r="BU13" i="58"/>
  <c r="BU16" i="58"/>
  <c r="BU14" i="58"/>
  <c r="BU17" i="58"/>
  <c r="BU22" i="58"/>
  <c r="BU15" i="58"/>
  <c r="BU7" i="58"/>
  <c r="BU12" i="58"/>
  <c r="BU9" i="58"/>
  <c r="BU21" i="58"/>
  <c r="BU8" i="58"/>
  <c r="BU2" i="58"/>
  <c r="BU10" i="58"/>
  <c r="BU18" i="58"/>
  <c r="BU11" i="58"/>
  <c r="BU19" i="58"/>
  <c r="BU20" i="58"/>
  <c r="BU3" i="58"/>
  <c r="BU5" i="58"/>
  <c r="BU4" i="58"/>
  <c r="BM11" i="58"/>
  <c r="BM16" i="58"/>
  <c r="BM12" i="58"/>
  <c r="BM6" i="58"/>
  <c r="BM22" i="58"/>
  <c r="BM18" i="58"/>
  <c r="BM13" i="58"/>
  <c r="BM4" i="58"/>
  <c r="BM9" i="58"/>
  <c r="BM17" i="58"/>
  <c r="BM10" i="58"/>
  <c r="BM14" i="58"/>
  <c r="BM20" i="58"/>
  <c r="BM8" i="58"/>
  <c r="BM2" i="58"/>
  <c r="BM7" i="58"/>
  <c r="BM15" i="58"/>
  <c r="BM21" i="58"/>
  <c r="BM19" i="58"/>
  <c r="BM5" i="58"/>
  <c r="BM3" i="58"/>
  <c r="BE18" i="58"/>
  <c r="BE6" i="58"/>
  <c r="BE10" i="58"/>
  <c r="BE22" i="58"/>
  <c r="BE19" i="58"/>
  <c r="BE2" i="58"/>
  <c r="BE16" i="58"/>
  <c r="BE12" i="58"/>
  <c r="BE14" i="58"/>
  <c r="BE17" i="58"/>
  <c r="BE8" i="58"/>
  <c r="BE5" i="58"/>
  <c r="BE4" i="58"/>
  <c r="BE9" i="58"/>
  <c r="BE21" i="58"/>
  <c r="BE13" i="58"/>
  <c r="BE15" i="58"/>
  <c r="BE11" i="58"/>
  <c r="BE20" i="58"/>
  <c r="BE7" i="58"/>
  <c r="BE3" i="58"/>
  <c r="AW6" i="58"/>
  <c r="AW5" i="58"/>
  <c r="AW4" i="58"/>
  <c r="AW21" i="58"/>
  <c r="AW9" i="58"/>
  <c r="AW15" i="58"/>
  <c r="AW14" i="58"/>
  <c r="AW13" i="58"/>
  <c r="AW17" i="58"/>
  <c r="AW22" i="58"/>
  <c r="AW2" i="58"/>
  <c r="AW8" i="58"/>
  <c r="AW3" i="58"/>
  <c r="AW12" i="58"/>
  <c r="AW18" i="58"/>
  <c r="AW10" i="58"/>
  <c r="AW11" i="58"/>
  <c r="AW7" i="58"/>
  <c r="AW20" i="58"/>
  <c r="AW19" i="58"/>
  <c r="AW16" i="58"/>
  <c r="CB9" i="58"/>
  <c r="CB14" i="58"/>
  <c r="CB15" i="58"/>
  <c r="CB21" i="58"/>
  <c r="CB18" i="58"/>
  <c r="CB4" i="58"/>
  <c r="CB11" i="58"/>
  <c r="CB13" i="58"/>
  <c r="CB3" i="58"/>
  <c r="CB7" i="58"/>
  <c r="CB19" i="58"/>
  <c r="CB22" i="58"/>
  <c r="CB6" i="58"/>
  <c r="CB20" i="58"/>
  <c r="CB5" i="58"/>
  <c r="CB8" i="58"/>
  <c r="CB10" i="58"/>
  <c r="CB16" i="58"/>
  <c r="CB2" i="58"/>
  <c r="CB17" i="58"/>
  <c r="CB12" i="58"/>
  <c r="BT4" i="58"/>
  <c r="BT17" i="58"/>
  <c r="BT21" i="58"/>
  <c r="BT5" i="58"/>
  <c r="BT7" i="58"/>
  <c r="BT9" i="58"/>
  <c r="BT13" i="58"/>
  <c r="BT16" i="58"/>
  <c r="BT19" i="58"/>
  <c r="BT2" i="58"/>
  <c r="BT8" i="58"/>
  <c r="BT3" i="58"/>
  <c r="BT12" i="58"/>
  <c r="BT15" i="58"/>
  <c r="BT14" i="58"/>
  <c r="BT18" i="58"/>
  <c r="BT20" i="58"/>
  <c r="BT10" i="58"/>
  <c r="BT6" i="58"/>
  <c r="BT22" i="58"/>
  <c r="BT11" i="58"/>
  <c r="BL7" i="58"/>
  <c r="BL9" i="58"/>
  <c r="BL4" i="58"/>
  <c r="BL3" i="58"/>
  <c r="BL10" i="58"/>
  <c r="BL5" i="58"/>
  <c r="BL11" i="58"/>
  <c r="BL22" i="58"/>
  <c r="BL8" i="58"/>
  <c r="BL17" i="58"/>
  <c r="BL14" i="58"/>
  <c r="BL21" i="58"/>
  <c r="BL15" i="58"/>
  <c r="BL2" i="58"/>
  <c r="BL16" i="58"/>
  <c r="BL18" i="58"/>
  <c r="BL6" i="58"/>
  <c r="BL13" i="58"/>
  <c r="BL20" i="58"/>
  <c r="BL19" i="58"/>
  <c r="BL12" i="58"/>
  <c r="BD2" i="58"/>
  <c r="BD16" i="58"/>
  <c r="BD11" i="58"/>
  <c r="BD18" i="58"/>
  <c r="BD17" i="58"/>
  <c r="BD5" i="58"/>
  <c r="BD10" i="58"/>
  <c r="BD9" i="58"/>
  <c r="BD21" i="58"/>
  <c r="BD3" i="58"/>
  <c r="BD4" i="58"/>
  <c r="BD20" i="58"/>
  <c r="BD22" i="58"/>
  <c r="BD12" i="58"/>
  <c r="BD8" i="58"/>
  <c r="BD15" i="58"/>
  <c r="BD13" i="58"/>
  <c r="BD7" i="58"/>
  <c r="BD19" i="58"/>
  <c r="BD6" i="58"/>
  <c r="BD14" i="58"/>
  <c r="AV7" i="58"/>
  <c r="AV22" i="58"/>
  <c r="AV18" i="58"/>
  <c r="AV8" i="58"/>
  <c r="AV6" i="58"/>
  <c r="AV12" i="58"/>
  <c r="AV11" i="58"/>
  <c r="AV9" i="58"/>
  <c r="AV17" i="58"/>
  <c r="AV13" i="58"/>
  <c r="AV3" i="58"/>
  <c r="AV4" i="58"/>
  <c r="AV21" i="58"/>
  <c r="AV14" i="58"/>
  <c r="AV2" i="58"/>
  <c r="AV19" i="58"/>
  <c r="AV10" i="58"/>
  <c r="AV16" i="58"/>
  <c r="AV15" i="58"/>
  <c r="AV20" i="58"/>
  <c r="AV5" i="58"/>
  <c r="C4" i="58" l="1"/>
  <c r="C3" i="58"/>
  <c r="C7" i="58"/>
  <c r="C9" i="58"/>
  <c r="C11" i="58"/>
  <c r="C8" i="58"/>
  <c r="C16" i="58"/>
  <c r="C10" i="58"/>
  <c r="C14" i="58"/>
  <c r="C13" i="58"/>
  <c r="C21" i="58"/>
  <c r="C18" i="58"/>
  <c r="C20" i="58"/>
  <c r="C15" i="58"/>
  <c r="C22" i="58"/>
  <c r="C5" i="58"/>
  <c r="C12" i="58"/>
  <c r="C2" i="58"/>
  <c r="C17" i="58"/>
  <c r="C19" i="58"/>
  <c r="C6" i="58"/>
  <c r="O24" i="18" l="1"/>
  <c r="O25" i="18" s="1"/>
  <c r="O26" i="18" s="1"/>
  <c r="O27" i="18" s="1"/>
  <c r="O28" i="18" s="1"/>
  <c r="O29" i="18" s="1"/>
  <c r="O30" i="18" s="1"/>
  <c r="O31" i="18" s="1"/>
  <c r="O32" i="18" s="1"/>
  <c r="O33" i="18" s="1"/>
  <c r="O34" i="18" s="1"/>
  <c r="O35" i="18" s="1"/>
  <c r="O85" i="33" l="1"/>
  <c r="G85" i="33"/>
  <c r="H85" i="33" s="1"/>
  <c r="C85" i="33"/>
  <c r="O5" i="33"/>
  <c r="G5" i="33"/>
  <c r="H5" i="33" s="1"/>
  <c r="C5" i="33"/>
  <c r="O19" i="33"/>
  <c r="G19" i="33"/>
  <c r="H19" i="33" s="1"/>
  <c r="C19" i="33"/>
  <c r="O90" i="33"/>
  <c r="G90" i="33"/>
  <c r="H90" i="33" s="1"/>
  <c r="C90" i="33"/>
  <c r="O100" i="33"/>
  <c r="G100" i="33"/>
  <c r="H100" i="33" s="1"/>
  <c r="C100" i="33"/>
  <c r="O65" i="33"/>
  <c r="G65" i="33"/>
  <c r="H65" i="33" s="1"/>
  <c r="C65" i="33"/>
  <c r="O66" i="33"/>
  <c r="G66" i="33"/>
  <c r="H66" i="33" s="1"/>
  <c r="C66" i="33"/>
  <c r="O69" i="33"/>
  <c r="G69" i="33"/>
  <c r="H69" i="33" s="1"/>
  <c r="C69" i="33"/>
  <c r="O68" i="33"/>
  <c r="G68" i="33"/>
  <c r="H68" i="33" s="1"/>
  <c r="C68" i="33"/>
  <c r="O83" i="33"/>
  <c r="G83" i="33"/>
  <c r="H83" i="33" s="1"/>
  <c r="C83" i="33"/>
  <c r="O24" i="33"/>
  <c r="G24" i="33"/>
  <c r="H24" i="33" s="1"/>
  <c r="C24" i="33"/>
  <c r="O3" i="33"/>
  <c r="G3" i="33"/>
  <c r="H3" i="33" s="1"/>
  <c r="C3" i="33"/>
  <c r="O76" i="33"/>
  <c r="G76" i="33"/>
  <c r="H76" i="33" s="1"/>
  <c r="C76" i="33"/>
  <c r="O92" i="33"/>
  <c r="G92" i="33"/>
  <c r="H92" i="33" s="1"/>
  <c r="C92" i="33"/>
  <c r="O89" i="33"/>
  <c r="G89" i="33"/>
  <c r="H89" i="33" s="1"/>
  <c r="C89" i="33"/>
  <c r="O75" i="33"/>
  <c r="G75" i="33"/>
  <c r="H75" i="33" s="1"/>
  <c r="C75" i="33"/>
  <c r="O72" i="33"/>
  <c r="G72" i="33"/>
  <c r="H72" i="33" s="1"/>
  <c r="C72" i="33"/>
  <c r="O64" i="33"/>
  <c r="G64" i="33"/>
  <c r="H64" i="33" s="1"/>
  <c r="C64" i="33"/>
  <c r="O82" i="33"/>
  <c r="G82" i="33"/>
  <c r="H82" i="33" s="1"/>
  <c r="C82" i="33"/>
  <c r="O80" i="33"/>
  <c r="G80" i="33"/>
  <c r="H80" i="33" s="1"/>
  <c r="C80" i="33"/>
  <c r="O4" i="33"/>
  <c r="G4" i="33"/>
  <c r="H4" i="33" s="1"/>
  <c r="C4" i="33"/>
  <c r="O95" i="33"/>
  <c r="G95" i="33"/>
  <c r="H95" i="33" s="1"/>
  <c r="C95" i="33"/>
  <c r="O62" i="33"/>
  <c r="G62" i="33"/>
  <c r="H62" i="33" s="1"/>
  <c r="C62" i="33"/>
  <c r="O94" i="33"/>
  <c r="G94" i="33"/>
  <c r="H94" i="33" s="1"/>
  <c r="C94" i="33"/>
  <c r="O77" i="33"/>
  <c r="G77" i="33"/>
  <c r="H77" i="33" s="1"/>
  <c r="C77" i="33"/>
  <c r="O71" i="33"/>
  <c r="G71" i="33"/>
  <c r="H71" i="33" s="1"/>
  <c r="C71" i="33"/>
  <c r="O2" i="33"/>
  <c r="G2" i="33"/>
  <c r="H2" i="33" s="1"/>
  <c r="C2" i="33"/>
  <c r="O41" i="33"/>
  <c r="G41" i="33"/>
  <c r="H41" i="33" s="1"/>
  <c r="C41" i="33"/>
  <c r="O84" i="33"/>
  <c r="G84" i="33"/>
  <c r="H84" i="33" s="1"/>
  <c r="C84" i="33"/>
  <c r="O46" i="33"/>
  <c r="G46" i="33"/>
  <c r="H46" i="33" s="1"/>
  <c r="C46" i="33"/>
  <c r="O93" i="33"/>
  <c r="G93" i="33"/>
  <c r="H93" i="33" s="1"/>
  <c r="C93" i="33"/>
  <c r="O47" i="33"/>
  <c r="G47" i="33"/>
  <c r="H47" i="33" s="1"/>
  <c r="C47" i="33"/>
  <c r="O99" i="33"/>
  <c r="G99" i="33"/>
  <c r="H99" i="33" s="1"/>
  <c r="C99" i="33"/>
  <c r="O49" i="33"/>
  <c r="G49" i="33"/>
  <c r="H49" i="33" s="1"/>
  <c r="C49" i="33"/>
  <c r="O96" i="33"/>
  <c r="G96" i="33"/>
  <c r="H96" i="33" s="1"/>
  <c r="C96" i="33"/>
  <c r="O87" i="33"/>
  <c r="G87" i="33"/>
  <c r="H87" i="33" s="1"/>
  <c r="C87" i="33"/>
  <c r="O70" i="33"/>
  <c r="G70" i="33"/>
  <c r="H70" i="33" s="1"/>
  <c r="C70" i="33"/>
  <c r="O78" i="33"/>
  <c r="G78" i="33"/>
  <c r="H78" i="33" s="1"/>
  <c r="C78" i="33"/>
  <c r="O43" i="33"/>
  <c r="G43" i="33"/>
  <c r="H43" i="33" s="1"/>
  <c r="C43" i="33"/>
  <c r="O88" i="33"/>
  <c r="G88" i="33"/>
  <c r="H88" i="33" s="1"/>
  <c r="C88" i="33"/>
  <c r="O25" i="33"/>
  <c r="G25" i="33"/>
  <c r="H25" i="33" s="1"/>
  <c r="C25" i="33"/>
  <c r="O81" i="33"/>
  <c r="G81" i="33"/>
  <c r="H81" i="33" s="1"/>
  <c r="C81" i="33"/>
  <c r="O51" i="33"/>
  <c r="G51" i="33"/>
  <c r="H51" i="33" s="1"/>
  <c r="C51" i="33"/>
  <c r="O57" i="33"/>
  <c r="G57" i="33"/>
  <c r="H57" i="33" s="1"/>
  <c r="C57" i="33"/>
  <c r="O37" i="33"/>
  <c r="G37" i="33"/>
  <c r="H37" i="33" s="1"/>
  <c r="C37" i="33"/>
  <c r="O36" i="33"/>
  <c r="G36" i="33"/>
  <c r="H36" i="33" s="1"/>
  <c r="C36" i="33"/>
  <c r="O98" i="33"/>
  <c r="G98" i="33"/>
  <c r="H98" i="33" s="1"/>
  <c r="C98" i="33"/>
  <c r="O91" i="33"/>
  <c r="G91" i="33"/>
  <c r="H91" i="33" s="1"/>
  <c r="C91" i="33"/>
  <c r="O58" i="33"/>
  <c r="G58" i="33"/>
  <c r="H58" i="33" s="1"/>
  <c r="C58" i="33"/>
  <c r="O44" i="33"/>
  <c r="G44" i="33"/>
  <c r="H44" i="33" s="1"/>
  <c r="C44" i="33"/>
  <c r="O42" i="33"/>
  <c r="G42" i="33"/>
  <c r="H42" i="33" s="1"/>
  <c r="C42" i="33"/>
  <c r="O26" i="33"/>
  <c r="G26" i="33"/>
  <c r="H26" i="33" s="1"/>
  <c r="C26" i="33"/>
  <c r="O21" i="33"/>
  <c r="G21" i="33"/>
  <c r="H21" i="33" s="1"/>
  <c r="C21" i="33"/>
  <c r="O79" i="33"/>
  <c r="G79" i="33"/>
  <c r="H79" i="33" s="1"/>
  <c r="C79" i="33"/>
  <c r="O34" i="33"/>
  <c r="G34" i="33"/>
  <c r="H34" i="33" s="1"/>
  <c r="C34" i="33"/>
  <c r="O52" i="33"/>
  <c r="G52" i="33"/>
  <c r="H52" i="33" s="1"/>
  <c r="C52" i="33"/>
  <c r="O54" i="33"/>
  <c r="G54" i="33"/>
  <c r="H54" i="33" s="1"/>
  <c r="C54" i="33"/>
  <c r="O50" i="33"/>
  <c r="G50" i="33"/>
  <c r="H50" i="33" s="1"/>
  <c r="C50" i="33"/>
  <c r="O97" i="33"/>
  <c r="G97" i="33"/>
  <c r="H97" i="33" s="1"/>
  <c r="C97" i="33"/>
  <c r="O74" i="33"/>
  <c r="G74" i="33"/>
  <c r="H74" i="33" s="1"/>
  <c r="C74" i="33"/>
  <c r="O38" i="33"/>
  <c r="G38" i="33"/>
  <c r="H38" i="33" s="1"/>
  <c r="C38" i="33"/>
  <c r="O31" i="33"/>
  <c r="G31" i="33"/>
  <c r="H31" i="33" s="1"/>
  <c r="C31" i="33"/>
  <c r="O86" i="33"/>
  <c r="G86" i="33"/>
  <c r="H86" i="33" s="1"/>
  <c r="C86" i="33"/>
  <c r="O22" i="33"/>
  <c r="G22" i="33"/>
  <c r="H22" i="33" s="1"/>
  <c r="C22" i="33"/>
  <c r="O18" i="33"/>
  <c r="G18" i="33"/>
  <c r="H18" i="33" s="1"/>
  <c r="C18" i="33"/>
  <c r="O48" i="33"/>
  <c r="G48" i="33"/>
  <c r="H48" i="33" s="1"/>
  <c r="C48" i="33"/>
  <c r="O32" i="33"/>
  <c r="G32" i="33"/>
  <c r="H32" i="33" s="1"/>
  <c r="C32" i="33"/>
  <c r="O33" i="33"/>
  <c r="G33" i="33"/>
  <c r="H33" i="33" s="1"/>
  <c r="C33" i="33"/>
  <c r="O30" i="33"/>
  <c r="G30" i="33"/>
  <c r="H30" i="33" s="1"/>
  <c r="C30" i="33"/>
  <c r="O73" i="33"/>
  <c r="G73" i="33"/>
  <c r="H73" i="33" s="1"/>
  <c r="C73" i="33"/>
  <c r="O40" i="33"/>
  <c r="G40" i="33"/>
  <c r="H40" i="33" s="1"/>
  <c r="C40" i="33"/>
  <c r="O28" i="33"/>
  <c r="G28" i="33"/>
  <c r="H28" i="33" s="1"/>
  <c r="C28" i="33"/>
  <c r="O23" i="33"/>
  <c r="G23" i="33"/>
  <c r="H23" i="33" s="1"/>
  <c r="C23" i="33"/>
  <c r="O14" i="33"/>
  <c r="G14" i="33"/>
  <c r="H14" i="33" s="1"/>
  <c r="C14" i="33"/>
  <c r="O11" i="33"/>
  <c r="G11" i="33"/>
  <c r="H11" i="33" s="1"/>
  <c r="C11" i="33"/>
  <c r="O29" i="33"/>
  <c r="G29" i="33"/>
  <c r="H29" i="33" s="1"/>
  <c r="C29" i="33"/>
  <c r="O39" i="33"/>
  <c r="G39" i="33"/>
  <c r="H39" i="33" s="1"/>
  <c r="C39" i="33"/>
  <c r="O60" i="33"/>
  <c r="G60" i="33"/>
  <c r="H60" i="33" s="1"/>
  <c r="C60" i="33"/>
  <c r="O53" i="33"/>
  <c r="G53" i="33"/>
  <c r="H53" i="33" s="1"/>
  <c r="C53" i="33"/>
  <c r="O45" i="33"/>
  <c r="G45" i="33"/>
  <c r="H45" i="33" s="1"/>
  <c r="C45" i="33"/>
  <c r="O35" i="33"/>
  <c r="G35" i="33"/>
  <c r="H35" i="33" s="1"/>
  <c r="C35" i="33"/>
  <c r="O67" i="33"/>
  <c r="G67" i="33"/>
  <c r="H67" i="33" s="1"/>
  <c r="C67" i="33"/>
  <c r="O27" i="33"/>
  <c r="G27" i="33"/>
  <c r="H27" i="33" s="1"/>
  <c r="C27" i="33"/>
  <c r="O20" i="33"/>
  <c r="G20" i="33"/>
  <c r="H20" i="33" s="1"/>
  <c r="C20" i="33"/>
  <c r="O13" i="33"/>
  <c r="G13" i="33"/>
  <c r="H13" i="33" s="1"/>
  <c r="C13" i="33"/>
  <c r="O10" i="33"/>
  <c r="G10" i="33"/>
  <c r="H10" i="33" s="1"/>
  <c r="C10" i="33"/>
  <c r="O8" i="33"/>
  <c r="G8" i="33"/>
  <c r="H8" i="33" s="1"/>
  <c r="C8" i="33"/>
  <c r="O15" i="33"/>
  <c r="G15" i="33"/>
  <c r="H15" i="33" s="1"/>
  <c r="C15" i="33"/>
  <c r="O16" i="33"/>
  <c r="G16" i="33"/>
  <c r="H16" i="33" s="1"/>
  <c r="C16" i="33"/>
  <c r="O61" i="33"/>
  <c r="G61" i="33"/>
  <c r="H61" i="33" s="1"/>
  <c r="C61" i="33"/>
  <c r="O56" i="33"/>
  <c r="G56" i="33"/>
  <c r="H56" i="33" s="1"/>
  <c r="C56" i="33"/>
  <c r="O59" i="33"/>
  <c r="G59" i="33"/>
  <c r="H59" i="33" s="1"/>
  <c r="C59" i="33"/>
  <c r="O55" i="33"/>
  <c r="G55" i="33"/>
  <c r="H55" i="33" s="1"/>
  <c r="C55" i="33"/>
  <c r="O63" i="33"/>
  <c r="G63" i="33"/>
  <c r="H63" i="33" s="1"/>
  <c r="C63" i="33"/>
  <c r="O12" i="33"/>
  <c r="G12" i="33"/>
  <c r="H12" i="33" s="1"/>
  <c r="C12" i="33"/>
  <c r="W5" i="33"/>
  <c r="O9" i="33"/>
  <c r="G9" i="33"/>
  <c r="H9" i="33" s="1"/>
  <c r="C9" i="33"/>
  <c r="O7" i="33"/>
  <c r="G7" i="33"/>
  <c r="H7" i="33" s="1"/>
  <c r="C7" i="33"/>
  <c r="O6" i="33"/>
  <c r="G6" i="33"/>
  <c r="H6" i="33" s="1"/>
  <c r="C6" i="33"/>
  <c r="O17" i="33"/>
  <c r="G17" i="33"/>
  <c r="H17" i="33" s="1"/>
  <c r="C17" i="33"/>
  <c r="D96" i="33"/>
  <c r="D10" i="50"/>
  <c r="S42" i="33"/>
  <c r="S43" i="33"/>
  <c r="E78" i="33"/>
  <c r="G4" i="50"/>
  <c r="E23" i="33"/>
  <c r="E24" i="33"/>
  <c r="D28" i="33"/>
  <c r="S60" i="33"/>
  <c r="H18" i="50"/>
  <c r="D32" i="33"/>
  <c r="S86" i="33"/>
  <c r="E83" i="33"/>
  <c r="E56" i="33"/>
  <c r="S25" i="33"/>
  <c r="D2" i="33"/>
  <c r="D40" i="33"/>
  <c r="E48" i="33"/>
  <c r="S57" i="33"/>
  <c r="E81" i="33"/>
  <c r="D63" i="33"/>
  <c r="S95" i="33"/>
  <c r="E17" i="50"/>
  <c r="E2" i="33"/>
  <c r="Q4" i="18"/>
  <c r="S8" i="33"/>
  <c r="H5" i="50"/>
  <c r="D86" i="33"/>
  <c r="G21" i="50"/>
  <c r="D12" i="33"/>
  <c r="S54" i="33"/>
  <c r="S80" i="33"/>
  <c r="E29" i="33"/>
  <c r="H21" i="50"/>
  <c r="E18" i="50"/>
  <c r="D47" i="33"/>
  <c r="D31" i="33"/>
  <c r="D6" i="50"/>
  <c r="D88" i="33"/>
  <c r="E97" i="33"/>
  <c r="E99" i="33"/>
  <c r="D12" i="50"/>
  <c r="E80" i="33"/>
  <c r="H19" i="50"/>
  <c r="S94" i="33"/>
  <c r="D89" i="33"/>
  <c r="D79" i="33"/>
  <c r="S96" i="33"/>
  <c r="E32" i="33"/>
  <c r="D35" i="33"/>
  <c r="E11" i="50"/>
  <c r="D91" i="33"/>
  <c r="S39" i="33"/>
  <c r="S9" i="33"/>
  <c r="D5" i="33"/>
  <c r="D8" i="33"/>
  <c r="D84" i="33"/>
  <c r="S62" i="33"/>
  <c r="E4" i="50"/>
  <c r="S66" i="33"/>
  <c r="D13" i="50"/>
  <c r="E26" i="33"/>
  <c r="E64" i="33"/>
  <c r="H20" i="50"/>
  <c r="E75" i="33"/>
  <c r="D46" i="33"/>
  <c r="S82" i="33"/>
  <c r="D3" i="50"/>
  <c r="E89" i="33"/>
  <c r="D24" i="33"/>
  <c r="S31" i="33"/>
  <c r="D25" i="33"/>
  <c r="S65" i="33"/>
  <c r="E9" i="33"/>
  <c r="E34" i="33"/>
  <c r="S38" i="33"/>
  <c r="D81" i="33"/>
  <c r="D42" i="33"/>
  <c r="D7" i="33"/>
  <c r="S74" i="33"/>
  <c r="S67" i="33"/>
  <c r="H3" i="50"/>
  <c r="D30" i="33"/>
  <c r="G3" i="50"/>
  <c r="E28" i="33"/>
  <c r="S77" i="33"/>
  <c r="G2" i="50"/>
  <c r="G6" i="50"/>
  <c r="E12" i="50"/>
  <c r="G17" i="50"/>
  <c r="E36" i="33"/>
  <c r="E2" i="50"/>
  <c r="D53" i="33"/>
  <c r="E91" i="33"/>
  <c r="S27" i="33"/>
  <c r="E62" i="33"/>
  <c r="E87" i="33"/>
  <c r="E10" i="33"/>
  <c r="E45" i="33"/>
  <c r="E100" i="33"/>
  <c r="S36" i="33"/>
  <c r="S64" i="33"/>
  <c r="S72" i="33"/>
  <c r="S84" i="33"/>
  <c r="S45" i="33"/>
  <c r="S93" i="33"/>
  <c r="E25" i="33"/>
  <c r="D13" i="33"/>
  <c r="D41" i="33"/>
  <c r="S47" i="33"/>
  <c r="D44" i="33"/>
  <c r="E8" i="33"/>
  <c r="E5" i="50"/>
  <c r="E72" i="33"/>
  <c r="E79" i="33"/>
  <c r="D92" i="33"/>
  <c r="D27" i="33"/>
  <c r="D17" i="33"/>
  <c r="D17" i="50"/>
  <c r="H11" i="50"/>
  <c r="D11" i="33"/>
  <c r="S11" i="33"/>
  <c r="G14" i="50"/>
  <c r="S26" i="33"/>
  <c r="D23" i="33"/>
  <c r="S68" i="33"/>
  <c r="S63" i="33"/>
  <c r="E49" i="33"/>
  <c r="S53" i="33"/>
  <c r="S56" i="33"/>
  <c r="E21" i="33"/>
  <c r="E95" i="33"/>
  <c r="D22" i="50"/>
  <c r="D75" i="33"/>
  <c r="S35" i="33"/>
  <c r="E4" i="33"/>
  <c r="D36" i="33"/>
  <c r="E20" i="33"/>
  <c r="G8" i="50"/>
  <c r="D8" i="50"/>
  <c r="G19" i="50"/>
  <c r="D77" i="33"/>
  <c r="S13" i="33"/>
  <c r="D15" i="33"/>
  <c r="D72" i="33"/>
  <c r="E66" i="33"/>
  <c r="E85" i="33"/>
  <c r="E21" i="50"/>
  <c r="S44" i="33"/>
  <c r="S58" i="33"/>
  <c r="D7" i="50"/>
  <c r="D65" i="33"/>
  <c r="H7" i="50"/>
  <c r="S5" i="33"/>
  <c r="E33" i="33"/>
  <c r="S10" i="33"/>
  <c r="S29" i="33"/>
  <c r="E51" i="33"/>
  <c r="E14" i="33"/>
  <c r="E14" i="50"/>
  <c r="H15" i="50"/>
  <c r="S70" i="33"/>
  <c r="E3" i="33"/>
  <c r="S88" i="33"/>
  <c r="E60" i="33"/>
  <c r="S2" i="33"/>
  <c r="E50" i="33"/>
  <c r="D71" i="33"/>
  <c r="E7" i="50"/>
  <c r="S37" i="33"/>
  <c r="S48" i="33"/>
  <c r="E92" i="33"/>
  <c r="E90" i="33"/>
  <c r="D21" i="33"/>
  <c r="H4" i="50"/>
  <c r="D16" i="33"/>
  <c r="D61" i="33"/>
  <c r="E77" i="33"/>
  <c r="D19" i="33"/>
  <c r="D59" i="33"/>
  <c r="E38" i="33"/>
  <c r="E22" i="50"/>
  <c r="S4" i="33"/>
  <c r="S12" i="33"/>
  <c r="D58" i="33"/>
  <c r="G9" i="50"/>
  <c r="D29" i="33"/>
  <c r="S33" i="33"/>
  <c r="E46" i="33"/>
  <c r="E63" i="33"/>
  <c r="S59" i="33"/>
  <c r="E5" i="33"/>
  <c r="S32" i="33"/>
  <c r="E54" i="33"/>
  <c r="D99" i="33"/>
  <c r="S91" i="33"/>
  <c r="E11" i="33"/>
  <c r="S15" i="33"/>
  <c r="E8" i="50"/>
  <c r="D34" i="33"/>
  <c r="E37" i="33"/>
  <c r="E65" i="33"/>
  <c r="E3" i="50"/>
  <c r="E44" i="33"/>
  <c r="E20" i="50"/>
  <c r="D37" i="33"/>
  <c r="E55" i="33"/>
  <c r="S85" i="33"/>
  <c r="S19" i="33"/>
  <c r="D45" i="33"/>
  <c r="S50" i="33"/>
  <c r="S52" i="33"/>
  <c r="D64" i="33"/>
  <c r="D6" i="33"/>
  <c r="E59" i="33"/>
  <c r="E73" i="33"/>
  <c r="E47" i="33"/>
  <c r="S71" i="33"/>
  <c r="S30" i="33"/>
  <c r="E57" i="33"/>
  <c r="H10" i="50"/>
  <c r="E39" i="33"/>
  <c r="D94" i="33"/>
  <c r="D78" i="33"/>
  <c r="E82" i="33"/>
  <c r="S89" i="33"/>
  <c r="S75" i="33"/>
  <c r="D57" i="33"/>
  <c r="E7" i="33"/>
  <c r="D15" i="50"/>
  <c r="H6" i="50"/>
  <c r="S87" i="33"/>
  <c r="E13" i="50"/>
  <c r="E17" i="33"/>
  <c r="G7" i="50"/>
  <c r="E30" i="33"/>
  <c r="S55" i="33"/>
  <c r="E42" i="33"/>
  <c r="S76" i="33"/>
  <c r="D73" i="33"/>
  <c r="D80" i="33"/>
  <c r="E86" i="33"/>
  <c r="S24" i="33"/>
  <c r="E52" i="33"/>
  <c r="A13" i="50"/>
  <c r="G10" i="50"/>
  <c r="D9" i="33"/>
  <c r="E76" i="33"/>
  <c r="S16" i="33"/>
  <c r="D39" i="33"/>
  <c r="E35" i="33"/>
  <c r="S17" i="33"/>
  <c r="D82" i="33"/>
  <c r="S61" i="33"/>
  <c r="H14" i="50"/>
  <c r="G22" i="50"/>
  <c r="D56" i="33"/>
  <c r="H22" i="50"/>
  <c r="H17" i="50"/>
  <c r="S73" i="33"/>
  <c r="S51" i="33"/>
  <c r="E61" i="33"/>
  <c r="S100" i="33"/>
  <c r="D97" i="33"/>
  <c r="D83" i="33"/>
  <c r="E84" i="33"/>
  <c r="D49" i="33"/>
  <c r="D54" i="33"/>
  <c r="S23" i="33"/>
  <c r="D98" i="33"/>
  <c r="G20" i="50"/>
  <c r="D11" i="50"/>
  <c r="H16" i="50"/>
  <c r="S7" i="33"/>
  <c r="E41" i="33"/>
  <c r="S97" i="33"/>
  <c r="D51" i="33"/>
  <c r="S34" i="33"/>
  <c r="D55" i="33"/>
  <c r="D18" i="33"/>
  <c r="D48" i="33"/>
  <c r="S49" i="33"/>
  <c r="E67" i="33"/>
  <c r="E15" i="50"/>
  <c r="H8" i="50"/>
  <c r="D43" i="33"/>
  <c r="D68" i="33"/>
  <c r="S18" i="33"/>
  <c r="W3" i="33"/>
  <c r="D85" i="33"/>
  <c r="D100" i="33"/>
  <c r="G5" i="50"/>
  <c r="D9" i="50"/>
  <c r="S6" i="33"/>
  <c r="S79" i="33"/>
  <c r="D4" i="33"/>
  <c r="E70" i="33"/>
  <c r="S14" i="33"/>
  <c r="G16" i="50"/>
  <c r="E15" i="33"/>
  <c r="E53" i="33"/>
  <c r="D18" i="50"/>
  <c r="E19" i="50"/>
  <c r="H12" i="50"/>
  <c r="D87" i="33"/>
  <c r="D69" i="33"/>
  <c r="E6" i="33"/>
  <c r="D20" i="50"/>
  <c r="H2" i="50"/>
  <c r="D2" i="50"/>
  <c r="D10" i="33"/>
  <c r="S98" i="33"/>
  <c r="S28" i="33"/>
  <c r="H9" i="50"/>
  <c r="E74" i="33"/>
  <c r="D14" i="33"/>
  <c r="D67" i="33"/>
  <c r="E22" i="33"/>
  <c r="S22" i="33"/>
  <c r="D5" i="50"/>
  <c r="S92" i="33"/>
  <c r="E16" i="33"/>
  <c r="D38" i="33"/>
  <c r="S3" i="33"/>
  <c r="G13" i="50"/>
  <c r="E10" i="50"/>
  <c r="D3" i="33"/>
  <c r="S83" i="33"/>
  <c r="E69" i="33"/>
  <c r="G11" i="50"/>
  <c r="D16" i="50"/>
  <c r="G18" i="50"/>
  <c r="D21" i="50"/>
  <c r="E93" i="33"/>
  <c r="S81" i="33"/>
  <c r="E71" i="33"/>
  <c r="S40" i="33"/>
  <c r="E16" i="50"/>
  <c r="E31" i="33"/>
  <c r="G12" i="50"/>
  <c r="D76" i="33"/>
  <c r="D22" i="33"/>
  <c r="D33" i="33"/>
  <c r="E98" i="33"/>
  <c r="S46" i="33"/>
  <c r="S21" i="33"/>
  <c r="D4" i="50"/>
  <c r="D26" i="33"/>
  <c r="S90" i="33"/>
  <c r="S99" i="33"/>
  <c r="D52" i="33"/>
  <c r="D95" i="33"/>
  <c r="E96" i="33"/>
  <c r="E19" i="33"/>
  <c r="E27" i="33"/>
  <c r="D50" i="33"/>
  <c r="D20" i="33"/>
  <c r="D66" i="33"/>
  <c r="E13" i="33"/>
  <c r="E6" i="50"/>
  <c r="D19" i="50"/>
  <c r="D14" i="50"/>
  <c r="E68" i="33"/>
  <c r="D93" i="33"/>
  <c r="G15" i="50"/>
  <c r="E12" i="33"/>
  <c r="E88" i="33"/>
  <c r="E18" i="33"/>
  <c r="E9" i="50"/>
  <c r="E40" i="33"/>
  <c r="D70" i="33"/>
  <c r="S78" i="33"/>
  <c r="D60" i="33"/>
  <c r="E43" i="33"/>
  <c r="E58" i="33"/>
  <c r="S41" i="33"/>
  <c r="E94" i="33"/>
  <c r="D62" i="33"/>
  <c r="S20" i="33"/>
  <c r="S69" i="33"/>
  <c r="D90" i="33"/>
  <c r="H13" i="50"/>
  <c r="D74" i="33"/>
  <c r="F71" i="33" l="1"/>
  <c r="M71" i="33" s="1"/>
  <c r="F5" i="50"/>
  <c r="F53" i="33"/>
  <c r="M53" i="33" s="1"/>
  <c r="F19" i="33"/>
  <c r="M19" i="33" s="1"/>
  <c r="F3" i="33"/>
  <c r="C18" i="50"/>
  <c r="F51" i="33"/>
  <c r="I51" i="33" s="1"/>
  <c r="F8" i="33"/>
  <c r="F21" i="50"/>
  <c r="C8" i="50"/>
  <c r="L4" i="50" s="1"/>
  <c r="L31" i="50" s="1"/>
  <c r="F73" i="33"/>
  <c r="F84" i="33"/>
  <c r="F68" i="33"/>
  <c r="F57" i="33"/>
  <c r="M57" i="33" s="1"/>
  <c r="F81" i="33"/>
  <c r="I81" i="33" s="1"/>
  <c r="C2" i="50"/>
  <c r="F95" i="33"/>
  <c r="F38" i="33"/>
  <c r="M38" i="33" s="1"/>
  <c r="F9" i="50"/>
  <c r="F43" i="33"/>
  <c r="I43" i="33" s="1"/>
  <c r="F24" i="33"/>
  <c r="M24" i="33" s="1"/>
  <c r="F8" i="50"/>
  <c r="O4" i="50" s="1"/>
  <c r="O65" i="50" s="1"/>
  <c r="F48" i="33"/>
  <c r="F31" i="33"/>
  <c r="I31" i="33" s="1"/>
  <c r="F22" i="33"/>
  <c r="F35" i="33"/>
  <c r="M35" i="33" s="1"/>
  <c r="F3" i="50"/>
  <c r="F17" i="33"/>
  <c r="F64" i="33"/>
  <c r="I64" i="33" s="1"/>
  <c r="F96" i="33"/>
  <c r="F12" i="33"/>
  <c r="F30" i="33"/>
  <c r="F100" i="33"/>
  <c r="M100" i="33" s="1"/>
  <c r="F4" i="33"/>
  <c r="C20" i="50"/>
  <c r="F33" i="33"/>
  <c r="C6" i="50"/>
  <c r="C19" i="50"/>
  <c r="F94" i="33"/>
  <c r="M94" i="33" s="1"/>
  <c r="F41" i="33"/>
  <c r="I41" i="33" s="1"/>
  <c r="F4" i="50"/>
  <c r="F87" i="33"/>
  <c r="M87" i="33" s="1"/>
  <c r="F18" i="33"/>
  <c r="F66" i="33"/>
  <c r="M66" i="33" s="1"/>
  <c r="F70" i="33"/>
  <c r="F23" i="33"/>
  <c r="I23" i="33" s="1"/>
  <c r="F93" i="33"/>
  <c r="C12" i="50"/>
  <c r="F18" i="50"/>
  <c r="F27" i="33"/>
  <c r="M27" i="33" s="1"/>
  <c r="C15" i="50"/>
  <c r="M4" i="50" s="1"/>
  <c r="M52" i="50" s="1"/>
  <c r="F59" i="33"/>
  <c r="M59" i="33" s="1"/>
  <c r="F11" i="33"/>
  <c r="F63" i="33"/>
  <c r="I63" i="33" s="1"/>
  <c r="F26" i="33"/>
  <c r="F6" i="33"/>
  <c r="M6" i="33" s="1"/>
  <c r="F85" i="33"/>
  <c r="I85" i="33" s="1"/>
  <c r="F91" i="33"/>
  <c r="M91" i="33" s="1"/>
  <c r="F60" i="33"/>
  <c r="I60" i="33" s="1"/>
  <c r="F69" i="33"/>
  <c r="F44" i="33"/>
  <c r="I44" i="33" s="1"/>
  <c r="F78" i="33"/>
  <c r="F58" i="33"/>
  <c r="M58" i="33" s="1"/>
  <c r="F47" i="33"/>
  <c r="I47" i="33" s="1"/>
  <c r="C4" i="50"/>
  <c r="F2" i="33"/>
  <c r="I2" i="33" s="1"/>
  <c r="F62" i="33"/>
  <c r="M62" i="33" s="1"/>
  <c r="F29" i="33"/>
  <c r="I29" i="33" s="1"/>
  <c r="F46" i="33"/>
  <c r="F32" i="33"/>
  <c r="F56" i="33"/>
  <c r="M56" i="33" s="1"/>
  <c r="F20" i="50"/>
  <c r="F16" i="33"/>
  <c r="M16" i="33" s="1"/>
  <c r="F36" i="33"/>
  <c r="F90" i="33"/>
  <c r="F42" i="33"/>
  <c r="F22" i="50"/>
  <c r="F25" i="33"/>
  <c r="M25" i="33" s="1"/>
  <c r="F76" i="33"/>
  <c r="I76" i="33" s="1"/>
  <c r="C16" i="50"/>
  <c r="F99" i="33"/>
  <c r="F79" i="33"/>
  <c r="M79" i="33" s="1"/>
  <c r="F54" i="33"/>
  <c r="M54" i="33" s="1"/>
  <c r="F55" i="33"/>
  <c r="M55" i="33" s="1"/>
  <c r="C11" i="50"/>
  <c r="F15" i="50"/>
  <c r="N4" i="50" s="1"/>
  <c r="N64" i="50" s="1"/>
  <c r="C21" i="50"/>
  <c r="F65" i="33"/>
  <c r="I65" i="33" s="1"/>
  <c r="C10" i="50"/>
  <c r="F17" i="50"/>
  <c r="F10" i="50"/>
  <c r="F10" i="33"/>
  <c r="M10" i="33" s="1"/>
  <c r="F82" i="33"/>
  <c r="M82" i="33" s="1"/>
  <c r="F12" i="50"/>
  <c r="F14" i="33"/>
  <c r="M14" i="33" s="1"/>
  <c r="C13" i="50"/>
  <c r="F50" i="33"/>
  <c r="F80" i="33"/>
  <c r="M80" i="33" s="1"/>
  <c r="F2" i="50"/>
  <c r="C22" i="50"/>
  <c r="F14" i="50"/>
  <c r="F6" i="50"/>
  <c r="F72" i="33"/>
  <c r="F40" i="33"/>
  <c r="M40" i="33" s="1"/>
  <c r="F89" i="33"/>
  <c r="M89" i="33" s="1"/>
  <c r="C14" i="50"/>
  <c r="C5" i="50"/>
  <c r="F7" i="33"/>
  <c r="F5" i="33"/>
  <c r="F67" i="33"/>
  <c r="I67" i="33" s="1"/>
  <c r="F92" i="33"/>
  <c r="I92" i="33" s="1"/>
  <c r="F77" i="33"/>
  <c r="F61" i="33"/>
  <c r="C7" i="50"/>
  <c r="F20" i="33"/>
  <c r="M20" i="33" s="1"/>
  <c r="F28" i="33"/>
  <c r="F13" i="50"/>
  <c r="F49" i="33"/>
  <c r="M49" i="33" s="1"/>
  <c r="F21" i="33"/>
  <c r="F7" i="50"/>
  <c r="K6" i="33"/>
  <c r="K100" i="33"/>
  <c r="K11" i="33"/>
  <c r="K9" i="33"/>
  <c r="K80" i="33"/>
  <c r="K28" i="33"/>
  <c r="K3" i="33"/>
  <c r="K30" i="33"/>
  <c r="K27" i="33"/>
  <c r="K29" i="33"/>
  <c r="K77" i="33"/>
  <c r="K58" i="33"/>
  <c r="K76" i="33"/>
  <c r="K32" i="33"/>
  <c r="K60" i="33"/>
  <c r="K33" i="33"/>
  <c r="K78" i="33"/>
  <c r="K19" i="33"/>
  <c r="K75" i="33"/>
  <c r="K45" i="33"/>
  <c r="K55" i="33"/>
  <c r="K73" i="33"/>
  <c r="K44" i="33"/>
  <c r="K98" i="33"/>
  <c r="K65" i="33"/>
  <c r="K85" i="33"/>
  <c r="K79" i="33"/>
  <c r="K53" i="33"/>
  <c r="K24" i="33"/>
  <c r="K5" i="33"/>
  <c r="K96" i="33"/>
  <c r="K8" i="33"/>
  <c r="L8" i="33" s="1"/>
  <c r="J8" i="33" s="1"/>
  <c r="K41" i="33"/>
  <c r="K4" i="33"/>
  <c r="L4" i="33" s="1"/>
  <c r="J4" i="33" s="1"/>
  <c r="K97" i="33"/>
  <c r="K69" i="33"/>
  <c r="K38" i="33"/>
  <c r="K56" i="33"/>
  <c r="K51" i="33"/>
  <c r="K46" i="33"/>
  <c r="K59" i="33"/>
  <c r="K31" i="33"/>
  <c r="K18" i="33"/>
  <c r="K89" i="33"/>
  <c r="K67" i="33"/>
  <c r="K35" i="33"/>
  <c r="K84" i="33"/>
  <c r="K25" i="33"/>
  <c r="K70" i="33"/>
  <c r="K17" i="33"/>
  <c r="K21" i="33"/>
  <c r="K50" i="33"/>
  <c r="K86" i="33"/>
  <c r="K14" i="33"/>
  <c r="K72" i="33"/>
  <c r="K23" i="33"/>
  <c r="K52" i="33"/>
  <c r="K7" i="33"/>
  <c r="K87" i="33"/>
  <c r="K68" i="33"/>
  <c r="K20" i="33"/>
  <c r="K16" i="33"/>
  <c r="K42" i="33"/>
  <c r="K47" i="33"/>
  <c r="K12" i="33"/>
  <c r="K81" i="33"/>
  <c r="K22" i="33"/>
  <c r="K71" i="33"/>
  <c r="K82" i="33"/>
  <c r="K13" i="33"/>
  <c r="K26" i="33"/>
  <c r="L26" i="33" s="1"/>
  <c r="J26" i="33" s="1"/>
  <c r="K63" i="33"/>
  <c r="K49" i="33"/>
  <c r="K83" i="33"/>
  <c r="K2" i="33"/>
  <c r="K91" i="33"/>
  <c r="K37" i="33"/>
  <c r="K93" i="33"/>
  <c r="K48" i="33"/>
  <c r="K43" i="33"/>
  <c r="K57" i="33"/>
  <c r="K92" i="33"/>
  <c r="K36" i="33"/>
  <c r="K40" i="33"/>
  <c r="K66" i="33"/>
  <c r="K90" i="33"/>
  <c r="K10" i="33"/>
  <c r="K74" i="33"/>
  <c r="K61" i="33"/>
  <c r="K34" i="33"/>
  <c r="K99" i="33"/>
  <c r="K62" i="33"/>
  <c r="K88" i="33"/>
  <c r="K15" i="33"/>
  <c r="K95" i="33"/>
  <c r="K54" i="33"/>
  <c r="K64" i="33"/>
  <c r="K94" i="33"/>
  <c r="K39" i="33"/>
  <c r="F37" i="33"/>
  <c r="F86" i="33"/>
  <c r="I86" i="33" s="1"/>
  <c r="C3" i="50"/>
  <c r="F52" i="33"/>
  <c r="M52" i="33" s="1"/>
  <c r="F39" i="33"/>
  <c r="F45" i="33"/>
  <c r="M45" i="33" s="1"/>
  <c r="F74" i="33"/>
  <c r="C9" i="50"/>
  <c r="C17" i="50"/>
  <c r="F13" i="33"/>
  <c r="M13" i="33" s="1"/>
  <c r="F9" i="33"/>
  <c r="M9" i="33" s="1"/>
  <c r="F15" i="33"/>
  <c r="M15" i="33" s="1"/>
  <c r="F98" i="33"/>
  <c r="I98" i="33" s="1"/>
  <c r="F97" i="33"/>
  <c r="M97" i="33" s="1"/>
  <c r="F83" i="33"/>
  <c r="I83" i="33" s="1"/>
  <c r="F16" i="50"/>
  <c r="F19" i="50"/>
  <c r="F75" i="33"/>
  <c r="F11" i="50"/>
  <c r="F34" i="33"/>
  <c r="I34" i="33" s="1"/>
  <c r="F88" i="33"/>
  <c r="I88" i="33" s="1"/>
  <c r="M5" i="33"/>
  <c r="I5" i="33"/>
  <c r="M50" i="33"/>
  <c r="I50" i="33"/>
  <c r="Q8" i="18"/>
  <c r="Q6" i="18"/>
  <c r="I10" i="33" l="1"/>
  <c r="M65" i="33"/>
  <c r="L10" i="33"/>
  <c r="J10" i="33" s="1"/>
  <c r="L40" i="33"/>
  <c r="J40" i="33" s="1"/>
  <c r="I6" i="33"/>
  <c r="L100" i="33"/>
  <c r="J100" i="33" s="1"/>
  <c r="I71" i="33"/>
  <c r="M85" i="33"/>
  <c r="M41" i="33"/>
  <c r="M51" i="33"/>
  <c r="M47" i="33"/>
  <c r="L82" i="33"/>
  <c r="J82" i="33" s="1"/>
  <c r="I40" i="33"/>
  <c r="L30" i="33"/>
  <c r="J30" i="33" s="1"/>
  <c r="L68" i="33"/>
  <c r="J68" i="33" s="1"/>
  <c r="I66" i="33"/>
  <c r="L66" i="33"/>
  <c r="J66" i="33" s="1"/>
  <c r="L18" i="33"/>
  <c r="J18" i="33" s="1"/>
  <c r="M92" i="33"/>
  <c r="M31" i="33"/>
  <c r="L59" i="33"/>
  <c r="J59" i="33" s="1"/>
  <c r="I80" i="33"/>
  <c r="I38" i="33"/>
  <c r="P53" i="33"/>
  <c r="Q53" i="33" s="1"/>
  <c r="R53" i="33" s="1"/>
  <c r="L58" i="33"/>
  <c r="J58" i="33" s="1"/>
  <c r="P13" i="33"/>
  <c r="Q13" i="33" s="1"/>
  <c r="R13" i="33" s="1"/>
  <c r="P97" i="33"/>
  <c r="Q97" i="33" s="1"/>
  <c r="R97" i="33" s="1"/>
  <c r="I94" i="33"/>
  <c r="L57" i="33"/>
  <c r="J57" i="33" s="1"/>
  <c r="L94" i="33"/>
  <c r="J94" i="33" s="1"/>
  <c r="I57" i="33"/>
  <c r="M2" i="33"/>
  <c r="L41" i="33"/>
  <c r="J41" i="33" s="1"/>
  <c r="M98" i="33"/>
  <c r="I27" i="33"/>
  <c r="I53" i="33"/>
  <c r="L71" i="33"/>
  <c r="J71" i="33" s="1"/>
  <c r="I59" i="33"/>
  <c r="L35" i="33"/>
  <c r="J35" i="33" s="1"/>
  <c r="P58" i="33"/>
  <c r="Q58" i="33" s="1"/>
  <c r="R58" i="33" s="1"/>
  <c r="P59" i="33"/>
  <c r="Q59" i="33" s="1"/>
  <c r="R59" i="33" s="1"/>
  <c r="L65" i="33"/>
  <c r="J65" i="33" s="1"/>
  <c r="I79" i="33"/>
  <c r="P31" i="33"/>
  <c r="Q31" i="33" s="1"/>
  <c r="R31" i="33" s="1"/>
  <c r="L63" i="33"/>
  <c r="J63" i="33" s="1"/>
  <c r="P7" i="33"/>
  <c r="Q7" i="33" s="1"/>
  <c r="R7" i="33" s="1"/>
  <c r="P36" i="33"/>
  <c r="Q36" i="33" s="1"/>
  <c r="R36" i="33" s="1"/>
  <c r="P27" i="33"/>
  <c r="Q27" i="33" s="1"/>
  <c r="R27" i="33" s="1"/>
  <c r="L87" i="33"/>
  <c r="J87" i="33" s="1"/>
  <c r="P21" i="33"/>
  <c r="Q21" i="33" s="1"/>
  <c r="R21" i="33" s="1"/>
  <c r="I100" i="33"/>
  <c r="P66" i="33"/>
  <c r="Q66" i="33" s="1"/>
  <c r="R66" i="33" s="1"/>
  <c r="I58" i="33"/>
  <c r="M63" i="33"/>
  <c r="P61" i="33"/>
  <c r="Q61" i="33" s="1"/>
  <c r="R61" i="33" s="1"/>
  <c r="L78" i="33"/>
  <c r="J78" i="33" s="1"/>
  <c r="I35" i="33"/>
  <c r="I82" i="33"/>
  <c r="I87" i="33"/>
  <c r="P47" i="33"/>
  <c r="Q47" i="33" s="1"/>
  <c r="R47" i="33" s="1"/>
  <c r="L46" i="33"/>
  <c r="J46" i="33" s="1"/>
  <c r="P77" i="33"/>
  <c r="Q77" i="33" s="1"/>
  <c r="R77" i="33" s="1"/>
  <c r="I9" i="33"/>
  <c r="L2" i="33"/>
  <c r="J2" i="33" s="1"/>
  <c r="P86" i="33"/>
  <c r="Q86" i="33" s="1"/>
  <c r="R86" i="33" s="1"/>
  <c r="P2" i="33"/>
  <c r="Q2" i="33" s="1"/>
  <c r="R2" i="33" s="1"/>
  <c r="L38" i="33"/>
  <c r="J38" i="33" s="1"/>
  <c r="L95" i="33"/>
  <c r="J95" i="33" s="1"/>
  <c r="L3" i="33"/>
  <c r="J3" i="33" s="1"/>
  <c r="P65" i="33"/>
  <c r="Q65" i="33" s="1"/>
  <c r="R65" i="33" s="1"/>
  <c r="M64" i="33"/>
  <c r="L79" i="33"/>
  <c r="J79" i="33" s="1"/>
  <c r="P50" i="33"/>
  <c r="Q50" i="33" s="1"/>
  <c r="R50" i="33" s="1"/>
  <c r="I77" i="33"/>
  <c r="I55" i="33"/>
  <c r="M29" i="33"/>
  <c r="P25" i="33"/>
  <c r="Q25" i="33" s="1"/>
  <c r="R25" i="33" s="1"/>
  <c r="L25" i="33"/>
  <c r="J25" i="33" s="1"/>
  <c r="I25" i="33"/>
  <c r="L17" i="33"/>
  <c r="J17" i="33" s="1"/>
  <c r="L19" i="33"/>
  <c r="J19" i="33" s="1"/>
  <c r="L36" i="33"/>
  <c r="J36" i="33" s="1"/>
  <c r="M60" i="33"/>
  <c r="I49" i="33"/>
  <c r="L48" i="33"/>
  <c r="J48" i="33" s="1"/>
  <c r="M36" i="33"/>
  <c r="I36" i="33"/>
  <c r="L64" i="33"/>
  <c r="J64" i="33" s="1"/>
  <c r="L55" i="33"/>
  <c r="J55" i="33" s="1"/>
  <c r="M34" i="33"/>
  <c r="L33" i="33"/>
  <c r="J33" i="33" s="1"/>
  <c r="I14" i="33"/>
  <c r="M77" i="33"/>
  <c r="L51" i="33"/>
  <c r="J51" i="33" s="1"/>
  <c r="L49" i="33"/>
  <c r="J49" i="33" s="1"/>
  <c r="L22" i="33"/>
  <c r="J22" i="33" s="1"/>
  <c r="P20" i="33"/>
  <c r="Q20" i="33" s="1"/>
  <c r="R20" i="33" s="1"/>
  <c r="L75" i="33"/>
  <c r="J75" i="33" s="1"/>
  <c r="L20" i="33"/>
  <c r="J20" i="33" s="1"/>
  <c r="L39" i="33"/>
  <c r="J39" i="33" s="1"/>
  <c r="M44" i="33"/>
  <c r="M61" i="33"/>
  <c r="L86" i="33"/>
  <c r="J86" i="33" s="1"/>
  <c r="I20" i="33"/>
  <c r="I13" i="33"/>
  <c r="L77" i="33"/>
  <c r="J77" i="33" s="1"/>
  <c r="I15" i="33"/>
  <c r="L44" i="33"/>
  <c r="J44" i="33" s="1"/>
  <c r="L84" i="33"/>
  <c r="J84" i="33" s="1"/>
  <c r="O22" i="50"/>
  <c r="I61" i="33"/>
  <c r="M43" i="33"/>
  <c r="L43" i="33"/>
  <c r="J43" i="33" s="1"/>
  <c r="I19" i="33"/>
  <c r="O13" i="50"/>
  <c r="O12" i="50"/>
  <c r="O40" i="50"/>
  <c r="O21" i="50"/>
  <c r="L42" i="33"/>
  <c r="J42" i="33" s="1"/>
  <c r="L85" i="33"/>
  <c r="J85" i="33" s="1"/>
  <c r="P14" i="33"/>
  <c r="Q14" i="33" s="1"/>
  <c r="R14" i="33" s="1"/>
  <c r="P49" i="33"/>
  <c r="Q49" i="33" s="1"/>
  <c r="R49" i="33" s="1"/>
  <c r="L50" i="33"/>
  <c r="J50" i="33" s="1"/>
  <c r="L53" i="33"/>
  <c r="J53" i="33" s="1"/>
  <c r="P45" i="33"/>
  <c r="Q45" i="33" s="1"/>
  <c r="R45" i="33" s="1"/>
  <c r="I45" i="33"/>
  <c r="O23" i="50"/>
  <c r="O58" i="50"/>
  <c r="O60" i="50"/>
  <c r="O54" i="50"/>
  <c r="O33" i="50"/>
  <c r="O15" i="50"/>
  <c r="L27" i="33"/>
  <c r="J27" i="33" s="1"/>
  <c r="O66" i="50"/>
  <c r="O19" i="50"/>
  <c r="O78" i="50"/>
  <c r="O42" i="50"/>
  <c r="O55" i="50"/>
  <c r="O71" i="50"/>
  <c r="O77" i="50"/>
  <c r="O56" i="50"/>
  <c r="O14" i="50"/>
  <c r="O39" i="50"/>
  <c r="O47" i="50"/>
  <c r="O53" i="50"/>
  <c r="O57" i="50"/>
  <c r="O72" i="50"/>
  <c r="O63" i="50"/>
  <c r="O62" i="50"/>
  <c r="O76" i="50"/>
  <c r="O37" i="50"/>
  <c r="O75" i="50"/>
  <c r="O52" i="50"/>
  <c r="O74" i="50"/>
  <c r="O67" i="50"/>
  <c r="O50" i="50"/>
  <c r="O31" i="50"/>
  <c r="O11" i="50"/>
  <c r="O32" i="50"/>
  <c r="O48" i="50"/>
  <c r="O46" i="50"/>
  <c r="O68" i="50"/>
  <c r="L31" i="33"/>
  <c r="J31" i="33" s="1"/>
  <c r="N51" i="50"/>
  <c r="N60" i="50"/>
  <c r="N16" i="50"/>
  <c r="N29" i="50"/>
  <c r="N27" i="50"/>
  <c r="N9" i="50"/>
  <c r="O29" i="50"/>
  <c r="O10" i="50"/>
  <c r="O35" i="50"/>
  <c r="O38" i="50"/>
  <c r="O49" i="50"/>
  <c r="O17" i="50"/>
  <c r="O18" i="50"/>
  <c r="O34" i="50"/>
  <c r="O59" i="50"/>
  <c r="O26" i="50"/>
  <c r="O9" i="50"/>
  <c r="O44" i="50"/>
  <c r="O45" i="50"/>
  <c r="O27" i="50"/>
  <c r="O61" i="50"/>
  <c r="O69" i="50"/>
  <c r="O41" i="50"/>
  <c r="O28" i="50"/>
  <c r="O16" i="50"/>
  <c r="O20" i="50"/>
  <c r="O36" i="50"/>
  <c r="O30" i="50"/>
  <c r="O64" i="50"/>
  <c r="O51" i="50"/>
  <c r="O24" i="50"/>
  <c r="O73" i="50"/>
  <c r="O70" i="50"/>
  <c r="O25" i="50"/>
  <c r="O43" i="50"/>
  <c r="P40" i="33"/>
  <c r="Q40" i="33" s="1"/>
  <c r="R40" i="33" s="1"/>
  <c r="L47" i="33"/>
  <c r="J47" i="33" s="1"/>
  <c r="L88" i="33"/>
  <c r="J88" i="33" s="1"/>
  <c r="P88" i="33"/>
  <c r="Q88" i="33" s="1"/>
  <c r="R88" i="33" s="1"/>
  <c r="M88" i="33"/>
  <c r="N34" i="50"/>
  <c r="N41" i="50"/>
  <c r="N54" i="50"/>
  <c r="N55" i="50"/>
  <c r="N36" i="50"/>
  <c r="N43" i="50"/>
  <c r="N38" i="50"/>
  <c r="N56" i="50"/>
  <c r="N62" i="50"/>
  <c r="N19" i="50"/>
  <c r="N25" i="50"/>
  <c r="N59" i="50"/>
  <c r="N40" i="50"/>
  <c r="N21" i="50"/>
  <c r="N47" i="50"/>
  <c r="N50" i="50"/>
  <c r="N46" i="50"/>
  <c r="N11" i="50"/>
  <c r="N53" i="50"/>
  <c r="N13" i="50"/>
  <c r="N15" i="50"/>
  <c r="N10" i="50"/>
  <c r="N26" i="50"/>
  <c r="L16" i="50"/>
  <c r="L68" i="50"/>
  <c r="L45" i="33"/>
  <c r="J45" i="33" s="1"/>
  <c r="L40" i="50"/>
  <c r="N23" i="50"/>
  <c r="N71" i="50"/>
  <c r="N58" i="50"/>
  <c r="N57" i="50"/>
  <c r="N74" i="50"/>
  <c r="L64" i="50"/>
  <c r="N78" i="50"/>
  <c r="N39" i="50"/>
  <c r="N61" i="50"/>
  <c r="N22" i="50"/>
  <c r="N35" i="50"/>
  <c r="L73" i="50"/>
  <c r="N68" i="50"/>
  <c r="N75" i="50"/>
  <c r="N42" i="50"/>
  <c r="N77" i="50"/>
  <c r="N65" i="50"/>
  <c r="L28" i="50"/>
  <c r="N30" i="50"/>
  <c r="N73" i="50"/>
  <c r="N14" i="50"/>
  <c r="N67" i="50"/>
  <c r="N72" i="50"/>
  <c r="N37" i="50"/>
  <c r="N76" i="50"/>
  <c r="N20" i="50"/>
  <c r="N12" i="50"/>
  <c r="N32" i="50"/>
  <c r="N69" i="50"/>
  <c r="N24" i="50"/>
  <c r="N44" i="50"/>
  <c r="N33" i="50"/>
  <c r="N48" i="50"/>
  <c r="N45" i="50"/>
  <c r="N70" i="50"/>
  <c r="N17" i="50"/>
  <c r="N52" i="50"/>
  <c r="N18" i="50"/>
  <c r="M34" i="50"/>
  <c r="M63" i="50"/>
  <c r="M25" i="50"/>
  <c r="M69" i="50"/>
  <c r="N63" i="50"/>
  <c r="L50" i="50"/>
  <c r="L52" i="50"/>
  <c r="L77" i="50"/>
  <c r="L45" i="50"/>
  <c r="N28" i="50"/>
  <c r="L29" i="50"/>
  <c r="N49" i="50"/>
  <c r="L57" i="50"/>
  <c r="N66" i="50"/>
  <c r="N31" i="50"/>
  <c r="M13" i="50"/>
  <c r="M61" i="50"/>
  <c r="M38" i="50"/>
  <c r="M67" i="50"/>
  <c r="M11" i="50"/>
  <c r="M65" i="50"/>
  <c r="M37" i="50"/>
  <c r="M43" i="50"/>
  <c r="M29" i="50"/>
  <c r="M41" i="50"/>
  <c r="M45" i="50"/>
  <c r="M55" i="50"/>
  <c r="M76" i="50"/>
  <c r="M77" i="50"/>
  <c r="L61" i="33"/>
  <c r="J61" i="33" s="1"/>
  <c r="L80" i="33"/>
  <c r="J80" i="33" s="1"/>
  <c r="L60" i="33"/>
  <c r="J60" i="33" s="1"/>
  <c r="L29" i="33"/>
  <c r="J29" i="33" s="1"/>
  <c r="L81" i="33"/>
  <c r="J81" i="33" s="1"/>
  <c r="L23" i="33"/>
  <c r="J23" i="33" s="1"/>
  <c r="I89" i="33"/>
  <c r="I62" i="33"/>
  <c r="M81" i="33"/>
  <c r="L37" i="33"/>
  <c r="J37" i="33" s="1"/>
  <c r="L62" i="33"/>
  <c r="J62" i="33" s="1"/>
  <c r="M23" i="33"/>
  <c r="L32" i="33"/>
  <c r="J32" i="33" s="1"/>
  <c r="M86" i="33"/>
  <c r="M21" i="33"/>
  <c r="I91" i="33"/>
  <c r="M83" i="33"/>
  <c r="M32" i="33"/>
  <c r="I7" i="33"/>
  <c r="M26" i="50"/>
  <c r="M22" i="50"/>
  <c r="M16" i="50"/>
  <c r="M57" i="50"/>
  <c r="M40" i="50"/>
  <c r="L34" i="33"/>
  <c r="J34" i="33" s="1"/>
  <c r="L14" i="33"/>
  <c r="J14" i="33" s="1"/>
  <c r="I32" i="33"/>
  <c r="M23" i="50"/>
  <c r="M32" i="50"/>
  <c r="M28" i="50"/>
  <c r="M24" i="50"/>
  <c r="M68" i="50"/>
  <c r="M62" i="50"/>
  <c r="M7" i="33"/>
  <c r="L67" i="33"/>
  <c r="J67" i="33" s="1"/>
  <c r="M54" i="50"/>
  <c r="M39" i="50"/>
  <c r="M48" i="50"/>
  <c r="M33" i="50"/>
  <c r="M21" i="50"/>
  <c r="M27" i="50"/>
  <c r="L91" i="33"/>
  <c r="J91" i="33" s="1"/>
  <c r="M76" i="33"/>
  <c r="I97" i="33"/>
  <c r="M30" i="50"/>
  <c r="M14" i="50"/>
  <c r="M60" i="50"/>
  <c r="M9" i="50"/>
  <c r="M20" i="50"/>
  <c r="L76" i="33"/>
  <c r="J76" i="33" s="1"/>
  <c r="L24" i="33"/>
  <c r="J24" i="33" s="1"/>
  <c r="M35" i="50"/>
  <c r="M15" i="50"/>
  <c r="M12" i="50"/>
  <c r="M10" i="50"/>
  <c r="M42" i="50"/>
  <c r="I24" i="33"/>
  <c r="M73" i="50"/>
  <c r="M74" i="50"/>
  <c r="M59" i="50"/>
  <c r="M17" i="50"/>
  <c r="M75" i="50"/>
  <c r="P24" i="33"/>
  <c r="Q24" i="33" s="1"/>
  <c r="R24" i="33" s="1"/>
  <c r="L7" i="33"/>
  <c r="J7" i="33" s="1"/>
  <c r="M46" i="50"/>
  <c r="M72" i="50"/>
  <c r="M49" i="50"/>
  <c r="M18" i="50"/>
  <c r="M19" i="50"/>
  <c r="M36" i="50"/>
  <c r="M67" i="33"/>
  <c r="M78" i="50"/>
  <c r="M66" i="50"/>
  <c r="M71" i="50"/>
  <c r="M53" i="50"/>
  <c r="M56" i="50"/>
  <c r="M70" i="50"/>
  <c r="M31" i="50"/>
  <c r="M64" i="50"/>
  <c r="M44" i="50"/>
  <c r="M58" i="50"/>
  <c r="L83" i="33"/>
  <c r="J83" i="33" s="1"/>
  <c r="I16" i="33"/>
  <c r="L43" i="50"/>
  <c r="L19" i="50"/>
  <c r="L23" i="50"/>
  <c r="L56" i="50"/>
  <c r="L47" i="50"/>
  <c r="L48" i="50"/>
  <c r="L62" i="50"/>
  <c r="L66" i="50"/>
  <c r="L17" i="50"/>
  <c r="L24" i="50"/>
  <c r="L78" i="50"/>
  <c r="L14" i="50"/>
  <c r="L20" i="50"/>
  <c r="L32" i="50"/>
  <c r="L27" i="50"/>
  <c r="L35" i="50"/>
  <c r="L69" i="50"/>
  <c r="L11" i="50"/>
  <c r="L9" i="50"/>
  <c r="L21" i="50"/>
  <c r="L67" i="50"/>
  <c r="L22" i="50"/>
  <c r="L46" i="50"/>
  <c r="L25" i="50"/>
  <c r="L44" i="50"/>
  <c r="L49" i="50"/>
  <c r="L72" i="50"/>
  <c r="L58" i="50"/>
  <c r="K4" i="50"/>
  <c r="L60" i="50"/>
  <c r="L53" i="50"/>
  <c r="L70" i="50"/>
  <c r="L74" i="50"/>
  <c r="L76" i="50"/>
  <c r="L75" i="50"/>
  <c r="L34" i="50"/>
  <c r="L55" i="50"/>
  <c r="L51" i="50"/>
  <c r="L65" i="50"/>
  <c r="L63" i="50"/>
  <c r="L61" i="50"/>
  <c r="L10" i="50"/>
  <c r="L71" i="50"/>
  <c r="L39" i="50"/>
  <c r="L26" i="50"/>
  <c r="L36" i="50"/>
  <c r="L12" i="50"/>
  <c r="L42" i="50"/>
  <c r="L30" i="50"/>
  <c r="L38" i="50"/>
  <c r="L13" i="50"/>
  <c r="L15" i="50"/>
  <c r="L37" i="50"/>
  <c r="L33" i="50"/>
  <c r="L54" i="50"/>
  <c r="L41" i="50"/>
  <c r="L59" i="50"/>
  <c r="L18" i="50"/>
  <c r="L21" i="33"/>
  <c r="J21" i="33" s="1"/>
  <c r="I21" i="33"/>
  <c r="L9" i="33"/>
  <c r="J9" i="33" s="1"/>
  <c r="L16" i="33"/>
  <c r="J16" i="33" s="1"/>
  <c r="L70" i="33"/>
  <c r="J70" i="33" s="1"/>
  <c r="P62" i="33"/>
  <c r="Q62" i="33" s="1"/>
  <c r="R62" i="33" s="1"/>
  <c r="L15" i="33"/>
  <c r="J15" i="33" s="1"/>
  <c r="L92" i="33"/>
  <c r="J92" i="33" s="1"/>
  <c r="P54" i="33"/>
  <c r="Q54" i="33" s="1"/>
  <c r="R54" i="33" s="1"/>
  <c r="I54" i="33"/>
  <c r="L54" i="33"/>
  <c r="J54" i="33" s="1"/>
  <c r="L99" i="33"/>
  <c r="J99" i="33" s="1"/>
  <c r="I90" i="33"/>
  <c r="M90" i="33"/>
  <c r="L90" i="33"/>
  <c r="J90" i="33" s="1"/>
  <c r="I74" i="33"/>
  <c r="M74" i="33"/>
  <c r="L74" i="33"/>
  <c r="J74" i="33" s="1"/>
  <c r="I52" i="33"/>
  <c r="L52" i="33"/>
  <c r="J52" i="33" s="1"/>
  <c r="P52" i="33"/>
  <c r="Q52" i="33" s="1"/>
  <c r="R52" i="33" s="1"/>
  <c r="I56" i="33"/>
  <c r="L56" i="33"/>
  <c r="J56" i="33" s="1"/>
  <c r="P56" i="33"/>
  <c r="Q56" i="33" s="1"/>
  <c r="R56" i="33" s="1"/>
  <c r="M93" i="33"/>
  <c r="I93" i="33"/>
  <c r="M96" i="33"/>
  <c r="I96" i="33"/>
  <c r="L96" i="33"/>
  <c r="J96" i="33" s="1"/>
  <c r="I73" i="33"/>
  <c r="L73" i="33"/>
  <c r="J73" i="33" s="1"/>
  <c r="P73" i="33"/>
  <c r="Q73" i="33" s="1"/>
  <c r="R73" i="33" s="1"/>
  <c r="M73" i="33"/>
  <c r="I69" i="33"/>
  <c r="M69" i="33"/>
  <c r="I11" i="33"/>
  <c r="M11" i="33"/>
  <c r="I72" i="33"/>
  <c r="M72" i="33"/>
  <c r="L72" i="33"/>
  <c r="J72" i="33" s="1"/>
  <c r="L89" i="33"/>
  <c r="J89" i="33" s="1"/>
  <c r="P60" i="33"/>
  <c r="Q60" i="33" s="1"/>
  <c r="R60" i="33" s="1"/>
  <c r="P23" i="33"/>
  <c r="Q23" i="33" s="1"/>
  <c r="R23" i="33" s="1"/>
  <c r="I70" i="33"/>
  <c r="M70" i="33"/>
  <c r="I12" i="33"/>
  <c r="L12" i="33"/>
  <c r="J12" i="33" s="1"/>
  <c r="M12" i="33"/>
  <c r="M68" i="33"/>
  <c r="I68" i="33"/>
  <c r="P55" i="33"/>
  <c r="Q55" i="33" s="1"/>
  <c r="R55" i="33" s="1"/>
  <c r="M30" i="33"/>
  <c r="I30" i="33"/>
  <c r="M8" i="33"/>
  <c r="I8" i="33"/>
  <c r="I28" i="33"/>
  <c r="M28" i="33"/>
  <c r="I26" i="33"/>
  <c r="M26" i="33"/>
  <c r="L93" i="33"/>
  <c r="J93" i="33" s="1"/>
  <c r="L5" i="33"/>
  <c r="J5" i="33" s="1"/>
  <c r="L28" i="33"/>
  <c r="J28" i="33" s="1"/>
  <c r="I75" i="33"/>
  <c r="M75" i="33"/>
  <c r="I37" i="33"/>
  <c r="M37" i="33"/>
  <c r="M18" i="33"/>
  <c r="I18" i="33"/>
  <c r="M33" i="33"/>
  <c r="I33" i="33"/>
  <c r="L13" i="33"/>
  <c r="J13" i="33" s="1"/>
  <c r="P91" i="33"/>
  <c r="Q91" i="33" s="1"/>
  <c r="R91" i="33" s="1"/>
  <c r="P83" i="33"/>
  <c r="Q83" i="33" s="1"/>
  <c r="R83" i="33" s="1"/>
  <c r="P100" i="33"/>
  <c r="Q100" i="33" s="1"/>
  <c r="R100" i="33" s="1"/>
  <c r="P74" i="33"/>
  <c r="Q74" i="33" s="1"/>
  <c r="R74" i="33" s="1"/>
  <c r="P70" i="33"/>
  <c r="Q70" i="33" s="1"/>
  <c r="R70" i="33" s="1"/>
  <c r="P10" i="33"/>
  <c r="Q10" i="33" s="1"/>
  <c r="R10" i="33" s="1"/>
  <c r="P37" i="33"/>
  <c r="Q37" i="33" s="1"/>
  <c r="R37" i="33" s="1"/>
  <c r="P93" i="33"/>
  <c r="Q93" i="33" s="1"/>
  <c r="R93" i="33" s="1"/>
  <c r="P8" i="33"/>
  <c r="Q8" i="33" s="1"/>
  <c r="R8" i="33" s="1"/>
  <c r="P76" i="33"/>
  <c r="Q76" i="33" s="1"/>
  <c r="R76" i="33" s="1"/>
  <c r="P17" i="33"/>
  <c r="Q17" i="33" s="1"/>
  <c r="R17" i="33" s="1"/>
  <c r="P41" i="33"/>
  <c r="Q41" i="33" s="1"/>
  <c r="R41" i="33" s="1"/>
  <c r="P5" i="33"/>
  <c r="Q5" i="33" s="1"/>
  <c r="R5" i="33" s="1"/>
  <c r="P92" i="33"/>
  <c r="Q92" i="33" s="1"/>
  <c r="R92" i="33" s="1"/>
  <c r="P4" i="33"/>
  <c r="Q4" i="33" s="1"/>
  <c r="R4" i="33" s="1"/>
  <c r="P34" i="33"/>
  <c r="Q34" i="33" s="1"/>
  <c r="R34" i="33" s="1"/>
  <c r="P95" i="33"/>
  <c r="Q95" i="33" s="1"/>
  <c r="R95" i="33" s="1"/>
  <c r="P71" i="33"/>
  <c r="Q71" i="33" s="1"/>
  <c r="R71" i="33" s="1"/>
  <c r="P46" i="33"/>
  <c r="Q46" i="33" s="1"/>
  <c r="R46" i="33" s="1"/>
  <c r="P3" i="33"/>
  <c r="Q3" i="33" s="1"/>
  <c r="R3" i="33" s="1"/>
  <c r="P98" i="33"/>
  <c r="Q98" i="33" s="1"/>
  <c r="R98" i="33" s="1"/>
  <c r="P9" i="33"/>
  <c r="Q9" i="33" s="1"/>
  <c r="R9" i="33" s="1"/>
  <c r="P18" i="33"/>
  <c r="Q18" i="33" s="1"/>
  <c r="R18" i="33" s="1"/>
  <c r="P11" i="33"/>
  <c r="Q11" i="33" s="1"/>
  <c r="R11" i="33" s="1"/>
  <c r="P29" i="33"/>
  <c r="Q29" i="33" s="1"/>
  <c r="R29" i="33" s="1"/>
  <c r="P75" i="33"/>
  <c r="Q75" i="33" s="1"/>
  <c r="R75" i="33" s="1"/>
  <c r="P39" i="33"/>
  <c r="Q39" i="33" s="1"/>
  <c r="R39" i="33" s="1"/>
  <c r="P68" i="33"/>
  <c r="Q68" i="33" s="1"/>
  <c r="R68" i="33" s="1"/>
  <c r="P67" i="33"/>
  <c r="Q67" i="33" s="1"/>
  <c r="R67" i="33" s="1"/>
  <c r="P28" i="33"/>
  <c r="Q28" i="33" s="1"/>
  <c r="R28" i="33" s="1"/>
  <c r="P51" i="33"/>
  <c r="Q51" i="33" s="1"/>
  <c r="R51" i="33" s="1"/>
  <c r="P16" i="33"/>
  <c r="Q16" i="33" s="1"/>
  <c r="R16" i="33" s="1"/>
  <c r="P96" i="33"/>
  <c r="Q96" i="33" s="1"/>
  <c r="R96" i="33" s="1"/>
  <c r="P84" i="33"/>
  <c r="Q84" i="33" s="1"/>
  <c r="R84" i="33" s="1"/>
  <c r="P78" i="33"/>
  <c r="Q78" i="33" s="1"/>
  <c r="R78" i="33" s="1"/>
  <c r="P69" i="33"/>
  <c r="Q69" i="33" s="1"/>
  <c r="R69" i="33" s="1"/>
  <c r="P42" i="33"/>
  <c r="Q42" i="33" s="1"/>
  <c r="R42" i="33" s="1"/>
  <c r="P89" i="33"/>
  <c r="Q89" i="33" s="1"/>
  <c r="R89" i="33" s="1"/>
  <c r="P48" i="33"/>
  <c r="Q48" i="33" s="1"/>
  <c r="R48" i="33" s="1"/>
  <c r="P81" i="33"/>
  <c r="Q81" i="33" s="1"/>
  <c r="R81" i="33" s="1"/>
  <c r="P32" i="33"/>
  <c r="Q32" i="33" s="1"/>
  <c r="R32" i="33" s="1"/>
  <c r="P15" i="33"/>
  <c r="Q15" i="33" s="1"/>
  <c r="R15" i="33" s="1"/>
  <c r="P33" i="33"/>
  <c r="Q33" i="33" s="1"/>
  <c r="R33" i="33" s="1"/>
  <c r="P80" i="33"/>
  <c r="Q80" i="33" s="1"/>
  <c r="R80" i="33" s="1"/>
  <c r="M78" i="33"/>
  <c r="P85" i="33"/>
  <c r="Q85" i="33" s="1"/>
  <c r="R85" i="33" s="1"/>
  <c r="P64" i="33"/>
  <c r="Q64" i="33" s="1"/>
  <c r="R64" i="33" s="1"/>
  <c r="P19" i="33"/>
  <c r="Q19" i="33" s="1"/>
  <c r="R19" i="33" s="1"/>
  <c r="P72" i="33"/>
  <c r="Q72" i="33" s="1"/>
  <c r="R72" i="33" s="1"/>
  <c r="P30" i="33"/>
  <c r="Q30" i="33" s="1"/>
  <c r="R30" i="33" s="1"/>
  <c r="P26" i="33"/>
  <c r="Q26" i="33" s="1"/>
  <c r="R26" i="33" s="1"/>
  <c r="P22" i="33"/>
  <c r="Q22" i="33" s="1"/>
  <c r="R22" i="33" s="1"/>
  <c r="W6" i="33"/>
  <c r="P90" i="33"/>
  <c r="Q90" i="33" s="1"/>
  <c r="R90" i="33" s="1"/>
  <c r="P87" i="33"/>
  <c r="Q87" i="33" s="1"/>
  <c r="R87" i="33" s="1"/>
  <c r="I78" i="33"/>
  <c r="P79" i="33"/>
  <c r="Q79" i="33" s="1"/>
  <c r="R79" i="33" s="1"/>
  <c r="P82" i="33"/>
  <c r="Q82" i="33" s="1"/>
  <c r="R82" i="33" s="1"/>
  <c r="P57" i="33"/>
  <c r="Q57" i="33" s="1"/>
  <c r="R57" i="33" s="1"/>
  <c r="P63" i="33"/>
  <c r="Q63" i="33" s="1"/>
  <c r="R63" i="33" s="1"/>
  <c r="P94" i="33"/>
  <c r="Q94" i="33" s="1"/>
  <c r="R94" i="33" s="1"/>
  <c r="P99" i="33"/>
  <c r="Q99" i="33" s="1"/>
  <c r="R99" i="33" s="1"/>
  <c r="P43" i="33"/>
  <c r="Q43" i="33" s="1"/>
  <c r="R43" i="33" s="1"/>
  <c r="P12" i="33"/>
  <c r="Q12" i="33" s="1"/>
  <c r="R12" i="33" s="1"/>
  <c r="P6" i="33"/>
  <c r="Q6" i="33" s="1"/>
  <c r="R6" i="33" s="1"/>
  <c r="M84" i="33"/>
  <c r="I84" i="33"/>
  <c r="I3" i="33"/>
  <c r="M3" i="33"/>
  <c r="L11" i="33"/>
  <c r="J11" i="33" s="1"/>
  <c r="P35" i="33"/>
  <c r="Q35" i="33" s="1"/>
  <c r="R35" i="33" s="1"/>
  <c r="M47" i="50"/>
  <c r="M51" i="50"/>
  <c r="M50" i="50"/>
  <c r="M22" i="33"/>
  <c r="I22" i="33"/>
  <c r="P38" i="33"/>
  <c r="Q38" i="33" s="1"/>
  <c r="R38" i="33" s="1"/>
  <c r="M39" i="33"/>
  <c r="I39" i="33"/>
  <c r="L6" i="33"/>
  <c r="J6" i="33" s="1"/>
  <c r="M99" i="33"/>
  <c r="I99" i="33"/>
  <c r="I48" i="33"/>
  <c r="M48" i="33"/>
  <c r="L69" i="33"/>
  <c r="J69" i="33" s="1"/>
  <c r="L98" i="33"/>
  <c r="J98" i="33" s="1"/>
  <c r="M42" i="33"/>
  <c r="I42" i="33"/>
  <c r="M4" i="33"/>
  <c r="I4" i="33"/>
  <c r="I17" i="33"/>
  <c r="M17" i="33"/>
  <c r="L97" i="33"/>
  <c r="J97" i="33" s="1"/>
  <c r="I46" i="33"/>
  <c r="M46" i="33"/>
  <c r="P44" i="33"/>
  <c r="Q44" i="33" s="1"/>
  <c r="R44" i="33" s="1"/>
  <c r="M95" i="33"/>
  <c r="I95" i="33"/>
  <c r="K22" i="50" l="1"/>
  <c r="K69" i="50"/>
  <c r="K18" i="50"/>
  <c r="K40" i="50"/>
  <c r="K16" i="50"/>
  <c r="K33" i="50"/>
  <c r="K30" i="50"/>
  <c r="K50" i="50"/>
  <c r="K64" i="50"/>
  <c r="K68" i="50"/>
  <c r="K43" i="50"/>
  <c r="K77" i="50"/>
  <c r="K52" i="50"/>
  <c r="K58" i="50"/>
  <c r="K29" i="50"/>
  <c r="K57" i="50"/>
  <c r="K42" i="50"/>
  <c r="K73" i="50"/>
  <c r="K25" i="50"/>
  <c r="K34" i="50"/>
  <c r="K28" i="50"/>
  <c r="K45" i="50"/>
  <c r="K31" i="50"/>
  <c r="K63" i="50"/>
  <c r="K11" i="50"/>
  <c r="K23" i="50"/>
  <c r="K41" i="50"/>
  <c r="K13" i="50"/>
  <c r="K65" i="50"/>
  <c r="K14" i="50"/>
  <c r="K55" i="50"/>
  <c r="K72" i="50"/>
  <c r="K37" i="50"/>
  <c r="K56" i="50"/>
  <c r="K38" i="50"/>
  <c r="K26" i="50"/>
  <c r="K47" i="50"/>
  <c r="K76" i="50"/>
  <c r="K67" i="50"/>
  <c r="K53" i="50"/>
  <c r="K61" i="50"/>
  <c r="K12" i="50"/>
  <c r="K19" i="50"/>
  <c r="K20" i="50"/>
  <c r="K9" i="50"/>
  <c r="K48" i="50"/>
  <c r="K71" i="50"/>
  <c r="K46" i="50"/>
  <c r="K15" i="50"/>
  <c r="K62" i="50"/>
  <c r="K44" i="50"/>
  <c r="K75" i="50"/>
  <c r="K54" i="50"/>
  <c r="K36" i="50"/>
  <c r="K59" i="50"/>
  <c r="K74" i="50"/>
  <c r="K70" i="50"/>
  <c r="K78" i="50"/>
  <c r="K10" i="50"/>
  <c r="K60" i="50"/>
  <c r="K17" i="50"/>
  <c r="K32" i="50"/>
  <c r="K66" i="50"/>
  <c r="K39" i="50"/>
  <c r="K49" i="50"/>
  <c r="K27" i="50"/>
  <c r="K35" i="50"/>
  <c r="K24" i="50"/>
  <c r="K21" i="50"/>
  <c r="K51" i="50"/>
  <c r="K5" i="50" l="1"/>
  <c r="K6" i="50"/>
  <c r="Q10" i="18" l="1"/>
  <c r="C2" i="18" l="1"/>
  <c r="O14" i="18"/>
  <c r="D2" i="18"/>
  <c r="D3" i="18" s="1"/>
  <c r="D4" i="18" s="1"/>
  <c r="D5" i="18" s="1"/>
  <c r="D6" i="18" s="1"/>
  <c r="D7" i="18" s="1"/>
  <c r="D8" i="18" s="1"/>
  <c r="D9" i="18" s="1"/>
  <c r="D10" i="18" s="1"/>
  <c r="D11" i="18" s="1"/>
  <c r="D12" i="18" s="1"/>
  <c r="D13" i="18" s="1"/>
  <c r="D14" i="18" s="1"/>
  <c r="D15" i="18" s="1"/>
  <c r="D16" i="18" s="1"/>
  <c r="D17" i="18" s="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D63" i="18" s="1"/>
  <c r="D64" i="18" s="1"/>
  <c r="D65" i="18" s="1"/>
  <c r="D66" i="18" s="1"/>
  <c r="D67" i="18" s="1"/>
  <c r="D68" i="18" s="1"/>
  <c r="D69" i="18" s="1"/>
  <c r="D70" i="18" s="1"/>
  <c r="D71" i="18" s="1"/>
  <c r="D72" i="18" s="1"/>
  <c r="D73" i="18" s="1"/>
  <c r="D74" i="18" s="1"/>
  <c r="D75" i="18" s="1"/>
  <c r="D76" i="18" s="1"/>
  <c r="D77" i="18" s="1"/>
  <c r="D78" i="18" s="1"/>
  <c r="D79" i="18" s="1"/>
  <c r="D80" i="18" s="1"/>
  <c r="D81" i="18" s="1"/>
  <c r="D82" i="18" s="1"/>
  <c r="D83" i="18" s="1"/>
  <c r="D84" i="18" s="1"/>
  <c r="D85" i="18" s="1"/>
  <c r="D86" i="18" s="1"/>
  <c r="D87" i="18" s="1"/>
  <c r="D88" i="18" s="1"/>
  <c r="D89" i="18" s="1"/>
  <c r="D90" i="18" s="1"/>
  <c r="D91" i="18" s="1"/>
  <c r="D92" i="18" s="1"/>
  <c r="D93" i="18" s="1"/>
  <c r="D94" i="18" s="1"/>
  <c r="D95" i="18" s="1"/>
  <c r="D96" i="18" s="1"/>
  <c r="D97" i="18" s="1"/>
  <c r="D98" i="18" s="1"/>
  <c r="D99" i="18" s="1"/>
  <c r="D100" i="18" s="1"/>
  <c r="D101" i="18" s="1"/>
  <c r="D102" i="18" s="1"/>
  <c r="D103" i="18" s="1"/>
  <c r="D104" i="18" s="1"/>
  <c r="D105" i="18" s="1"/>
  <c r="D106" i="18" s="1"/>
  <c r="D107" i="18" s="1"/>
  <c r="D108" i="18" s="1"/>
  <c r="D109" i="18" s="1"/>
  <c r="D110" i="18" s="1"/>
  <c r="D111" i="18" s="1"/>
  <c r="D112" i="18" s="1"/>
  <c r="D113" i="18" s="1"/>
  <c r="D114" i="18" s="1"/>
  <c r="D115" i="18" s="1"/>
  <c r="D116" i="18" s="1"/>
  <c r="D117" i="18" s="1"/>
  <c r="D118" i="18" s="1"/>
  <c r="D119" i="18" s="1"/>
  <c r="D120" i="18" s="1"/>
  <c r="D121" i="18" s="1"/>
  <c r="D122" i="18" s="1"/>
  <c r="D123" i="18" s="1"/>
  <c r="D124" i="18" s="1"/>
  <c r="D125" i="18" s="1"/>
  <c r="D126" i="18" s="1"/>
  <c r="D127" i="18" s="1"/>
  <c r="D128" i="18" s="1"/>
  <c r="D129" i="18" s="1"/>
  <c r="D130" i="18" s="1"/>
  <c r="D131" i="18" s="1"/>
  <c r="D132" i="18" s="1"/>
  <c r="D133" i="18" s="1"/>
  <c r="D134" i="18" s="1"/>
  <c r="D135" i="18" s="1"/>
  <c r="D136" i="18" s="1"/>
  <c r="D137" i="18" s="1"/>
  <c r="D138" i="18" s="1"/>
  <c r="D139" i="18" s="1"/>
  <c r="D140" i="18" s="1"/>
  <c r="D141" i="18" s="1"/>
  <c r="D142" i="18" s="1"/>
  <c r="D143" i="18" s="1"/>
  <c r="D144" i="18" s="1"/>
  <c r="D145" i="18" s="1"/>
  <c r="D146" i="18" s="1"/>
  <c r="D147" i="18" s="1"/>
  <c r="D148" i="18" s="1"/>
  <c r="D149" i="18" s="1"/>
  <c r="D150" i="18" s="1"/>
  <c r="D151" i="18" s="1"/>
  <c r="D152" i="18" s="1"/>
  <c r="D153" i="18" s="1"/>
  <c r="D154" i="18" s="1"/>
  <c r="D155" i="18" s="1"/>
  <c r="D156" i="18" s="1"/>
  <c r="D157" i="18" s="1"/>
  <c r="D158" i="18" s="1"/>
  <c r="D159" i="18" s="1"/>
  <c r="D160" i="18" s="1"/>
  <c r="D161" i="18" s="1"/>
  <c r="D162" i="18" s="1"/>
  <c r="D163" i="18" s="1"/>
  <c r="D164" i="18" s="1"/>
  <c r="D165" i="18" s="1"/>
  <c r="D166" i="18" s="1"/>
  <c r="D167" i="18" s="1"/>
  <c r="D168" i="18" s="1"/>
  <c r="D169" i="18" s="1"/>
  <c r="D170" i="18" s="1"/>
  <c r="D171" i="18" s="1"/>
  <c r="D172" i="18" s="1"/>
  <c r="D173" i="18" s="1"/>
  <c r="D174" i="18" s="1"/>
  <c r="D175" i="18" s="1"/>
  <c r="D176" i="18" s="1"/>
  <c r="D177" i="18" s="1"/>
  <c r="D178" i="18" s="1"/>
  <c r="D179" i="18" s="1"/>
  <c r="D180" i="18" s="1"/>
  <c r="D181" i="18" s="1"/>
  <c r="D182" i="18" s="1"/>
  <c r="D183" i="18" s="1"/>
  <c r="D184" i="18" s="1"/>
  <c r="D185" i="18" s="1"/>
  <c r="D186" i="18" s="1"/>
  <c r="D187" i="18" s="1"/>
  <c r="D188" i="18" s="1"/>
  <c r="D189" i="18" s="1"/>
  <c r="D190" i="18" s="1"/>
  <c r="D191" i="18" s="1"/>
  <c r="D192" i="18" s="1"/>
  <c r="D193" i="18" s="1"/>
  <c r="D194" i="18" s="1"/>
  <c r="D195" i="18" s="1"/>
  <c r="D196" i="18" s="1"/>
  <c r="D197" i="18" s="1"/>
  <c r="D198" i="18" s="1"/>
  <c r="D199" i="18" s="1"/>
  <c r="D200" i="18" s="1"/>
  <c r="D201" i="18" s="1"/>
  <c r="D202" i="18" s="1"/>
  <c r="D203" i="18" s="1"/>
  <c r="D204" i="18" s="1"/>
  <c r="D205" i="18" s="1"/>
  <c r="D206" i="18" s="1"/>
  <c r="D207" i="18" s="1"/>
  <c r="D208" i="18" s="1"/>
  <c r="D209" i="18" s="1"/>
  <c r="D210" i="18" s="1"/>
  <c r="D211" i="18" s="1"/>
  <c r="D212" i="18" s="1"/>
  <c r="D213" i="18" s="1"/>
  <c r="D214" i="18" s="1"/>
  <c r="D215" i="18" s="1"/>
  <c r="D216" i="18" s="1"/>
  <c r="D217" i="18" s="1"/>
  <c r="D218" i="18" s="1"/>
  <c r="D219" i="18" s="1"/>
  <c r="D220" i="18" s="1"/>
  <c r="D221" i="18" s="1"/>
  <c r="D222" i="18" s="1"/>
  <c r="D223" i="18" s="1"/>
  <c r="D224" i="18" s="1"/>
  <c r="D225" i="18" s="1"/>
  <c r="D226" i="18" s="1"/>
  <c r="D227" i="18" s="1"/>
  <c r="D228" i="18" s="1"/>
  <c r="D229" i="18" s="1"/>
  <c r="D230" i="18" s="1"/>
  <c r="D231" i="18" s="1"/>
  <c r="D232" i="18" s="1"/>
  <c r="D233" i="18" s="1"/>
  <c r="D234" i="18" s="1"/>
  <c r="D235" i="18" s="1"/>
  <c r="D236" i="18" s="1"/>
  <c r="D237" i="18" s="1"/>
  <c r="D238" i="18" s="1"/>
  <c r="D239" i="18" s="1"/>
  <c r="D240" i="18" s="1"/>
  <c r="D241" i="18" s="1"/>
  <c r="D242" i="18" s="1"/>
  <c r="D243" i="18" s="1"/>
  <c r="D244" i="18" s="1"/>
  <c r="D245" i="18" s="1"/>
  <c r="D246" i="18" s="1"/>
  <c r="D247" i="18" s="1"/>
  <c r="D248" i="18" s="1"/>
  <c r="D249" i="18" s="1"/>
  <c r="D250" i="18" s="1"/>
  <c r="D251" i="18" s="1"/>
  <c r="D252" i="18" s="1"/>
  <c r="D253" i="18" s="1"/>
  <c r="D254" i="18" s="1"/>
  <c r="D255" i="18" s="1"/>
  <c r="D256" i="18" s="1"/>
  <c r="D257" i="18" s="1"/>
  <c r="D258" i="18" s="1"/>
  <c r="D259" i="18" s="1"/>
  <c r="D260" i="18" s="1"/>
  <c r="D261" i="18" s="1"/>
  <c r="D262" i="18" s="1"/>
  <c r="D263" i="18" s="1"/>
  <c r="D264" i="18" s="1"/>
  <c r="D265" i="18" s="1"/>
  <c r="D266" i="18" s="1"/>
  <c r="D267" i="18" s="1"/>
  <c r="D268" i="18" s="1"/>
  <c r="D269" i="18" s="1"/>
  <c r="D270" i="18" s="1"/>
  <c r="D271" i="18" s="1"/>
  <c r="D272" i="18" s="1"/>
  <c r="D273" i="18" s="1"/>
  <c r="D274" i="18" s="1"/>
  <c r="D275" i="18" s="1"/>
  <c r="D276" i="18" s="1"/>
  <c r="D277" i="18" s="1"/>
  <c r="D278" i="18" s="1"/>
  <c r="D279" i="18" s="1"/>
  <c r="D280" i="18" s="1"/>
  <c r="D281" i="18" s="1"/>
  <c r="D282" i="18" s="1"/>
  <c r="D283" i="18" s="1"/>
  <c r="D284" i="18" s="1"/>
  <c r="D285" i="18" s="1"/>
  <c r="D286" i="18" s="1"/>
  <c r="D287" i="18" s="1"/>
  <c r="D288" i="18" s="1"/>
  <c r="D289" i="18" s="1"/>
  <c r="D290" i="18" s="1"/>
  <c r="D291" i="18" s="1"/>
  <c r="D292" i="18" s="1"/>
  <c r="D293" i="18" s="1"/>
  <c r="D294" i="18" s="1"/>
  <c r="D295" i="18" s="1"/>
  <c r="D296" i="18" s="1"/>
  <c r="D297" i="18" s="1"/>
  <c r="D298" i="18" s="1"/>
  <c r="D299" i="18" s="1"/>
  <c r="D300" i="18" s="1"/>
  <c r="D301" i="18" s="1"/>
  <c r="D302" i="18" s="1"/>
  <c r="D303" i="18" s="1"/>
  <c r="D304" i="18" s="1"/>
  <c r="D305" i="18" s="1"/>
  <c r="D306" i="18" s="1"/>
  <c r="D307" i="18" s="1"/>
  <c r="D308" i="18" s="1"/>
  <c r="D309" i="18" s="1"/>
  <c r="D310" i="18" s="1"/>
  <c r="D311" i="18" s="1"/>
  <c r="D312" i="18" s="1"/>
  <c r="D313" i="18" s="1"/>
  <c r="D314" i="18" s="1"/>
  <c r="D315" i="18" s="1"/>
  <c r="D316" i="18" s="1"/>
  <c r="D317" i="18" s="1"/>
  <c r="D318" i="18" s="1"/>
  <c r="D319" i="18" s="1"/>
  <c r="D320" i="18" s="1"/>
  <c r="D321" i="18" s="1"/>
  <c r="D322" i="18" s="1"/>
  <c r="D323" i="18" s="1"/>
  <c r="D324" i="18" s="1"/>
  <c r="D325" i="18" s="1"/>
  <c r="D326" i="18" s="1"/>
  <c r="D327" i="18" s="1"/>
  <c r="D328" i="18" s="1"/>
  <c r="D329" i="18" s="1"/>
  <c r="D330" i="18" s="1"/>
  <c r="D331" i="18" s="1"/>
  <c r="D332" i="18" s="1"/>
  <c r="D333" i="18" s="1"/>
  <c r="D334" i="18" s="1"/>
  <c r="D335" i="18" s="1"/>
  <c r="D336" i="18" s="1"/>
  <c r="D337" i="18" s="1"/>
  <c r="D338" i="18" s="1"/>
  <c r="D339" i="18" s="1"/>
  <c r="D340" i="18" s="1"/>
  <c r="D341" i="18" s="1"/>
  <c r="D342" i="18" s="1"/>
  <c r="D343" i="18" s="1"/>
  <c r="D344" i="18" s="1"/>
  <c r="D345" i="18" s="1"/>
  <c r="D346" i="18" s="1"/>
  <c r="D347" i="18" s="1"/>
  <c r="D348" i="18" s="1"/>
  <c r="D349" i="18" s="1"/>
  <c r="D350" i="18" s="1"/>
  <c r="D351" i="18" s="1"/>
  <c r="D352" i="18" s="1"/>
  <c r="D353" i="18" s="1"/>
  <c r="D354" i="18" s="1"/>
  <c r="D355" i="18" s="1"/>
  <c r="D356" i="18" s="1"/>
  <c r="D357" i="18" s="1"/>
  <c r="D358" i="18" s="1"/>
  <c r="D359" i="18" s="1"/>
  <c r="D360" i="18" s="1"/>
  <c r="D361" i="18" s="1"/>
  <c r="D362" i="18" s="1"/>
  <c r="D363" i="18" s="1"/>
  <c r="D364" i="18" s="1"/>
  <c r="D365" i="18" s="1"/>
  <c r="D366" i="18" s="1"/>
  <c r="D367" i="18" s="1"/>
  <c r="D368" i="18" s="1"/>
  <c r="D369" i="18" s="1"/>
  <c r="D370" i="18" s="1"/>
  <c r="D371" i="18" s="1"/>
  <c r="D372" i="18" s="1"/>
  <c r="D373" i="18" s="1"/>
  <c r="D374" i="18" s="1"/>
  <c r="D375" i="18" s="1"/>
  <c r="D376" i="18" s="1"/>
  <c r="D377" i="18" s="1"/>
  <c r="D378" i="18" s="1"/>
  <c r="D379" i="18" s="1"/>
  <c r="D380" i="18" s="1"/>
  <c r="D381" i="18" s="1"/>
  <c r="D382" i="18" s="1"/>
  <c r="D383" i="18" s="1"/>
  <c r="D384" i="18" s="1"/>
  <c r="D385" i="18" s="1"/>
  <c r="D386" i="18" s="1"/>
  <c r="D387" i="18" s="1"/>
  <c r="D388" i="18" s="1"/>
  <c r="D389" i="18" s="1"/>
  <c r="D390" i="18" s="1"/>
  <c r="D391" i="18" s="1"/>
  <c r="D392" i="18" s="1"/>
  <c r="D393" i="18" s="1"/>
  <c r="D394" i="18" s="1"/>
  <c r="D395" i="18" s="1"/>
  <c r="D396" i="18" s="1"/>
  <c r="D397" i="18" s="1"/>
  <c r="D398" i="18" s="1"/>
  <c r="D399" i="18" s="1"/>
  <c r="D400" i="18" s="1"/>
  <c r="D401" i="18" s="1"/>
  <c r="D402" i="18" s="1"/>
  <c r="D403" i="18" s="1"/>
  <c r="D404" i="18" s="1"/>
  <c r="D405" i="18" s="1"/>
  <c r="D406" i="18" s="1"/>
  <c r="D407" i="18" s="1"/>
  <c r="D408" i="18" s="1"/>
  <c r="D409" i="18" s="1"/>
  <c r="D410" i="18" s="1"/>
  <c r="D411" i="18" s="1"/>
  <c r="D412" i="18" s="1"/>
  <c r="D413" i="18" s="1"/>
  <c r="D414" i="18" s="1"/>
  <c r="D415" i="18" s="1"/>
  <c r="D416" i="18" s="1"/>
  <c r="D417" i="18" s="1"/>
  <c r="D418" i="18" s="1"/>
  <c r="D419" i="18" s="1"/>
  <c r="D420" i="18" s="1"/>
  <c r="D421" i="18" s="1"/>
  <c r="D422" i="18" s="1"/>
  <c r="D423" i="18" s="1"/>
  <c r="D424" i="18" s="1"/>
  <c r="D425" i="18" s="1"/>
  <c r="D426" i="18" s="1"/>
  <c r="D427" i="18" s="1"/>
  <c r="D428" i="18" s="1"/>
  <c r="D429" i="18" s="1"/>
  <c r="D430" i="18" s="1"/>
  <c r="D431" i="18" s="1"/>
  <c r="D432" i="18" s="1"/>
  <c r="D433" i="18" s="1"/>
  <c r="D434" i="18" s="1"/>
  <c r="D435" i="18" s="1"/>
  <c r="D436" i="18" s="1"/>
  <c r="D437" i="18" s="1"/>
  <c r="D438" i="18" s="1"/>
  <c r="D439" i="18" s="1"/>
  <c r="D440" i="18" s="1"/>
  <c r="D441" i="18" s="1"/>
  <c r="D442" i="18" s="1"/>
  <c r="D443" i="18" s="1"/>
  <c r="D444" i="18" s="1"/>
  <c r="D445" i="18" s="1"/>
  <c r="D446" i="18" s="1"/>
  <c r="D447" i="18" s="1"/>
  <c r="D448" i="18" s="1"/>
  <c r="D449" i="18" s="1"/>
  <c r="D450" i="18" s="1"/>
  <c r="D451" i="18" s="1"/>
  <c r="D452" i="18" s="1"/>
  <c r="D453" i="18" s="1"/>
  <c r="D454" i="18" s="1"/>
  <c r="D455" i="18" s="1"/>
  <c r="D456" i="18" s="1"/>
  <c r="D457" i="18" s="1"/>
  <c r="D458" i="18" s="1"/>
  <c r="D459" i="18" s="1"/>
  <c r="D460" i="18" s="1"/>
  <c r="D461" i="18" s="1"/>
  <c r="D462" i="18" s="1"/>
  <c r="D463" i="18" s="1"/>
  <c r="D464" i="18" s="1"/>
  <c r="D465" i="18" s="1"/>
  <c r="D466" i="18" s="1"/>
  <c r="D467" i="18" s="1"/>
  <c r="D468" i="18" s="1"/>
  <c r="D469" i="18" s="1"/>
  <c r="D470" i="18" s="1"/>
  <c r="D471" i="18" s="1"/>
  <c r="D472" i="18" s="1"/>
  <c r="D473" i="18" s="1"/>
  <c r="D474" i="18" s="1"/>
  <c r="D475" i="18" s="1"/>
  <c r="D476" i="18" s="1"/>
  <c r="D477" i="18" s="1"/>
  <c r="D478" i="18" s="1"/>
  <c r="D479" i="18" s="1"/>
  <c r="D480" i="18" s="1"/>
  <c r="D481" i="18" s="1"/>
  <c r="D482" i="18" s="1"/>
  <c r="D483" i="18" s="1"/>
  <c r="D484" i="18" s="1"/>
  <c r="D485" i="18" s="1"/>
  <c r="D486" i="18" s="1"/>
  <c r="D487" i="18" s="1"/>
  <c r="D488" i="18" s="1"/>
  <c r="D489" i="18" s="1"/>
  <c r="D490" i="18" s="1"/>
  <c r="D491" i="18" s="1"/>
  <c r="D492" i="18" s="1"/>
  <c r="D493" i="18" s="1"/>
  <c r="D494" i="18" s="1"/>
  <c r="D495" i="18" s="1"/>
  <c r="D496" i="18" s="1"/>
  <c r="D497" i="18" s="1"/>
  <c r="D498" i="18" s="1"/>
  <c r="D499" i="18" s="1"/>
  <c r="D500" i="18" s="1"/>
  <c r="D501" i="18" s="1"/>
  <c r="D502" i="18" s="1"/>
  <c r="D503" i="18" s="1"/>
  <c r="D504" i="18" s="1"/>
  <c r="D505" i="18" s="1"/>
  <c r="D506" i="18" s="1"/>
  <c r="D507" i="18" s="1"/>
  <c r="D508" i="18" s="1"/>
  <c r="D509" i="18" s="1"/>
  <c r="D510" i="18" s="1"/>
  <c r="D511" i="18" s="1"/>
  <c r="D512" i="18" s="1"/>
  <c r="D513" i="18" s="1"/>
  <c r="D514" i="18" s="1"/>
  <c r="D515" i="18" s="1"/>
  <c r="D516" i="18" s="1"/>
  <c r="D517" i="18" s="1"/>
  <c r="D518" i="18" s="1"/>
  <c r="D519" i="18" s="1"/>
  <c r="D520" i="18" s="1"/>
  <c r="D521" i="18" s="1"/>
  <c r="D522" i="18" s="1"/>
  <c r="D523" i="18" s="1"/>
  <c r="D524" i="18" s="1"/>
  <c r="D525" i="18" s="1"/>
  <c r="D526" i="18" s="1"/>
  <c r="D527" i="18" s="1"/>
  <c r="D528" i="18" s="1"/>
  <c r="D529" i="18" s="1"/>
  <c r="D530" i="18" s="1"/>
  <c r="D531" i="18" s="1"/>
  <c r="D532" i="18" s="1"/>
  <c r="D533" i="18" s="1"/>
  <c r="D534" i="18" s="1"/>
  <c r="D535" i="18" s="1"/>
  <c r="D536" i="18" s="1"/>
  <c r="D537" i="18" s="1"/>
  <c r="D538" i="18" s="1"/>
  <c r="D539" i="18" s="1"/>
  <c r="D540" i="18" s="1"/>
  <c r="D541" i="18" s="1"/>
  <c r="D542" i="18" s="1"/>
  <c r="D543" i="18" s="1"/>
  <c r="D544" i="18" s="1"/>
  <c r="D545" i="18" s="1"/>
  <c r="D546" i="18" s="1"/>
  <c r="D547" i="18" s="1"/>
  <c r="D548" i="18" s="1"/>
  <c r="D549" i="18" s="1"/>
  <c r="D550" i="18" s="1"/>
  <c r="D551" i="18" s="1"/>
  <c r="D552" i="18" s="1"/>
  <c r="D553" i="18" s="1"/>
  <c r="D554" i="18" s="1"/>
  <c r="D555" i="18" s="1"/>
  <c r="D556" i="18" s="1"/>
  <c r="D557" i="18" s="1"/>
  <c r="D558" i="18" s="1"/>
  <c r="D559" i="18" s="1"/>
  <c r="D560" i="18" s="1"/>
  <c r="D561" i="18" s="1"/>
  <c r="D562" i="18" s="1"/>
  <c r="D563" i="18" s="1"/>
  <c r="D564" i="18" s="1"/>
  <c r="D565" i="18" s="1"/>
  <c r="D566" i="18" s="1"/>
  <c r="D567" i="18" s="1"/>
  <c r="D568" i="18" s="1"/>
  <c r="D569" i="18" s="1"/>
  <c r="D570" i="18" s="1"/>
  <c r="D571" i="18" s="1"/>
  <c r="D572" i="18" s="1"/>
  <c r="D573" i="18" s="1"/>
  <c r="D574" i="18" s="1"/>
  <c r="D575" i="18" s="1"/>
  <c r="D576" i="18" s="1"/>
  <c r="D577" i="18" s="1"/>
  <c r="D578" i="18" s="1"/>
  <c r="D579" i="18" s="1"/>
  <c r="D580" i="18" s="1"/>
  <c r="D581" i="18" s="1"/>
  <c r="D582" i="18" s="1"/>
  <c r="D583" i="18" s="1"/>
  <c r="D584" i="18" s="1"/>
  <c r="D585" i="18" s="1"/>
  <c r="D586" i="18" s="1"/>
  <c r="D587" i="18" s="1"/>
  <c r="D588" i="18" s="1"/>
  <c r="D589" i="18" s="1"/>
  <c r="D590" i="18" s="1"/>
  <c r="D591" i="18" s="1"/>
  <c r="D592" i="18" s="1"/>
  <c r="D593" i="18" s="1"/>
  <c r="D594" i="18" s="1"/>
  <c r="D595" i="18" s="1"/>
  <c r="D596" i="18" s="1"/>
  <c r="D597" i="18" s="1"/>
  <c r="D598" i="18" s="1"/>
  <c r="D599" i="18" s="1"/>
  <c r="D600" i="18" s="1"/>
  <c r="D601" i="18" s="1"/>
  <c r="D602" i="18" s="1"/>
  <c r="D603" i="18" s="1"/>
  <c r="D604" i="18" s="1"/>
  <c r="D605" i="18" s="1"/>
  <c r="D606" i="18" s="1"/>
  <c r="D607" i="18" s="1"/>
  <c r="D608" i="18" s="1"/>
  <c r="D609" i="18" s="1"/>
  <c r="D610" i="18" s="1"/>
  <c r="D611" i="18" s="1"/>
  <c r="D612" i="18" s="1"/>
  <c r="D613" i="18" s="1"/>
  <c r="D614" i="18" s="1"/>
  <c r="D615" i="18" s="1"/>
  <c r="D616" i="18" s="1"/>
  <c r="D617" i="18" s="1"/>
  <c r="D618" i="18" s="1"/>
  <c r="D619" i="18" s="1"/>
  <c r="D620" i="18" s="1"/>
  <c r="D621" i="18" s="1"/>
  <c r="D622" i="18" s="1"/>
  <c r="D623" i="18" s="1"/>
  <c r="D624" i="18" s="1"/>
  <c r="D625" i="18" s="1"/>
  <c r="D626" i="18" s="1"/>
  <c r="D627" i="18" s="1"/>
  <c r="D628" i="18" s="1"/>
  <c r="D629" i="18" s="1"/>
  <c r="D630" i="18" s="1"/>
  <c r="D631" i="18" s="1"/>
  <c r="D632" i="18" s="1"/>
  <c r="D633" i="18" s="1"/>
  <c r="D634" i="18" s="1"/>
  <c r="D635" i="18" s="1"/>
  <c r="D636" i="18" s="1"/>
  <c r="D637" i="18" s="1"/>
  <c r="D638" i="18" s="1"/>
  <c r="D639" i="18" s="1"/>
  <c r="D640" i="18" s="1"/>
  <c r="D641" i="18" s="1"/>
  <c r="D642" i="18" s="1"/>
  <c r="D643" i="18" s="1"/>
  <c r="D644" i="18" s="1"/>
  <c r="D645" i="18" s="1"/>
  <c r="D646" i="18" s="1"/>
  <c r="D647" i="18" s="1"/>
  <c r="D648" i="18" s="1"/>
  <c r="D649" i="18" s="1"/>
  <c r="D650" i="18" s="1"/>
  <c r="D651" i="18" s="1"/>
  <c r="D652" i="18" s="1"/>
  <c r="D653" i="18" s="1"/>
  <c r="D654" i="18" s="1"/>
  <c r="D655" i="18" s="1"/>
  <c r="D656" i="18" s="1"/>
  <c r="D657" i="18" s="1"/>
  <c r="D658" i="18" s="1"/>
  <c r="D659" i="18" s="1"/>
  <c r="D660" i="18" s="1"/>
  <c r="D661" i="18" s="1"/>
  <c r="D662" i="18" s="1"/>
  <c r="D663" i="18" s="1"/>
  <c r="D664" i="18" s="1"/>
  <c r="D665" i="18" s="1"/>
  <c r="D666" i="18" s="1"/>
  <c r="D667" i="18" s="1"/>
  <c r="D668" i="18" s="1"/>
  <c r="D669" i="18" s="1"/>
  <c r="D670" i="18" s="1"/>
  <c r="D671" i="18" s="1"/>
  <c r="D672" i="18" s="1"/>
  <c r="D673" i="18" s="1"/>
  <c r="D674" i="18" s="1"/>
  <c r="D675" i="18" s="1"/>
  <c r="D676" i="18" s="1"/>
  <c r="D677" i="18" s="1"/>
  <c r="D678" i="18" s="1"/>
  <c r="D679" i="18" s="1"/>
  <c r="D680" i="18" s="1"/>
  <c r="D681" i="18" s="1"/>
  <c r="D682" i="18" s="1"/>
  <c r="D683" i="18" s="1"/>
  <c r="D684" i="18" s="1"/>
  <c r="D685" i="18" s="1"/>
  <c r="D686" i="18" s="1"/>
  <c r="D687" i="18" s="1"/>
  <c r="D688" i="18" s="1"/>
  <c r="D689" i="18" s="1"/>
  <c r="D690" i="18" s="1"/>
  <c r="D691" i="18" s="1"/>
  <c r="D692" i="18" s="1"/>
  <c r="D693" i="18" s="1"/>
  <c r="D694" i="18" s="1"/>
  <c r="D695" i="18" s="1"/>
  <c r="D696" i="18" s="1"/>
  <c r="D697" i="18" s="1"/>
  <c r="D698" i="18" s="1"/>
  <c r="D699" i="18" s="1"/>
  <c r="D700" i="18" s="1"/>
  <c r="D701" i="18" s="1"/>
  <c r="D702" i="18" s="1"/>
  <c r="D703" i="18" s="1"/>
  <c r="D704" i="18" s="1"/>
  <c r="D705" i="18" s="1"/>
  <c r="D706" i="18" s="1"/>
  <c r="D707" i="18" s="1"/>
  <c r="D708" i="18" s="1"/>
  <c r="D709" i="18" s="1"/>
  <c r="D710" i="18" s="1"/>
  <c r="D711" i="18" s="1"/>
  <c r="D712" i="18" s="1"/>
  <c r="D713" i="18" s="1"/>
  <c r="D714" i="18" s="1"/>
  <c r="D715" i="18" s="1"/>
  <c r="D716" i="18" s="1"/>
  <c r="D717" i="18" s="1"/>
  <c r="D718" i="18" s="1"/>
  <c r="D719" i="18" s="1"/>
  <c r="D720" i="18" s="1"/>
  <c r="D721" i="18" s="1"/>
  <c r="D722" i="18" s="1"/>
  <c r="D723" i="18" s="1"/>
  <c r="D724" i="18" s="1"/>
  <c r="D725" i="18" s="1"/>
  <c r="D726" i="18" s="1"/>
  <c r="D727" i="18" s="1"/>
  <c r="D728" i="18" s="1"/>
  <c r="D729" i="18" s="1"/>
  <c r="D730" i="18" s="1"/>
  <c r="D731" i="18" s="1"/>
  <c r="D732" i="18" s="1"/>
  <c r="D733" i="18" s="1"/>
  <c r="D734" i="18" s="1"/>
  <c r="D735" i="18" s="1"/>
  <c r="D736" i="18" s="1"/>
  <c r="D737" i="18" s="1"/>
  <c r="D738" i="18" s="1"/>
  <c r="D739" i="18" s="1"/>
  <c r="D740" i="18" s="1"/>
  <c r="D741" i="18" s="1"/>
  <c r="D742" i="18" s="1"/>
  <c r="D743" i="18" s="1"/>
  <c r="D744" i="18" s="1"/>
  <c r="D745" i="18" s="1"/>
  <c r="D746" i="18" s="1"/>
  <c r="D747" i="18" s="1"/>
  <c r="D748" i="18" s="1"/>
  <c r="D749" i="18" s="1"/>
  <c r="D750" i="18" s="1"/>
  <c r="D751" i="18" s="1"/>
  <c r="D752" i="18" s="1"/>
  <c r="D753" i="18" s="1"/>
  <c r="D754" i="18" s="1"/>
  <c r="D755" i="18" s="1"/>
  <c r="D756" i="18" s="1"/>
  <c r="D757" i="18" s="1"/>
  <c r="D758" i="18" s="1"/>
  <c r="D759" i="18" s="1"/>
  <c r="D760" i="18" s="1"/>
  <c r="D761" i="18" s="1"/>
  <c r="D762" i="18" s="1"/>
  <c r="D763" i="18" s="1"/>
  <c r="D764" i="18" s="1"/>
  <c r="D765" i="18" s="1"/>
  <c r="D766" i="18" s="1"/>
  <c r="D767" i="18" s="1"/>
  <c r="D768" i="18" s="1"/>
  <c r="D769" i="18" s="1"/>
  <c r="D770" i="18" s="1"/>
  <c r="D771" i="18" s="1"/>
  <c r="D772" i="18" s="1"/>
  <c r="D773" i="18" s="1"/>
  <c r="D774" i="18" s="1"/>
  <c r="D775" i="18" s="1"/>
  <c r="D776" i="18" s="1"/>
  <c r="D777" i="18" s="1"/>
  <c r="D778" i="18" s="1"/>
  <c r="D779" i="18" s="1"/>
  <c r="D780" i="18" s="1"/>
  <c r="D781" i="18" s="1"/>
  <c r="D782" i="18" s="1"/>
  <c r="D783" i="18" s="1"/>
  <c r="D784" i="18" s="1"/>
  <c r="D785" i="18" s="1"/>
  <c r="D786" i="18" s="1"/>
  <c r="D787" i="18" s="1"/>
  <c r="D788" i="18" s="1"/>
  <c r="D789" i="18" s="1"/>
  <c r="D790" i="18" s="1"/>
  <c r="D791" i="18" s="1"/>
  <c r="D792" i="18" s="1"/>
  <c r="D793" i="18" s="1"/>
  <c r="D794" i="18" s="1"/>
  <c r="D795" i="18" s="1"/>
  <c r="D796" i="18" s="1"/>
  <c r="D797" i="18" s="1"/>
  <c r="D798" i="18" s="1"/>
  <c r="D799" i="18" s="1"/>
  <c r="D800" i="18" s="1"/>
  <c r="D801" i="18" s="1"/>
  <c r="D802" i="18" s="1"/>
  <c r="D803" i="18" s="1"/>
  <c r="D804" i="18" s="1"/>
  <c r="D805" i="18" s="1"/>
  <c r="D806" i="18" s="1"/>
  <c r="D807" i="18" s="1"/>
  <c r="D808" i="18" s="1"/>
  <c r="D809" i="18" s="1"/>
  <c r="D810" i="18" s="1"/>
  <c r="D811" i="18" s="1"/>
  <c r="D812" i="18" s="1"/>
  <c r="D813" i="18" s="1"/>
  <c r="D814" i="18" s="1"/>
  <c r="D815" i="18" s="1"/>
  <c r="D816" i="18" s="1"/>
  <c r="D817" i="18" s="1"/>
  <c r="D818" i="18" s="1"/>
  <c r="D819" i="18" s="1"/>
  <c r="D820" i="18" s="1"/>
  <c r="D821" i="18" s="1"/>
  <c r="D822" i="18" s="1"/>
  <c r="D823" i="18" s="1"/>
  <c r="D824" i="18" s="1"/>
  <c r="D825" i="18" s="1"/>
  <c r="D826" i="18" s="1"/>
  <c r="D827" i="18" s="1"/>
  <c r="D828" i="18" s="1"/>
  <c r="D829" i="18" s="1"/>
  <c r="D830" i="18" s="1"/>
  <c r="D831" i="18" s="1"/>
  <c r="D832" i="18" s="1"/>
  <c r="D833" i="18" s="1"/>
  <c r="D834" i="18" s="1"/>
  <c r="D835" i="18" s="1"/>
  <c r="D836" i="18" s="1"/>
  <c r="D837" i="18" s="1"/>
  <c r="D838" i="18" s="1"/>
  <c r="D839" i="18" s="1"/>
  <c r="D840" i="18" s="1"/>
  <c r="D841" i="18" s="1"/>
  <c r="D842" i="18" s="1"/>
  <c r="D843" i="18" s="1"/>
  <c r="D844" i="18" s="1"/>
  <c r="D845" i="18" s="1"/>
  <c r="D846" i="18" s="1"/>
  <c r="D847" i="18" s="1"/>
  <c r="D848" i="18" s="1"/>
  <c r="D849" i="18" s="1"/>
  <c r="D850" i="18" s="1"/>
  <c r="D851" i="18" s="1"/>
  <c r="D852" i="18" s="1"/>
  <c r="D853" i="18" s="1"/>
  <c r="D854" i="18" s="1"/>
  <c r="D855" i="18" s="1"/>
  <c r="D856" i="18" s="1"/>
  <c r="D857" i="18" s="1"/>
  <c r="D858" i="18" s="1"/>
  <c r="D859" i="18" s="1"/>
  <c r="D860" i="18" s="1"/>
  <c r="D861" i="18" s="1"/>
  <c r="D862" i="18" s="1"/>
  <c r="D863" i="18" s="1"/>
  <c r="D864" i="18" s="1"/>
  <c r="D865" i="18" s="1"/>
  <c r="D866" i="18" s="1"/>
  <c r="D867" i="18" s="1"/>
  <c r="D868" i="18" s="1"/>
  <c r="D869" i="18" s="1"/>
  <c r="D870" i="18" s="1"/>
  <c r="D871" i="18" s="1"/>
  <c r="D872" i="18" s="1"/>
  <c r="D873" i="18" s="1"/>
  <c r="D874" i="18" s="1"/>
  <c r="D875" i="18" s="1"/>
  <c r="D876" i="18" s="1"/>
  <c r="D877" i="18" s="1"/>
  <c r="D878" i="18" s="1"/>
  <c r="D879" i="18" s="1"/>
  <c r="D880" i="18" s="1"/>
  <c r="D881" i="18" s="1"/>
  <c r="D882" i="18" s="1"/>
  <c r="D883" i="18" s="1"/>
  <c r="D884" i="18" s="1"/>
  <c r="D885" i="18" s="1"/>
  <c r="D886" i="18" s="1"/>
  <c r="D887" i="18" s="1"/>
  <c r="D888" i="18" s="1"/>
  <c r="D889" i="18" s="1"/>
  <c r="O15" i="18" l="1"/>
  <c r="E2" i="18"/>
  <c r="F2" i="18"/>
  <c r="G2" i="18" l="1"/>
  <c r="O16" i="18"/>
  <c r="O17" i="18" l="1"/>
  <c r="C3" i="18" s="1"/>
  <c r="C4" i="18" s="1"/>
  <c r="C5" i="18" s="1"/>
  <c r="E3" i="18" l="1"/>
  <c r="O18" i="18"/>
  <c r="E4" i="18"/>
  <c r="F3" i="18"/>
  <c r="F4" i="18"/>
  <c r="C6" i="18" l="1"/>
  <c r="C7" i="18" s="1"/>
  <c r="O19" i="18"/>
  <c r="O20" i="18" s="1"/>
  <c r="G4" i="18"/>
  <c r="G3" i="18"/>
  <c r="E5" i="18"/>
  <c r="F5" i="18"/>
  <c r="G5" i="18" l="1"/>
  <c r="E6" i="18"/>
  <c r="F6" i="18"/>
  <c r="G6" i="18" l="1"/>
  <c r="E7" i="18"/>
  <c r="F7" i="18"/>
  <c r="G7" i="18" l="1"/>
  <c r="C8" i="18" l="1"/>
  <c r="O36" i="18"/>
  <c r="O37" i="18" s="1"/>
  <c r="O38" i="18" s="1"/>
  <c r="O39" i="18" s="1"/>
  <c r="O40" i="18" s="1"/>
  <c r="O41" i="18" s="1"/>
  <c r="O42" i="18" s="1"/>
  <c r="O43" i="18" s="1"/>
  <c r="O44" i="18" s="1"/>
  <c r="O45" i="18" s="1"/>
  <c r="O46" i="18" s="1"/>
  <c r="O47" i="18" s="1"/>
  <c r="O48" i="18" s="1"/>
  <c r="O49" i="18" s="1"/>
  <c r="O50" i="18" s="1"/>
  <c r="O51" i="18" s="1"/>
  <c r="C9" i="18" l="1"/>
  <c r="E8" i="18"/>
  <c r="F8" i="18"/>
  <c r="G8" i="18" l="1"/>
  <c r="C10" i="18"/>
  <c r="E9" i="18"/>
  <c r="F9" i="18"/>
  <c r="G9" i="18" l="1"/>
  <c r="C11" i="18"/>
  <c r="E10" i="18"/>
  <c r="F10" i="18"/>
  <c r="G10" i="18" l="1"/>
  <c r="C12" i="18"/>
  <c r="E11" i="18"/>
  <c r="F11" i="18"/>
  <c r="G11" i="18" l="1"/>
  <c r="C13" i="18"/>
  <c r="E12" i="18"/>
  <c r="F12" i="18"/>
  <c r="G12" i="18" l="1"/>
  <c r="E13" i="18"/>
  <c r="C14" i="18"/>
  <c r="F13" i="18"/>
  <c r="G13" i="18" l="1"/>
  <c r="E14" i="18"/>
  <c r="C15" i="18"/>
  <c r="F14" i="18"/>
  <c r="G14" i="18" l="1"/>
  <c r="C16" i="18"/>
  <c r="E15" i="18"/>
  <c r="F15" i="18"/>
  <c r="G15" i="18" l="1"/>
  <c r="E16" i="18"/>
  <c r="C17" i="18"/>
  <c r="F16" i="18"/>
  <c r="G16" i="18" l="1"/>
  <c r="C18" i="18"/>
  <c r="E17" i="18"/>
  <c r="F17" i="18"/>
  <c r="G17" i="18" l="1"/>
  <c r="C19" i="18"/>
  <c r="E18" i="18"/>
  <c r="F18" i="18"/>
  <c r="G18" i="18" l="1"/>
  <c r="C20" i="18"/>
  <c r="E19" i="18"/>
  <c r="F19" i="18"/>
  <c r="G19" i="18" l="1"/>
  <c r="C21" i="18"/>
  <c r="E20" i="18"/>
  <c r="F20" i="18"/>
  <c r="G20" i="18" l="1"/>
  <c r="E21" i="18"/>
  <c r="C22" i="18"/>
  <c r="F21" i="18"/>
  <c r="G21" i="18" l="1"/>
  <c r="E22" i="18"/>
  <c r="C23" i="18"/>
  <c r="F22" i="18"/>
  <c r="G22" i="18" l="1"/>
  <c r="C24" i="18"/>
  <c r="E23" i="18"/>
  <c r="F23" i="18"/>
  <c r="G23" i="18" l="1"/>
  <c r="C25" i="18"/>
  <c r="E24" i="18"/>
  <c r="F24" i="18"/>
  <c r="G24" i="18" l="1"/>
  <c r="C26" i="18"/>
  <c r="E25" i="18"/>
  <c r="F25" i="18"/>
  <c r="G25" i="18" l="1"/>
  <c r="C27" i="18"/>
  <c r="E26" i="18"/>
  <c r="F26" i="18"/>
  <c r="G26" i="18" l="1"/>
  <c r="C28" i="18"/>
  <c r="E27" i="18"/>
  <c r="F27" i="18"/>
  <c r="G27" i="18" l="1"/>
  <c r="E28" i="18"/>
  <c r="C29" i="18"/>
  <c r="F28" i="18"/>
  <c r="G28" i="18" l="1"/>
  <c r="C30" i="18"/>
  <c r="E29" i="18"/>
  <c r="F29" i="18"/>
  <c r="G29" i="18" l="1"/>
  <c r="E30" i="18"/>
  <c r="C31" i="18"/>
  <c r="F30" i="18"/>
  <c r="G30" i="18" l="1"/>
  <c r="C32" i="18"/>
  <c r="E31" i="18"/>
  <c r="F31" i="18"/>
  <c r="G31" i="18" l="1"/>
  <c r="E32" i="18"/>
  <c r="C33" i="18"/>
  <c r="F32" i="18"/>
  <c r="G32" i="18" l="1"/>
  <c r="C34" i="18"/>
  <c r="E33" i="18"/>
  <c r="F33" i="18"/>
  <c r="G33" i="18" l="1"/>
  <c r="C35" i="18"/>
  <c r="E34" i="18"/>
  <c r="F34" i="18"/>
  <c r="G34" i="18" l="1"/>
  <c r="E35" i="18"/>
  <c r="C36" i="18"/>
  <c r="F35" i="18"/>
  <c r="G35" i="18" l="1"/>
  <c r="C37" i="18"/>
  <c r="E36" i="18"/>
  <c r="F36" i="18"/>
  <c r="G36" i="18" l="1"/>
  <c r="C38" i="18"/>
  <c r="E37" i="18"/>
  <c r="F37" i="18"/>
  <c r="G37" i="18" l="1"/>
  <c r="C39" i="18"/>
  <c r="E38" i="18"/>
  <c r="F38" i="18"/>
  <c r="G38" i="18" l="1"/>
  <c r="E39" i="18"/>
  <c r="C40" i="18"/>
  <c r="F39" i="18"/>
  <c r="G39" i="18" l="1"/>
  <c r="C41" i="18"/>
  <c r="E40" i="18"/>
  <c r="F40" i="18"/>
  <c r="G40" i="18" l="1"/>
  <c r="C42" i="18"/>
  <c r="E41" i="18"/>
  <c r="F41" i="18"/>
  <c r="G41" i="18" l="1"/>
  <c r="C43" i="18"/>
  <c r="E42" i="18"/>
  <c r="F42" i="18"/>
  <c r="G42" i="18" l="1"/>
  <c r="E43" i="18"/>
  <c r="C44" i="18"/>
  <c r="F43" i="18"/>
  <c r="G43" i="18" l="1"/>
  <c r="E44" i="18"/>
  <c r="C45" i="18"/>
  <c r="F44" i="18"/>
  <c r="G44" i="18" l="1"/>
  <c r="E45" i="18"/>
  <c r="C46" i="18"/>
  <c r="F45" i="18"/>
  <c r="G45" i="18" l="1"/>
  <c r="E46" i="18"/>
  <c r="C47" i="18"/>
  <c r="F46" i="18"/>
  <c r="G46" i="18" l="1"/>
  <c r="C48" i="18"/>
  <c r="E47" i="18"/>
  <c r="F47" i="18"/>
  <c r="G47" i="18" l="1"/>
  <c r="C49" i="18"/>
  <c r="E48" i="18"/>
  <c r="F48" i="18"/>
  <c r="G48" i="18" l="1"/>
  <c r="E49" i="18"/>
  <c r="C50" i="18"/>
  <c r="F49" i="18"/>
  <c r="G49" i="18" l="1"/>
  <c r="C51" i="18"/>
  <c r="E50" i="18"/>
  <c r="F50" i="18"/>
  <c r="G50" i="18" l="1"/>
  <c r="E51" i="18"/>
  <c r="C52" i="18"/>
  <c r="F51" i="18"/>
  <c r="G51" i="18" l="1"/>
  <c r="E52" i="18"/>
  <c r="C53" i="18"/>
  <c r="F52" i="18"/>
  <c r="G52" i="18" l="1"/>
  <c r="E53" i="18"/>
  <c r="C54" i="18"/>
  <c r="F53" i="18"/>
  <c r="G53" i="18" l="1"/>
  <c r="C55" i="18"/>
  <c r="E54" i="18"/>
  <c r="F54" i="18"/>
  <c r="G54" i="18" l="1"/>
  <c r="C56" i="18"/>
  <c r="E55" i="18"/>
  <c r="F55" i="18"/>
  <c r="G55" i="18" l="1"/>
  <c r="E56" i="18"/>
  <c r="C57" i="18"/>
  <c r="F56" i="18"/>
  <c r="G56" i="18" l="1"/>
  <c r="E57" i="18"/>
  <c r="C58" i="18"/>
  <c r="F57" i="18"/>
  <c r="G57" i="18" l="1"/>
  <c r="E58" i="18"/>
  <c r="C59" i="18"/>
  <c r="F58" i="18"/>
  <c r="G58" i="18" l="1"/>
  <c r="C60" i="18"/>
  <c r="E59" i="18"/>
  <c r="F59" i="18"/>
  <c r="G59" i="18" l="1"/>
  <c r="C61" i="18"/>
  <c r="E60" i="18"/>
  <c r="F60" i="18"/>
  <c r="G60" i="18" l="1"/>
  <c r="E61" i="18"/>
  <c r="C62" i="18"/>
  <c r="F61" i="18"/>
  <c r="G61" i="18" l="1"/>
  <c r="C63" i="18"/>
  <c r="E62" i="18"/>
  <c r="F62" i="18"/>
  <c r="G62" i="18" l="1"/>
  <c r="E63" i="18"/>
  <c r="C64" i="18"/>
  <c r="F63" i="18"/>
  <c r="G63" i="18" l="1"/>
  <c r="E64" i="18"/>
  <c r="C65" i="18"/>
  <c r="F64" i="18"/>
  <c r="G64" i="18" l="1"/>
  <c r="C66" i="18"/>
  <c r="E65" i="18"/>
  <c r="F65" i="18"/>
  <c r="G65" i="18" l="1"/>
  <c r="C67" i="18"/>
  <c r="E66" i="18"/>
  <c r="F66" i="18"/>
  <c r="G66" i="18" l="1"/>
  <c r="C68" i="18"/>
  <c r="E67" i="18"/>
  <c r="F67" i="18"/>
  <c r="G67" i="18" l="1"/>
  <c r="C69" i="18"/>
  <c r="E68" i="18"/>
  <c r="F68" i="18"/>
  <c r="G68" i="18" l="1"/>
  <c r="E69" i="18"/>
  <c r="C70" i="18"/>
  <c r="F69" i="18"/>
  <c r="G69" i="18" l="1"/>
  <c r="C71" i="18"/>
  <c r="E70" i="18"/>
  <c r="F70" i="18"/>
  <c r="G70" i="18" l="1"/>
  <c r="C72" i="18"/>
  <c r="E71" i="18"/>
  <c r="F71" i="18"/>
  <c r="G71" i="18" l="1"/>
  <c r="E72" i="18"/>
  <c r="C73" i="18"/>
  <c r="F72" i="18"/>
  <c r="G72" i="18" l="1"/>
  <c r="C74" i="18"/>
  <c r="E73" i="18"/>
  <c r="F73" i="18"/>
  <c r="G73" i="18" l="1"/>
  <c r="E74" i="18"/>
  <c r="C75" i="18"/>
  <c r="F74" i="18"/>
  <c r="G74" i="18" l="1"/>
  <c r="C76" i="18"/>
  <c r="E75" i="18"/>
  <c r="F75" i="18"/>
  <c r="G75" i="18" l="1"/>
  <c r="C77" i="18"/>
  <c r="E76" i="18"/>
  <c r="F76" i="18"/>
  <c r="G76" i="18" l="1"/>
  <c r="C78" i="18"/>
  <c r="E77" i="18"/>
  <c r="F77" i="18"/>
  <c r="G77" i="18" l="1"/>
  <c r="C79" i="18"/>
  <c r="E78" i="18"/>
  <c r="F78" i="18"/>
  <c r="G78" i="18" l="1"/>
  <c r="C80" i="18"/>
  <c r="E79" i="18"/>
  <c r="F79" i="18"/>
  <c r="G79" i="18" l="1"/>
  <c r="E80" i="18"/>
  <c r="C81" i="18"/>
  <c r="F80" i="18"/>
  <c r="G80" i="18" l="1"/>
  <c r="C82" i="18"/>
  <c r="E81" i="18"/>
  <c r="F81" i="18"/>
  <c r="G81" i="18" l="1"/>
  <c r="E82" i="18"/>
  <c r="C83" i="18"/>
  <c r="F82" i="18"/>
  <c r="G82" i="18" l="1"/>
  <c r="E83" i="18"/>
  <c r="C84" i="18"/>
  <c r="F83" i="18"/>
  <c r="G83" i="18" l="1"/>
  <c r="E84" i="18"/>
  <c r="C85" i="18"/>
  <c r="F84" i="18"/>
  <c r="G84" i="18" l="1"/>
  <c r="E85" i="18"/>
  <c r="C86" i="18"/>
  <c r="F85" i="18"/>
  <c r="G85" i="18" l="1"/>
  <c r="C87" i="18"/>
  <c r="E86" i="18"/>
  <c r="F86" i="18"/>
  <c r="G86" i="18" l="1"/>
  <c r="C88" i="18"/>
  <c r="E87" i="18"/>
  <c r="F87" i="18"/>
  <c r="G87" i="18" l="1"/>
  <c r="E88" i="18"/>
  <c r="C89" i="18"/>
  <c r="F88" i="18"/>
  <c r="G88" i="18" l="1"/>
  <c r="E89" i="18"/>
  <c r="C90" i="18"/>
  <c r="F89" i="18"/>
  <c r="G89" i="18" l="1"/>
  <c r="E90" i="18"/>
  <c r="C91" i="18"/>
  <c r="F90" i="18"/>
  <c r="G90" i="18" l="1"/>
  <c r="C92" i="18"/>
  <c r="E91" i="18"/>
  <c r="F91" i="18"/>
  <c r="G91" i="18" l="1"/>
  <c r="C93" i="18"/>
  <c r="E92" i="18"/>
  <c r="F92" i="18"/>
  <c r="G92" i="18" l="1"/>
  <c r="C94" i="18"/>
  <c r="E93" i="18"/>
  <c r="F93" i="18"/>
  <c r="G93" i="18" l="1"/>
  <c r="C95" i="18"/>
  <c r="E94" i="18"/>
  <c r="F94" i="18"/>
  <c r="G94" i="18" l="1"/>
  <c r="E95" i="18"/>
  <c r="C96" i="18"/>
  <c r="F95" i="18"/>
  <c r="G95" i="18" l="1"/>
  <c r="E96" i="18"/>
  <c r="C97" i="18"/>
  <c r="F96" i="18"/>
  <c r="G96" i="18" l="1"/>
  <c r="E97" i="18"/>
  <c r="C98" i="18"/>
  <c r="F97" i="18"/>
  <c r="G97" i="18" l="1"/>
  <c r="C99" i="18"/>
  <c r="E98" i="18"/>
  <c r="F98" i="18"/>
  <c r="G98" i="18" l="1"/>
  <c r="C100" i="18"/>
  <c r="E99" i="18"/>
  <c r="F99" i="18"/>
  <c r="G99" i="18" l="1"/>
  <c r="E100" i="18"/>
  <c r="C101" i="18"/>
  <c r="F100" i="18"/>
  <c r="G100" i="18" l="1"/>
  <c r="E101" i="18"/>
  <c r="C102" i="18"/>
  <c r="F101" i="18"/>
  <c r="G101" i="18" l="1"/>
  <c r="E102" i="18"/>
  <c r="C103" i="18"/>
  <c r="F102" i="18"/>
  <c r="G102" i="18" l="1"/>
  <c r="E103" i="18"/>
  <c r="C104" i="18"/>
  <c r="F103" i="18"/>
  <c r="G103" i="18" l="1"/>
  <c r="C105" i="18"/>
  <c r="E104" i="18"/>
  <c r="F104" i="18"/>
  <c r="G104" i="18" l="1"/>
  <c r="E105" i="18"/>
  <c r="C106" i="18"/>
  <c r="F105" i="18"/>
  <c r="G105" i="18" l="1"/>
  <c r="E106" i="18"/>
  <c r="C107" i="18"/>
  <c r="F106" i="18"/>
  <c r="G106" i="18" l="1"/>
  <c r="C108" i="18"/>
  <c r="E107" i="18"/>
  <c r="F107" i="18"/>
  <c r="G107" i="18" l="1"/>
  <c r="E108" i="18"/>
  <c r="C109" i="18"/>
  <c r="F108" i="18"/>
  <c r="G108" i="18" l="1"/>
  <c r="E109" i="18"/>
  <c r="C110" i="18"/>
  <c r="F109" i="18"/>
  <c r="G109" i="18" l="1"/>
  <c r="C111" i="18"/>
  <c r="E110" i="18"/>
  <c r="F110" i="18"/>
  <c r="G110" i="18" l="1"/>
  <c r="E111" i="18"/>
  <c r="C112" i="18"/>
  <c r="F111" i="18"/>
  <c r="G111" i="18" l="1"/>
  <c r="C113" i="18"/>
  <c r="E112" i="18"/>
  <c r="F112" i="18"/>
  <c r="G112" i="18" l="1"/>
  <c r="C114" i="18"/>
  <c r="E113" i="18"/>
  <c r="F113" i="18"/>
  <c r="G113" i="18" l="1"/>
  <c r="C115" i="18"/>
  <c r="E114" i="18"/>
  <c r="F114" i="18"/>
  <c r="G114" i="18" l="1"/>
  <c r="E115" i="18"/>
  <c r="C116" i="18"/>
  <c r="F115" i="18"/>
  <c r="G115" i="18" l="1"/>
  <c r="C117" i="18"/>
  <c r="E116" i="18"/>
  <c r="F116" i="18"/>
  <c r="G116" i="18" l="1"/>
  <c r="C118" i="18"/>
  <c r="E117" i="18"/>
  <c r="F117" i="18"/>
  <c r="G117" i="18" l="1"/>
  <c r="C119" i="18"/>
  <c r="E118" i="18"/>
  <c r="F118" i="18"/>
  <c r="G118" i="18" l="1"/>
  <c r="C120" i="18"/>
  <c r="E119" i="18"/>
  <c r="F119" i="18"/>
  <c r="G119" i="18" l="1"/>
  <c r="C121" i="18"/>
  <c r="E120" i="18"/>
  <c r="F120" i="18"/>
  <c r="G120" i="18" l="1"/>
  <c r="E121" i="18"/>
  <c r="C122" i="18"/>
  <c r="F121" i="18"/>
  <c r="G121" i="18" l="1"/>
  <c r="C123" i="18"/>
  <c r="E122" i="18"/>
  <c r="F122" i="18"/>
  <c r="G122" i="18" l="1"/>
  <c r="E123" i="18"/>
  <c r="C124" i="18"/>
  <c r="F123" i="18"/>
  <c r="G123" i="18" l="1"/>
  <c r="E124" i="18"/>
  <c r="C125" i="18"/>
  <c r="F124" i="18"/>
  <c r="G124" i="18" l="1"/>
  <c r="C126" i="18"/>
  <c r="E125" i="18"/>
  <c r="F125" i="18"/>
  <c r="G125" i="18" l="1"/>
  <c r="E126" i="18"/>
  <c r="C127" i="18"/>
  <c r="F126" i="18"/>
  <c r="G126" i="18" l="1"/>
  <c r="C128" i="18"/>
  <c r="E127" i="18"/>
  <c r="F127" i="18"/>
  <c r="G127" i="18" l="1"/>
  <c r="C129" i="18"/>
  <c r="E128" i="18"/>
  <c r="F128" i="18"/>
  <c r="G128" i="18" l="1"/>
  <c r="E129" i="18"/>
  <c r="C130" i="18"/>
  <c r="F129" i="18"/>
  <c r="G129" i="18" l="1"/>
  <c r="C131" i="18"/>
  <c r="C132" i="18" s="1"/>
  <c r="C133" i="18" s="1"/>
  <c r="C134" i="18" s="1"/>
  <c r="C135" i="18" s="1"/>
  <c r="C136" i="18" s="1"/>
  <c r="C137" i="18" s="1"/>
  <c r="C138" i="18" s="1"/>
  <c r="C139" i="18" s="1"/>
  <c r="C140" i="18" s="1"/>
  <c r="C141" i="18" s="1"/>
  <c r="C142" i="18" s="1"/>
  <c r="C143" i="18" s="1"/>
  <c r="C144" i="18" s="1"/>
  <c r="C145" i="18" s="1"/>
  <c r="C146" i="18" s="1"/>
  <c r="C147" i="18" s="1"/>
  <c r="C148" i="18" s="1"/>
  <c r="C149" i="18" s="1"/>
  <c r="C150" i="18" s="1"/>
  <c r="C151" i="18" s="1"/>
  <c r="C152" i="18" s="1"/>
  <c r="C153" i="18" s="1"/>
  <c r="C154" i="18" s="1"/>
  <c r="C155" i="18" s="1"/>
  <c r="C156" i="18" s="1"/>
  <c r="C157" i="18" s="1"/>
  <c r="C158" i="18" s="1"/>
  <c r="C159" i="18" s="1"/>
  <c r="C160" i="18" s="1"/>
  <c r="C161" i="18" s="1"/>
  <c r="C162" i="18" s="1"/>
  <c r="C163" i="18" s="1"/>
  <c r="C164" i="18" s="1"/>
  <c r="C165" i="18" s="1"/>
  <c r="C166" i="18" s="1"/>
  <c r="C167" i="18" s="1"/>
  <c r="C168" i="18" s="1"/>
  <c r="C169" i="18" s="1"/>
  <c r="C170" i="18" s="1"/>
  <c r="C171" i="18" s="1"/>
  <c r="C172" i="18" s="1"/>
  <c r="C173" i="18" s="1"/>
  <c r="C174" i="18" s="1"/>
  <c r="C175" i="18" s="1"/>
  <c r="C176" i="18" s="1"/>
  <c r="C177" i="18" s="1"/>
  <c r="C178" i="18" s="1"/>
  <c r="C179" i="18" s="1"/>
  <c r="C180" i="18" s="1"/>
  <c r="C181" i="18" s="1"/>
  <c r="C182" i="18" s="1"/>
  <c r="C183" i="18" s="1"/>
  <c r="C184" i="18" s="1"/>
  <c r="C185" i="18" s="1"/>
  <c r="C186" i="18" s="1"/>
  <c r="C187" i="18" s="1"/>
  <c r="C188" i="18" s="1"/>
  <c r="C189" i="18" s="1"/>
  <c r="C190" i="18" s="1"/>
  <c r="C191" i="18" s="1"/>
  <c r="C192" i="18" s="1"/>
  <c r="C193" i="18" s="1"/>
  <c r="C194" i="18" s="1"/>
  <c r="C195" i="18" s="1"/>
  <c r="C196" i="18" s="1"/>
  <c r="C197" i="18" s="1"/>
  <c r="C198" i="18" s="1"/>
  <c r="C199" i="18" s="1"/>
  <c r="C200" i="18" s="1"/>
  <c r="C201" i="18" s="1"/>
  <c r="C202" i="18" s="1"/>
  <c r="C203" i="18" s="1"/>
  <c r="C204" i="18" s="1"/>
  <c r="C205" i="18" s="1"/>
  <c r="C206" i="18" s="1"/>
  <c r="C207" i="18" s="1"/>
  <c r="C208" i="18" s="1"/>
  <c r="C209" i="18" s="1"/>
  <c r="C210" i="18" s="1"/>
  <c r="C211" i="18" s="1"/>
  <c r="C212" i="18" s="1"/>
  <c r="C213" i="18" s="1"/>
  <c r="C214" i="18" s="1"/>
  <c r="C215" i="18" s="1"/>
  <c r="C216" i="18" s="1"/>
  <c r="C217" i="18" s="1"/>
  <c r="C218" i="18" s="1"/>
  <c r="C219" i="18" s="1"/>
  <c r="C220" i="18" s="1"/>
  <c r="C221" i="18" s="1"/>
  <c r="C222" i="18" s="1"/>
  <c r="C223" i="18" s="1"/>
  <c r="C224" i="18" s="1"/>
  <c r="C225" i="18" s="1"/>
  <c r="C226" i="18" s="1"/>
  <c r="C227" i="18" s="1"/>
  <c r="C228" i="18" s="1"/>
  <c r="C229" i="18" s="1"/>
  <c r="C230" i="18" s="1"/>
  <c r="C231" i="18" s="1"/>
  <c r="C232" i="18" s="1"/>
  <c r="C233" i="18" s="1"/>
  <c r="C234" i="18" s="1"/>
  <c r="C235" i="18" s="1"/>
  <c r="C236" i="18" s="1"/>
  <c r="C237" i="18" s="1"/>
  <c r="C238" i="18" s="1"/>
  <c r="C239" i="18" s="1"/>
  <c r="C240" i="18" s="1"/>
  <c r="C241" i="18" s="1"/>
  <c r="C242" i="18" s="1"/>
  <c r="C243" i="18" s="1"/>
  <c r="C244" i="18" s="1"/>
  <c r="C245" i="18" s="1"/>
  <c r="C246" i="18" s="1"/>
  <c r="C247" i="18" s="1"/>
  <c r="C248" i="18" s="1"/>
  <c r="C249" i="18" s="1"/>
  <c r="C250" i="18" s="1"/>
  <c r="C251" i="18" s="1"/>
  <c r="C252" i="18" s="1"/>
  <c r="C253" i="18" s="1"/>
  <c r="C254" i="18" s="1"/>
  <c r="C255" i="18" s="1"/>
  <c r="C256" i="18" s="1"/>
  <c r="C257" i="18" s="1"/>
  <c r="C258" i="18" s="1"/>
  <c r="C259" i="18" s="1"/>
  <c r="C260" i="18" s="1"/>
  <c r="C261" i="18" s="1"/>
  <c r="C262" i="18" s="1"/>
  <c r="C263" i="18" s="1"/>
  <c r="C264" i="18" s="1"/>
  <c r="C265" i="18" s="1"/>
  <c r="C266" i="18" s="1"/>
  <c r="C267" i="18" s="1"/>
  <c r="C268" i="18" s="1"/>
  <c r="C269" i="18" s="1"/>
  <c r="C270" i="18" s="1"/>
  <c r="C271" i="18" s="1"/>
  <c r="C272" i="18" s="1"/>
  <c r="C273" i="18" s="1"/>
  <c r="C274" i="18" s="1"/>
  <c r="C275" i="18" s="1"/>
  <c r="C276" i="18" s="1"/>
  <c r="C277" i="18" s="1"/>
  <c r="C278" i="18" s="1"/>
  <c r="C279" i="18" s="1"/>
  <c r="C280" i="18" s="1"/>
  <c r="C281" i="18" s="1"/>
  <c r="C282" i="18" s="1"/>
  <c r="C283" i="18" s="1"/>
  <c r="C284" i="18" s="1"/>
  <c r="C285" i="18" s="1"/>
  <c r="C286" i="18" s="1"/>
  <c r="C287" i="18" s="1"/>
  <c r="C288" i="18" s="1"/>
  <c r="C289" i="18" s="1"/>
  <c r="C290" i="18" s="1"/>
  <c r="C291" i="18" s="1"/>
  <c r="C292" i="18" s="1"/>
  <c r="C293" i="18" s="1"/>
  <c r="C294" i="18" s="1"/>
  <c r="C295" i="18" s="1"/>
  <c r="C296" i="18" s="1"/>
  <c r="C297" i="18" s="1"/>
  <c r="C298" i="18" s="1"/>
  <c r="C299" i="18" s="1"/>
  <c r="C300" i="18" s="1"/>
  <c r="C301" i="18" s="1"/>
  <c r="C302" i="18" s="1"/>
  <c r="C303" i="18" s="1"/>
  <c r="C304" i="18" s="1"/>
  <c r="C305" i="18" s="1"/>
  <c r="C306" i="18" s="1"/>
  <c r="C307" i="18" s="1"/>
  <c r="C308" i="18" s="1"/>
  <c r="C309" i="18" s="1"/>
  <c r="C310" i="18" s="1"/>
  <c r="C311" i="18" s="1"/>
  <c r="C312" i="18" s="1"/>
  <c r="C313" i="18" s="1"/>
  <c r="C314" i="18" s="1"/>
  <c r="C315" i="18" s="1"/>
  <c r="C316" i="18" s="1"/>
  <c r="C317" i="18" s="1"/>
  <c r="C318" i="18" s="1"/>
  <c r="C319" i="18" s="1"/>
  <c r="C320" i="18" s="1"/>
  <c r="C321" i="18" s="1"/>
  <c r="C322" i="18" s="1"/>
  <c r="C323" i="18" s="1"/>
  <c r="C324" i="18" s="1"/>
  <c r="C325" i="18" s="1"/>
  <c r="C326" i="18" s="1"/>
  <c r="C327" i="18" s="1"/>
  <c r="C328" i="18" s="1"/>
  <c r="C329" i="18" s="1"/>
  <c r="C330" i="18" s="1"/>
  <c r="C331" i="18" s="1"/>
  <c r="C332" i="18" s="1"/>
  <c r="C333" i="18" s="1"/>
  <c r="C334" i="18" s="1"/>
  <c r="C335" i="18" s="1"/>
  <c r="C336" i="18" s="1"/>
  <c r="C337" i="18" s="1"/>
  <c r="C338" i="18" s="1"/>
  <c r="C339" i="18" s="1"/>
  <c r="C340" i="18" s="1"/>
  <c r="C341" i="18" s="1"/>
  <c r="C342" i="18" s="1"/>
  <c r="C343" i="18" s="1"/>
  <c r="C344" i="18" s="1"/>
  <c r="C345" i="18" s="1"/>
  <c r="C346" i="18" s="1"/>
  <c r="C347" i="18" s="1"/>
  <c r="C348" i="18" s="1"/>
  <c r="C349" i="18" s="1"/>
  <c r="C350" i="18" s="1"/>
  <c r="C351" i="18" s="1"/>
  <c r="C352" i="18" s="1"/>
  <c r="C353" i="18" s="1"/>
  <c r="C354" i="18" s="1"/>
  <c r="C355" i="18" s="1"/>
  <c r="C356" i="18" s="1"/>
  <c r="C357" i="18" s="1"/>
  <c r="C358" i="18" s="1"/>
  <c r="C359" i="18" s="1"/>
  <c r="C360" i="18" s="1"/>
  <c r="C361" i="18" s="1"/>
  <c r="C362" i="18" s="1"/>
  <c r="C363" i="18" s="1"/>
  <c r="C364" i="18" s="1"/>
  <c r="C365" i="18" s="1"/>
  <c r="C366" i="18" s="1"/>
  <c r="C367" i="18" s="1"/>
  <c r="C368" i="18" s="1"/>
  <c r="C369" i="18" s="1"/>
  <c r="C370" i="18" s="1"/>
  <c r="C371" i="18" s="1"/>
  <c r="C372" i="18" s="1"/>
  <c r="C373" i="18" s="1"/>
  <c r="C374" i="18" s="1"/>
  <c r="C375" i="18" s="1"/>
  <c r="C376" i="18" s="1"/>
  <c r="C377" i="18" s="1"/>
  <c r="C378" i="18" s="1"/>
  <c r="C379" i="18" s="1"/>
  <c r="C380" i="18" s="1"/>
  <c r="C381" i="18" s="1"/>
  <c r="C382" i="18" s="1"/>
  <c r="C383" i="18" s="1"/>
  <c r="C384" i="18" s="1"/>
  <c r="C385" i="18" s="1"/>
  <c r="C386" i="18" s="1"/>
  <c r="C387" i="18" s="1"/>
  <c r="C388" i="18" s="1"/>
  <c r="C389" i="18" s="1"/>
  <c r="C390" i="18" s="1"/>
  <c r="C391" i="18" s="1"/>
  <c r="C392" i="18" s="1"/>
  <c r="C393" i="18" s="1"/>
  <c r="C394" i="18" s="1"/>
  <c r="C395" i="18" s="1"/>
  <c r="C396" i="18" s="1"/>
  <c r="C397" i="18" s="1"/>
  <c r="C398" i="18" s="1"/>
  <c r="C399" i="18" s="1"/>
  <c r="C400" i="18" s="1"/>
  <c r="C401" i="18" s="1"/>
  <c r="C402" i="18" s="1"/>
  <c r="C403" i="18" s="1"/>
  <c r="C404" i="18" s="1"/>
  <c r="C405" i="18" s="1"/>
  <c r="C406" i="18" s="1"/>
  <c r="C407" i="18" s="1"/>
  <c r="C408" i="18" s="1"/>
  <c r="C409" i="18" s="1"/>
  <c r="C410" i="18" s="1"/>
  <c r="C411" i="18" s="1"/>
  <c r="C412" i="18" s="1"/>
  <c r="C413" i="18" s="1"/>
  <c r="C414" i="18" s="1"/>
  <c r="C415" i="18" s="1"/>
  <c r="C416" i="18" s="1"/>
  <c r="C417" i="18" s="1"/>
  <c r="C418" i="18" s="1"/>
  <c r="C419" i="18" s="1"/>
  <c r="C420" i="18" s="1"/>
  <c r="C421" i="18" s="1"/>
  <c r="C422" i="18" s="1"/>
  <c r="C423" i="18" s="1"/>
  <c r="C424" i="18" s="1"/>
  <c r="C425" i="18" s="1"/>
  <c r="C426" i="18" s="1"/>
  <c r="C427" i="18" s="1"/>
  <c r="C428" i="18" s="1"/>
  <c r="C429" i="18" s="1"/>
  <c r="C430" i="18" s="1"/>
  <c r="C431" i="18" s="1"/>
  <c r="C432" i="18" s="1"/>
  <c r="C433" i="18" s="1"/>
  <c r="C434" i="18" s="1"/>
  <c r="C435" i="18" s="1"/>
  <c r="C436" i="18" s="1"/>
  <c r="C437" i="18" s="1"/>
  <c r="C438" i="18" s="1"/>
  <c r="C439" i="18" s="1"/>
  <c r="C440" i="18" s="1"/>
  <c r="C441" i="18" s="1"/>
  <c r="C442" i="18" s="1"/>
  <c r="C443" i="18" s="1"/>
  <c r="C444" i="18" s="1"/>
  <c r="C445" i="18" s="1"/>
  <c r="C446" i="18" s="1"/>
  <c r="C447" i="18" s="1"/>
  <c r="C448" i="18" s="1"/>
  <c r="C449" i="18" s="1"/>
  <c r="C450" i="18" s="1"/>
  <c r="C451" i="18" s="1"/>
  <c r="C452" i="18" s="1"/>
  <c r="C453" i="18" s="1"/>
  <c r="C454" i="18" s="1"/>
  <c r="C455" i="18" s="1"/>
  <c r="C456" i="18" s="1"/>
  <c r="C457" i="18" s="1"/>
  <c r="C458" i="18" s="1"/>
  <c r="C459" i="18" s="1"/>
  <c r="C460" i="18" s="1"/>
  <c r="C461" i="18" s="1"/>
  <c r="C462" i="18" s="1"/>
  <c r="C463" i="18" s="1"/>
  <c r="C464" i="18" s="1"/>
  <c r="C465" i="18" s="1"/>
  <c r="C466" i="18" s="1"/>
  <c r="C467" i="18" s="1"/>
  <c r="C468" i="18" s="1"/>
  <c r="C469" i="18" s="1"/>
  <c r="C470" i="18" s="1"/>
  <c r="C471" i="18" s="1"/>
  <c r="C472" i="18" s="1"/>
  <c r="C473" i="18" s="1"/>
  <c r="C474" i="18" s="1"/>
  <c r="C475" i="18" s="1"/>
  <c r="C476" i="18" s="1"/>
  <c r="C477" i="18" s="1"/>
  <c r="C478" i="18" s="1"/>
  <c r="C479" i="18" s="1"/>
  <c r="C480" i="18" s="1"/>
  <c r="C481" i="18" s="1"/>
  <c r="C482" i="18" s="1"/>
  <c r="C483" i="18" s="1"/>
  <c r="C484" i="18" s="1"/>
  <c r="C485" i="18" s="1"/>
  <c r="C486" i="18" s="1"/>
  <c r="C487" i="18" s="1"/>
  <c r="C488" i="18" s="1"/>
  <c r="C489" i="18" s="1"/>
  <c r="C490" i="18" s="1"/>
  <c r="C491" i="18" s="1"/>
  <c r="C492" i="18" s="1"/>
  <c r="C493" i="18" s="1"/>
  <c r="C494" i="18" s="1"/>
  <c r="C495" i="18" s="1"/>
  <c r="C496" i="18" s="1"/>
  <c r="C497" i="18" s="1"/>
  <c r="C498" i="18" s="1"/>
  <c r="C499" i="18" s="1"/>
  <c r="C500" i="18" s="1"/>
  <c r="C501" i="18" s="1"/>
  <c r="C502" i="18" s="1"/>
  <c r="C503" i="18" s="1"/>
  <c r="C504" i="18" s="1"/>
  <c r="C505" i="18" s="1"/>
  <c r="C506" i="18" s="1"/>
  <c r="C507" i="18" s="1"/>
  <c r="C508" i="18" s="1"/>
  <c r="C509" i="18" s="1"/>
  <c r="C510" i="18" s="1"/>
  <c r="C511" i="18" s="1"/>
  <c r="C512" i="18" s="1"/>
  <c r="C513" i="18" s="1"/>
  <c r="C514" i="18" s="1"/>
  <c r="C515" i="18" s="1"/>
  <c r="C516" i="18" s="1"/>
  <c r="C517" i="18" s="1"/>
  <c r="C518" i="18" s="1"/>
  <c r="C519" i="18" s="1"/>
  <c r="C520" i="18" s="1"/>
  <c r="C521" i="18" s="1"/>
  <c r="C522" i="18" s="1"/>
  <c r="C523" i="18" s="1"/>
  <c r="C524" i="18" s="1"/>
  <c r="C525" i="18" s="1"/>
  <c r="C526" i="18" s="1"/>
  <c r="C527" i="18" s="1"/>
  <c r="C528" i="18" s="1"/>
  <c r="C529" i="18" s="1"/>
  <c r="C530" i="18" s="1"/>
  <c r="C531" i="18" s="1"/>
  <c r="C532" i="18" s="1"/>
  <c r="C533" i="18" s="1"/>
  <c r="C534" i="18" s="1"/>
  <c r="C535" i="18" s="1"/>
  <c r="C536" i="18" s="1"/>
  <c r="C537" i="18" s="1"/>
  <c r="C538" i="18" s="1"/>
  <c r="C539" i="18" s="1"/>
  <c r="C540" i="18" s="1"/>
  <c r="C541" i="18" s="1"/>
  <c r="C542" i="18" s="1"/>
  <c r="C543" i="18" s="1"/>
  <c r="C544" i="18" s="1"/>
  <c r="C545" i="18" s="1"/>
  <c r="C546" i="18" s="1"/>
  <c r="C547" i="18" s="1"/>
  <c r="C548" i="18" s="1"/>
  <c r="C549" i="18" s="1"/>
  <c r="C550" i="18" s="1"/>
  <c r="C551" i="18" s="1"/>
  <c r="C552" i="18" s="1"/>
  <c r="C553" i="18" s="1"/>
  <c r="C554" i="18" s="1"/>
  <c r="C555" i="18" s="1"/>
  <c r="C556" i="18" s="1"/>
  <c r="C557" i="18" s="1"/>
  <c r="C558" i="18" s="1"/>
  <c r="C559" i="18" s="1"/>
  <c r="C560" i="18" s="1"/>
  <c r="C561" i="18" s="1"/>
  <c r="C562" i="18" s="1"/>
  <c r="C563" i="18" s="1"/>
  <c r="C564" i="18" s="1"/>
  <c r="C565" i="18" s="1"/>
  <c r="C566" i="18" s="1"/>
  <c r="C567" i="18" s="1"/>
  <c r="C568" i="18" s="1"/>
  <c r="C569" i="18" s="1"/>
  <c r="C570" i="18" s="1"/>
  <c r="C571" i="18" s="1"/>
  <c r="C572" i="18" s="1"/>
  <c r="C573" i="18" s="1"/>
  <c r="C574" i="18" s="1"/>
  <c r="C575" i="18" s="1"/>
  <c r="C576" i="18" s="1"/>
  <c r="C577" i="18" s="1"/>
  <c r="C578" i="18" s="1"/>
  <c r="C579" i="18" s="1"/>
  <c r="C580" i="18" s="1"/>
  <c r="C581" i="18" s="1"/>
  <c r="C582" i="18" s="1"/>
  <c r="C583" i="18" s="1"/>
  <c r="C584" i="18" s="1"/>
  <c r="C585" i="18" s="1"/>
  <c r="C586" i="18" s="1"/>
  <c r="C587" i="18" s="1"/>
  <c r="C588" i="18" s="1"/>
  <c r="C589" i="18" s="1"/>
  <c r="C590" i="18" s="1"/>
  <c r="C591" i="18" s="1"/>
  <c r="C592" i="18" s="1"/>
  <c r="C593" i="18" s="1"/>
  <c r="C594" i="18" s="1"/>
  <c r="C595" i="18" s="1"/>
  <c r="C596" i="18" s="1"/>
  <c r="C597" i="18" s="1"/>
  <c r="C598" i="18" s="1"/>
  <c r="C599" i="18" s="1"/>
  <c r="C600" i="18" s="1"/>
  <c r="C601" i="18" s="1"/>
  <c r="C602" i="18" s="1"/>
  <c r="C603" i="18" s="1"/>
  <c r="C604" i="18" s="1"/>
  <c r="C605" i="18" s="1"/>
  <c r="C606" i="18" s="1"/>
  <c r="C607" i="18" s="1"/>
  <c r="C608" i="18" s="1"/>
  <c r="C609" i="18" s="1"/>
  <c r="C610" i="18" s="1"/>
  <c r="C611" i="18" s="1"/>
  <c r="C612" i="18" s="1"/>
  <c r="C613" i="18" s="1"/>
  <c r="C614" i="18" s="1"/>
  <c r="C615" i="18" s="1"/>
  <c r="C616" i="18" s="1"/>
  <c r="C617" i="18" s="1"/>
  <c r="C618" i="18" s="1"/>
  <c r="C619" i="18" s="1"/>
  <c r="C620" i="18" s="1"/>
  <c r="C621" i="18" s="1"/>
  <c r="C622" i="18" s="1"/>
  <c r="C623" i="18" s="1"/>
  <c r="C624" i="18" s="1"/>
  <c r="C625" i="18" s="1"/>
  <c r="C626" i="18" s="1"/>
  <c r="C627" i="18" s="1"/>
  <c r="C628" i="18" s="1"/>
  <c r="C629" i="18" s="1"/>
  <c r="C630" i="18" s="1"/>
  <c r="C631" i="18" s="1"/>
  <c r="C632" i="18" s="1"/>
  <c r="C633" i="18" s="1"/>
  <c r="C634" i="18" s="1"/>
  <c r="C635" i="18" s="1"/>
  <c r="C636" i="18" s="1"/>
  <c r="C637" i="18" s="1"/>
  <c r="C638" i="18" s="1"/>
  <c r="C639" i="18" s="1"/>
  <c r="C640" i="18" s="1"/>
  <c r="C641" i="18" s="1"/>
  <c r="C642" i="18" s="1"/>
  <c r="C643" i="18" s="1"/>
  <c r="C644" i="18" s="1"/>
  <c r="C645" i="18" s="1"/>
  <c r="C646" i="18" s="1"/>
  <c r="C647" i="18" s="1"/>
  <c r="C648" i="18" s="1"/>
  <c r="C649" i="18" s="1"/>
  <c r="C650" i="18" s="1"/>
  <c r="C651" i="18" s="1"/>
  <c r="C652" i="18" s="1"/>
  <c r="C653" i="18" s="1"/>
  <c r="C654" i="18" s="1"/>
  <c r="C655" i="18" s="1"/>
  <c r="C656" i="18" s="1"/>
  <c r="C657" i="18" s="1"/>
  <c r="C658" i="18" s="1"/>
  <c r="C659" i="18" s="1"/>
  <c r="C660" i="18" s="1"/>
  <c r="C661" i="18" s="1"/>
  <c r="C662" i="18" s="1"/>
  <c r="C663" i="18" s="1"/>
  <c r="C664" i="18" s="1"/>
  <c r="C665" i="18" s="1"/>
  <c r="C666" i="18" s="1"/>
  <c r="C667" i="18" s="1"/>
  <c r="C668" i="18" s="1"/>
  <c r="C669" i="18" s="1"/>
  <c r="C670" i="18" s="1"/>
  <c r="C671" i="18" s="1"/>
  <c r="C672" i="18" s="1"/>
  <c r="C673" i="18" s="1"/>
  <c r="C674" i="18" s="1"/>
  <c r="C675" i="18" s="1"/>
  <c r="C676" i="18" s="1"/>
  <c r="C677" i="18" s="1"/>
  <c r="C678" i="18" s="1"/>
  <c r="C679" i="18" s="1"/>
  <c r="C680" i="18" s="1"/>
  <c r="C681" i="18" s="1"/>
  <c r="C682" i="18" s="1"/>
  <c r="C683" i="18" s="1"/>
  <c r="C684" i="18" s="1"/>
  <c r="C685" i="18" s="1"/>
  <c r="C686" i="18" s="1"/>
  <c r="C687" i="18" s="1"/>
  <c r="C688" i="18" s="1"/>
  <c r="C689" i="18" s="1"/>
  <c r="C690" i="18" s="1"/>
  <c r="C691" i="18" s="1"/>
  <c r="C692" i="18" s="1"/>
  <c r="C693" i="18" s="1"/>
  <c r="C694" i="18" s="1"/>
  <c r="C695" i="18" s="1"/>
  <c r="C696" i="18" s="1"/>
  <c r="C697" i="18" s="1"/>
  <c r="C698" i="18" s="1"/>
  <c r="C699" i="18" s="1"/>
  <c r="C700" i="18" s="1"/>
  <c r="C701" i="18" s="1"/>
  <c r="C702" i="18" s="1"/>
  <c r="C703" i="18" s="1"/>
  <c r="C704" i="18" s="1"/>
  <c r="C705" i="18" s="1"/>
  <c r="C706" i="18" s="1"/>
  <c r="C707" i="18" s="1"/>
  <c r="C708" i="18" s="1"/>
  <c r="C709" i="18" s="1"/>
  <c r="C710" i="18" s="1"/>
  <c r="C711" i="18" s="1"/>
  <c r="C712" i="18" s="1"/>
  <c r="C713" i="18" s="1"/>
  <c r="C714" i="18" s="1"/>
  <c r="C715" i="18" s="1"/>
  <c r="C716" i="18" s="1"/>
  <c r="C717" i="18" s="1"/>
  <c r="C718" i="18" s="1"/>
  <c r="C719" i="18" s="1"/>
  <c r="C720" i="18" s="1"/>
  <c r="C721" i="18" s="1"/>
  <c r="C722" i="18" s="1"/>
  <c r="C723" i="18" s="1"/>
  <c r="C724" i="18" s="1"/>
  <c r="C725" i="18" s="1"/>
  <c r="C726" i="18" s="1"/>
  <c r="C727" i="18" s="1"/>
  <c r="C728" i="18" s="1"/>
  <c r="C729" i="18" s="1"/>
  <c r="C730" i="18" s="1"/>
  <c r="C731" i="18" s="1"/>
  <c r="C732" i="18" s="1"/>
  <c r="C733" i="18" s="1"/>
  <c r="C734" i="18" s="1"/>
  <c r="C735" i="18" s="1"/>
  <c r="C736" i="18" s="1"/>
  <c r="C737" i="18" s="1"/>
  <c r="C738" i="18" s="1"/>
  <c r="C739" i="18" s="1"/>
  <c r="C740" i="18" s="1"/>
  <c r="C741" i="18" s="1"/>
  <c r="C742" i="18" s="1"/>
  <c r="C743" i="18" s="1"/>
  <c r="C744" i="18" s="1"/>
  <c r="C745" i="18" s="1"/>
  <c r="C746" i="18" s="1"/>
  <c r="C747" i="18" s="1"/>
  <c r="C748" i="18" s="1"/>
  <c r="C749" i="18" s="1"/>
  <c r="C750" i="18" s="1"/>
  <c r="C751" i="18" s="1"/>
  <c r="C752" i="18" s="1"/>
  <c r="C753" i="18" s="1"/>
  <c r="C754" i="18" s="1"/>
  <c r="C755" i="18" s="1"/>
  <c r="C756" i="18" s="1"/>
  <c r="C757" i="18" s="1"/>
  <c r="C758" i="18" s="1"/>
  <c r="C759" i="18" s="1"/>
  <c r="C760" i="18" s="1"/>
  <c r="C761" i="18" s="1"/>
  <c r="C762" i="18" s="1"/>
  <c r="C763" i="18" s="1"/>
  <c r="C764" i="18" s="1"/>
  <c r="C765" i="18" s="1"/>
  <c r="C766" i="18" s="1"/>
  <c r="C767" i="18" s="1"/>
  <c r="C768" i="18" s="1"/>
  <c r="C769" i="18" s="1"/>
  <c r="C770" i="18" s="1"/>
  <c r="C771" i="18" s="1"/>
  <c r="C772" i="18" s="1"/>
  <c r="C773" i="18" s="1"/>
  <c r="C774" i="18" s="1"/>
  <c r="C775" i="18" s="1"/>
  <c r="C776" i="18" s="1"/>
  <c r="C777" i="18" s="1"/>
  <c r="C778" i="18" s="1"/>
  <c r="C779" i="18" s="1"/>
  <c r="C780" i="18" s="1"/>
  <c r="C781" i="18" s="1"/>
  <c r="C782" i="18" s="1"/>
  <c r="C783" i="18" s="1"/>
  <c r="C784" i="18" s="1"/>
  <c r="C785" i="18" s="1"/>
  <c r="C786" i="18" s="1"/>
  <c r="C787" i="18" s="1"/>
  <c r="C788" i="18" s="1"/>
  <c r="C789" i="18" s="1"/>
  <c r="C790" i="18" s="1"/>
  <c r="C791" i="18" s="1"/>
  <c r="C792" i="18" s="1"/>
  <c r="C793" i="18" s="1"/>
  <c r="C794" i="18" s="1"/>
  <c r="C795" i="18" s="1"/>
  <c r="C796" i="18" s="1"/>
  <c r="C797" i="18" s="1"/>
  <c r="C798" i="18" s="1"/>
  <c r="C799" i="18" s="1"/>
  <c r="C800" i="18" s="1"/>
  <c r="C801" i="18" s="1"/>
  <c r="C802" i="18" s="1"/>
  <c r="C803" i="18" s="1"/>
  <c r="C804" i="18" s="1"/>
  <c r="C805" i="18" s="1"/>
  <c r="C806" i="18" s="1"/>
  <c r="C807" i="18" s="1"/>
  <c r="C808" i="18" s="1"/>
  <c r="C809" i="18" s="1"/>
  <c r="C810" i="18" s="1"/>
  <c r="C811" i="18" s="1"/>
  <c r="C812" i="18" s="1"/>
  <c r="C813" i="18" s="1"/>
  <c r="C814" i="18" s="1"/>
  <c r="C815" i="18" s="1"/>
  <c r="C816" i="18" s="1"/>
  <c r="C817" i="18" s="1"/>
  <c r="C818" i="18" s="1"/>
  <c r="C819" i="18" s="1"/>
  <c r="C820" i="18" s="1"/>
  <c r="C821" i="18" s="1"/>
  <c r="C822" i="18" s="1"/>
  <c r="C823" i="18" s="1"/>
  <c r="C824" i="18" s="1"/>
  <c r="C825" i="18" s="1"/>
  <c r="C826" i="18" s="1"/>
  <c r="C827" i="18" s="1"/>
  <c r="C828" i="18" s="1"/>
  <c r="C829" i="18" s="1"/>
  <c r="C830" i="18" s="1"/>
  <c r="C831" i="18" s="1"/>
  <c r="C832" i="18" s="1"/>
  <c r="C833" i="18" s="1"/>
  <c r="C834" i="18" s="1"/>
  <c r="C835" i="18" s="1"/>
  <c r="C836" i="18" s="1"/>
  <c r="C837" i="18" s="1"/>
  <c r="C838" i="18" s="1"/>
  <c r="C839" i="18" s="1"/>
  <c r="C840" i="18" s="1"/>
  <c r="C841" i="18" s="1"/>
  <c r="C842" i="18" s="1"/>
  <c r="C843" i="18" s="1"/>
  <c r="C844" i="18" s="1"/>
  <c r="C845" i="18" s="1"/>
  <c r="C846" i="18" s="1"/>
  <c r="C847" i="18" s="1"/>
  <c r="C848" i="18" s="1"/>
  <c r="C849" i="18" s="1"/>
  <c r="C850" i="18" s="1"/>
  <c r="C851" i="18" s="1"/>
  <c r="C852" i="18" s="1"/>
  <c r="C853" i="18" s="1"/>
  <c r="C854" i="18" s="1"/>
  <c r="C855" i="18" s="1"/>
  <c r="C856" i="18" s="1"/>
  <c r="C857" i="18" s="1"/>
  <c r="C858" i="18" s="1"/>
  <c r="C859" i="18" s="1"/>
  <c r="C860" i="18" s="1"/>
  <c r="C861" i="18" s="1"/>
  <c r="C862" i="18" s="1"/>
  <c r="C863" i="18" s="1"/>
  <c r="C864" i="18" s="1"/>
  <c r="C865" i="18" s="1"/>
  <c r="C866" i="18" s="1"/>
  <c r="C867" i="18" s="1"/>
  <c r="C868" i="18" s="1"/>
  <c r="C869" i="18" s="1"/>
  <c r="C870" i="18" s="1"/>
  <c r="C871" i="18" s="1"/>
  <c r="C872" i="18" s="1"/>
  <c r="C873" i="18" s="1"/>
  <c r="C874" i="18" s="1"/>
  <c r="C875" i="18" s="1"/>
  <c r="C876" i="18" s="1"/>
  <c r="C877" i="18" s="1"/>
  <c r="C878" i="18" s="1"/>
  <c r="C879" i="18" s="1"/>
  <c r="C880" i="18" s="1"/>
  <c r="C881" i="18" s="1"/>
  <c r="E130" i="18"/>
  <c r="F130" i="18"/>
  <c r="G130" i="18" l="1"/>
  <c r="E880" i="18"/>
  <c r="C882" i="18"/>
  <c r="E881" i="18"/>
  <c r="E879" i="18"/>
  <c r="F879" i="18"/>
  <c r="F881" i="18"/>
  <c r="F880" i="18"/>
  <c r="G881" i="18" l="1"/>
  <c r="G880" i="18"/>
  <c r="C883" i="18"/>
  <c r="E882" i="18"/>
  <c r="G879" i="18"/>
  <c r="E878" i="18"/>
  <c r="F878" i="18"/>
  <c r="F882" i="18"/>
  <c r="G882" i="18" l="1"/>
  <c r="C884" i="18"/>
  <c r="E883" i="18"/>
  <c r="G878" i="18"/>
  <c r="E877" i="18"/>
  <c r="F883" i="18"/>
  <c r="F877" i="18"/>
  <c r="G883" i="18" l="1"/>
  <c r="C885" i="18"/>
  <c r="E884" i="18"/>
  <c r="G877" i="18"/>
  <c r="E876" i="18"/>
  <c r="F876" i="18"/>
  <c r="F884" i="18"/>
  <c r="G884" i="18" l="1"/>
  <c r="C886" i="18"/>
  <c r="E885" i="18"/>
  <c r="G876" i="18"/>
  <c r="E875" i="18"/>
  <c r="F885" i="18"/>
  <c r="F875" i="18"/>
  <c r="G885" i="18" l="1"/>
  <c r="C887" i="18"/>
  <c r="E886" i="18"/>
  <c r="G875" i="18"/>
  <c r="E874" i="18"/>
  <c r="F874" i="18"/>
  <c r="F886" i="18"/>
  <c r="G886" i="18" l="1"/>
  <c r="C888" i="18"/>
  <c r="E887" i="18"/>
  <c r="G874" i="18"/>
  <c r="E873" i="18"/>
  <c r="F887" i="18"/>
  <c r="F873" i="18"/>
  <c r="G887" i="18" l="1"/>
  <c r="C889" i="18"/>
  <c r="E889" i="18" s="1"/>
  <c r="E888" i="18"/>
  <c r="G873" i="18"/>
  <c r="E872" i="18"/>
  <c r="F872" i="18"/>
  <c r="F889" i="18"/>
  <c r="F888" i="18"/>
  <c r="G889" i="18" l="1"/>
  <c r="G888" i="18"/>
  <c r="G872" i="18"/>
  <c r="E871" i="18"/>
  <c r="F871" i="18"/>
  <c r="G871" i="18" l="1"/>
  <c r="E870" i="18"/>
  <c r="F870" i="18"/>
  <c r="G870" i="18" l="1"/>
  <c r="E869" i="18"/>
  <c r="F869" i="18"/>
  <c r="G869" i="18" l="1"/>
  <c r="E868" i="18"/>
  <c r="F868" i="18"/>
  <c r="G868" i="18" l="1"/>
  <c r="E867" i="18"/>
  <c r="F867" i="18"/>
  <c r="G867" i="18" l="1"/>
  <c r="E866" i="18"/>
  <c r="F866" i="18"/>
  <c r="G866" i="18" l="1"/>
  <c r="E865" i="18"/>
  <c r="F865" i="18"/>
  <c r="G865" i="18" l="1"/>
  <c r="E864" i="18"/>
  <c r="F864" i="18"/>
  <c r="G864" i="18" l="1"/>
  <c r="E863" i="18"/>
  <c r="F863" i="18"/>
  <c r="G863" i="18" l="1"/>
  <c r="E862" i="18"/>
  <c r="F862" i="18"/>
  <c r="G862" i="18" l="1"/>
  <c r="E861" i="18"/>
  <c r="F861" i="18"/>
  <c r="G861" i="18" l="1"/>
  <c r="E860" i="18"/>
  <c r="F860" i="18"/>
  <c r="G860" i="18" l="1"/>
  <c r="E859" i="18"/>
  <c r="F859" i="18"/>
  <c r="G859" i="18" l="1"/>
  <c r="E858" i="18"/>
  <c r="F858" i="18"/>
  <c r="G858" i="18" l="1"/>
  <c r="E857" i="18"/>
  <c r="F857" i="18"/>
  <c r="G857" i="18" l="1"/>
  <c r="E856" i="18"/>
  <c r="F856" i="18"/>
  <c r="G856" i="18" l="1"/>
  <c r="E855" i="18"/>
  <c r="F855" i="18"/>
  <c r="G855" i="18" l="1"/>
  <c r="E854" i="18"/>
  <c r="F854" i="18"/>
  <c r="G854" i="18" l="1"/>
  <c r="E853" i="18"/>
  <c r="F853" i="18"/>
  <c r="G853" i="18" l="1"/>
  <c r="E852" i="18"/>
  <c r="F852" i="18"/>
  <c r="G852" i="18" l="1"/>
  <c r="E851" i="18"/>
  <c r="F851" i="18"/>
  <c r="G851" i="18" l="1"/>
  <c r="E850" i="18"/>
  <c r="F850" i="18"/>
  <c r="G850" i="18" l="1"/>
  <c r="E849" i="18"/>
  <c r="F849" i="18"/>
  <c r="G849" i="18" l="1"/>
  <c r="E848" i="18"/>
  <c r="F848" i="18"/>
  <c r="G848" i="18" l="1"/>
  <c r="E847" i="18"/>
  <c r="F847" i="18"/>
  <c r="G847" i="18" l="1"/>
  <c r="E846" i="18"/>
  <c r="F846" i="18"/>
  <c r="G846" i="18" l="1"/>
  <c r="E845" i="18"/>
  <c r="F845" i="18"/>
  <c r="G845" i="18" l="1"/>
  <c r="E844" i="18"/>
  <c r="F844" i="18"/>
  <c r="G844" i="18" l="1"/>
  <c r="E843" i="18"/>
  <c r="F843" i="18"/>
  <c r="G843" i="18" l="1"/>
  <c r="E842" i="18"/>
  <c r="F842" i="18"/>
  <c r="G842" i="18" l="1"/>
  <c r="E841" i="18"/>
  <c r="F841" i="18"/>
  <c r="G841" i="18" l="1"/>
  <c r="E840" i="18"/>
  <c r="F840" i="18"/>
  <c r="G840" i="18" l="1"/>
  <c r="E839" i="18"/>
  <c r="F839" i="18"/>
  <c r="G839" i="18" l="1"/>
  <c r="E838" i="18"/>
  <c r="F838" i="18"/>
  <c r="G838" i="18" l="1"/>
  <c r="E837" i="18"/>
  <c r="F837" i="18"/>
  <c r="G837" i="18" l="1"/>
  <c r="E836" i="18"/>
  <c r="F836" i="18"/>
  <c r="G836" i="18" l="1"/>
  <c r="E835" i="18"/>
  <c r="F835" i="18"/>
  <c r="G835" i="18" l="1"/>
  <c r="E834" i="18"/>
  <c r="F834" i="18"/>
  <c r="G834" i="18" l="1"/>
  <c r="E833" i="18"/>
  <c r="F833" i="18"/>
  <c r="G833" i="18" l="1"/>
  <c r="E832" i="18"/>
  <c r="F832" i="18"/>
  <c r="G832" i="18" l="1"/>
  <c r="E831" i="18"/>
  <c r="F831" i="18"/>
  <c r="G831" i="18" l="1"/>
  <c r="E830" i="18"/>
  <c r="F830" i="18"/>
  <c r="G830" i="18" l="1"/>
  <c r="E829" i="18"/>
  <c r="F829" i="18"/>
  <c r="G829" i="18" l="1"/>
  <c r="E828" i="18"/>
  <c r="F828" i="18"/>
  <c r="G828" i="18" l="1"/>
  <c r="E827" i="18"/>
  <c r="F827" i="18"/>
  <c r="G827" i="18" l="1"/>
  <c r="E826" i="18"/>
  <c r="F826" i="18"/>
  <c r="G826" i="18" l="1"/>
  <c r="E825" i="18"/>
  <c r="F825" i="18"/>
  <c r="G825" i="18" l="1"/>
  <c r="E824" i="18"/>
  <c r="F824" i="18"/>
  <c r="G824" i="18" l="1"/>
  <c r="E823" i="18"/>
  <c r="F823" i="18"/>
  <c r="G823" i="18" l="1"/>
  <c r="E822" i="18"/>
  <c r="F822" i="18"/>
  <c r="G822" i="18" l="1"/>
  <c r="E821" i="18"/>
  <c r="F821" i="18"/>
  <c r="G821" i="18" l="1"/>
  <c r="E820" i="18"/>
  <c r="F820" i="18"/>
  <c r="G820" i="18" l="1"/>
  <c r="E819" i="18"/>
  <c r="F819" i="18"/>
  <c r="G819" i="18" l="1"/>
  <c r="E818" i="18"/>
  <c r="F818" i="18"/>
  <c r="G818" i="18" l="1"/>
  <c r="E817" i="18"/>
  <c r="F817" i="18"/>
  <c r="G817" i="18" l="1"/>
  <c r="E816" i="18"/>
  <c r="F816" i="18"/>
  <c r="G816" i="18" l="1"/>
  <c r="E815" i="18"/>
  <c r="F815" i="18"/>
  <c r="G815" i="18" l="1"/>
  <c r="E814" i="18"/>
  <c r="F814" i="18"/>
  <c r="G814" i="18" l="1"/>
  <c r="E813" i="18"/>
  <c r="F813" i="18"/>
  <c r="G813" i="18" l="1"/>
  <c r="E812" i="18"/>
  <c r="F812" i="18"/>
  <c r="G812" i="18" l="1"/>
  <c r="E811" i="18"/>
  <c r="F811" i="18"/>
  <c r="G811" i="18" l="1"/>
  <c r="E810" i="18"/>
  <c r="F810" i="18"/>
  <c r="G810" i="18" l="1"/>
  <c r="E809" i="18"/>
  <c r="F809" i="18"/>
  <c r="G809" i="18" l="1"/>
  <c r="E808" i="18"/>
  <c r="F808" i="18"/>
  <c r="G808" i="18" l="1"/>
  <c r="E807" i="18"/>
  <c r="F807" i="18"/>
  <c r="G807" i="18" l="1"/>
  <c r="E806" i="18"/>
  <c r="F806" i="18"/>
  <c r="G806" i="18" l="1"/>
  <c r="E805" i="18"/>
  <c r="F805" i="18"/>
  <c r="G805" i="18" l="1"/>
  <c r="E804" i="18"/>
  <c r="F804" i="18"/>
  <c r="G804" i="18" l="1"/>
  <c r="E803" i="18"/>
  <c r="F803" i="18"/>
  <c r="G803" i="18" l="1"/>
  <c r="E802" i="18"/>
  <c r="F802" i="18"/>
  <c r="G802" i="18" l="1"/>
  <c r="E801" i="18"/>
  <c r="F801" i="18"/>
  <c r="G801" i="18" l="1"/>
  <c r="E800" i="18"/>
  <c r="F800" i="18"/>
  <c r="G800" i="18" l="1"/>
  <c r="E799" i="18"/>
  <c r="F799" i="18"/>
  <c r="G799" i="18" l="1"/>
  <c r="E798" i="18"/>
  <c r="F798" i="18"/>
  <c r="G798" i="18" l="1"/>
  <c r="E797" i="18"/>
  <c r="F797" i="18"/>
  <c r="G797" i="18" l="1"/>
  <c r="E796" i="18"/>
  <c r="F796" i="18"/>
  <c r="G796" i="18" l="1"/>
  <c r="E795" i="18"/>
  <c r="F795" i="18"/>
  <c r="G795" i="18" l="1"/>
  <c r="E794" i="18"/>
  <c r="F794" i="18"/>
  <c r="G794" i="18" l="1"/>
  <c r="E793" i="18"/>
  <c r="F793" i="18"/>
  <c r="G793" i="18" l="1"/>
  <c r="E792" i="18"/>
  <c r="F792" i="18"/>
  <c r="G792" i="18" l="1"/>
  <c r="E791" i="18"/>
  <c r="F791" i="18"/>
  <c r="G791" i="18" l="1"/>
  <c r="E790" i="18"/>
  <c r="F790" i="18"/>
  <c r="G790" i="18" l="1"/>
  <c r="E789" i="18"/>
  <c r="F789" i="18"/>
  <c r="G789" i="18" l="1"/>
  <c r="E788" i="18"/>
  <c r="F788" i="18"/>
  <c r="G788" i="18" l="1"/>
  <c r="E787" i="18"/>
  <c r="F787" i="18"/>
  <c r="G787" i="18" l="1"/>
  <c r="E786" i="18"/>
  <c r="F786" i="18"/>
  <c r="G786" i="18" l="1"/>
  <c r="E785" i="18"/>
  <c r="F785" i="18"/>
  <c r="G785" i="18" l="1"/>
  <c r="E784" i="18"/>
  <c r="F784" i="18"/>
  <c r="G784" i="18" l="1"/>
  <c r="E783" i="18"/>
  <c r="F783" i="18"/>
  <c r="G783" i="18" l="1"/>
  <c r="E782" i="18"/>
  <c r="F782" i="18"/>
  <c r="G782" i="18" l="1"/>
  <c r="E781" i="18"/>
  <c r="F781" i="18"/>
  <c r="G781" i="18" l="1"/>
  <c r="E780" i="18"/>
  <c r="F780" i="18"/>
  <c r="G780" i="18" l="1"/>
  <c r="E779" i="18"/>
  <c r="F779" i="18"/>
  <c r="G779" i="18" l="1"/>
  <c r="E778" i="18"/>
  <c r="F778" i="18"/>
  <c r="G778" i="18" l="1"/>
  <c r="E777" i="18"/>
  <c r="F777" i="18"/>
  <c r="G777" i="18" l="1"/>
  <c r="E776" i="18"/>
  <c r="F776" i="18"/>
  <c r="G776" i="18" l="1"/>
  <c r="E775" i="18"/>
  <c r="F775" i="18"/>
  <c r="G775" i="18" l="1"/>
  <c r="E774" i="18"/>
  <c r="F774" i="18"/>
  <c r="G774" i="18" l="1"/>
  <c r="E773" i="18"/>
  <c r="F773" i="18"/>
  <c r="G773" i="18" l="1"/>
  <c r="E772" i="18"/>
  <c r="F772" i="18"/>
  <c r="G772" i="18" l="1"/>
  <c r="E771" i="18"/>
  <c r="F771" i="18"/>
  <c r="G771" i="18" l="1"/>
  <c r="E770" i="18"/>
  <c r="F770" i="18"/>
  <c r="G770" i="18" l="1"/>
  <c r="E769" i="18"/>
  <c r="F769" i="18"/>
  <c r="G769" i="18" l="1"/>
  <c r="E768" i="18"/>
  <c r="F768" i="18"/>
  <c r="G768" i="18" l="1"/>
  <c r="E767" i="18"/>
  <c r="F767" i="18"/>
  <c r="G767" i="18" l="1"/>
  <c r="E766" i="18"/>
  <c r="F766" i="18"/>
  <c r="G766" i="18" l="1"/>
  <c r="E765" i="18"/>
  <c r="F765" i="18"/>
  <c r="G765" i="18" l="1"/>
  <c r="E764" i="18"/>
  <c r="F764" i="18"/>
  <c r="G764" i="18" l="1"/>
  <c r="E763" i="18"/>
  <c r="F763" i="18"/>
  <c r="G763" i="18" l="1"/>
  <c r="E762" i="18"/>
  <c r="F762" i="18"/>
  <c r="G762" i="18" l="1"/>
  <c r="E761" i="18"/>
  <c r="F761" i="18"/>
  <c r="G761" i="18" l="1"/>
  <c r="E760" i="18"/>
  <c r="F760" i="18"/>
  <c r="G760" i="18" l="1"/>
  <c r="E759" i="18"/>
  <c r="F759" i="18"/>
  <c r="G759" i="18" l="1"/>
  <c r="E758" i="18"/>
  <c r="F758" i="18"/>
  <c r="G758" i="18" l="1"/>
  <c r="E757" i="18"/>
  <c r="F757" i="18"/>
  <c r="G757" i="18" l="1"/>
  <c r="E756" i="18"/>
  <c r="F756" i="18"/>
  <c r="G756" i="18" l="1"/>
  <c r="E755" i="18"/>
  <c r="F755" i="18"/>
  <c r="G755" i="18" l="1"/>
  <c r="E754" i="18"/>
  <c r="F754" i="18"/>
  <c r="G754" i="18" l="1"/>
  <c r="E753" i="18"/>
  <c r="F753" i="18"/>
  <c r="G753" i="18" l="1"/>
  <c r="E752" i="18"/>
  <c r="F752" i="18"/>
  <c r="G752" i="18" l="1"/>
  <c r="E751" i="18"/>
  <c r="F751" i="18"/>
  <c r="G751" i="18" l="1"/>
  <c r="E750" i="18"/>
  <c r="F750" i="18"/>
  <c r="G750" i="18" l="1"/>
  <c r="E749" i="18"/>
  <c r="F749" i="18"/>
  <c r="G749" i="18" l="1"/>
  <c r="E748" i="18"/>
  <c r="F748" i="18"/>
  <c r="G748" i="18" l="1"/>
  <c r="E747" i="18"/>
  <c r="F747" i="18"/>
  <c r="G747" i="18" l="1"/>
  <c r="E746" i="18"/>
  <c r="F746" i="18"/>
  <c r="G746" i="18" l="1"/>
  <c r="E745" i="18"/>
  <c r="F745" i="18"/>
  <c r="G745" i="18" l="1"/>
  <c r="E744" i="18"/>
  <c r="F744" i="18"/>
  <c r="G744" i="18" l="1"/>
  <c r="E743" i="18"/>
  <c r="F743" i="18"/>
  <c r="G743" i="18" l="1"/>
  <c r="E742" i="18"/>
  <c r="F742" i="18"/>
  <c r="G742" i="18" l="1"/>
  <c r="E741" i="18"/>
  <c r="F741" i="18"/>
  <c r="G741" i="18" l="1"/>
  <c r="E740" i="18"/>
  <c r="F740" i="18"/>
  <c r="G740" i="18" l="1"/>
  <c r="E739" i="18"/>
  <c r="F739" i="18"/>
  <c r="G739" i="18" l="1"/>
  <c r="E738" i="18"/>
  <c r="F738" i="18"/>
  <c r="G738" i="18" l="1"/>
  <c r="E737" i="18"/>
  <c r="F737" i="18"/>
  <c r="G737" i="18" l="1"/>
  <c r="E736" i="18"/>
  <c r="F736" i="18"/>
  <c r="G736" i="18" l="1"/>
  <c r="E735" i="18"/>
  <c r="F735" i="18"/>
  <c r="G735" i="18" l="1"/>
  <c r="E734" i="18"/>
  <c r="F734" i="18"/>
  <c r="G734" i="18" l="1"/>
  <c r="E733" i="18"/>
  <c r="F733" i="18"/>
  <c r="G733" i="18" l="1"/>
  <c r="E732" i="18"/>
  <c r="F732" i="18"/>
  <c r="G732" i="18" l="1"/>
  <c r="E731" i="18"/>
  <c r="F731" i="18"/>
  <c r="G731" i="18" l="1"/>
  <c r="E730" i="18"/>
  <c r="F730" i="18"/>
  <c r="G730" i="18" l="1"/>
  <c r="E729" i="18"/>
  <c r="F729" i="18"/>
  <c r="G729" i="18" l="1"/>
  <c r="E728" i="18"/>
  <c r="F728" i="18"/>
  <c r="G728" i="18" l="1"/>
  <c r="E727" i="18"/>
  <c r="F727" i="18"/>
  <c r="G727" i="18" l="1"/>
  <c r="E726" i="18"/>
  <c r="F726" i="18"/>
  <c r="G726" i="18" l="1"/>
  <c r="E725" i="18"/>
  <c r="F725" i="18"/>
  <c r="G725" i="18" l="1"/>
  <c r="E724" i="18"/>
  <c r="F724" i="18"/>
  <c r="G724" i="18" l="1"/>
  <c r="E723" i="18"/>
  <c r="F723" i="18"/>
  <c r="G723" i="18" l="1"/>
  <c r="E722" i="18"/>
  <c r="F722" i="18"/>
  <c r="G722" i="18" l="1"/>
  <c r="E721" i="18"/>
  <c r="F721" i="18"/>
  <c r="G721" i="18" l="1"/>
  <c r="E720" i="18"/>
  <c r="F720" i="18"/>
  <c r="G720" i="18" l="1"/>
  <c r="E719" i="18"/>
  <c r="F719" i="18"/>
  <c r="G719" i="18" l="1"/>
  <c r="E718" i="18"/>
  <c r="F718" i="18"/>
  <c r="G718" i="18" l="1"/>
  <c r="E717" i="18"/>
  <c r="F717" i="18"/>
  <c r="G717" i="18" l="1"/>
  <c r="E716" i="18"/>
  <c r="F716" i="18"/>
  <c r="G716" i="18" l="1"/>
  <c r="E715" i="18"/>
  <c r="F715" i="18"/>
  <c r="G715" i="18" l="1"/>
  <c r="E714" i="18"/>
  <c r="F714" i="18"/>
  <c r="G714" i="18" l="1"/>
  <c r="E713" i="18"/>
  <c r="F713" i="18"/>
  <c r="G713" i="18" l="1"/>
  <c r="E712" i="18"/>
  <c r="F712" i="18"/>
  <c r="G712" i="18" l="1"/>
  <c r="E711" i="18"/>
  <c r="F711" i="18"/>
  <c r="G711" i="18" l="1"/>
  <c r="E710" i="18"/>
  <c r="F710" i="18"/>
  <c r="G710" i="18" l="1"/>
  <c r="E709" i="18"/>
  <c r="F709" i="18"/>
  <c r="G709" i="18" l="1"/>
  <c r="E708" i="18"/>
  <c r="F708" i="18"/>
  <c r="G708" i="18" l="1"/>
  <c r="E707" i="18"/>
  <c r="F707" i="18"/>
  <c r="G707" i="18" l="1"/>
  <c r="E706" i="18"/>
  <c r="F706" i="18"/>
  <c r="G706" i="18" l="1"/>
  <c r="E705" i="18"/>
  <c r="F705" i="18"/>
  <c r="G705" i="18" l="1"/>
  <c r="E704" i="18"/>
  <c r="F704" i="18"/>
  <c r="G704" i="18" l="1"/>
  <c r="E703" i="18"/>
  <c r="F703" i="18"/>
  <c r="G703" i="18" l="1"/>
  <c r="E702" i="18"/>
  <c r="F702" i="18"/>
  <c r="G702" i="18" l="1"/>
  <c r="E701" i="18"/>
  <c r="F701" i="18"/>
  <c r="G701" i="18" l="1"/>
  <c r="E700" i="18"/>
  <c r="F700" i="18"/>
  <c r="G700" i="18" l="1"/>
  <c r="E699" i="18"/>
  <c r="F699" i="18"/>
  <c r="G699" i="18" l="1"/>
  <c r="E698" i="18"/>
  <c r="F698" i="18"/>
  <c r="G698" i="18" l="1"/>
  <c r="E697" i="18"/>
  <c r="F697" i="18"/>
  <c r="G697" i="18" l="1"/>
  <c r="E696" i="18"/>
  <c r="F696" i="18"/>
  <c r="G696" i="18" l="1"/>
  <c r="E695" i="18"/>
  <c r="F695" i="18"/>
  <c r="G695" i="18" l="1"/>
  <c r="E694" i="18"/>
  <c r="F694" i="18"/>
  <c r="G694" i="18" l="1"/>
  <c r="E693" i="18"/>
  <c r="F693" i="18"/>
  <c r="G693" i="18" l="1"/>
  <c r="E692" i="18"/>
  <c r="F692" i="18"/>
  <c r="G692" i="18" l="1"/>
  <c r="E691" i="18"/>
  <c r="F691" i="18"/>
  <c r="G691" i="18" l="1"/>
  <c r="E690" i="18"/>
  <c r="F690" i="18"/>
  <c r="G690" i="18" l="1"/>
  <c r="E689" i="18"/>
  <c r="F689" i="18"/>
  <c r="G689" i="18" l="1"/>
  <c r="E688" i="18"/>
  <c r="F688" i="18"/>
  <c r="G688" i="18" l="1"/>
  <c r="E687" i="18"/>
  <c r="F687" i="18"/>
  <c r="G687" i="18" l="1"/>
  <c r="E686" i="18"/>
  <c r="F686" i="18"/>
  <c r="G686" i="18" l="1"/>
  <c r="E685" i="18"/>
  <c r="F685" i="18"/>
  <c r="G685" i="18" l="1"/>
  <c r="E684" i="18"/>
  <c r="F684" i="18"/>
  <c r="G684" i="18" l="1"/>
  <c r="E683" i="18"/>
  <c r="F683" i="18"/>
  <c r="G683" i="18" l="1"/>
  <c r="E682" i="18"/>
  <c r="F682" i="18"/>
  <c r="G682" i="18" l="1"/>
  <c r="E681" i="18"/>
  <c r="F681" i="18"/>
  <c r="G681" i="18" l="1"/>
  <c r="E680" i="18"/>
  <c r="F680" i="18"/>
  <c r="G680" i="18" l="1"/>
  <c r="E679" i="18"/>
  <c r="F679" i="18"/>
  <c r="G679" i="18" l="1"/>
  <c r="E678" i="18"/>
  <c r="F678" i="18"/>
  <c r="G678" i="18" l="1"/>
  <c r="E677" i="18"/>
  <c r="F677" i="18"/>
  <c r="G677" i="18" l="1"/>
  <c r="E676" i="18"/>
  <c r="F676" i="18"/>
  <c r="G676" i="18" l="1"/>
  <c r="E675" i="18"/>
  <c r="F675" i="18"/>
  <c r="G675" i="18" l="1"/>
  <c r="E674" i="18"/>
  <c r="F674" i="18"/>
  <c r="G674" i="18" l="1"/>
  <c r="E673" i="18"/>
  <c r="F673" i="18"/>
  <c r="G673" i="18" l="1"/>
  <c r="E672" i="18"/>
  <c r="F672" i="18"/>
  <c r="G672" i="18" l="1"/>
  <c r="E671" i="18"/>
  <c r="F671" i="18"/>
  <c r="G671" i="18" l="1"/>
  <c r="E670" i="18"/>
  <c r="F670" i="18"/>
  <c r="G670" i="18" l="1"/>
  <c r="E669" i="18"/>
  <c r="F669" i="18"/>
  <c r="G669" i="18" l="1"/>
  <c r="E668" i="18"/>
  <c r="F668" i="18"/>
  <c r="G668" i="18" l="1"/>
  <c r="E667" i="18"/>
  <c r="F667" i="18"/>
  <c r="G667" i="18" l="1"/>
  <c r="E666" i="18"/>
  <c r="F666" i="18"/>
  <c r="G666" i="18" l="1"/>
  <c r="E665" i="18"/>
  <c r="F665" i="18"/>
  <c r="G665" i="18" l="1"/>
  <c r="E664" i="18"/>
  <c r="F664" i="18"/>
  <c r="G664" i="18" l="1"/>
  <c r="E663" i="18"/>
  <c r="F663" i="18"/>
  <c r="G663" i="18" l="1"/>
  <c r="E662" i="18"/>
  <c r="F662" i="18"/>
  <c r="G662" i="18" l="1"/>
  <c r="E661" i="18"/>
  <c r="F661" i="18"/>
  <c r="G661" i="18" l="1"/>
  <c r="E660" i="18"/>
  <c r="F660" i="18"/>
  <c r="G660" i="18" l="1"/>
  <c r="E659" i="18"/>
  <c r="F659" i="18"/>
  <c r="G659" i="18" l="1"/>
  <c r="E658" i="18"/>
  <c r="F658" i="18"/>
  <c r="G658" i="18" l="1"/>
  <c r="E657" i="18"/>
  <c r="F657" i="18"/>
  <c r="G657" i="18" l="1"/>
  <c r="E656" i="18"/>
  <c r="F656" i="18"/>
  <c r="G656" i="18" l="1"/>
  <c r="E655" i="18"/>
  <c r="F655" i="18"/>
  <c r="G655" i="18" l="1"/>
  <c r="E654" i="18"/>
  <c r="F654" i="18"/>
  <c r="G654" i="18" l="1"/>
  <c r="E653" i="18"/>
  <c r="F653" i="18"/>
  <c r="G653" i="18" l="1"/>
  <c r="E652" i="18"/>
  <c r="F652" i="18"/>
  <c r="G652" i="18" l="1"/>
  <c r="E651" i="18"/>
  <c r="F651" i="18"/>
  <c r="G651" i="18" l="1"/>
  <c r="E650" i="18"/>
  <c r="F650" i="18"/>
  <c r="G650" i="18" l="1"/>
  <c r="E649" i="18"/>
  <c r="F649" i="18"/>
  <c r="G649" i="18" l="1"/>
  <c r="E648" i="18"/>
  <c r="F648" i="18"/>
  <c r="G648" i="18" l="1"/>
  <c r="E647" i="18"/>
  <c r="F647" i="18"/>
  <c r="G647" i="18" l="1"/>
  <c r="E646" i="18"/>
  <c r="F646" i="18"/>
  <c r="G646" i="18" l="1"/>
  <c r="E645" i="18"/>
  <c r="F645" i="18"/>
  <c r="G645" i="18" l="1"/>
  <c r="E644" i="18"/>
  <c r="F644" i="18"/>
  <c r="G644" i="18" l="1"/>
  <c r="E643" i="18"/>
  <c r="F643" i="18"/>
  <c r="G643" i="18" l="1"/>
  <c r="E642" i="18"/>
  <c r="F642" i="18"/>
  <c r="G642" i="18" l="1"/>
  <c r="E641" i="18"/>
  <c r="F641" i="18"/>
  <c r="G641" i="18" l="1"/>
  <c r="E640" i="18"/>
  <c r="F640" i="18"/>
  <c r="G640" i="18" l="1"/>
  <c r="E639" i="18"/>
  <c r="F639" i="18"/>
  <c r="G639" i="18" l="1"/>
  <c r="E638" i="18"/>
  <c r="F638" i="18"/>
  <c r="G638" i="18" l="1"/>
  <c r="E637" i="18"/>
  <c r="F637" i="18"/>
  <c r="G637" i="18" l="1"/>
  <c r="E636" i="18"/>
  <c r="F636" i="18"/>
  <c r="G636" i="18" l="1"/>
  <c r="E635" i="18"/>
  <c r="F635" i="18"/>
  <c r="G635" i="18" l="1"/>
  <c r="E634" i="18"/>
  <c r="F634" i="18"/>
  <c r="G634" i="18" l="1"/>
  <c r="E633" i="18"/>
  <c r="F633" i="18"/>
  <c r="G633" i="18" l="1"/>
  <c r="E632" i="18"/>
  <c r="F632" i="18"/>
  <c r="G632" i="18" l="1"/>
  <c r="E631" i="18"/>
  <c r="F631" i="18"/>
  <c r="G631" i="18" l="1"/>
  <c r="E630" i="18"/>
  <c r="F630" i="18"/>
  <c r="G630" i="18" l="1"/>
  <c r="E629" i="18"/>
  <c r="F629" i="18"/>
  <c r="G629" i="18" l="1"/>
  <c r="E628" i="18"/>
  <c r="F628" i="18"/>
  <c r="G628" i="18" l="1"/>
  <c r="E627" i="18"/>
  <c r="F627" i="18"/>
  <c r="G627" i="18" l="1"/>
  <c r="E626" i="18"/>
  <c r="F626" i="18"/>
  <c r="G626" i="18" l="1"/>
  <c r="E625" i="18"/>
  <c r="F625" i="18"/>
  <c r="G625" i="18" l="1"/>
  <c r="E624" i="18"/>
  <c r="F624" i="18"/>
  <c r="G624" i="18" l="1"/>
  <c r="E623" i="18"/>
  <c r="F623" i="18"/>
  <c r="G623" i="18" l="1"/>
  <c r="E622" i="18"/>
  <c r="F622" i="18"/>
  <c r="G622" i="18" l="1"/>
  <c r="E621" i="18"/>
  <c r="F621" i="18"/>
  <c r="G621" i="18" l="1"/>
  <c r="E620" i="18"/>
  <c r="F620" i="18"/>
  <c r="G620" i="18" l="1"/>
  <c r="E619" i="18"/>
  <c r="F619" i="18"/>
  <c r="G619" i="18" l="1"/>
  <c r="E618" i="18"/>
  <c r="F618" i="18"/>
  <c r="G618" i="18" l="1"/>
  <c r="E617" i="18"/>
  <c r="F617" i="18"/>
  <c r="G617" i="18" l="1"/>
  <c r="E616" i="18"/>
  <c r="F616" i="18"/>
  <c r="G616" i="18" l="1"/>
  <c r="E615" i="18"/>
  <c r="F615" i="18"/>
  <c r="G615" i="18" l="1"/>
  <c r="E614" i="18"/>
  <c r="F614" i="18"/>
  <c r="G614" i="18" l="1"/>
  <c r="E613" i="18"/>
  <c r="F613" i="18"/>
  <c r="G613" i="18" l="1"/>
  <c r="E612" i="18"/>
  <c r="F612" i="18"/>
  <c r="G612" i="18" l="1"/>
  <c r="E611" i="18"/>
  <c r="F611" i="18"/>
  <c r="G611" i="18" l="1"/>
  <c r="E610" i="18"/>
  <c r="F610" i="18"/>
  <c r="G610" i="18" l="1"/>
  <c r="E609" i="18"/>
  <c r="F609" i="18"/>
  <c r="G609" i="18" l="1"/>
  <c r="E608" i="18"/>
  <c r="F608" i="18"/>
  <c r="G608" i="18" l="1"/>
  <c r="E607" i="18"/>
  <c r="F607" i="18"/>
  <c r="G607" i="18" l="1"/>
  <c r="E606" i="18"/>
  <c r="F606" i="18"/>
  <c r="G606" i="18" l="1"/>
  <c r="E605" i="18"/>
  <c r="F605" i="18"/>
  <c r="G605" i="18" l="1"/>
  <c r="E604" i="18"/>
  <c r="F604" i="18"/>
  <c r="G604" i="18" l="1"/>
  <c r="E603" i="18"/>
  <c r="F603" i="18"/>
  <c r="G603" i="18" l="1"/>
  <c r="E602" i="18"/>
  <c r="F602" i="18"/>
  <c r="G602" i="18" l="1"/>
  <c r="E601" i="18"/>
  <c r="F601" i="18"/>
  <c r="G601" i="18" l="1"/>
  <c r="E600" i="18"/>
  <c r="F600" i="18"/>
  <c r="G600" i="18" l="1"/>
  <c r="E599" i="18"/>
  <c r="F599" i="18"/>
  <c r="G599" i="18" l="1"/>
  <c r="E598" i="18"/>
  <c r="F598" i="18"/>
  <c r="G598" i="18" l="1"/>
  <c r="E597" i="18"/>
  <c r="F597" i="18"/>
  <c r="G597" i="18" l="1"/>
  <c r="E596" i="18"/>
  <c r="F596" i="18"/>
  <c r="G596" i="18" l="1"/>
  <c r="E595" i="18"/>
  <c r="F595" i="18"/>
  <c r="G595" i="18" l="1"/>
  <c r="E594" i="18"/>
  <c r="F594" i="18"/>
  <c r="G594" i="18" l="1"/>
  <c r="E593" i="18"/>
  <c r="F593" i="18"/>
  <c r="G593" i="18" l="1"/>
  <c r="E592" i="18"/>
  <c r="F592" i="18"/>
  <c r="G592" i="18" l="1"/>
  <c r="E591" i="18"/>
  <c r="F591" i="18"/>
  <c r="G591" i="18" l="1"/>
  <c r="E590" i="18"/>
  <c r="F590" i="18"/>
  <c r="G590" i="18" l="1"/>
  <c r="E589" i="18"/>
  <c r="F589" i="18"/>
  <c r="G589" i="18" l="1"/>
  <c r="E588" i="18"/>
  <c r="F588" i="18"/>
  <c r="G588" i="18" l="1"/>
  <c r="E587" i="18"/>
  <c r="F587" i="18"/>
  <c r="G587" i="18" l="1"/>
  <c r="E586" i="18"/>
  <c r="F586" i="18"/>
  <c r="G586" i="18" l="1"/>
  <c r="E585" i="18"/>
  <c r="F585" i="18"/>
  <c r="G585" i="18" l="1"/>
  <c r="E584" i="18"/>
  <c r="F584" i="18"/>
  <c r="G584" i="18" l="1"/>
  <c r="E583" i="18"/>
  <c r="F583" i="18"/>
  <c r="G583" i="18" l="1"/>
  <c r="E582" i="18"/>
  <c r="F582" i="18"/>
  <c r="G582" i="18" l="1"/>
  <c r="E581" i="18"/>
  <c r="F581" i="18"/>
  <c r="G581" i="18" l="1"/>
  <c r="E580" i="18"/>
  <c r="F580" i="18"/>
  <c r="G580" i="18" l="1"/>
  <c r="E579" i="18"/>
  <c r="F579" i="18"/>
  <c r="G579" i="18" l="1"/>
  <c r="E578" i="18"/>
  <c r="F578" i="18"/>
  <c r="G578" i="18" l="1"/>
  <c r="E577" i="18"/>
  <c r="F577" i="18"/>
  <c r="G577" i="18" l="1"/>
  <c r="E576" i="18"/>
  <c r="F576" i="18"/>
  <c r="G576" i="18" l="1"/>
  <c r="E575" i="18"/>
  <c r="F575" i="18"/>
  <c r="G575" i="18" l="1"/>
  <c r="E574" i="18"/>
  <c r="F574" i="18"/>
  <c r="G574" i="18" l="1"/>
  <c r="E573" i="18"/>
  <c r="F573" i="18"/>
  <c r="G573" i="18" l="1"/>
  <c r="E572" i="18"/>
  <c r="F572" i="18"/>
  <c r="G572" i="18" l="1"/>
  <c r="E571" i="18"/>
  <c r="F571" i="18"/>
  <c r="G571" i="18" l="1"/>
  <c r="E570" i="18"/>
  <c r="F570" i="18"/>
  <c r="G570" i="18" l="1"/>
  <c r="E569" i="18"/>
  <c r="F569" i="18"/>
  <c r="G569" i="18" l="1"/>
  <c r="E568" i="18"/>
  <c r="F568" i="18"/>
  <c r="G568" i="18" l="1"/>
  <c r="E567" i="18"/>
  <c r="F567" i="18"/>
  <c r="G567" i="18" l="1"/>
  <c r="E566" i="18"/>
  <c r="F566" i="18"/>
  <c r="G566" i="18" l="1"/>
  <c r="E565" i="18"/>
  <c r="F565" i="18"/>
  <c r="G565" i="18" l="1"/>
  <c r="E564" i="18"/>
  <c r="F564" i="18"/>
  <c r="G564" i="18" l="1"/>
  <c r="E563" i="18"/>
  <c r="F563" i="18"/>
  <c r="G563" i="18" l="1"/>
  <c r="E562" i="18"/>
  <c r="F562" i="18"/>
  <c r="G562" i="18" l="1"/>
  <c r="E561" i="18"/>
  <c r="F561" i="18"/>
  <c r="G561" i="18" l="1"/>
  <c r="E560" i="18"/>
  <c r="F560" i="18"/>
  <c r="G560" i="18" l="1"/>
  <c r="E559" i="18"/>
  <c r="F559" i="18"/>
  <c r="G559" i="18" l="1"/>
  <c r="E558" i="18"/>
  <c r="F558" i="18"/>
  <c r="G558" i="18" l="1"/>
  <c r="E557" i="18"/>
  <c r="F557" i="18"/>
  <c r="G557" i="18" l="1"/>
  <c r="E556" i="18"/>
  <c r="F556" i="18"/>
  <c r="G556" i="18" l="1"/>
  <c r="E555" i="18"/>
  <c r="F555" i="18"/>
  <c r="G555" i="18" l="1"/>
  <c r="E554" i="18"/>
  <c r="F554" i="18"/>
  <c r="G554" i="18" l="1"/>
  <c r="E553" i="18"/>
  <c r="F553" i="18"/>
  <c r="G553" i="18" l="1"/>
  <c r="E552" i="18"/>
  <c r="F552" i="18"/>
  <c r="G552" i="18" l="1"/>
  <c r="E551" i="18"/>
  <c r="F551" i="18"/>
  <c r="G551" i="18" l="1"/>
  <c r="E550" i="18"/>
  <c r="F550" i="18"/>
  <c r="G550" i="18" l="1"/>
  <c r="E549" i="18"/>
  <c r="F549" i="18"/>
  <c r="G549" i="18" l="1"/>
  <c r="E548" i="18"/>
  <c r="F548" i="18"/>
  <c r="G548" i="18" l="1"/>
  <c r="E547" i="18"/>
  <c r="F547" i="18"/>
  <c r="G547" i="18" l="1"/>
  <c r="E546" i="18"/>
  <c r="F546" i="18"/>
  <c r="G546" i="18" l="1"/>
  <c r="E545" i="18"/>
  <c r="F545" i="18"/>
  <c r="G545" i="18" l="1"/>
  <c r="E544" i="18"/>
  <c r="F544" i="18"/>
  <c r="G544" i="18" l="1"/>
  <c r="E543" i="18"/>
  <c r="F543" i="18"/>
  <c r="G543" i="18" l="1"/>
  <c r="E542" i="18"/>
  <c r="F542" i="18"/>
  <c r="G542" i="18" l="1"/>
  <c r="E541" i="18"/>
  <c r="F541" i="18"/>
  <c r="G541" i="18" l="1"/>
  <c r="E540" i="18"/>
  <c r="F540" i="18"/>
  <c r="G540" i="18" l="1"/>
  <c r="E539" i="18"/>
  <c r="F539" i="18"/>
  <c r="G539" i="18" l="1"/>
  <c r="E538" i="18"/>
  <c r="F538" i="18"/>
  <c r="G538" i="18" l="1"/>
  <c r="E537" i="18"/>
  <c r="F537" i="18"/>
  <c r="G537" i="18" l="1"/>
  <c r="E536" i="18"/>
  <c r="F536" i="18"/>
  <c r="G536" i="18" l="1"/>
  <c r="E535" i="18"/>
  <c r="F535" i="18"/>
  <c r="G535" i="18" l="1"/>
  <c r="E534" i="18"/>
  <c r="F534" i="18"/>
  <c r="G534" i="18" l="1"/>
  <c r="E533" i="18"/>
  <c r="F533" i="18"/>
  <c r="G533" i="18" l="1"/>
  <c r="E532" i="18"/>
  <c r="F532" i="18"/>
  <c r="G532" i="18" l="1"/>
  <c r="E531" i="18"/>
  <c r="F531" i="18"/>
  <c r="G531" i="18" l="1"/>
  <c r="E530" i="18"/>
  <c r="F530" i="18"/>
  <c r="G530" i="18" l="1"/>
  <c r="E529" i="18"/>
  <c r="F529" i="18"/>
  <c r="G529" i="18" l="1"/>
  <c r="E528" i="18"/>
  <c r="F528" i="18"/>
  <c r="G528" i="18" l="1"/>
  <c r="E527" i="18"/>
  <c r="F527" i="18"/>
  <c r="G527" i="18" l="1"/>
  <c r="E526" i="18"/>
  <c r="F526" i="18"/>
  <c r="G526" i="18" l="1"/>
  <c r="E525" i="18"/>
  <c r="F525" i="18"/>
  <c r="G525" i="18" l="1"/>
  <c r="E524" i="18"/>
  <c r="F524" i="18"/>
  <c r="G524" i="18" l="1"/>
  <c r="E523" i="18"/>
  <c r="F523" i="18"/>
  <c r="G523" i="18" l="1"/>
  <c r="E522" i="18"/>
  <c r="F522" i="18"/>
  <c r="G522" i="18" l="1"/>
  <c r="E521" i="18"/>
  <c r="F521" i="18"/>
  <c r="G521" i="18" l="1"/>
  <c r="E520" i="18"/>
  <c r="F520" i="18"/>
  <c r="G520" i="18" l="1"/>
  <c r="E519" i="18"/>
  <c r="F519" i="18"/>
  <c r="G519" i="18" l="1"/>
  <c r="E518" i="18"/>
  <c r="F518" i="18"/>
  <c r="G518" i="18" l="1"/>
  <c r="E517" i="18"/>
  <c r="F517" i="18"/>
  <c r="G517" i="18" l="1"/>
  <c r="E516" i="18"/>
  <c r="F516" i="18"/>
  <c r="G516" i="18" l="1"/>
  <c r="E515" i="18"/>
  <c r="F515" i="18"/>
  <c r="G515" i="18" l="1"/>
  <c r="E514" i="18"/>
  <c r="F514" i="18"/>
  <c r="G514" i="18" l="1"/>
  <c r="E513" i="18"/>
  <c r="F513" i="18"/>
  <c r="G513" i="18" l="1"/>
  <c r="E512" i="18"/>
  <c r="F512" i="18"/>
  <c r="G512" i="18" l="1"/>
  <c r="E511" i="18"/>
  <c r="F511" i="18"/>
  <c r="G511" i="18" l="1"/>
  <c r="E510" i="18"/>
  <c r="F510" i="18"/>
  <c r="G510" i="18" l="1"/>
  <c r="E509" i="18"/>
  <c r="F509" i="18"/>
  <c r="G509" i="18" l="1"/>
  <c r="E508" i="18"/>
  <c r="F508" i="18"/>
  <c r="G508" i="18" l="1"/>
  <c r="E507" i="18"/>
  <c r="F507" i="18"/>
  <c r="G507" i="18" l="1"/>
  <c r="E506" i="18"/>
  <c r="F506" i="18"/>
  <c r="G506" i="18" l="1"/>
  <c r="E505" i="18"/>
  <c r="F505" i="18"/>
  <c r="G505" i="18" l="1"/>
  <c r="E504" i="18"/>
  <c r="F504" i="18"/>
  <c r="G504" i="18" l="1"/>
  <c r="E503" i="18"/>
  <c r="F503" i="18"/>
  <c r="G503" i="18" l="1"/>
  <c r="E502" i="18"/>
  <c r="F502" i="18"/>
  <c r="G502" i="18" l="1"/>
  <c r="E501" i="18"/>
  <c r="F501" i="18"/>
  <c r="G501" i="18" l="1"/>
  <c r="E500" i="18"/>
  <c r="F500" i="18"/>
  <c r="G500" i="18" l="1"/>
  <c r="E499" i="18"/>
  <c r="F499" i="18"/>
  <c r="G499" i="18" l="1"/>
  <c r="E498" i="18"/>
  <c r="F498" i="18"/>
  <c r="G498" i="18" l="1"/>
  <c r="E497" i="18"/>
  <c r="F497" i="18"/>
  <c r="G497" i="18" l="1"/>
  <c r="E496" i="18"/>
  <c r="F496" i="18"/>
  <c r="G496" i="18" l="1"/>
  <c r="E495" i="18"/>
  <c r="F495" i="18"/>
  <c r="G495" i="18" l="1"/>
  <c r="E494" i="18"/>
  <c r="F494" i="18"/>
  <c r="G494" i="18" l="1"/>
  <c r="E493" i="18"/>
  <c r="F493" i="18"/>
  <c r="G493" i="18" l="1"/>
  <c r="E492" i="18"/>
  <c r="F492" i="18"/>
  <c r="G492" i="18" l="1"/>
  <c r="E491" i="18"/>
  <c r="F491" i="18"/>
  <c r="G491" i="18" l="1"/>
  <c r="E490" i="18"/>
  <c r="F490" i="18"/>
  <c r="G490" i="18" l="1"/>
  <c r="E489" i="18"/>
  <c r="F489" i="18"/>
  <c r="G489" i="18" l="1"/>
  <c r="E488" i="18"/>
  <c r="F488" i="18"/>
  <c r="G488" i="18" l="1"/>
  <c r="E487" i="18"/>
  <c r="F487" i="18"/>
  <c r="G487" i="18" l="1"/>
  <c r="E486" i="18"/>
  <c r="F486" i="18"/>
  <c r="G486" i="18" l="1"/>
  <c r="E485" i="18"/>
  <c r="F485" i="18"/>
  <c r="G485" i="18" l="1"/>
  <c r="E484" i="18"/>
  <c r="F484" i="18"/>
  <c r="G484" i="18" l="1"/>
  <c r="E483" i="18"/>
  <c r="F483" i="18"/>
  <c r="G483" i="18" l="1"/>
  <c r="E482" i="18"/>
  <c r="F482" i="18"/>
  <c r="G482" i="18" l="1"/>
  <c r="E481" i="18"/>
  <c r="F481" i="18"/>
  <c r="G481" i="18" l="1"/>
  <c r="E480" i="18"/>
  <c r="F480" i="18"/>
  <c r="G480" i="18" l="1"/>
  <c r="E479" i="18"/>
  <c r="F479" i="18"/>
  <c r="G479" i="18" l="1"/>
  <c r="E478" i="18"/>
  <c r="F478" i="18"/>
  <c r="G478" i="18" l="1"/>
  <c r="E477" i="18"/>
  <c r="F477" i="18"/>
  <c r="G477" i="18" l="1"/>
  <c r="E476" i="18"/>
  <c r="F476" i="18"/>
  <c r="G476" i="18" l="1"/>
  <c r="E475" i="18"/>
  <c r="F475" i="18"/>
  <c r="G475" i="18" l="1"/>
  <c r="E474" i="18"/>
  <c r="F474" i="18"/>
  <c r="G474" i="18" l="1"/>
  <c r="E473" i="18"/>
  <c r="F473" i="18"/>
  <c r="G473" i="18" l="1"/>
  <c r="E472" i="18"/>
  <c r="F472" i="18"/>
  <c r="G472" i="18" l="1"/>
  <c r="E471" i="18"/>
  <c r="F471" i="18"/>
  <c r="G471" i="18" l="1"/>
  <c r="E470" i="18"/>
  <c r="F470" i="18"/>
  <c r="G470" i="18" l="1"/>
  <c r="E469" i="18"/>
  <c r="F469" i="18"/>
  <c r="G469" i="18" l="1"/>
  <c r="E468" i="18"/>
  <c r="F468" i="18"/>
  <c r="G468" i="18" l="1"/>
  <c r="E467" i="18"/>
  <c r="F467" i="18"/>
  <c r="G467" i="18" l="1"/>
  <c r="E466" i="18"/>
  <c r="F466" i="18"/>
  <c r="G466" i="18" l="1"/>
  <c r="E465" i="18"/>
  <c r="F465" i="18"/>
  <c r="G465" i="18" l="1"/>
  <c r="E464" i="18"/>
  <c r="F464" i="18"/>
  <c r="G464" i="18" l="1"/>
  <c r="E463" i="18"/>
  <c r="F463" i="18"/>
  <c r="G463" i="18" l="1"/>
  <c r="E462" i="18"/>
  <c r="F462" i="18"/>
  <c r="G462" i="18" l="1"/>
  <c r="E461" i="18"/>
  <c r="F461" i="18"/>
  <c r="G461" i="18" l="1"/>
  <c r="E460" i="18"/>
  <c r="F460" i="18"/>
  <c r="G460" i="18" l="1"/>
  <c r="E459" i="18"/>
  <c r="F459" i="18"/>
  <c r="G459" i="18" l="1"/>
  <c r="E458" i="18"/>
  <c r="F458" i="18"/>
  <c r="G458" i="18" l="1"/>
  <c r="E457" i="18"/>
  <c r="F457" i="18"/>
  <c r="G457" i="18" l="1"/>
  <c r="E456" i="18"/>
  <c r="F456" i="18"/>
  <c r="G456" i="18" l="1"/>
  <c r="E455" i="18"/>
  <c r="F455" i="18"/>
  <c r="G455" i="18" l="1"/>
  <c r="E454" i="18"/>
  <c r="F454" i="18"/>
  <c r="G454" i="18" l="1"/>
  <c r="E453" i="18"/>
  <c r="F453" i="18"/>
  <c r="G453" i="18" l="1"/>
  <c r="E452" i="18"/>
  <c r="F452" i="18"/>
  <c r="G452" i="18" l="1"/>
  <c r="E451" i="18"/>
  <c r="F451" i="18"/>
  <c r="G451" i="18" l="1"/>
  <c r="E450" i="18"/>
  <c r="F450" i="18"/>
  <c r="G450" i="18" l="1"/>
  <c r="E449" i="18"/>
  <c r="F449" i="18"/>
  <c r="G449" i="18" l="1"/>
  <c r="E448" i="18"/>
  <c r="F448" i="18"/>
  <c r="G448" i="18" l="1"/>
  <c r="E447" i="18"/>
  <c r="F447" i="18"/>
  <c r="G447" i="18" l="1"/>
  <c r="E446" i="18"/>
  <c r="F446" i="18"/>
  <c r="G446" i="18" l="1"/>
  <c r="E445" i="18"/>
  <c r="F445" i="18"/>
  <c r="G445" i="18" l="1"/>
  <c r="E444" i="18"/>
  <c r="F444" i="18"/>
  <c r="G444" i="18" l="1"/>
  <c r="E443" i="18"/>
  <c r="F443" i="18"/>
  <c r="G443" i="18" l="1"/>
  <c r="E442" i="18"/>
  <c r="F442" i="18"/>
  <c r="G442" i="18" l="1"/>
  <c r="E441" i="18"/>
  <c r="F441" i="18"/>
  <c r="G441" i="18" l="1"/>
  <c r="E440" i="18"/>
  <c r="F440" i="18"/>
  <c r="G440" i="18" l="1"/>
  <c r="E439" i="18"/>
  <c r="F439" i="18"/>
  <c r="G439" i="18" l="1"/>
  <c r="E438" i="18"/>
  <c r="F438" i="18"/>
  <c r="G438" i="18" l="1"/>
  <c r="E437" i="18"/>
  <c r="F437" i="18"/>
  <c r="G437" i="18" l="1"/>
  <c r="E436" i="18"/>
  <c r="F436" i="18"/>
  <c r="G436" i="18" l="1"/>
  <c r="E435" i="18"/>
  <c r="F435" i="18"/>
  <c r="G435" i="18" l="1"/>
  <c r="E434" i="18"/>
  <c r="F434" i="18"/>
  <c r="G434" i="18" l="1"/>
  <c r="E433" i="18"/>
  <c r="F433" i="18"/>
  <c r="G433" i="18" l="1"/>
  <c r="E432" i="18"/>
  <c r="F432" i="18"/>
  <c r="G432" i="18" l="1"/>
  <c r="E431" i="18"/>
  <c r="F431" i="18"/>
  <c r="G431" i="18" l="1"/>
  <c r="E430" i="18"/>
  <c r="F430" i="18"/>
  <c r="G430" i="18" l="1"/>
  <c r="E429" i="18"/>
  <c r="F429" i="18"/>
  <c r="G429" i="18" l="1"/>
  <c r="E428" i="18"/>
  <c r="F428" i="18"/>
  <c r="G428" i="18" l="1"/>
  <c r="E427" i="18"/>
  <c r="F427" i="18"/>
  <c r="G427" i="18" l="1"/>
  <c r="E426" i="18"/>
  <c r="F426" i="18"/>
  <c r="G426" i="18" l="1"/>
  <c r="E425" i="18"/>
  <c r="F425" i="18"/>
  <c r="G425" i="18" l="1"/>
  <c r="E424" i="18"/>
  <c r="F424" i="18"/>
  <c r="G424" i="18" l="1"/>
  <c r="E423" i="18"/>
  <c r="F423" i="18"/>
  <c r="G423" i="18" l="1"/>
  <c r="E422" i="18"/>
  <c r="F422" i="18"/>
  <c r="G422" i="18" l="1"/>
  <c r="E421" i="18"/>
  <c r="F421" i="18"/>
  <c r="G421" i="18" l="1"/>
  <c r="E420" i="18"/>
  <c r="F420" i="18"/>
  <c r="G420" i="18" l="1"/>
  <c r="E419" i="18"/>
  <c r="F419" i="18"/>
  <c r="G419" i="18" l="1"/>
  <c r="E418" i="18"/>
  <c r="F418" i="18"/>
  <c r="G418" i="18" l="1"/>
  <c r="E417" i="18"/>
  <c r="F417" i="18"/>
  <c r="G417" i="18" l="1"/>
  <c r="E416" i="18"/>
  <c r="F416" i="18"/>
  <c r="G416" i="18" l="1"/>
  <c r="E415" i="18"/>
  <c r="F415" i="18"/>
  <c r="G415" i="18" l="1"/>
  <c r="E414" i="18"/>
  <c r="F414" i="18"/>
  <c r="G414" i="18" l="1"/>
  <c r="E413" i="18"/>
  <c r="F413" i="18"/>
  <c r="G413" i="18" l="1"/>
  <c r="E412" i="18"/>
  <c r="F412" i="18"/>
  <c r="G412" i="18" l="1"/>
  <c r="E411" i="18"/>
  <c r="F411" i="18"/>
  <c r="G411" i="18" l="1"/>
  <c r="E410" i="18"/>
  <c r="F410" i="18"/>
  <c r="G410" i="18" l="1"/>
  <c r="E409" i="18"/>
  <c r="F409" i="18"/>
  <c r="G409" i="18" l="1"/>
  <c r="E408" i="18"/>
  <c r="F408" i="18"/>
  <c r="G408" i="18" l="1"/>
  <c r="E407" i="18"/>
  <c r="F407" i="18"/>
  <c r="G407" i="18" l="1"/>
  <c r="E406" i="18"/>
  <c r="F406" i="18"/>
  <c r="G406" i="18" l="1"/>
  <c r="E405" i="18"/>
  <c r="F405" i="18"/>
  <c r="G405" i="18" l="1"/>
  <c r="E404" i="18"/>
  <c r="F404" i="18"/>
  <c r="G404" i="18" l="1"/>
  <c r="E403" i="18"/>
  <c r="F403" i="18"/>
  <c r="G403" i="18" l="1"/>
  <c r="E402" i="18"/>
  <c r="F402" i="18"/>
  <c r="G402" i="18" l="1"/>
  <c r="E401" i="18"/>
  <c r="F401" i="18"/>
  <c r="G401" i="18" l="1"/>
  <c r="E400" i="18"/>
  <c r="F400" i="18"/>
  <c r="G400" i="18" l="1"/>
  <c r="E399" i="18"/>
  <c r="F399" i="18"/>
  <c r="G399" i="18" l="1"/>
  <c r="E398" i="18"/>
  <c r="F398" i="18"/>
  <c r="G398" i="18" l="1"/>
  <c r="E397" i="18"/>
  <c r="F397" i="18"/>
  <c r="G397" i="18" l="1"/>
  <c r="E396" i="18"/>
  <c r="F396" i="18"/>
  <c r="G396" i="18" l="1"/>
  <c r="E395" i="18"/>
  <c r="F395" i="18"/>
  <c r="G395" i="18" l="1"/>
  <c r="E394" i="18"/>
  <c r="F394" i="18"/>
  <c r="G394" i="18" l="1"/>
  <c r="E393" i="18"/>
  <c r="F393" i="18"/>
  <c r="G393" i="18" l="1"/>
  <c r="E392" i="18"/>
  <c r="F392" i="18"/>
  <c r="G392" i="18" l="1"/>
  <c r="E391" i="18"/>
  <c r="F391" i="18"/>
  <c r="G391" i="18" l="1"/>
  <c r="E390" i="18"/>
  <c r="F390" i="18"/>
  <c r="G390" i="18" l="1"/>
  <c r="E389" i="18"/>
  <c r="F389" i="18"/>
  <c r="G389" i="18" l="1"/>
  <c r="E388" i="18"/>
  <c r="F388" i="18"/>
  <c r="G388" i="18" l="1"/>
  <c r="E387" i="18"/>
  <c r="F387" i="18"/>
  <c r="G387" i="18" l="1"/>
  <c r="E386" i="18"/>
  <c r="F386" i="18"/>
  <c r="G386" i="18" l="1"/>
  <c r="E385" i="18"/>
  <c r="F385" i="18"/>
  <c r="G385" i="18" l="1"/>
  <c r="E384" i="18"/>
  <c r="F384" i="18"/>
  <c r="G384" i="18" l="1"/>
  <c r="E383" i="18"/>
  <c r="F383" i="18"/>
  <c r="G383" i="18" l="1"/>
  <c r="E382" i="18"/>
  <c r="F382" i="18"/>
  <c r="G382" i="18" l="1"/>
  <c r="E381" i="18"/>
  <c r="F381" i="18"/>
  <c r="G381" i="18" l="1"/>
  <c r="E380" i="18"/>
  <c r="F380" i="18"/>
  <c r="G380" i="18" l="1"/>
  <c r="E379" i="18"/>
  <c r="F379" i="18"/>
  <c r="G379" i="18" l="1"/>
  <c r="E378" i="18"/>
  <c r="F378" i="18"/>
  <c r="G378" i="18" l="1"/>
  <c r="E377" i="18"/>
  <c r="F377" i="18"/>
  <c r="G377" i="18" l="1"/>
  <c r="E376" i="18"/>
  <c r="F376" i="18"/>
  <c r="G376" i="18" l="1"/>
  <c r="E375" i="18"/>
  <c r="F375" i="18"/>
  <c r="G375" i="18" l="1"/>
  <c r="E374" i="18"/>
  <c r="F374" i="18"/>
  <c r="G374" i="18" l="1"/>
  <c r="E373" i="18"/>
  <c r="F373" i="18"/>
  <c r="G373" i="18" l="1"/>
  <c r="E372" i="18"/>
  <c r="F372" i="18"/>
  <c r="G372" i="18" l="1"/>
  <c r="E371" i="18"/>
  <c r="F371" i="18"/>
  <c r="G371" i="18" l="1"/>
  <c r="E370" i="18"/>
  <c r="F370" i="18"/>
  <c r="G370" i="18" l="1"/>
  <c r="E369" i="18"/>
  <c r="F369" i="18"/>
  <c r="G369" i="18" l="1"/>
  <c r="E368" i="18"/>
  <c r="F368" i="18"/>
  <c r="G368" i="18" l="1"/>
  <c r="E367" i="18"/>
  <c r="F367" i="18"/>
  <c r="G367" i="18" l="1"/>
  <c r="E366" i="18"/>
  <c r="F366" i="18"/>
  <c r="G366" i="18" l="1"/>
  <c r="E365" i="18"/>
  <c r="F365" i="18"/>
  <c r="G365" i="18" l="1"/>
  <c r="E364" i="18"/>
  <c r="F364" i="18"/>
  <c r="G364" i="18" l="1"/>
  <c r="E363" i="18"/>
  <c r="F363" i="18"/>
  <c r="G363" i="18" l="1"/>
  <c r="E362" i="18"/>
  <c r="F362" i="18"/>
  <c r="G362" i="18" l="1"/>
  <c r="E361" i="18"/>
  <c r="F361" i="18"/>
  <c r="G361" i="18" l="1"/>
  <c r="E360" i="18"/>
  <c r="F360" i="18"/>
  <c r="G360" i="18" l="1"/>
  <c r="E359" i="18"/>
  <c r="F359" i="18"/>
  <c r="G359" i="18" l="1"/>
  <c r="E358" i="18"/>
  <c r="F358" i="18"/>
  <c r="G358" i="18" l="1"/>
  <c r="E357" i="18"/>
  <c r="F357" i="18"/>
  <c r="G357" i="18" l="1"/>
  <c r="E356" i="18"/>
  <c r="F356" i="18"/>
  <c r="G356" i="18" l="1"/>
  <c r="E355" i="18"/>
  <c r="F355" i="18"/>
  <c r="G355" i="18" l="1"/>
  <c r="E354" i="18"/>
  <c r="F354" i="18"/>
  <c r="G354" i="18" l="1"/>
  <c r="E353" i="18"/>
  <c r="F353" i="18"/>
  <c r="G353" i="18" l="1"/>
  <c r="E352" i="18"/>
  <c r="F352" i="18"/>
  <c r="G352" i="18" l="1"/>
  <c r="E351" i="18"/>
  <c r="F351" i="18"/>
  <c r="G351" i="18" l="1"/>
  <c r="E350" i="18"/>
  <c r="F350" i="18"/>
  <c r="G350" i="18" l="1"/>
  <c r="E349" i="18"/>
  <c r="F349" i="18"/>
  <c r="G349" i="18" l="1"/>
  <c r="E348" i="18"/>
  <c r="F348" i="18"/>
  <c r="G348" i="18" l="1"/>
  <c r="E347" i="18"/>
  <c r="F347" i="18"/>
  <c r="G347" i="18" l="1"/>
  <c r="E346" i="18"/>
  <c r="F346" i="18"/>
  <c r="G346" i="18" l="1"/>
  <c r="E345" i="18"/>
  <c r="F345" i="18"/>
  <c r="G345" i="18" l="1"/>
  <c r="E344" i="18"/>
  <c r="F344" i="18"/>
  <c r="G344" i="18" l="1"/>
  <c r="E343" i="18"/>
  <c r="F343" i="18"/>
  <c r="G343" i="18" l="1"/>
  <c r="E342" i="18"/>
  <c r="F342" i="18"/>
  <c r="G342" i="18" l="1"/>
  <c r="E341" i="18"/>
  <c r="F341" i="18"/>
  <c r="G341" i="18" l="1"/>
  <c r="E340" i="18"/>
  <c r="F340" i="18"/>
  <c r="G340" i="18" l="1"/>
  <c r="E339" i="18"/>
  <c r="F339" i="18"/>
  <c r="G339" i="18" l="1"/>
  <c r="E338" i="18"/>
  <c r="F338" i="18"/>
  <c r="G338" i="18" l="1"/>
  <c r="E337" i="18"/>
  <c r="F337" i="18"/>
  <c r="G337" i="18" l="1"/>
  <c r="E336" i="18"/>
  <c r="F336" i="18"/>
  <c r="G336" i="18" l="1"/>
  <c r="E335" i="18"/>
  <c r="F335" i="18"/>
  <c r="G335" i="18" l="1"/>
  <c r="E334" i="18"/>
  <c r="F334" i="18"/>
  <c r="G334" i="18" l="1"/>
  <c r="E333" i="18"/>
  <c r="F333" i="18"/>
  <c r="G333" i="18" l="1"/>
  <c r="E332" i="18"/>
  <c r="F332" i="18"/>
  <c r="G332" i="18" l="1"/>
  <c r="E331" i="18"/>
  <c r="F331" i="18"/>
  <c r="G331" i="18" l="1"/>
  <c r="E330" i="18"/>
  <c r="F330" i="18"/>
  <c r="G330" i="18" l="1"/>
  <c r="E329" i="18"/>
  <c r="F329" i="18"/>
  <c r="G329" i="18" l="1"/>
  <c r="E328" i="18"/>
  <c r="F328" i="18"/>
  <c r="G328" i="18" l="1"/>
  <c r="E327" i="18"/>
  <c r="F327" i="18"/>
  <c r="G327" i="18" l="1"/>
  <c r="E326" i="18"/>
  <c r="F326" i="18"/>
  <c r="G326" i="18" l="1"/>
  <c r="E325" i="18"/>
  <c r="F325" i="18"/>
  <c r="G325" i="18" l="1"/>
  <c r="E324" i="18"/>
  <c r="F324" i="18"/>
  <c r="G324" i="18" l="1"/>
  <c r="E323" i="18"/>
  <c r="F323" i="18"/>
  <c r="G323" i="18" l="1"/>
  <c r="E322" i="18"/>
  <c r="F322" i="18"/>
  <c r="G322" i="18" l="1"/>
  <c r="E321" i="18"/>
  <c r="F321" i="18"/>
  <c r="G321" i="18" l="1"/>
  <c r="E320" i="18"/>
  <c r="F320" i="18"/>
  <c r="G320" i="18" l="1"/>
  <c r="E319" i="18"/>
  <c r="F319" i="18"/>
  <c r="G319" i="18" l="1"/>
  <c r="E318" i="18"/>
  <c r="F318" i="18"/>
  <c r="G318" i="18" l="1"/>
  <c r="E317" i="18"/>
  <c r="F317" i="18"/>
  <c r="G317" i="18" l="1"/>
  <c r="E316" i="18"/>
  <c r="F316" i="18"/>
  <c r="G316" i="18" l="1"/>
  <c r="E315" i="18"/>
  <c r="F315" i="18"/>
  <c r="G315" i="18" l="1"/>
  <c r="E314" i="18"/>
  <c r="F314" i="18"/>
  <c r="G314" i="18" l="1"/>
  <c r="E313" i="18"/>
  <c r="F313" i="18"/>
  <c r="G313" i="18" l="1"/>
  <c r="E312" i="18"/>
  <c r="F312" i="18"/>
  <c r="G312" i="18" l="1"/>
  <c r="E311" i="18"/>
  <c r="F311" i="18"/>
  <c r="G311" i="18" l="1"/>
  <c r="E310" i="18"/>
  <c r="F310" i="18"/>
  <c r="G310" i="18" l="1"/>
  <c r="E309" i="18"/>
  <c r="F309" i="18"/>
  <c r="G309" i="18" l="1"/>
  <c r="E308" i="18"/>
  <c r="F308" i="18"/>
  <c r="G308" i="18" l="1"/>
  <c r="E307" i="18"/>
  <c r="F307" i="18"/>
  <c r="G307" i="18" l="1"/>
  <c r="E306" i="18"/>
  <c r="F306" i="18"/>
  <c r="G306" i="18" l="1"/>
  <c r="E305" i="18"/>
  <c r="F305" i="18"/>
  <c r="G305" i="18" l="1"/>
  <c r="E304" i="18"/>
  <c r="F304" i="18"/>
  <c r="G304" i="18" l="1"/>
  <c r="E303" i="18"/>
  <c r="F303" i="18"/>
  <c r="G303" i="18" l="1"/>
  <c r="E302" i="18"/>
  <c r="F302" i="18"/>
  <c r="G302" i="18" l="1"/>
  <c r="E301" i="18"/>
  <c r="F301" i="18"/>
  <c r="G301" i="18" l="1"/>
  <c r="E300" i="18"/>
  <c r="F300" i="18"/>
  <c r="G300" i="18" l="1"/>
  <c r="E299" i="18"/>
  <c r="F299" i="18"/>
  <c r="G299" i="18" l="1"/>
  <c r="E298" i="18"/>
  <c r="F298" i="18"/>
  <c r="G298" i="18" l="1"/>
  <c r="E297" i="18"/>
  <c r="F297" i="18"/>
  <c r="G297" i="18" l="1"/>
  <c r="E296" i="18"/>
  <c r="F296" i="18"/>
  <c r="G296" i="18" l="1"/>
  <c r="E295" i="18"/>
  <c r="F295" i="18"/>
  <c r="G295" i="18" l="1"/>
  <c r="E294" i="18"/>
  <c r="F294" i="18"/>
  <c r="G294" i="18" l="1"/>
  <c r="E293" i="18"/>
  <c r="F293" i="18"/>
  <c r="G293" i="18" l="1"/>
  <c r="E292" i="18"/>
  <c r="F292" i="18"/>
  <c r="G292" i="18" l="1"/>
  <c r="E291" i="18"/>
  <c r="F291" i="18"/>
  <c r="G291" i="18" l="1"/>
  <c r="E290" i="18"/>
  <c r="F290" i="18"/>
  <c r="G290" i="18" l="1"/>
  <c r="E289" i="18"/>
  <c r="F289" i="18"/>
  <c r="G289" i="18" l="1"/>
  <c r="E288" i="18"/>
  <c r="F288" i="18"/>
  <c r="G288" i="18" l="1"/>
  <c r="E287" i="18"/>
  <c r="F287" i="18"/>
  <c r="G287" i="18" l="1"/>
  <c r="E286" i="18"/>
  <c r="F286" i="18"/>
  <c r="G286" i="18" l="1"/>
  <c r="E285" i="18"/>
  <c r="F285" i="18"/>
  <c r="G285" i="18" l="1"/>
  <c r="E284" i="18"/>
  <c r="F284" i="18"/>
  <c r="G284" i="18" l="1"/>
  <c r="E283" i="18"/>
  <c r="F283" i="18"/>
  <c r="G283" i="18" l="1"/>
  <c r="E282" i="18"/>
  <c r="F282" i="18"/>
  <c r="G282" i="18" l="1"/>
  <c r="E281" i="18"/>
  <c r="F281" i="18"/>
  <c r="G281" i="18" l="1"/>
  <c r="E280" i="18"/>
  <c r="F280" i="18"/>
  <c r="G280" i="18" l="1"/>
  <c r="E279" i="18"/>
  <c r="F279" i="18"/>
  <c r="G279" i="18" l="1"/>
  <c r="E278" i="18"/>
  <c r="F278" i="18"/>
  <c r="G278" i="18" l="1"/>
  <c r="E277" i="18"/>
  <c r="F277" i="18"/>
  <c r="G277" i="18" l="1"/>
  <c r="E276" i="18"/>
  <c r="F276" i="18"/>
  <c r="G276" i="18" l="1"/>
  <c r="E275" i="18"/>
  <c r="F275" i="18"/>
  <c r="G275" i="18" l="1"/>
  <c r="E274" i="18"/>
  <c r="F274" i="18"/>
  <c r="G274" i="18" l="1"/>
  <c r="E273" i="18"/>
  <c r="F273" i="18"/>
  <c r="G273" i="18" l="1"/>
  <c r="E272" i="18"/>
  <c r="F272" i="18"/>
  <c r="G272" i="18" l="1"/>
  <c r="E271" i="18"/>
  <c r="F271" i="18"/>
  <c r="G271" i="18" l="1"/>
  <c r="E270" i="18"/>
  <c r="F270" i="18"/>
  <c r="G270" i="18" l="1"/>
  <c r="E269" i="18"/>
  <c r="F269" i="18"/>
  <c r="G269" i="18" l="1"/>
  <c r="E268" i="18"/>
  <c r="F268" i="18"/>
  <c r="G268" i="18" l="1"/>
  <c r="E267" i="18"/>
  <c r="F267" i="18"/>
  <c r="G267" i="18" l="1"/>
  <c r="E266" i="18"/>
  <c r="F266" i="18"/>
  <c r="G266" i="18" l="1"/>
  <c r="E265" i="18"/>
  <c r="F265" i="18"/>
  <c r="G265" i="18" l="1"/>
  <c r="E264" i="18"/>
  <c r="F264" i="18"/>
  <c r="G264" i="18" l="1"/>
  <c r="E263" i="18"/>
  <c r="F263" i="18"/>
  <c r="G263" i="18" l="1"/>
  <c r="E262" i="18"/>
  <c r="F262" i="18"/>
  <c r="G262" i="18" l="1"/>
  <c r="E261" i="18"/>
  <c r="F261" i="18"/>
  <c r="G261" i="18" l="1"/>
  <c r="E260" i="18"/>
  <c r="F260" i="18"/>
  <c r="G260" i="18" l="1"/>
  <c r="E259" i="18"/>
  <c r="F259" i="18"/>
  <c r="G259" i="18" l="1"/>
  <c r="E258" i="18"/>
  <c r="F258" i="18"/>
  <c r="G258" i="18" l="1"/>
  <c r="E257" i="18"/>
  <c r="F257" i="18"/>
  <c r="G257" i="18" l="1"/>
  <c r="E256" i="18"/>
  <c r="F256" i="18"/>
  <c r="G256" i="18" l="1"/>
  <c r="E255" i="18"/>
  <c r="F255" i="18"/>
  <c r="G255" i="18" l="1"/>
  <c r="E254" i="18"/>
  <c r="F254" i="18"/>
  <c r="G254" i="18" l="1"/>
  <c r="E253" i="18"/>
  <c r="F253" i="18"/>
  <c r="G253" i="18" l="1"/>
  <c r="E252" i="18"/>
  <c r="F252" i="18"/>
  <c r="G252" i="18" l="1"/>
  <c r="E251" i="18"/>
  <c r="F251" i="18"/>
  <c r="G251" i="18" l="1"/>
  <c r="E250" i="18"/>
  <c r="F250" i="18"/>
  <c r="G250" i="18" l="1"/>
  <c r="E249" i="18"/>
  <c r="F249" i="18"/>
  <c r="G249" i="18" l="1"/>
  <c r="E248" i="18"/>
  <c r="F248" i="18"/>
  <c r="G248" i="18" l="1"/>
  <c r="E247" i="18"/>
  <c r="F247" i="18"/>
  <c r="G247" i="18" l="1"/>
  <c r="E246" i="18"/>
  <c r="F246" i="18"/>
  <c r="G246" i="18" l="1"/>
  <c r="E245" i="18"/>
  <c r="F245" i="18"/>
  <c r="G245" i="18" l="1"/>
  <c r="E244" i="18"/>
  <c r="F244" i="18"/>
  <c r="G244" i="18" l="1"/>
  <c r="E243" i="18"/>
  <c r="F243" i="18"/>
  <c r="G243" i="18" l="1"/>
  <c r="E242" i="18"/>
  <c r="F242" i="18"/>
  <c r="G242" i="18" l="1"/>
  <c r="E241" i="18"/>
  <c r="F241" i="18"/>
  <c r="G241" i="18" l="1"/>
  <c r="E240" i="18"/>
  <c r="F240" i="18"/>
  <c r="G240" i="18" l="1"/>
  <c r="E239" i="18"/>
  <c r="F239" i="18"/>
  <c r="G239" i="18" l="1"/>
  <c r="E238" i="18"/>
  <c r="F238" i="18"/>
  <c r="G238" i="18" l="1"/>
  <c r="E237" i="18"/>
  <c r="F237" i="18"/>
  <c r="G237" i="18" l="1"/>
  <c r="E236" i="18"/>
  <c r="F236" i="18"/>
  <c r="G236" i="18" l="1"/>
  <c r="E235" i="18"/>
  <c r="F235" i="18"/>
  <c r="G235" i="18" l="1"/>
  <c r="E234" i="18"/>
  <c r="F234" i="18"/>
  <c r="G234" i="18" l="1"/>
  <c r="E233" i="18"/>
  <c r="F233" i="18"/>
  <c r="G233" i="18" l="1"/>
  <c r="E232" i="18"/>
  <c r="F232" i="18"/>
  <c r="G232" i="18" l="1"/>
  <c r="E231" i="18"/>
  <c r="F231" i="18"/>
  <c r="G231" i="18" l="1"/>
  <c r="E230" i="18"/>
  <c r="F230" i="18"/>
  <c r="G230" i="18" l="1"/>
  <c r="E229" i="18"/>
  <c r="F229" i="18"/>
  <c r="G229" i="18" l="1"/>
  <c r="E228" i="18"/>
  <c r="F228" i="18"/>
  <c r="G228" i="18" l="1"/>
  <c r="E227" i="18"/>
  <c r="F227" i="18"/>
  <c r="G227" i="18" l="1"/>
  <c r="E226" i="18"/>
  <c r="F226" i="18"/>
  <c r="G226" i="18" l="1"/>
  <c r="E225" i="18"/>
  <c r="F225" i="18"/>
  <c r="G225" i="18" l="1"/>
  <c r="E224" i="18"/>
  <c r="F224" i="18"/>
  <c r="G224" i="18" l="1"/>
  <c r="E223" i="18"/>
  <c r="F223" i="18"/>
  <c r="G223" i="18" l="1"/>
  <c r="E222" i="18"/>
  <c r="F222" i="18"/>
  <c r="G222" i="18" l="1"/>
  <c r="E221" i="18"/>
  <c r="F221" i="18"/>
  <c r="G221" i="18" l="1"/>
  <c r="E220" i="18"/>
  <c r="F220" i="18"/>
  <c r="G220" i="18" l="1"/>
  <c r="E219" i="18"/>
  <c r="F219" i="18"/>
  <c r="G219" i="18" l="1"/>
  <c r="E218" i="18"/>
  <c r="F218" i="18"/>
  <c r="G218" i="18" l="1"/>
  <c r="E217" i="18"/>
  <c r="F217" i="18"/>
  <c r="G217" i="18" l="1"/>
  <c r="E216" i="18"/>
  <c r="F216" i="18"/>
  <c r="G216" i="18" l="1"/>
  <c r="E215" i="18"/>
  <c r="F215" i="18"/>
  <c r="G215" i="18" l="1"/>
  <c r="E214" i="18"/>
  <c r="F214" i="18"/>
  <c r="G214" i="18" l="1"/>
  <c r="E213" i="18"/>
  <c r="F213" i="18"/>
  <c r="G213" i="18" l="1"/>
  <c r="E212" i="18"/>
  <c r="F212" i="18"/>
  <c r="G212" i="18" l="1"/>
  <c r="E211" i="18"/>
  <c r="F211" i="18"/>
  <c r="G211" i="18" l="1"/>
  <c r="E210" i="18"/>
  <c r="F210" i="18"/>
  <c r="G210" i="18" l="1"/>
  <c r="E209" i="18"/>
  <c r="F209" i="18"/>
  <c r="G209" i="18" l="1"/>
  <c r="E208" i="18"/>
  <c r="F208" i="18"/>
  <c r="G208" i="18" l="1"/>
  <c r="E207" i="18"/>
  <c r="F207" i="18"/>
  <c r="G207" i="18" l="1"/>
  <c r="E206" i="18"/>
  <c r="F206" i="18"/>
  <c r="G206" i="18" l="1"/>
  <c r="E205" i="18"/>
  <c r="F205" i="18"/>
  <c r="G205" i="18" l="1"/>
  <c r="E204" i="18"/>
  <c r="F204" i="18"/>
  <c r="G204" i="18" l="1"/>
  <c r="E203" i="18"/>
  <c r="F203" i="18"/>
  <c r="G203" i="18" l="1"/>
  <c r="E202" i="18"/>
  <c r="F202" i="18"/>
  <c r="G202" i="18" l="1"/>
  <c r="E201" i="18"/>
  <c r="F201" i="18"/>
  <c r="G201" i="18" l="1"/>
  <c r="E200" i="18"/>
  <c r="F200" i="18"/>
  <c r="G200" i="18" l="1"/>
  <c r="E199" i="18"/>
  <c r="F199" i="18"/>
  <c r="G199" i="18" l="1"/>
  <c r="E198" i="18"/>
  <c r="F198" i="18"/>
  <c r="G198" i="18" l="1"/>
  <c r="E197" i="18"/>
  <c r="F197" i="18"/>
  <c r="G197" i="18" l="1"/>
  <c r="E196" i="18"/>
  <c r="F196" i="18"/>
  <c r="G196" i="18" l="1"/>
  <c r="E195" i="18"/>
  <c r="F195" i="18"/>
  <c r="G195" i="18" l="1"/>
  <c r="E194" i="18"/>
  <c r="F194" i="18"/>
  <c r="G194" i="18" l="1"/>
  <c r="E193" i="18"/>
  <c r="F193" i="18"/>
  <c r="G193" i="18" l="1"/>
  <c r="E192" i="18"/>
  <c r="F192" i="18"/>
  <c r="G192" i="18" l="1"/>
  <c r="E191" i="18"/>
  <c r="F191" i="18"/>
  <c r="G191" i="18" l="1"/>
  <c r="E190" i="18"/>
  <c r="F190" i="18"/>
  <c r="G190" i="18" l="1"/>
  <c r="E189" i="18"/>
  <c r="F189" i="18"/>
  <c r="G189" i="18" l="1"/>
  <c r="E188" i="18"/>
  <c r="F188" i="18"/>
  <c r="G188" i="18" l="1"/>
  <c r="E187" i="18"/>
  <c r="F187" i="18"/>
  <c r="G187" i="18" l="1"/>
  <c r="E186" i="18"/>
  <c r="F186" i="18"/>
  <c r="G186" i="18" l="1"/>
  <c r="E185" i="18"/>
  <c r="F185" i="18"/>
  <c r="G185" i="18" l="1"/>
  <c r="E184" i="18"/>
  <c r="F184" i="18"/>
  <c r="G184" i="18" l="1"/>
  <c r="E183" i="18"/>
  <c r="F183" i="18"/>
  <c r="G183" i="18" l="1"/>
  <c r="E182" i="18"/>
  <c r="F182" i="18"/>
  <c r="G182" i="18" l="1"/>
  <c r="E181" i="18"/>
  <c r="F181" i="18"/>
  <c r="G181" i="18" l="1"/>
  <c r="E180" i="18"/>
  <c r="F180" i="18"/>
  <c r="G180" i="18" l="1"/>
  <c r="E179" i="18"/>
  <c r="F179" i="18"/>
  <c r="G179" i="18" l="1"/>
  <c r="E178" i="18"/>
  <c r="F178" i="18"/>
  <c r="G178" i="18" l="1"/>
  <c r="E177" i="18"/>
  <c r="F177" i="18"/>
  <c r="G177" i="18" l="1"/>
  <c r="E176" i="18"/>
  <c r="F176" i="18"/>
  <c r="G176" i="18" l="1"/>
  <c r="E175" i="18"/>
  <c r="F175" i="18"/>
  <c r="G175" i="18" l="1"/>
  <c r="E174" i="18"/>
  <c r="F174" i="18"/>
  <c r="G174" i="18" l="1"/>
  <c r="E173" i="18"/>
  <c r="F173" i="18"/>
  <c r="G173" i="18" l="1"/>
  <c r="E172" i="18"/>
  <c r="F172" i="18"/>
  <c r="G172" i="18" l="1"/>
  <c r="E171" i="18"/>
  <c r="F171" i="18"/>
  <c r="G171" i="18" l="1"/>
  <c r="E170" i="18"/>
  <c r="F170" i="18"/>
  <c r="G170" i="18" l="1"/>
  <c r="E169" i="18"/>
  <c r="F169" i="18"/>
  <c r="G169" i="18" l="1"/>
  <c r="E168" i="18"/>
  <c r="F168" i="18"/>
  <c r="G168" i="18" l="1"/>
  <c r="E167" i="18"/>
  <c r="F167" i="18"/>
  <c r="G167" i="18" l="1"/>
  <c r="E166" i="18"/>
  <c r="F166" i="18"/>
  <c r="G166" i="18" l="1"/>
  <c r="E165" i="18"/>
  <c r="F165" i="18"/>
  <c r="G165" i="18" l="1"/>
  <c r="E164" i="18"/>
  <c r="F164" i="18"/>
  <c r="G164" i="18" l="1"/>
  <c r="E163" i="18"/>
  <c r="F163" i="18"/>
  <c r="G163" i="18" l="1"/>
  <c r="E162" i="18"/>
  <c r="F162" i="18"/>
  <c r="G162" i="18" l="1"/>
  <c r="E161" i="18"/>
  <c r="F161" i="18"/>
  <c r="G161" i="18" l="1"/>
  <c r="E160" i="18"/>
  <c r="F160" i="18"/>
  <c r="G160" i="18" l="1"/>
  <c r="E159" i="18"/>
  <c r="F159" i="18"/>
  <c r="G159" i="18" l="1"/>
  <c r="E158" i="18"/>
  <c r="F158" i="18"/>
  <c r="G158" i="18" l="1"/>
  <c r="E157" i="18"/>
  <c r="F157" i="18"/>
  <c r="G157" i="18" l="1"/>
  <c r="E156" i="18"/>
  <c r="F156" i="18"/>
  <c r="G156" i="18" l="1"/>
  <c r="E155" i="18"/>
  <c r="F155" i="18"/>
  <c r="G155" i="18" l="1"/>
  <c r="E154" i="18"/>
  <c r="F154" i="18"/>
  <c r="G154" i="18" l="1"/>
  <c r="E153" i="18"/>
  <c r="F153" i="18"/>
  <c r="G153" i="18" l="1"/>
  <c r="E152" i="18"/>
  <c r="F152" i="18"/>
  <c r="G152" i="18" l="1"/>
  <c r="E151" i="18"/>
  <c r="F151" i="18"/>
  <c r="G151" i="18" l="1"/>
  <c r="E150" i="18"/>
  <c r="F150" i="18"/>
  <c r="G150" i="18" l="1"/>
  <c r="E149" i="18"/>
  <c r="F149" i="18"/>
  <c r="G149" i="18" l="1"/>
  <c r="E148" i="18"/>
  <c r="F148" i="18"/>
  <c r="G148" i="18" l="1"/>
  <c r="E147" i="18"/>
  <c r="F147" i="18"/>
  <c r="G147" i="18" l="1"/>
  <c r="E146" i="18"/>
  <c r="F146" i="18"/>
  <c r="G146" i="18" l="1"/>
  <c r="E145" i="18"/>
  <c r="F145" i="18"/>
  <c r="G145" i="18" l="1"/>
  <c r="E144" i="18"/>
  <c r="F144" i="18"/>
  <c r="G144" i="18" l="1"/>
  <c r="E143" i="18"/>
  <c r="F143" i="18"/>
  <c r="G143" i="18" l="1"/>
  <c r="E142" i="18"/>
  <c r="F142" i="18"/>
  <c r="G142" i="18" l="1"/>
  <c r="E141" i="18"/>
  <c r="F141" i="18"/>
  <c r="G141" i="18" l="1"/>
  <c r="E140" i="18"/>
  <c r="F140" i="18"/>
  <c r="G140" i="18" l="1"/>
  <c r="E139" i="18"/>
  <c r="F139" i="18"/>
  <c r="G139" i="18" l="1"/>
  <c r="E138" i="18"/>
  <c r="F138" i="18"/>
  <c r="G138" i="18" l="1"/>
  <c r="E137" i="18"/>
  <c r="F137" i="18"/>
  <c r="G137" i="18" l="1"/>
  <c r="E136" i="18"/>
  <c r="F136" i="18"/>
  <c r="G136" i="18" l="1"/>
  <c r="E135" i="18"/>
  <c r="F135" i="18"/>
  <c r="G135" i="18" l="1"/>
  <c r="E134" i="18"/>
  <c r="F134" i="18"/>
  <c r="G134" i="18" l="1"/>
  <c r="E133" i="18"/>
  <c r="F133" i="18"/>
  <c r="G133" i="18" l="1"/>
  <c r="E132" i="18"/>
  <c r="F132" i="18"/>
  <c r="G132" i="18" l="1"/>
  <c r="E131" i="18"/>
  <c r="F131" i="18"/>
  <c r="G131" i="18" l="1"/>
  <c r="C1" i="68" l="1"/>
  <c r="O90" i="67"/>
  <c r="O6" i="67"/>
  <c r="O92" i="67"/>
  <c r="O86" i="67"/>
  <c r="O54" i="67"/>
  <c r="O47" i="67"/>
  <c r="O85" i="67"/>
  <c r="O44" i="67"/>
  <c r="O18" i="67"/>
  <c r="O30" i="67"/>
  <c r="O48" i="67"/>
  <c r="O37" i="67"/>
  <c r="O46" i="67"/>
  <c r="O14" i="67"/>
  <c r="O70" i="67"/>
  <c r="O73" i="67"/>
  <c r="O88" i="67"/>
  <c r="O21" i="67"/>
  <c r="O66" i="67"/>
  <c r="O79" i="67"/>
  <c r="O67" i="67"/>
  <c r="O45" i="67"/>
  <c r="O34" i="67"/>
  <c r="O10" i="67"/>
  <c r="O36" i="67"/>
  <c r="O91" i="67"/>
  <c r="O74" i="67"/>
  <c r="O17" i="67"/>
  <c r="O63" i="67"/>
  <c r="O49" i="67"/>
  <c r="O87" i="67"/>
  <c r="O26" i="67"/>
  <c r="O31" i="67"/>
  <c r="O56" i="67"/>
  <c r="O60" i="67"/>
  <c r="O12" i="67"/>
  <c r="O81" i="67"/>
  <c r="O20" i="67"/>
  <c r="O11" i="67"/>
  <c r="O35" i="67"/>
  <c r="O61" i="67"/>
  <c r="O9" i="67"/>
  <c r="O59" i="67"/>
  <c r="O40" i="67"/>
  <c r="O84" i="67"/>
  <c r="O75" i="67"/>
  <c r="O43" i="67"/>
  <c r="O51" i="67"/>
  <c r="O33" i="67"/>
  <c r="O57" i="67"/>
  <c r="O22" i="67"/>
  <c r="O50" i="67"/>
  <c r="O29" i="67"/>
  <c r="O2" i="67"/>
  <c r="O13" i="67"/>
  <c r="O64" i="67"/>
  <c r="O27" i="67"/>
  <c r="O83" i="67"/>
  <c r="O82" i="67"/>
  <c r="O77" i="67"/>
  <c r="O78" i="67"/>
  <c r="O71" i="67"/>
  <c r="O5" i="67"/>
  <c r="O16" i="67"/>
  <c r="O38" i="67"/>
  <c r="O69" i="67"/>
  <c r="O32" i="67"/>
  <c r="O58" i="67"/>
  <c r="O65" i="67"/>
  <c r="O24" i="67"/>
  <c r="O3" i="67"/>
  <c r="O41" i="67"/>
  <c r="O42" i="67"/>
  <c r="O76" i="67"/>
  <c r="O25" i="67"/>
  <c r="O72" i="67"/>
  <c r="O19" i="67"/>
  <c r="O39" i="67"/>
  <c r="O89" i="67"/>
  <c r="O62" i="67"/>
  <c r="O53" i="67"/>
  <c r="O15" i="67"/>
  <c r="O23" i="67"/>
  <c r="O80" i="67"/>
  <c r="O55" i="67"/>
  <c r="O28" i="67"/>
  <c r="O68" i="67"/>
  <c r="O4" i="67"/>
  <c r="O52" i="67"/>
  <c r="O8" i="67"/>
  <c r="O7" i="67"/>
  <c r="C10" i="68" l="1"/>
  <c r="D10" i="68" s="1"/>
  <c r="C46" i="68"/>
  <c r="D46" i="68" s="1"/>
  <c r="C23" i="68"/>
  <c r="D23" i="68" s="1"/>
  <c r="C22" i="68"/>
  <c r="D22" i="68" s="1"/>
  <c r="C51" i="68"/>
  <c r="D51" i="68" s="1"/>
  <c r="C25" i="68"/>
  <c r="D25" i="68" s="1"/>
  <c r="C27" i="68"/>
  <c r="D27" i="68" s="1"/>
  <c r="C37" i="68"/>
  <c r="D37" i="68" s="1"/>
  <c r="C34" i="68"/>
  <c r="D34" i="68" s="1"/>
  <c r="C32" i="68"/>
  <c r="D32" i="68" s="1"/>
  <c r="C30" i="68"/>
  <c r="D30" i="68" s="1"/>
  <c r="C50" i="68"/>
  <c r="D50" i="68" s="1"/>
  <c r="C29" i="68"/>
  <c r="D29" i="68" s="1"/>
  <c r="C13" i="68"/>
  <c r="D13" i="68" s="1"/>
  <c r="C36" i="68"/>
  <c r="D36" i="68" s="1"/>
  <c r="C9" i="68"/>
  <c r="D9" i="68" s="1"/>
  <c r="C8" i="68"/>
  <c r="D8" i="68" s="1"/>
  <c r="C3" i="68"/>
  <c r="D3" i="68" s="1"/>
  <c r="C56" i="68"/>
  <c r="D56" i="68" s="1"/>
  <c r="C48" i="68"/>
  <c r="D48" i="68" s="1"/>
  <c r="C16" i="68"/>
  <c r="D16" i="68" s="1"/>
  <c r="C47" i="68"/>
  <c r="D47" i="68" s="1"/>
  <c r="C52" i="68"/>
  <c r="D52" i="68" s="1"/>
  <c r="C14" i="68"/>
  <c r="D14" i="68" s="1"/>
  <c r="C39" i="68"/>
  <c r="D39" i="68" s="1"/>
  <c r="C11" i="68"/>
  <c r="D11" i="68" s="1"/>
  <c r="C54" i="68"/>
  <c r="D54" i="68" s="1"/>
  <c r="C26" i="68"/>
  <c r="D26" i="68" s="1"/>
  <c r="C43" i="68"/>
  <c r="D43" i="68" s="1"/>
  <c r="C20" i="68"/>
  <c r="D20" i="68" s="1"/>
  <c r="C31" i="68"/>
  <c r="D31" i="68" s="1"/>
  <c r="C44" i="68"/>
  <c r="D44" i="68" s="1"/>
  <c r="C55" i="68"/>
  <c r="D55" i="68" s="1"/>
  <c r="C40" i="68"/>
  <c r="D40" i="68" s="1"/>
  <c r="C57" i="68"/>
  <c r="D57" i="68" s="1"/>
  <c r="C45" i="68"/>
  <c r="D45" i="68" s="1"/>
  <c r="C6" i="68"/>
  <c r="D6" i="68" s="1"/>
  <c r="C49" i="68"/>
  <c r="D49" i="68" s="1"/>
  <c r="C24" i="68"/>
  <c r="D24" i="68" s="1"/>
  <c r="C53" i="68"/>
  <c r="D53" i="68" s="1"/>
  <c r="C35" i="68"/>
  <c r="D35" i="68" s="1"/>
  <c r="C17" i="68"/>
  <c r="D17" i="68" s="1"/>
  <c r="C18" i="68"/>
  <c r="D18" i="68" s="1"/>
  <c r="C38" i="68"/>
  <c r="D38" i="68" s="1"/>
  <c r="C4" i="68"/>
  <c r="D4" i="68" s="1"/>
  <c r="C41" i="68"/>
  <c r="D41" i="68" s="1"/>
  <c r="C42" i="68"/>
  <c r="D42" i="68" s="1"/>
  <c r="C2" i="68"/>
  <c r="D2" i="68" s="1"/>
  <c r="C19" i="68"/>
  <c r="D19" i="68" s="1"/>
  <c r="C15" i="68"/>
  <c r="D15" i="68" s="1"/>
  <c r="C12" i="68"/>
  <c r="D12" i="68" s="1"/>
  <c r="C21" i="68"/>
  <c r="D21" i="68" s="1"/>
  <c r="C5" i="68"/>
  <c r="D5" i="68" s="1"/>
  <c r="C7" i="68"/>
  <c r="D7" i="68" s="1"/>
  <c r="C28" i="68"/>
  <c r="D28" i="68" s="1"/>
  <c r="C33" i="68"/>
  <c r="D33" i="6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McAllister</author>
  </authors>
  <commentList>
    <comment ref="X6" authorId="0" shapeId="0" xr:uid="{ADFABC23-313B-426E-AEB1-CFFA47D7D5B1}">
      <text>
        <r>
          <rPr>
            <b/>
            <sz val="9"/>
            <color indexed="81"/>
            <rFont val="Tahoma"/>
            <family val="2"/>
          </rPr>
          <t>David McAllister:</t>
        </r>
        <r>
          <rPr>
            <sz val="9"/>
            <color indexed="81"/>
            <rFont val="Tahoma"/>
            <family val="2"/>
          </rPr>
          <t xml:space="preserve">
This is the capital I currently have in the position. It is the amount of money I would have available to invest elsewhere if I don't do the roll.
Since rolling is for ITM options, this should be the strike price of the option being rolled.
Set this to share price if I own shares?
Set to current value of long calls if I have those?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McAllister</author>
  </authors>
  <commentList>
    <comment ref="V5" authorId="0" shapeId="0" xr:uid="{00000000-0006-0000-0500-000001000000}">
      <text>
        <r>
          <rPr>
            <b/>
            <sz val="9"/>
            <color indexed="81"/>
            <rFont val="Tahoma"/>
            <family val="2"/>
          </rPr>
          <t>David McAllister:</t>
        </r>
        <r>
          <rPr>
            <sz val="9"/>
            <color indexed="81"/>
            <rFont val="Tahoma"/>
            <family val="2"/>
          </rPr>
          <t xml:space="preserve">
This is the capital I currently have in the position. It is the amount of money I would have available to invest elsewhere if I don't do the roll.
Since rolling is for ITM options, this should be the strike price of the option being rolled.
Set this to share price if I own shares?
Set to current value of long calls if I have those?
</t>
        </r>
      </text>
    </comment>
  </commentList>
</comments>
</file>

<file path=xl/sharedStrings.xml><?xml version="1.0" encoding="utf-8"?>
<sst xmlns="http://schemas.openxmlformats.org/spreadsheetml/2006/main" count="3358" uniqueCount="1270">
  <si>
    <t>Ticker</t>
  </si>
  <si>
    <t>AMT</t>
  </si>
  <si>
    <t>AAPL</t>
  </si>
  <si>
    <t>DIS</t>
  </si>
  <si>
    <t>FB</t>
  </si>
  <si>
    <t>SWKS</t>
  </si>
  <si>
    <t>MDT</t>
  </si>
  <si>
    <t>Call</t>
  </si>
  <si>
    <t>Put</t>
  </si>
  <si>
    <t>Shares</t>
  </si>
  <si>
    <t>Strike Price</t>
  </si>
  <si>
    <t>Price</t>
  </si>
  <si>
    <t>Option Bid</t>
  </si>
  <si>
    <t>Option Ask</t>
  </si>
  <si>
    <t>Option Price</t>
  </si>
  <si>
    <t>Days</t>
  </si>
  <si>
    <t>Months</t>
  </si>
  <si>
    <t>Total Gain</t>
  </si>
  <si>
    <t>Share Price</t>
  </si>
  <si>
    <t>Time Value</t>
  </si>
  <si>
    <t>IsBasis</t>
  </si>
  <si>
    <t>Upside</t>
  </si>
  <si>
    <t>IncrCap</t>
  </si>
  <si>
    <t>ROIC</t>
  </si>
  <si>
    <t>JNJ</t>
  </si>
  <si>
    <t>SHOP</t>
  </si>
  <si>
    <t>OTEX</t>
  </si>
  <si>
    <t>EBAY</t>
  </si>
  <si>
    <t>NVDA</t>
  </si>
  <si>
    <t>C</t>
  </si>
  <si>
    <t>C/P</t>
  </si>
  <si>
    <t>TDA</t>
  </si>
  <si>
    <t>Option Ticker</t>
  </si>
  <si>
    <t>Int. Value</t>
  </si>
  <si>
    <t>TV Gain/Mo</t>
  </si>
  <si>
    <t>ROIC/Qtr</t>
  </si>
  <si>
    <t>P</t>
  </si>
  <si>
    <t>Name</t>
  </si>
  <si>
    <t>Investment</t>
  </si>
  <si>
    <t>Expectation</t>
  </si>
  <si>
    <t>Mean:</t>
  </si>
  <si>
    <t>Stdev:</t>
  </si>
  <si>
    <t>Mean</t>
  </si>
  <si>
    <t>Stdev</t>
  </si>
  <si>
    <t>Distribution of Stock Price:</t>
  </si>
  <si>
    <t>Expected value of stock price:</t>
  </si>
  <si>
    <t>Best option as of 12/31</t>
  </si>
  <si>
    <t>As of 1/31</t>
  </si>
  <si>
    <t>Low Strike</t>
  </si>
  <si>
    <t>High Strike</t>
  </si>
  <si>
    <t>Strike Stride</t>
  </si>
  <si>
    <t>Next Friday</t>
  </si>
  <si>
    <t>Date</t>
  </si>
  <si>
    <t>#N/A</t>
  </si>
  <si>
    <t>Good</t>
  </si>
  <si>
    <t>CME</t>
  </si>
  <si>
    <t>Offset</t>
  </si>
  <si>
    <t>Expiration Dates</t>
  </si>
  <si>
    <t>Index</t>
  </si>
  <si>
    <t>ROC/Year</t>
  </si>
  <si>
    <t>IncrRet</t>
  </si>
  <si>
    <t>weekly</t>
  </si>
  <si>
    <t>monthly</t>
  </si>
  <si>
    <t>manual</t>
  </si>
  <si>
    <t>Bid</t>
  </si>
  <si>
    <t>Ask</t>
  </si>
  <si>
    <t>SSTK</t>
  </si>
  <si>
    <t>Gain</t>
  </si>
  <si>
    <t>BRK.B</t>
  </si>
  <si>
    <t>BRKB</t>
  </si>
  <si>
    <t>Opt Ticker</t>
  </si>
  <si>
    <t>Phase</t>
  </si>
  <si>
    <t>AMZN</t>
  </si>
  <si>
    <t>BreakEven</t>
  </si>
  <si>
    <t>SQ</t>
  </si>
  <si>
    <t>FDS</t>
  </si>
  <si>
    <t>TCEHY</t>
  </si>
  <si>
    <t>ADBE</t>
  </si>
  <si>
    <t>NVR</t>
  </si>
  <si>
    <t>ORCL</t>
  </si>
  <si>
    <t>V</t>
  </si>
  <si>
    <t>PAYC</t>
  </si>
  <si>
    <t>MA</t>
  </si>
  <si>
    <t>BR</t>
  </si>
  <si>
    <t>CBOE</t>
  </si>
  <si>
    <t>HD</t>
  </si>
  <si>
    <t>JD</t>
  </si>
  <si>
    <t>MAR</t>
  </si>
  <si>
    <t>NFLX</t>
  </si>
  <si>
    <t>PYPL</t>
  </si>
  <si>
    <t>TEAM</t>
  </si>
  <si>
    <t>TTD</t>
  </si>
  <si>
    <t>Roll Strike Price</t>
  </si>
  <si>
    <t>Roll Option Price</t>
  </si>
  <si>
    <t>Tag</t>
  </si>
  <si>
    <t>Buy Option</t>
  </si>
  <si>
    <t>Spread</t>
  </si>
  <si>
    <t>Breakeven</t>
  </si>
  <si>
    <t>Profit %</t>
  </si>
  <si>
    <t>Profit $</t>
  </si>
  <si>
    <t>Option Price Difference</t>
  </si>
  <si>
    <t>Days away:</t>
  </si>
  <si>
    <t>Target Price:</t>
  </si>
  <si>
    <t>Investment:</t>
  </si>
  <si>
    <t>Shares To Buy</t>
  </si>
  <si>
    <t>Total Profit $</t>
  </si>
  <si>
    <t>BAD</t>
  </si>
  <si>
    <t>Annualized Profit</t>
  </si>
  <si>
    <t>Percent Gain</t>
  </si>
  <si>
    <t>ZUO</t>
  </si>
  <si>
    <t>CRM</t>
  </si>
  <si>
    <t/>
  </si>
  <si>
    <t>Buy=1 Sell=-1</t>
  </si>
  <si>
    <t>Max Loss</t>
  </si>
  <si>
    <t>Call=C Put=P</t>
  </si>
  <si>
    <t>Note: Still need to fix min/max for C/P</t>
  </si>
  <si>
    <t>Max Gain</t>
  </si>
  <si>
    <t>Include Costs</t>
  </si>
  <si>
    <t>End Price</t>
  </si>
  <si>
    <t>Volatility</t>
  </si>
  <si>
    <t>Volatility:</t>
  </si>
  <si>
    <t>52WeekLow</t>
  </si>
  <si>
    <t>52WeekHigh</t>
  </si>
  <si>
    <t>Yield</t>
  </si>
  <si>
    <t>ExDividendDate</t>
  </si>
  <si>
    <t>IsShortable</t>
  </si>
  <si>
    <t>Service</t>
  </si>
  <si>
    <t>CAG</t>
  </si>
  <si>
    <t>EFX</t>
  </si>
  <si>
    <t>XRAY</t>
  </si>
  <si>
    <t>MKTX</t>
  </si>
  <si>
    <t>KMI</t>
  </si>
  <si>
    <t>PRLB</t>
  </si>
  <si>
    <t>ZM</t>
  </si>
  <si>
    <t>ANET</t>
  </si>
  <si>
    <t>BAM</t>
  </si>
  <si>
    <t>BV</t>
  </si>
  <si>
    <t>TWLO</t>
  </si>
  <si>
    <t>CAPS Stars</t>
  </si>
  <si>
    <t>LS short</t>
  </si>
  <si>
    <t>LS long</t>
  </si>
  <si>
    <t>options</t>
  </si>
  <si>
    <t>SA</t>
  </si>
  <si>
    <t>should sell</t>
  </si>
  <si>
    <t>Pro Tier 1</t>
  </si>
  <si>
    <t>Pro Tier 2</t>
  </si>
  <si>
    <t>Pro Tier 3</t>
  </si>
  <si>
    <t>SA starter/options</t>
  </si>
  <si>
    <t>RB</t>
  </si>
  <si>
    <t>Cost Basis</t>
  </si>
  <si>
    <t>DOCU</t>
  </si>
  <si>
    <t>FSLY</t>
  </si>
  <si>
    <t>Account</t>
  </si>
  <si>
    <t>KNSL</t>
  </si>
  <si>
    <t>ZS</t>
  </si>
  <si>
    <t>S</t>
  </si>
  <si>
    <t>SFIX</t>
  </si>
  <si>
    <t>SARB</t>
  </si>
  <si>
    <t>MP2020</t>
  </si>
  <si>
    <t>Pro diag</t>
  </si>
  <si>
    <t>BRKB_011521C210</t>
  </si>
  <si>
    <t>BRKB_011521P210</t>
  </si>
  <si>
    <t>BRKB_011720C215</t>
  </si>
  <si>
    <t>Net Long Equiv</t>
  </si>
  <si>
    <t>ETSY</t>
  </si>
  <si>
    <t>TDOC</t>
  </si>
  <si>
    <t>ZEN</t>
  </si>
  <si>
    <t>CWBHF</t>
  </si>
  <si>
    <t>QCOM</t>
  </si>
  <si>
    <t>Gain $</t>
  </si>
  <si>
    <t>Gain %</t>
  </si>
  <si>
    <t>Mkt Value</t>
  </si>
  <si>
    <t>Cost/Share</t>
  </si>
  <si>
    <t>Strike</t>
  </si>
  <si>
    <t>https://www.qmatix.com/</t>
  </si>
  <si>
    <t>Account1</t>
  </si>
  <si>
    <t>Account2</t>
  </si>
  <si>
    <t>Account3</t>
  </si>
  <si>
    <t>What the sheets mean and how to use them:</t>
  </si>
  <si>
    <t>Portfolio</t>
  </si>
  <si>
    <t>Exposure</t>
  </si>
  <si>
    <t xml:space="preserve">Contains one line for each position I have. In the Shares column I put 100 for an owned call or put and -100 for a written call or put. </t>
  </si>
  <si>
    <t>Since there are shares and options in the same sheet some of the equations differ so copy the right kind of line to add a new position.</t>
  </si>
  <si>
    <t>The last column shows how much money I would gain or lose if there were a 1% drop in the share price (change the top cell to another % if you want.)</t>
  </si>
  <si>
    <t>Aggregates the 1% loss column for all the positions in a given ticker and multipies to show what amount of owned shares has an equivalent exposure. Helps me know when I'm over or underexposed to a given ticker.</t>
  </si>
  <si>
    <t>This is also where I keep track of what Motley Fool says about each stock.</t>
  </si>
  <si>
    <t>Generator</t>
  </si>
  <si>
    <t>A tricky one. This is where I try to generate a list of all the options for a given ticker (the option chain). If you can find a better way to do this please tell me.</t>
  </si>
  <si>
    <t>Set up the ticker and the range of option prices you're interested in at the upper right. Then update the possible option expiration dates by manually changing the red date in cell O21 to the next options Friday not listed among the weeklies above it.</t>
  </si>
  <si>
    <t>HD_120619C170</t>
  </si>
  <si>
    <t>HD_120619C171</t>
  </si>
  <si>
    <t>HD_120619C172</t>
  </si>
  <si>
    <t>HD_120619C172.5</t>
  </si>
  <si>
    <t>HD_120619C173</t>
  </si>
  <si>
    <t>HD_120619C174</t>
  </si>
  <si>
    <t>HD_120619C175</t>
  </si>
  <si>
    <t>HD_120619C176</t>
  </si>
  <si>
    <t>HD_120619C177</t>
  </si>
  <si>
    <t>HD_120619C177.5</t>
  </si>
  <si>
    <t>HD_120619C178</t>
  </si>
  <si>
    <t>HD_120619C179</t>
  </si>
  <si>
    <t>HD_120619C180</t>
  </si>
  <si>
    <t>HD_120619C181</t>
  </si>
  <si>
    <t>HD_120619C182</t>
  </si>
  <si>
    <t>HD_120619C182.5</t>
  </si>
  <si>
    <t>HD_120619C183</t>
  </si>
  <si>
    <t>HD_120619C184</t>
  </si>
  <si>
    <t>HD_120619C185</t>
  </si>
  <si>
    <t>HD Dec 6 2019 185 Call (Weekly)</t>
  </si>
  <si>
    <t>HD_120619C186</t>
  </si>
  <si>
    <t>HD_120619C187</t>
  </si>
  <si>
    <t>HD_120619C187.5</t>
  </si>
  <si>
    <t>HD Dec 6 2019 187.5 Call (Weekly)</t>
  </si>
  <si>
    <t>HD_120619C188</t>
  </si>
  <si>
    <t>HD_120619C189</t>
  </si>
  <si>
    <t>HD_120619C190</t>
  </si>
  <si>
    <t>HD Dec 6 2019 190 Call (Weekly)</t>
  </si>
  <si>
    <t>HD_120619C191</t>
  </si>
  <si>
    <t>HD_120619C192</t>
  </si>
  <si>
    <t>HD_120619C192.5</t>
  </si>
  <si>
    <t>HD Dec 6 2019 192.5 Call (Weekly)</t>
  </si>
  <si>
    <t>HD_120619C193</t>
  </si>
  <si>
    <t>HD_120619C194</t>
  </si>
  <si>
    <t>HD_120619C195</t>
  </si>
  <si>
    <t>HD Dec 6 2019 195 Call (Weekly)</t>
  </si>
  <si>
    <t>HD_120619C196</t>
  </si>
  <si>
    <t>HD_120619C197</t>
  </si>
  <si>
    <t>HD_120619C197.5</t>
  </si>
  <si>
    <t>HD Dec 6 2019 197.5 Call (Weekly)</t>
  </si>
  <si>
    <t>HD_120619C198</t>
  </si>
  <si>
    <t>HD_120619C199</t>
  </si>
  <si>
    <t>HD_120619C200</t>
  </si>
  <si>
    <t>HD Dec 6 2019 200 Call (Weekly)</t>
  </si>
  <si>
    <t>HD_120619C201</t>
  </si>
  <si>
    <t>HD_120619C202</t>
  </si>
  <si>
    <t>HD_120619C202.5</t>
  </si>
  <si>
    <t>HD Dec 6 2019 202.5 Call (Weekly)</t>
  </si>
  <si>
    <t>HD_120619C203</t>
  </si>
  <si>
    <t>HD_120619C204</t>
  </si>
  <si>
    <t>HD_120619C205</t>
  </si>
  <si>
    <t>HD Dec 6 2019 205 Call (Weekly)</t>
  </si>
  <si>
    <t>HD_120619C206</t>
  </si>
  <si>
    <t>HD_120619C207</t>
  </si>
  <si>
    <t>HD_120619C207.5</t>
  </si>
  <si>
    <t>HD Dec 6 2019 207.5 Call (Weekly)</t>
  </si>
  <si>
    <t>HD_120619C208</t>
  </si>
  <si>
    <t>HD_120619C209</t>
  </si>
  <si>
    <t>HD_120619C210</t>
  </si>
  <si>
    <t>HD Dec 6 2019 210 Call (Weekly)</t>
  </si>
  <si>
    <t>HD_120619C211</t>
  </si>
  <si>
    <t>HD_120619C212</t>
  </si>
  <si>
    <t>HD_120619C212.5</t>
  </si>
  <si>
    <t>HD Dec 6 2019 212.5 Call (Weekly)</t>
  </si>
  <si>
    <t>HD_120619C213</t>
  </si>
  <si>
    <t>HD_120619C214</t>
  </si>
  <si>
    <t>HD_120619C215</t>
  </si>
  <si>
    <t>HD Dec 6 2019 215 Call (Weekly)</t>
  </si>
  <si>
    <t>HD_120619C216</t>
  </si>
  <si>
    <t>HD_120619C217</t>
  </si>
  <si>
    <t>HD_120619C217.5</t>
  </si>
  <si>
    <t>HD Dec 6 2019 217.5 Call (Weekly)</t>
  </si>
  <si>
    <t>HD_120619C218</t>
  </si>
  <si>
    <t>HD_120619C219</t>
  </si>
  <si>
    <t>HD_120619C220</t>
  </si>
  <si>
    <t>HD Dec 6 2019 220 Call (Weekly)</t>
  </si>
  <si>
    <t>HD_120619C221</t>
  </si>
  <si>
    <t>HD_120619C222</t>
  </si>
  <si>
    <t>HD_120619C222.5</t>
  </si>
  <si>
    <t>HD Dec 6 2019 222.5 Call (Weekly)</t>
  </si>
  <si>
    <t>HD_120619C223</t>
  </si>
  <si>
    <t>HD_120619C224</t>
  </si>
  <si>
    <t>HD_120619C225</t>
  </si>
  <si>
    <t>HD Dec 6 2019 225 Call (Weekly)</t>
  </si>
  <si>
    <t>HD_120619C226</t>
  </si>
  <si>
    <t>HD_120619C227</t>
  </si>
  <si>
    <t>HD_120619C227.5</t>
  </si>
  <si>
    <t>HD Dec 6 2019 227.5 Call (Weekly)</t>
  </si>
  <si>
    <t>HD_120619C228</t>
  </si>
  <si>
    <t>HD_120619C229</t>
  </si>
  <si>
    <t>HD_120619C230</t>
  </si>
  <si>
    <t>HD Dec 6 2019 230 Call (Weekly)</t>
  </si>
  <si>
    <t>HD_120619C231</t>
  </si>
  <si>
    <t>HD_120619C232</t>
  </si>
  <si>
    <t>HD_120619C232.5</t>
  </si>
  <si>
    <t>HD Dec 6 2019 232.5 Call (Weekly)</t>
  </si>
  <si>
    <t>HD_120619C233</t>
  </si>
  <si>
    <t>HD_120619C234</t>
  </si>
  <si>
    <t>HD_120619C235</t>
  </si>
  <si>
    <t>HD Dec 6 2019 235 Call (Weekly)</t>
  </si>
  <si>
    <t>HD_121319C170</t>
  </si>
  <si>
    <t>HD_121319C171</t>
  </si>
  <si>
    <t>HD_121319C171.5</t>
  </si>
  <si>
    <t>HD_121319C172</t>
  </si>
  <si>
    <t>HD_121319C173</t>
  </si>
  <si>
    <t>HD_121319C174</t>
  </si>
  <si>
    <t>HD_121319C175</t>
  </si>
  <si>
    <t>HD_121319C176</t>
  </si>
  <si>
    <t>HD_121319C176.5</t>
  </si>
  <si>
    <t>HD_121319C177</t>
  </si>
  <si>
    <t>HD_121319C178</t>
  </si>
  <si>
    <t>HD_121319C179</t>
  </si>
  <si>
    <t>HD_121319C180</t>
  </si>
  <si>
    <t>HD_121319C181</t>
  </si>
  <si>
    <t>HD_121319C181.5</t>
  </si>
  <si>
    <t>HD_121319C182</t>
  </si>
  <si>
    <t>HD_121319C183</t>
  </si>
  <si>
    <t>HD_121319C184</t>
  </si>
  <si>
    <t>HD_121319C185</t>
  </si>
  <si>
    <t>HD Dec 13 2019 185 Call (Weekly)</t>
  </si>
  <si>
    <t>HD_121319C186</t>
  </si>
  <si>
    <t>HD_121319C186.5</t>
  </si>
  <si>
    <t>HD_121319C187</t>
  </si>
  <si>
    <t>HD_121319C188</t>
  </si>
  <si>
    <t>HD_121319C189</t>
  </si>
  <si>
    <t>HD_121319C190</t>
  </si>
  <si>
    <t>HD Dec 13 2019 190 Call (Weekly)</t>
  </si>
  <si>
    <t>HD_121319C191</t>
  </si>
  <si>
    <t>HD_121319C191.5</t>
  </si>
  <si>
    <t>HD_121319C192</t>
  </si>
  <si>
    <t>HD_121319C193</t>
  </si>
  <si>
    <t>HD_121319C194</t>
  </si>
  <si>
    <t>HD_121319C195</t>
  </si>
  <si>
    <t>HD Dec 13 2019 195 Call (Weekly)</t>
  </si>
  <si>
    <t>HD_121319C196</t>
  </si>
  <si>
    <t>HD_121319C196.5</t>
  </si>
  <si>
    <t>HD_121319C197</t>
  </si>
  <si>
    <t>HD_121319C198</t>
  </si>
  <si>
    <t>HD_121319C199</t>
  </si>
  <si>
    <t>HD_121319C200</t>
  </si>
  <si>
    <t>HD Dec 13 2019 200 Call (Weekly)</t>
  </si>
  <si>
    <t>HD_121319C201</t>
  </si>
  <si>
    <t>HD_121319C201.5</t>
  </si>
  <si>
    <t>HD_121319C202</t>
  </si>
  <si>
    <t>HD_121319C203</t>
  </si>
  <si>
    <t>HD_121319C204</t>
  </si>
  <si>
    <t>HD_121319C205</t>
  </si>
  <si>
    <t>HD Dec 13 2019 205 Call (Weekly)</t>
  </si>
  <si>
    <t>HD_121319C206</t>
  </si>
  <si>
    <t>HD_121319C206.5</t>
  </si>
  <si>
    <t>HD_121319C207</t>
  </si>
  <si>
    <t>HD_121319C208</t>
  </si>
  <si>
    <t>HD_121319C209</t>
  </si>
  <si>
    <t>HD_121319C210</t>
  </si>
  <si>
    <t>HD Dec 13 2019 210 Call (Weekly)</t>
  </si>
  <si>
    <t>HD_121319C211</t>
  </si>
  <si>
    <t>HD_121319C211.5</t>
  </si>
  <si>
    <t>HD_121319C212</t>
  </si>
  <si>
    <t>HD_121319C213</t>
  </si>
  <si>
    <t>HD_121319C214</t>
  </si>
  <si>
    <t>HD_121319C215</t>
  </si>
  <si>
    <t>HD Dec 13 2019 215 Call (Weekly)</t>
  </si>
  <si>
    <t>HD_121319C216</t>
  </si>
  <si>
    <t>HD_121319C216.5</t>
  </si>
  <si>
    <t>HD_121319C217</t>
  </si>
  <si>
    <t>HD_121319C218</t>
  </si>
  <si>
    <t>HD_121319C219</t>
  </si>
  <si>
    <t>HD_121319C220</t>
  </si>
  <si>
    <t>HD Dec 13 2019 220 Call (Weekly)</t>
  </si>
  <si>
    <t>HD_121319C221</t>
  </si>
  <si>
    <t>HD_121319C221.5</t>
  </si>
  <si>
    <t>HD_121319C222</t>
  </si>
  <si>
    <t>HD_121319C223</t>
  </si>
  <si>
    <t>HD_121319C224</t>
  </si>
  <si>
    <t>HD_121319C225</t>
  </si>
  <si>
    <t>HD Dec 13 2019 225 Call (Weekly)</t>
  </si>
  <si>
    <t>HD_121319C226</t>
  </si>
  <si>
    <t>HD_121319C226.5</t>
  </si>
  <si>
    <t>HD_121319C227</t>
  </si>
  <si>
    <t>HD_121319C228</t>
  </si>
  <si>
    <t>HD_121319C229</t>
  </si>
  <si>
    <t>HD_121319C230</t>
  </si>
  <si>
    <t>HD Dec 13 2019 230 Call (Weekly)</t>
  </si>
  <si>
    <t>HD_121319C231</t>
  </si>
  <si>
    <t>HD_121319C231.5</t>
  </si>
  <si>
    <t>HD_121319C232</t>
  </si>
  <si>
    <t>HD_121319C233</t>
  </si>
  <si>
    <t>HD_121319C234</t>
  </si>
  <si>
    <t>HD_121319C235</t>
  </si>
  <si>
    <t>HD Dec 13 2019 235 Call (Weekly)</t>
  </si>
  <si>
    <t>HD_122019C170</t>
  </si>
  <si>
    <t>HD Dec 20 2019 170 Call</t>
  </si>
  <si>
    <t>HD_122019C170.5</t>
  </si>
  <si>
    <t>HD_122019C171</t>
  </si>
  <si>
    <t>HD_122019C172</t>
  </si>
  <si>
    <t>HD_122019C173</t>
  </si>
  <si>
    <t>HD_122019C174</t>
  </si>
  <si>
    <t>HD_122019C175</t>
  </si>
  <si>
    <t>HD Dec 20 2019 175 Call</t>
  </si>
  <si>
    <t>HD_122019C175.5</t>
  </si>
  <si>
    <t>HD_122019C176</t>
  </si>
  <si>
    <t>HD_122019C177</t>
  </si>
  <si>
    <t>HD_122019C178</t>
  </si>
  <si>
    <t>HD_122019C179</t>
  </si>
  <si>
    <t>HD_122019C180</t>
  </si>
  <si>
    <t>HD Dec 20 2019 180 Call</t>
  </si>
  <si>
    <t>HD_122019C180.5</t>
  </si>
  <si>
    <t>HD_122019C181</t>
  </si>
  <si>
    <t>HD_122019C182</t>
  </si>
  <si>
    <t>HD_122019C183</t>
  </si>
  <si>
    <t>HD_122019C184</t>
  </si>
  <si>
    <t>HD_122019C185</t>
  </si>
  <si>
    <t>HD Dec 20 2019 185 Call</t>
  </si>
  <si>
    <t>HD_122019C185.5</t>
  </si>
  <si>
    <t>HD_122019C186</t>
  </si>
  <si>
    <t>HD_122019C187</t>
  </si>
  <si>
    <t>HD_122019C188</t>
  </si>
  <si>
    <t>HD_122019C189</t>
  </si>
  <si>
    <t>HD_122019C190</t>
  </si>
  <si>
    <t>HD Dec 20 2019 190 Call</t>
  </si>
  <si>
    <t>HD_122019C190.5</t>
  </si>
  <si>
    <t>HD_122019C191</t>
  </si>
  <si>
    <t>HD_122019C192</t>
  </si>
  <si>
    <t>HD_122019C193</t>
  </si>
  <si>
    <t>HD_122019C194</t>
  </si>
  <si>
    <t>HD_122019C195</t>
  </si>
  <si>
    <t>HD Dec 20 2019 195 Call</t>
  </si>
  <si>
    <t>HD_122019C195.5</t>
  </si>
  <si>
    <t>HD_122019C196</t>
  </si>
  <si>
    <t>HD_122019C197</t>
  </si>
  <si>
    <t>HD_122019C198</t>
  </si>
  <si>
    <t>HD_122019C199</t>
  </si>
  <si>
    <t>HD_122019C200</t>
  </si>
  <si>
    <t>HD Dec 20 2019 200 Call</t>
  </si>
  <si>
    <t>HD_122019C200.5</t>
  </si>
  <si>
    <t>HD_122019C201</t>
  </si>
  <si>
    <t>HD_122019C202</t>
  </si>
  <si>
    <t>HD_122019C203</t>
  </si>
  <si>
    <t>HD_122019C204</t>
  </si>
  <si>
    <t>HD_122019C205</t>
  </si>
  <si>
    <t>HD Dec 20 2019 205 Call</t>
  </si>
  <si>
    <t>HD_122019C205.5</t>
  </si>
  <si>
    <t>HD_122019C206</t>
  </si>
  <si>
    <t>HD_122019C207</t>
  </si>
  <si>
    <t>HD_122019C208</t>
  </si>
  <si>
    <t>HD_122019C209</t>
  </si>
  <si>
    <t>HD_122019C210</t>
  </si>
  <si>
    <t>HD Dec 20 2019 210 Call</t>
  </si>
  <si>
    <t>HD_122019C210.5</t>
  </si>
  <si>
    <t>HD_122019C211</t>
  </si>
  <si>
    <t>HD_122019C212</t>
  </si>
  <si>
    <t>HD_122019C213</t>
  </si>
  <si>
    <t>HD_122019C214</t>
  </si>
  <si>
    <t>HD_122019C215</t>
  </si>
  <si>
    <t>HD Dec 20 2019 215 Call</t>
  </si>
  <si>
    <t>HD_122019C215.5</t>
  </si>
  <si>
    <t>HD_122019C216</t>
  </si>
  <si>
    <t>HD_122019C217</t>
  </si>
  <si>
    <t>HD_122019C218</t>
  </si>
  <si>
    <t>HD_122019C219</t>
  </si>
  <si>
    <t>HD_122019C220</t>
  </si>
  <si>
    <t>HD Dec 20 2019 220 Call</t>
  </si>
  <si>
    <t>HD_122019C220.5</t>
  </si>
  <si>
    <t>HD_122019C221</t>
  </si>
  <si>
    <t>HD_122019C222</t>
  </si>
  <si>
    <t>HD_122019C223</t>
  </si>
  <si>
    <t>HD_122019C224</t>
  </si>
  <si>
    <t>HD_122019C225</t>
  </si>
  <si>
    <t>HD Dec 20 2019 225 Call</t>
  </si>
  <si>
    <t>HD_122019C225.5</t>
  </si>
  <si>
    <t>HD_122019C226</t>
  </si>
  <si>
    <t>HD_122019C227</t>
  </si>
  <si>
    <t>HD_122019C228</t>
  </si>
  <si>
    <t>HD_122019C229</t>
  </si>
  <si>
    <t>HD_122019C230</t>
  </si>
  <si>
    <t>HD Dec 20 2019 230 Call</t>
  </si>
  <si>
    <t>HD_122019C230.5</t>
  </si>
  <si>
    <t>HD_122019C231</t>
  </si>
  <si>
    <t>HD_122019C232</t>
  </si>
  <si>
    <t>HD_122019C233</t>
  </si>
  <si>
    <t>HD_122019C234</t>
  </si>
  <si>
    <t>HD_122019C235</t>
  </si>
  <si>
    <t>HD Dec 20 2019 235 Call</t>
  </si>
  <si>
    <t>HD_122719C170</t>
  </si>
  <si>
    <t>HD_122719C170.5</t>
  </si>
  <si>
    <t>HD_122719C171.5</t>
  </si>
  <si>
    <t>HD_122719C172.5</t>
  </si>
  <si>
    <t>HD_122719C173.5</t>
  </si>
  <si>
    <t>HD_122719C174.5</t>
  </si>
  <si>
    <t>HD_122719C175</t>
  </si>
  <si>
    <t>HD_122719C175.5</t>
  </si>
  <si>
    <t>HD_122719C176.5</t>
  </si>
  <si>
    <t>HD_122719C177.5</t>
  </si>
  <si>
    <t>HD_122719C178.5</t>
  </si>
  <si>
    <t>HD_122719C179.5</t>
  </si>
  <si>
    <t>HD_122719C180</t>
  </si>
  <si>
    <t>HD_122719C180.5</t>
  </si>
  <si>
    <t>HD_122719C181.5</t>
  </si>
  <si>
    <t>HD_122719C182.5</t>
  </si>
  <si>
    <t>HD_122719C183.5</t>
  </si>
  <si>
    <t>HD_122719C184.5</t>
  </si>
  <si>
    <t>HD_122719C185</t>
  </si>
  <si>
    <t>HD Dec 27 2019 185 Call (Weekly)</t>
  </si>
  <si>
    <t>HD_122719C185.5</t>
  </si>
  <si>
    <t>HD_122719C186.5</t>
  </si>
  <si>
    <t>HD_122719C187.5</t>
  </si>
  <si>
    <t>HD_122719C188.5</t>
  </si>
  <si>
    <t>HD_122719C189.5</t>
  </si>
  <si>
    <t>HD_122719C190</t>
  </si>
  <si>
    <t>HD Dec 27 2019 190 Call (Weekly)</t>
  </si>
  <si>
    <t>HD_122719C190.5</t>
  </si>
  <si>
    <t>HD_122719C191.5</t>
  </si>
  <si>
    <t>HD_122719C192.5</t>
  </si>
  <si>
    <t>HD_122719C193.5</t>
  </si>
  <si>
    <t>HD_122719C194.5</t>
  </si>
  <si>
    <t>HD_122719C195</t>
  </si>
  <si>
    <t>HD Dec 27 2019 195 Call (Weekly)</t>
  </si>
  <si>
    <t>HD_122719C195.5</t>
  </si>
  <si>
    <t>HD_122719C196.5</t>
  </si>
  <si>
    <t>HD_122719C197.5</t>
  </si>
  <si>
    <t>HD Dec 27 2019 197.5 Call (Weekly)</t>
  </si>
  <si>
    <t>HD_122719C198.5</t>
  </si>
  <si>
    <t>HD_122719C199.5</t>
  </si>
  <si>
    <t>HD_122719C200</t>
  </si>
  <si>
    <t>HD Dec 27 2019 200 Call (Weekly)</t>
  </si>
  <si>
    <t>HD_122719C200.5</t>
  </si>
  <si>
    <t>HD_122719C201.5</t>
  </si>
  <si>
    <t>HD_122719C202.5</t>
  </si>
  <si>
    <t>HD Dec 27 2019 202.5 Call (Weekly)</t>
  </si>
  <si>
    <t>HD_122719C203.5</t>
  </si>
  <si>
    <t>HD_122719C204.5</t>
  </si>
  <si>
    <t>HD_122719C205</t>
  </si>
  <si>
    <t>HD Dec 27 2019 205 Call (Weekly)</t>
  </si>
  <si>
    <t>HD_122719C205.5</t>
  </si>
  <si>
    <t>HD_122719C206.5</t>
  </si>
  <si>
    <t>HD_122719C207.5</t>
  </si>
  <si>
    <t>HD Dec 27 2019 207.5 Call (Weekly)</t>
  </si>
  <si>
    <t>HD_122719C208.5</t>
  </si>
  <si>
    <t>HD_122719C209.5</t>
  </si>
  <si>
    <t>HD_122719C210</t>
  </si>
  <si>
    <t>HD Dec 27 2019 210 Call (Weekly)</t>
  </si>
  <si>
    <t>HD_122719C210.5</t>
  </si>
  <si>
    <t>HD_122719C211.5</t>
  </si>
  <si>
    <t>HD_122719C212.5</t>
  </si>
  <si>
    <t>HD Dec 27 2019 212.5 Call (Weekly)</t>
  </si>
  <si>
    <t>HD_122719C213.5</t>
  </si>
  <si>
    <t>HD_122719C214.5</t>
  </si>
  <si>
    <t>HD_122719C215</t>
  </si>
  <si>
    <t>HD Dec 27 2019 215 Call (Weekly)</t>
  </si>
  <si>
    <t>HD_122719C215.5</t>
  </si>
  <si>
    <t>HD_122719C216.5</t>
  </si>
  <si>
    <t>HD_122719C217.5</t>
  </si>
  <si>
    <t>HD Dec 27 2019 217.5 Call (Weekly)</t>
  </si>
  <si>
    <t>HD_122719C218.5</t>
  </si>
  <si>
    <t>HD_122719C219.5</t>
  </si>
  <si>
    <t>HD_122719C220</t>
  </si>
  <si>
    <t>HD Dec 27 2019 220 Call (Weekly)</t>
  </si>
  <si>
    <t>HD_122719C220.5</t>
  </si>
  <si>
    <t>HD_122719C221.5</t>
  </si>
  <si>
    <t>HD_122719C222.5</t>
  </si>
  <si>
    <t>HD Dec 27 2019 222.5 Call (Weekly)</t>
  </si>
  <si>
    <t>HD_122719C223.5</t>
  </si>
  <si>
    <t>HD_122719C224.5</t>
  </si>
  <si>
    <t>HD_122719C225</t>
  </si>
  <si>
    <t>HD Dec 27 2019 225 Call (Weekly)</t>
  </si>
  <si>
    <t>HD_122719C225.5</t>
  </si>
  <si>
    <t>HD_122719C226.5</t>
  </si>
  <si>
    <t>HD_122719C227.5</t>
  </si>
  <si>
    <t>HD Dec 27 2019 227.5 Call (Weekly)</t>
  </si>
  <si>
    <t>HD_122719C228.5</t>
  </si>
  <si>
    <t>HD_122719C229.5</t>
  </si>
  <si>
    <t>HD_122719C230</t>
  </si>
  <si>
    <t>HD Dec 27 2019 230 Call (Weekly)</t>
  </si>
  <si>
    <t>HD_122719C230.5</t>
  </si>
  <si>
    <t>HD_122719C231.5</t>
  </si>
  <si>
    <t>HD_122719C232.5</t>
  </si>
  <si>
    <t>HD Dec 27 2019 232.5 Call (Weekly)</t>
  </si>
  <si>
    <t>HD_122719C233.5</t>
  </si>
  <si>
    <t>HD_122719C234.5</t>
  </si>
  <si>
    <t>HD_122719C235</t>
  </si>
  <si>
    <t>HD Dec 27 2019 235 Call (Weekly)</t>
  </si>
  <si>
    <t>HD_010320C170</t>
  </si>
  <si>
    <t>HD_010320C171</t>
  </si>
  <si>
    <t>HD_010320C172</t>
  </si>
  <si>
    <t>HD_010320C173</t>
  </si>
  <si>
    <t>HD_010320C174</t>
  </si>
  <si>
    <t>HD_010320C174.5</t>
  </si>
  <si>
    <t>HD_010320C175</t>
  </si>
  <si>
    <t>HD_010320C176</t>
  </si>
  <si>
    <t>HD_010320C177</t>
  </si>
  <si>
    <t>HD_010320C178</t>
  </si>
  <si>
    <t>HD_010320C179</t>
  </si>
  <si>
    <t>HD_010320C179.5</t>
  </si>
  <si>
    <t>HD_010320C180</t>
  </si>
  <si>
    <t>HD_010320C181</t>
  </si>
  <si>
    <t>HD_010320C182</t>
  </si>
  <si>
    <t>HD_010320C183</t>
  </si>
  <si>
    <t>HD_010320C184</t>
  </si>
  <si>
    <t>HD_010320C184.5</t>
  </si>
  <si>
    <t>HD_010320C185</t>
  </si>
  <si>
    <t>HD Jan 3 2020 185 Call (Weekly)</t>
  </si>
  <si>
    <t>HD_010320C186</t>
  </si>
  <si>
    <t>HD_010320C187</t>
  </si>
  <si>
    <t>HD_010320C188</t>
  </si>
  <si>
    <t>HD_010320C189</t>
  </si>
  <si>
    <t>HD_010320C189.5</t>
  </si>
  <si>
    <t>HD_010320C190</t>
  </si>
  <si>
    <t>HD Jan 3 2020 190 Call (Weekly)</t>
  </si>
  <si>
    <t>HD_010320C191</t>
  </si>
  <si>
    <t>HD_010320C192</t>
  </si>
  <si>
    <t>HD_010320C193</t>
  </si>
  <si>
    <t>HD_010320C194</t>
  </si>
  <si>
    <t>HD_010320C194.5</t>
  </si>
  <si>
    <t>HD_010320C195</t>
  </si>
  <si>
    <t>HD Jan 3 2020 195 Call (Weekly)</t>
  </si>
  <si>
    <t>HD_010320C196</t>
  </si>
  <si>
    <t>HD_010320C197</t>
  </si>
  <si>
    <t>HD_010320C198</t>
  </si>
  <si>
    <t>HD_010320C199</t>
  </si>
  <si>
    <t>HD_010320C199.5</t>
  </si>
  <si>
    <t>HD_010320C200</t>
  </si>
  <si>
    <t>HD Jan 3 2020 200 Call (Weekly)</t>
  </si>
  <si>
    <t>HD_010320C201</t>
  </si>
  <si>
    <t>HD_010320C202</t>
  </si>
  <si>
    <t>HD_010320C203</t>
  </si>
  <si>
    <t>HD_010320C204</t>
  </si>
  <si>
    <t>HD_010320C204.5</t>
  </si>
  <si>
    <t>HD_010320C205</t>
  </si>
  <si>
    <t>HD Jan 3 2020 205 Call (Weekly)</t>
  </si>
  <si>
    <t>HD_010320C206</t>
  </si>
  <si>
    <t>HD_010320C207</t>
  </si>
  <si>
    <t>HD_010320C208</t>
  </si>
  <si>
    <t>HD_010320C209</t>
  </si>
  <si>
    <t>HD_010320C209.5</t>
  </si>
  <si>
    <t>HD_010320C210</t>
  </si>
  <si>
    <t>HD Jan 3 2020 210 Call (Weekly)</t>
  </si>
  <si>
    <t>HD_010320C211</t>
  </si>
  <si>
    <t>HD_010320C212</t>
  </si>
  <si>
    <t>HD_010320C213</t>
  </si>
  <si>
    <t>HD_010320C214</t>
  </si>
  <si>
    <t>HD_010320C214.5</t>
  </si>
  <si>
    <t>HD_010320C215</t>
  </si>
  <si>
    <t>HD Jan 3 2020 215 Call (Weekly)</t>
  </si>
  <si>
    <t>HD_010320C216</t>
  </si>
  <si>
    <t>HD_010320C217</t>
  </si>
  <si>
    <t>HD_010320C218</t>
  </si>
  <si>
    <t>HD_010320C219</t>
  </si>
  <si>
    <t>HD_010320C219.5</t>
  </si>
  <si>
    <t>HD_010320C220</t>
  </si>
  <si>
    <t>HD Jan 3 2020 220 Call (Weekly)</t>
  </si>
  <si>
    <t>HD_010320C221</t>
  </si>
  <si>
    <t>HD_010320C222</t>
  </si>
  <si>
    <t>HD_010320C223</t>
  </si>
  <si>
    <t>HD_010320C224</t>
  </si>
  <si>
    <t>HD_010320C224.5</t>
  </si>
  <si>
    <t>HD_010320C225</t>
  </si>
  <si>
    <t>HD Jan 3 2020 225 Call (Weekly)</t>
  </si>
  <si>
    <t>HD_010320C226</t>
  </si>
  <si>
    <t>HD_010320C227</t>
  </si>
  <si>
    <t>HD_010320C228</t>
  </si>
  <si>
    <t>HD_010320C229</t>
  </si>
  <si>
    <t>HD_010320C229.5</t>
  </si>
  <si>
    <t>HD_010320C230</t>
  </si>
  <si>
    <t>HD Jan 3 2020 230 Call (Weekly)</t>
  </si>
  <si>
    <t>HD_010320C231</t>
  </si>
  <si>
    <t>HD_010320C232</t>
  </si>
  <si>
    <t>HD_010320C233</t>
  </si>
  <si>
    <t>HD_010320C234</t>
  </si>
  <si>
    <t>HD_010320C234.5</t>
  </si>
  <si>
    <t>HD_010320C235</t>
  </si>
  <si>
    <t>HD Jan 3 2020 235 Call (Weekly)</t>
  </si>
  <si>
    <t>HD_011020C170</t>
  </si>
  <si>
    <t>HD_011020C171</t>
  </si>
  <si>
    <t>HD_011020C172</t>
  </si>
  <si>
    <t>HD_011020C173</t>
  </si>
  <si>
    <t>HD_011020C173.5</t>
  </si>
  <si>
    <t>HD_011020C174</t>
  </si>
  <si>
    <t>HD_011020C175</t>
  </si>
  <si>
    <t>HD_011020C176</t>
  </si>
  <si>
    <t>HD_011020C177</t>
  </si>
  <si>
    <t>HD_011020C178</t>
  </si>
  <si>
    <t>HD_011020C178.5</t>
  </si>
  <si>
    <t>HD_011020C179</t>
  </si>
  <si>
    <t>HD_011020C180</t>
  </si>
  <si>
    <t>HD_011020C181</t>
  </si>
  <si>
    <t>HD_011020C182</t>
  </si>
  <si>
    <t>HD_011020C183</t>
  </si>
  <si>
    <t>HD_011020C183.5</t>
  </si>
  <si>
    <t>HD_011020C184</t>
  </si>
  <si>
    <t>HD_011020C185</t>
  </si>
  <si>
    <t>HD Jan 10 2020 185 Call (Weekly)</t>
  </si>
  <si>
    <t>HD_011020C186</t>
  </si>
  <si>
    <t>HD_011020C187</t>
  </si>
  <si>
    <t>HD_011020C188</t>
  </si>
  <si>
    <t>HD_011020C188.5</t>
  </si>
  <si>
    <t>HD_011020C189</t>
  </si>
  <si>
    <t>HD_011020C190</t>
  </si>
  <si>
    <t>HD Jan 10 2020 190 Call (Weekly)</t>
  </si>
  <si>
    <t>HD_011020C191</t>
  </si>
  <si>
    <t>HD_011020C192</t>
  </si>
  <si>
    <t>HD_011020C193</t>
  </si>
  <si>
    <t>HD_011020C193.5</t>
  </si>
  <si>
    <t>HD_011020C194</t>
  </si>
  <si>
    <t>HD_011020C195</t>
  </si>
  <si>
    <t>HD Jan 10 2020 195 Call (Weekly)</t>
  </si>
  <si>
    <t>HD_011020C196</t>
  </si>
  <si>
    <t>HD_011020C197</t>
  </si>
  <si>
    <t>HD_011020C198</t>
  </si>
  <si>
    <t>HD_011020C198.5</t>
  </si>
  <si>
    <t>HD_011020C199</t>
  </si>
  <si>
    <t>HD_011020C200</t>
  </si>
  <si>
    <t>HD Jan 10 2020 200 Call (Weekly)</t>
  </si>
  <si>
    <t>HD_011020C201</t>
  </si>
  <si>
    <t>HD_011020C202</t>
  </si>
  <si>
    <t>HD_011020C203</t>
  </si>
  <si>
    <t>HD_011020C203.5</t>
  </si>
  <si>
    <t>HD_011020C204</t>
  </si>
  <si>
    <t>HD_011020C205</t>
  </si>
  <si>
    <t>HD Jan 10 2020 205 Call (Weekly)</t>
  </si>
  <si>
    <t>HD_011020C206</t>
  </si>
  <si>
    <t>HD_011020C207</t>
  </si>
  <si>
    <t>HD_011020C208</t>
  </si>
  <si>
    <t>HD_011020C208.5</t>
  </si>
  <si>
    <t>HD_011020C209</t>
  </si>
  <si>
    <t>HD_011020C210</t>
  </si>
  <si>
    <t>HD Jan 10 2020 210 Call (Weekly)</t>
  </si>
  <si>
    <t>HD_011020C211</t>
  </si>
  <si>
    <t>HD_011020C212</t>
  </si>
  <si>
    <t>HD_011020C213</t>
  </si>
  <si>
    <t>HD_011020C213.5</t>
  </si>
  <si>
    <t>HD_011020C214</t>
  </si>
  <si>
    <t>HD_011020C215</t>
  </si>
  <si>
    <t>HD Jan 10 2020 215 Call (Weekly)</t>
  </si>
  <si>
    <t>HD_011020C216</t>
  </si>
  <si>
    <t>HD_011020C217</t>
  </si>
  <si>
    <t>HD_011020C218</t>
  </si>
  <si>
    <t>HD_011020C218.5</t>
  </si>
  <si>
    <t>HD_011020C219</t>
  </si>
  <si>
    <t>HD_011020C220</t>
  </si>
  <si>
    <t>HD Jan 10 2020 220 Call (Weekly)</t>
  </si>
  <si>
    <t>HD_011020C221</t>
  </si>
  <si>
    <t>HD_011020C222</t>
  </si>
  <si>
    <t>HD_011020C223</t>
  </si>
  <si>
    <t>HD_011020C223.5</t>
  </si>
  <si>
    <t>HD_011020C224</t>
  </si>
  <si>
    <t>HD_011020C225</t>
  </si>
  <si>
    <t>HD Jan 10 2020 225 Call (Weekly)</t>
  </si>
  <si>
    <t>HD_011020C226</t>
  </si>
  <si>
    <t>HD_011020C227</t>
  </si>
  <si>
    <t>HD_011020C228</t>
  </si>
  <si>
    <t>HD_011020C228.5</t>
  </si>
  <si>
    <t>HD_011020C229</t>
  </si>
  <si>
    <t>HD_011020C230</t>
  </si>
  <si>
    <t>HD Jan 10 2020 230 Call (Weekly)</t>
  </si>
  <si>
    <t>HD_011020C231</t>
  </si>
  <si>
    <t>HD_011020C232</t>
  </si>
  <si>
    <t>HD_011020C233</t>
  </si>
  <si>
    <t>HD_011020C233.5</t>
  </si>
  <si>
    <t>HD_011020C234</t>
  </si>
  <si>
    <t>HD_011020C235</t>
  </si>
  <si>
    <t>HD Jan 10 2020 235 Call (Weekly)</t>
  </si>
  <si>
    <t>HD_011720C170</t>
  </si>
  <si>
    <t>HD Jan 17 2020 170 Call</t>
  </si>
  <si>
    <t>HD_011720C171</t>
  </si>
  <si>
    <t>HD_011720C172</t>
  </si>
  <si>
    <t>HD_011720C172.5</t>
  </si>
  <si>
    <t>HD_011720C173</t>
  </si>
  <si>
    <t>HD_011720C174</t>
  </si>
  <si>
    <t>HD_011720C175</t>
  </si>
  <si>
    <t>HD Jan 17 2020 175 Call</t>
  </si>
  <si>
    <t>HD_011720C176</t>
  </si>
  <si>
    <t>HD_011720C177</t>
  </si>
  <si>
    <t>HD_011720C177.5</t>
  </si>
  <si>
    <t>HD_011720C178</t>
  </si>
  <si>
    <t>HD_011720C179</t>
  </si>
  <si>
    <t>HD_011720C180</t>
  </si>
  <si>
    <t>HD Jan 17 2020 180 Call</t>
  </si>
  <si>
    <t>HD_011720C181</t>
  </si>
  <si>
    <t>HD_011720C182</t>
  </si>
  <si>
    <t>HD_011720C182.5</t>
  </si>
  <si>
    <t>HD_011720C183</t>
  </si>
  <si>
    <t>HD_011720C184</t>
  </si>
  <si>
    <t>HD_011720C185</t>
  </si>
  <si>
    <t>HD Jan 17 2020 185 Call</t>
  </si>
  <si>
    <t>HD_011720C186</t>
  </si>
  <si>
    <t>HD_011720C187</t>
  </si>
  <si>
    <t>HD_011720C187.5</t>
  </si>
  <si>
    <t>HD_011720C188</t>
  </si>
  <si>
    <t>HD_011720C189</t>
  </si>
  <si>
    <t>HD_011720C190</t>
  </si>
  <si>
    <t>HD Jan 17 2020 190 Call</t>
  </si>
  <si>
    <t>HD_011720C191</t>
  </si>
  <si>
    <t>HD_011720C192</t>
  </si>
  <si>
    <t>HD_011720C192.5</t>
  </si>
  <si>
    <t>HD_011720C193</t>
  </si>
  <si>
    <t>HD_011720C194</t>
  </si>
  <si>
    <t>HD_011720C195</t>
  </si>
  <si>
    <t>HD Jan 17 2020 195 Call</t>
  </si>
  <si>
    <t>HD_011720C196</t>
  </si>
  <si>
    <t>HD_011720C197</t>
  </si>
  <si>
    <t>HD_011720C197.5</t>
  </si>
  <si>
    <t>HD_011720C198</t>
  </si>
  <si>
    <t>HD_011720C199</t>
  </si>
  <si>
    <t>HD_011720C200</t>
  </si>
  <si>
    <t>HD Jan 17 2020 200 Call</t>
  </si>
  <si>
    <t>HD_011720C201</t>
  </si>
  <si>
    <t>HD_011720C202</t>
  </si>
  <si>
    <t>HD_011720C202.5</t>
  </si>
  <si>
    <t>HD_011720C203</t>
  </si>
  <si>
    <t>HD_011720C204</t>
  </si>
  <si>
    <t>HD_011720C205</t>
  </si>
  <si>
    <t>HD Jan 17 2020 205 Call</t>
  </si>
  <si>
    <t>HD_011720C206</t>
  </si>
  <si>
    <t>HD_011720C207</t>
  </si>
  <si>
    <t>HD_011720C207.5</t>
  </si>
  <si>
    <t>HD_011720C208</t>
  </si>
  <si>
    <t>HD_011720C209</t>
  </si>
  <si>
    <t>HD_011720C210</t>
  </si>
  <si>
    <t>HD Jan 17 2020 210 Call</t>
  </si>
  <si>
    <t>HD_011720C211</t>
  </si>
  <si>
    <t>HD_011720C212</t>
  </si>
  <si>
    <t>HD_011720C212.5</t>
  </si>
  <si>
    <t>HD_011720C213</t>
  </si>
  <si>
    <t>HD_011720C214</t>
  </si>
  <si>
    <t>HD_011720C215</t>
  </si>
  <si>
    <t>HD Jan 17 2020 215 Call</t>
  </si>
  <si>
    <t>HD_011720C216</t>
  </si>
  <si>
    <t>HD_011720C217</t>
  </si>
  <si>
    <t>HD_011720C217.5</t>
  </si>
  <si>
    <t>HD_011720C218</t>
  </si>
  <si>
    <t>HD_011720C219</t>
  </si>
  <si>
    <t>HD_011720C220</t>
  </si>
  <si>
    <t>HD Jan 17 2020 220 Call</t>
  </si>
  <si>
    <t>HD_011720C221</t>
  </si>
  <si>
    <t>HD_011720C222</t>
  </si>
  <si>
    <t>HD_011720C222.5</t>
  </si>
  <si>
    <t>HD_011720C223</t>
  </si>
  <si>
    <t>HD_011720C224</t>
  </si>
  <si>
    <t>HD_011720C225</t>
  </si>
  <si>
    <t>HD Jan 17 2020 225 Call</t>
  </si>
  <si>
    <t>HD_011720C226</t>
  </si>
  <si>
    <t>HD_011720C227</t>
  </si>
  <si>
    <t>HD_011720C227.5</t>
  </si>
  <si>
    <t>HD_011720C228</t>
  </si>
  <si>
    <t>HD_011720C229</t>
  </si>
  <si>
    <t>HD_011720C230</t>
  </si>
  <si>
    <t>HD Jan 17 2020 230 Call</t>
  </si>
  <si>
    <t>HD_011720C231</t>
  </si>
  <si>
    <t>HD_011720C232</t>
  </si>
  <si>
    <t>HD_011720C232.5</t>
  </si>
  <si>
    <t>HD_011720C233</t>
  </si>
  <si>
    <t>HD_011720C234</t>
  </si>
  <si>
    <t>HD_011720C235</t>
  </si>
  <si>
    <t>HD Jan 17 2020 235 Call</t>
  </si>
  <si>
    <t>HD_022120C170</t>
  </si>
  <si>
    <t>HD Feb 21 2020 170 Call</t>
  </si>
  <si>
    <t>HD_022120C171</t>
  </si>
  <si>
    <t>HD_022120C171.5</t>
  </si>
  <si>
    <t>HD_022120C172</t>
  </si>
  <si>
    <t>HD_022120C173</t>
  </si>
  <si>
    <t>HD_022120C174</t>
  </si>
  <si>
    <t>HD_022120C175</t>
  </si>
  <si>
    <t>HD Feb 21 2020 175 Call</t>
  </si>
  <si>
    <t>HD_022120C176</t>
  </si>
  <si>
    <t>HD_022120C176.5</t>
  </si>
  <si>
    <t>HD_022120C177</t>
  </si>
  <si>
    <t>HD_022120C178</t>
  </si>
  <si>
    <t>HD_022120C179</t>
  </si>
  <si>
    <t>HD_022120C180</t>
  </si>
  <si>
    <t>HD Feb 21 2020 180 Call</t>
  </si>
  <si>
    <t>HD_022120C181</t>
  </si>
  <si>
    <t>HD_022120C181.5</t>
  </si>
  <si>
    <t>HD_022120C182</t>
  </si>
  <si>
    <t>HD_022120C183</t>
  </si>
  <si>
    <t>HD_022120C184</t>
  </si>
  <si>
    <t>HD_022120C185</t>
  </si>
  <si>
    <t>HD Feb 21 2020 185 Call</t>
  </si>
  <si>
    <t>HD_022120C186</t>
  </si>
  <si>
    <t>HD_022120C186.5</t>
  </si>
  <si>
    <t>HD_022120C187</t>
  </si>
  <si>
    <t>HD_022120C188</t>
  </si>
  <si>
    <t>HD_022120C189</t>
  </si>
  <si>
    <t>HD_022120C190</t>
  </si>
  <si>
    <t>HD Feb 21 2020 190 Call</t>
  </si>
  <si>
    <t>HD_022120C191</t>
  </si>
  <si>
    <t>HD_022120C191.5</t>
  </si>
  <si>
    <t>HD_022120C192</t>
  </si>
  <si>
    <t>HD_022120C193</t>
  </si>
  <si>
    <t>HD_022120C194</t>
  </si>
  <si>
    <t>HD_022120C195</t>
  </si>
  <si>
    <t>HD Feb 21 2020 195 Call</t>
  </si>
  <si>
    <t>HD_022120C196</t>
  </si>
  <si>
    <t>HD_022120C196.5</t>
  </si>
  <si>
    <t>HD_022120C197</t>
  </si>
  <si>
    <t>HD_022120C198</t>
  </si>
  <si>
    <t>HD_022120C199</t>
  </si>
  <si>
    <t>HD_022120C200</t>
  </si>
  <si>
    <t>HD Feb 21 2020 200 Call</t>
  </si>
  <si>
    <t>HD_022120C201</t>
  </si>
  <si>
    <t>HD_022120C201.5</t>
  </si>
  <si>
    <t>HD_022120C202</t>
  </si>
  <si>
    <t>HD_022120C203</t>
  </si>
  <si>
    <t>HD_022120C204</t>
  </si>
  <si>
    <t>HD_022120C205</t>
  </si>
  <si>
    <t>HD Feb 21 2020 205 Call</t>
  </si>
  <si>
    <t>HD_022120C206</t>
  </si>
  <si>
    <t>HD_022120C206.5</t>
  </si>
  <si>
    <t>HD_022120C207</t>
  </si>
  <si>
    <t>HD_022120C208</t>
  </si>
  <si>
    <t>HD_022120C209</t>
  </si>
  <si>
    <t>HD_022120C210</t>
  </si>
  <si>
    <t>HD Feb 21 2020 210 Call</t>
  </si>
  <si>
    <t>HD_022120C211</t>
  </si>
  <si>
    <t>HD_022120C211.5</t>
  </si>
  <si>
    <t>HD_022120C212</t>
  </si>
  <si>
    <t>HD_022120C213</t>
  </si>
  <si>
    <t>HD_022120C214</t>
  </si>
  <si>
    <t>HD_022120C215</t>
  </si>
  <si>
    <t>HD Feb 21 2020 215 Call</t>
  </si>
  <si>
    <t>HD_022120C216</t>
  </si>
  <si>
    <t>HD_022120C216.5</t>
  </si>
  <si>
    <t>HD_022120C217</t>
  </si>
  <si>
    <t>HD_022120C218</t>
  </si>
  <si>
    <t>HD_022120C219</t>
  </si>
  <si>
    <t>HD_022120C220</t>
  </si>
  <si>
    <t>HD Feb 21 2020 220 Call</t>
  </si>
  <si>
    <t>HD_022120C221</t>
  </si>
  <si>
    <t>HD_022120C221.5</t>
  </si>
  <si>
    <t>HD_022120C222</t>
  </si>
  <si>
    <t>HD_022120C223</t>
  </si>
  <si>
    <t>HD_022120C224</t>
  </si>
  <si>
    <t>HD_022120C225</t>
  </si>
  <si>
    <t>HD Feb 21 2020 225 Call</t>
  </si>
  <si>
    <t>HD_022120C226</t>
  </si>
  <si>
    <t>HD_022120C226.5</t>
  </si>
  <si>
    <t>HD_022120C227</t>
  </si>
  <si>
    <t>HD_022120C228</t>
  </si>
  <si>
    <t>HD_022120C229</t>
  </si>
  <si>
    <t>HD_022120C230</t>
  </si>
  <si>
    <t>HD Feb 21 2020 230 Call</t>
  </si>
  <si>
    <t>HD_022120C231</t>
  </si>
  <si>
    <t>HD_022120C231.5</t>
  </si>
  <si>
    <t>HD_022120C232</t>
  </si>
  <si>
    <t>HD_022120C233</t>
  </si>
  <si>
    <t>HD_022120C234</t>
  </si>
  <si>
    <t>HD_022120C235</t>
  </si>
  <si>
    <t>HD Feb 21 2020 235 Call</t>
  </si>
  <si>
    <t>HD_032020C170</t>
  </si>
  <si>
    <t>HD Mar 20 2020 170 Call</t>
  </si>
  <si>
    <t>HD_032020C170.5</t>
  </si>
  <si>
    <t>HD_032020C171</t>
  </si>
  <si>
    <t>HD_032020C172</t>
  </si>
  <si>
    <t>HD_032020C173</t>
  </si>
  <si>
    <t>HD_032020C174</t>
  </si>
  <si>
    <t>HD_032020C175</t>
  </si>
  <si>
    <t>HD Mar 20 2020 175 Call</t>
  </si>
  <si>
    <t>HD_032020C175.5</t>
  </si>
  <si>
    <t>HD_032020C176</t>
  </si>
  <si>
    <t>HD_032020C177</t>
  </si>
  <si>
    <t>HD_032020C178</t>
  </si>
  <si>
    <t>HD_032020C179</t>
  </si>
  <si>
    <t>HD_032020C180</t>
  </si>
  <si>
    <t>HD Mar 20 2020 180 Call</t>
  </si>
  <si>
    <t>HD_032020C180.5</t>
  </si>
  <si>
    <t>HD_032020C181</t>
  </si>
  <si>
    <t>HD_032020C182</t>
  </si>
  <si>
    <t>HD_032020C183</t>
  </si>
  <si>
    <t>HD_032020C184</t>
  </si>
  <si>
    <t>HD_032020C185</t>
  </si>
  <si>
    <t>HD Mar 20 2020 185 Call</t>
  </si>
  <si>
    <t>HD_032020C185.5</t>
  </si>
  <si>
    <t>HD_032020C186</t>
  </si>
  <si>
    <t>HD_032020C187</t>
  </si>
  <si>
    <t>HD_032020C188</t>
  </si>
  <si>
    <t>HD_032020C189</t>
  </si>
  <si>
    <t>HD_032020C190</t>
  </si>
  <si>
    <t>HD Mar 20 2020 190 Call</t>
  </si>
  <si>
    <t>HD_032020C190.5</t>
  </si>
  <si>
    <t>HD_032020C191</t>
  </si>
  <si>
    <t>HD_032020C192</t>
  </si>
  <si>
    <t>HD_032020C193</t>
  </si>
  <si>
    <t>HD_032020C194</t>
  </si>
  <si>
    <t>HD_032020C195</t>
  </si>
  <si>
    <t>HD Mar 20 2020 195 Call</t>
  </si>
  <si>
    <t>HD_032020C195.5</t>
  </si>
  <si>
    <t>HD_032020C196</t>
  </si>
  <si>
    <t>HD_032020C197</t>
  </si>
  <si>
    <t>HD_032020C198</t>
  </si>
  <si>
    <t>HD_032020C199</t>
  </si>
  <si>
    <t>HD_032020C200</t>
  </si>
  <si>
    <t>HD Mar 20 2020 200 Call</t>
  </si>
  <si>
    <t>HD_032020C200.5</t>
  </si>
  <si>
    <t>HD_032020C201</t>
  </si>
  <si>
    <t>HD_032020C202</t>
  </si>
  <si>
    <t>HD_032020C203</t>
  </si>
  <si>
    <t>HD_032020C204</t>
  </si>
  <si>
    <t>HD_032020C205</t>
  </si>
  <si>
    <t>HD Mar 20 2020 205 Call</t>
  </si>
  <si>
    <t>HD_032020C205.5</t>
  </si>
  <si>
    <t>HD_032020C206</t>
  </si>
  <si>
    <t>HD_032020C207</t>
  </si>
  <si>
    <t>HD_032020C208</t>
  </si>
  <si>
    <t>HD_032020C209</t>
  </si>
  <si>
    <t>HD_032020C210</t>
  </si>
  <si>
    <t>HD Mar 20 2020 210 Call</t>
  </si>
  <si>
    <t>HD_032020C210.5</t>
  </si>
  <si>
    <t>HD_032020C211</t>
  </si>
  <si>
    <t>HD_032020C212</t>
  </si>
  <si>
    <t>HD_032020C213</t>
  </si>
  <si>
    <t>HD_032020C214</t>
  </si>
  <si>
    <t>HD_032020C215</t>
  </si>
  <si>
    <t>HD Mar 20 2020 215 Call</t>
  </si>
  <si>
    <t>HD_032020C215.5</t>
  </si>
  <si>
    <t>HD_032020C216</t>
  </si>
  <si>
    <t>HD_032020C217</t>
  </si>
  <si>
    <t>HD_032020C218</t>
  </si>
  <si>
    <t>HD_032020C219</t>
  </si>
  <si>
    <t>HD_032020C220</t>
  </si>
  <si>
    <t>HD Mar 20 2020 220 Call</t>
  </si>
  <si>
    <t>HD_032020C220.5</t>
  </si>
  <si>
    <t>HD_032020C221</t>
  </si>
  <si>
    <t>HD_032020C222</t>
  </si>
  <si>
    <t>HD_032020C223</t>
  </si>
  <si>
    <t>HD_032020C224</t>
  </si>
  <si>
    <t>HD_032020C225</t>
  </si>
  <si>
    <t>HD Mar 20 2020 225 Call</t>
  </si>
  <si>
    <t>HD_032020C225.5</t>
  </si>
  <si>
    <t>HD_032020C226</t>
  </si>
  <si>
    <t>HD_032020C227</t>
  </si>
  <si>
    <t>HD_032020C228</t>
  </si>
  <si>
    <t>HD_032020C229</t>
  </si>
  <si>
    <t>HD_032020C230</t>
  </si>
  <si>
    <t>HD Mar 20 2020 230 Call</t>
  </si>
  <si>
    <t>HD_032020C230.5</t>
  </si>
  <si>
    <t>HD_032020C231</t>
  </si>
  <si>
    <t>HD_032020C232</t>
  </si>
  <si>
    <t>HD_032020C233</t>
  </si>
  <si>
    <t>HD_032020C234</t>
  </si>
  <si>
    <t>HD_032020C235</t>
  </si>
  <si>
    <t>HD Mar 20 2020 235 Call</t>
  </si>
  <si>
    <t>HD_041720C170</t>
  </si>
  <si>
    <t>HD_041720C170.5</t>
  </si>
  <si>
    <t>HD_041720C171.5</t>
  </si>
  <si>
    <t>HD_041720C172.5</t>
  </si>
  <si>
    <t>HD_041720C173.5</t>
  </si>
  <si>
    <t>HD_041720C174.5</t>
  </si>
  <si>
    <t>HD_041720C175</t>
  </si>
  <si>
    <t>HD_041720C175.5</t>
  </si>
  <si>
    <t>HD_041720C176.5</t>
  </si>
  <si>
    <t>HD_041720C177.5</t>
  </si>
  <si>
    <t>HD_041720C178.5</t>
  </si>
  <si>
    <t>HD_041720C179.5</t>
  </si>
  <si>
    <t>HD_041720C180</t>
  </si>
  <si>
    <t>HD_041720C180.5</t>
  </si>
  <si>
    <t>HD_041720C181.5</t>
  </si>
  <si>
    <t>HD_041720C182.5</t>
  </si>
  <si>
    <t>HD_041720C183.5</t>
  </si>
  <si>
    <t>HD_041720C184.5</t>
  </si>
  <si>
    <t>HD_041720C185</t>
  </si>
  <si>
    <t>HD_041720C185.5</t>
  </si>
  <si>
    <t>HD_041720C186.5</t>
  </si>
  <si>
    <t>HD_041720C187.5</t>
  </si>
  <si>
    <t>HD_041720C188.5</t>
  </si>
  <si>
    <t>HD_041720C189.5</t>
  </si>
  <si>
    <t>HD_041720C190</t>
  </si>
  <si>
    <t>HD_041720C190.5</t>
  </si>
  <si>
    <t>HD_041720C191.5</t>
  </si>
  <si>
    <t>HD_041720C192.5</t>
  </si>
  <si>
    <t>HD_041720C193.5</t>
  </si>
  <si>
    <t>HD_041720C194.5</t>
  </si>
  <si>
    <t>HD_041720C195</t>
  </si>
  <si>
    <t>HD_041720C195.5</t>
  </si>
  <si>
    <t>HD_041720C196.5</t>
  </si>
  <si>
    <t>HD_041720C197.5</t>
  </si>
  <si>
    <t>HD_041720C198.5</t>
  </si>
  <si>
    <t>HD_041720C199.5</t>
  </si>
  <si>
    <t>HD_041720C200</t>
  </si>
  <si>
    <t>HD_041720C200.5</t>
  </si>
  <si>
    <t>HD_041720C201.5</t>
  </si>
  <si>
    <t>HD_041720C202.5</t>
  </si>
  <si>
    <t>HD_041720C203.5</t>
  </si>
  <si>
    <t>HD_041720C204.5</t>
  </si>
  <si>
    <t>HD_041720C205</t>
  </si>
  <si>
    <t>HD_041720C205.5</t>
  </si>
  <si>
    <t>HD_041720C206.5</t>
  </si>
  <si>
    <t>HD_041720C207.5</t>
  </si>
  <si>
    <t>HD_041720C208.5</t>
  </si>
  <si>
    <t>HD_041720C209.5</t>
  </si>
  <si>
    <t>HD_041720C210</t>
  </si>
  <si>
    <t>HD_041720C210.5</t>
  </si>
  <si>
    <t>HD_041720C211.5</t>
  </si>
  <si>
    <t>HD_041720C212.5</t>
  </si>
  <si>
    <t>HD_041720C213.5</t>
  </si>
  <si>
    <t>HD_041720C214.5</t>
  </si>
  <si>
    <t>HD_041720C215</t>
  </si>
  <si>
    <t>HD_041720C215.5</t>
  </si>
  <si>
    <t>HD_041720C216.5</t>
  </si>
  <si>
    <t>HD_041720C217.5</t>
  </si>
  <si>
    <t>HD_041720C218.5</t>
  </si>
  <si>
    <t>HD_041720C219.5</t>
  </si>
  <si>
    <t>HD_041720C220</t>
  </si>
  <si>
    <t>HD_041720C220.5</t>
  </si>
  <si>
    <t>HD_041720C221.5</t>
  </si>
  <si>
    <t>HD_041720C222.5</t>
  </si>
  <si>
    <t>HD_041720C223.5</t>
  </si>
  <si>
    <t>HD_041720C224.5</t>
  </si>
  <si>
    <t>HD_041720C225</t>
  </si>
  <si>
    <t>HD_041720C225.5</t>
  </si>
  <si>
    <t>HD_041720C226.5</t>
  </si>
  <si>
    <t>HD_041720C227.5</t>
  </si>
  <si>
    <t>HD_041720C228.5</t>
  </si>
  <si>
    <t>HD_041720C229.5</t>
  </si>
  <si>
    <t>HD_041720C230</t>
  </si>
  <si>
    <t>HD_041720C230.5</t>
  </si>
  <si>
    <t>HD_041720C231.5</t>
  </si>
  <si>
    <t>HD_041720C232.5</t>
  </si>
  <si>
    <t>HD_041720C233.5</t>
  </si>
  <si>
    <t>HD_041720C234.5</t>
  </si>
  <si>
    <t>HD_041720C235</t>
  </si>
  <si>
    <t>HD_051520C170</t>
  </si>
  <si>
    <t>HD May 15 2020 170 Call</t>
  </si>
  <si>
    <t>HD_051520C171</t>
  </si>
  <si>
    <t>HD_051520C172</t>
  </si>
  <si>
    <t>HD_051520C173</t>
  </si>
  <si>
    <t>HD_051520C174</t>
  </si>
  <si>
    <t>HD_051520C174.5</t>
  </si>
  <si>
    <t>HD_051520C175</t>
  </si>
  <si>
    <t>HD May 15 2020 175 Call</t>
  </si>
  <si>
    <t>HD_051520C176</t>
  </si>
  <si>
    <t>HD_051520C177</t>
  </si>
  <si>
    <t>HD_051520C178</t>
  </si>
  <si>
    <t>HD_051520C179</t>
  </si>
  <si>
    <t>HD_051520C179.5</t>
  </si>
  <si>
    <t>HD_051520C180</t>
  </si>
  <si>
    <t>HD May 15 2020 180 Call</t>
  </si>
  <si>
    <t>HD_051520C181</t>
  </si>
  <si>
    <t>HD_051520C182</t>
  </si>
  <si>
    <t>HD_051520C183</t>
  </si>
  <si>
    <t>HD_051520C184</t>
  </si>
  <si>
    <t>HD_051520C184.5</t>
  </si>
  <si>
    <t>HD_051520C185</t>
  </si>
  <si>
    <t>HD May 15 2020 185 Call</t>
  </si>
  <si>
    <t>HD_051520C186</t>
  </si>
  <si>
    <t>HD_051520C187</t>
  </si>
  <si>
    <t>HD_051520C188</t>
  </si>
  <si>
    <t>HD_051520C189</t>
  </si>
  <si>
    <t>HD_051520C189.5</t>
  </si>
  <si>
    <t>HD_051520C190</t>
  </si>
  <si>
    <t>HD May 15 2020 190 Call</t>
  </si>
  <si>
    <t>HD_051520C191</t>
  </si>
  <si>
    <t>HD_051520C192</t>
  </si>
  <si>
    <t>HD_051520C193</t>
  </si>
  <si>
    <t>HD_051520C194</t>
  </si>
  <si>
    <t>HD_051520C194.5</t>
  </si>
  <si>
    <t>HD_051520C195</t>
  </si>
  <si>
    <t>HD May 15 2020 195 Call</t>
  </si>
  <si>
    <t>HD_051520C196</t>
  </si>
  <si>
    <t>HD_051520C197</t>
  </si>
  <si>
    <t>HD_051520C198</t>
  </si>
  <si>
    <t>HD_051520C199</t>
  </si>
  <si>
    <t>HD_051520C199.5</t>
  </si>
  <si>
    <t>HD_051520C200</t>
  </si>
  <si>
    <t>HD May 15 2020 200 Call</t>
  </si>
  <si>
    <t>HD_051520C201</t>
  </si>
  <si>
    <t>HD_051520C202</t>
  </si>
  <si>
    <t>HD_051520C203</t>
  </si>
  <si>
    <t>HD_051520C204</t>
  </si>
  <si>
    <t>HD_051520C204.5</t>
  </si>
  <si>
    <t>HD_051520C205</t>
  </si>
  <si>
    <t>HD May 15 2020 205 Call</t>
  </si>
  <si>
    <t>HD_051520C206</t>
  </si>
  <si>
    <t>HD_051520C207</t>
  </si>
  <si>
    <t>HD_051520C208</t>
  </si>
  <si>
    <t>HD_051520C209</t>
  </si>
  <si>
    <t>HD_051520C209.5</t>
  </si>
  <si>
    <t>HD_051520C210</t>
  </si>
  <si>
    <t>HD May 15 2020 210 Call</t>
  </si>
  <si>
    <t>HD_051520C211</t>
  </si>
  <si>
    <t>HD_051520C212</t>
  </si>
  <si>
    <t>HD_051520C213</t>
  </si>
  <si>
    <t>HD_051520C214</t>
  </si>
  <si>
    <t>HD_051520C214.5</t>
  </si>
  <si>
    <t>HD_051520C215</t>
  </si>
  <si>
    <t>HD May 15 2020 215 Call</t>
  </si>
  <si>
    <t>HD_051520C216</t>
  </si>
  <si>
    <t>HD_051520C217</t>
  </si>
  <si>
    <t>HD_051520C218</t>
  </si>
  <si>
    <t>HD_051520C219</t>
  </si>
  <si>
    <t>HD_051520C219.5</t>
  </si>
  <si>
    <t>HD_051520C220</t>
  </si>
  <si>
    <t>HD May 15 2020 220 Call</t>
  </si>
  <si>
    <t>HD_051520C221</t>
  </si>
  <si>
    <t>HD_051520C222</t>
  </si>
  <si>
    <t>HD_051520C223</t>
  </si>
  <si>
    <t>HD_051520C224</t>
  </si>
  <si>
    <t>HD_051520C224.5</t>
  </si>
  <si>
    <t>HD_051520C225</t>
  </si>
  <si>
    <t>HD May 15 2020 225 Call</t>
  </si>
  <si>
    <t>HD_051520C226</t>
  </si>
  <si>
    <t>HD_051520C227</t>
  </si>
  <si>
    <t>HD_051520C228</t>
  </si>
  <si>
    <t>HD_051520C229</t>
  </si>
  <si>
    <t>HD_051520C229.5</t>
  </si>
  <si>
    <t>HD_051520C230</t>
  </si>
  <si>
    <t>HD May 15 2020 230 Call</t>
  </si>
  <si>
    <t>HD_051520C231</t>
  </si>
  <si>
    <t>HD_051520C232</t>
  </si>
  <si>
    <t>HD_051520C233</t>
  </si>
  <si>
    <t>HD_051520C234</t>
  </si>
  <si>
    <t>HD_051520C234.5</t>
  </si>
  <si>
    <t>HD_051520C235</t>
  </si>
  <si>
    <t>HD May 15 2020 235 Call</t>
  </si>
  <si>
    <t>HD_061920C170</t>
  </si>
  <si>
    <t>HD Jun 19 2020 170 Call</t>
  </si>
  <si>
    <t>HD_061920C171</t>
  </si>
  <si>
    <t>HD_061920C172</t>
  </si>
  <si>
    <t>HD_061920C173</t>
  </si>
  <si>
    <t>HD_061920C173.5</t>
  </si>
  <si>
    <t>HD_061920C174</t>
  </si>
  <si>
    <t>HD_061920C175</t>
  </si>
  <si>
    <t>HD Jun 19 2020 175 Call</t>
  </si>
  <si>
    <t>HD_061920C176</t>
  </si>
  <si>
    <t>HD_061920C177</t>
  </si>
  <si>
    <t>HD_061920C178</t>
  </si>
  <si>
    <t>HD_061920C178.5</t>
  </si>
  <si>
    <t>HD_061920C179</t>
  </si>
  <si>
    <t>HD_061920C180</t>
  </si>
  <si>
    <t>HD Jun 19 2020 180 Call</t>
  </si>
  <si>
    <t>HD_061920C181</t>
  </si>
  <si>
    <t>HD_061920C182</t>
  </si>
  <si>
    <t>HD_061920C183</t>
  </si>
  <si>
    <t>HD_061920C183.5</t>
  </si>
  <si>
    <t>HD_061920C184</t>
  </si>
  <si>
    <t>HD_061920C185</t>
  </si>
  <si>
    <t>HD Jun 19 2020 185 Call</t>
  </si>
  <si>
    <t>Then it will go search for all the options it can and list them in the left-hand columns. Once it's done and none say "Busy…", click cell C1, press ctrl+A, then ctrl+C, then click cell I1, press ctrl+V to paste, then press and release ctrl, then press V to change your paste to a paste-values-only.</t>
  </si>
  <si>
    <t>Then press ctrl+A to highlight cells I1:M889. Then sort by column M so that all the rows that have a valid option appear at the top. These rows are the option chain for this stuck.</t>
  </si>
  <si>
    <t>Messy, right?</t>
  </si>
  <si>
    <t>Calls ABC</t>
  </si>
  <si>
    <t>I use these sheets for studying covered calls, diagonal calls, and rolling a call.</t>
  </si>
  <si>
    <t>Set the ticker symbol in the upper right.</t>
  </si>
  <si>
    <t>Then copy 99 valid option dates and strike prices from the Generator page, columns I and J, cells 2:100.</t>
  </si>
  <si>
    <t>Now paste the option dates and prices into cells A2:B100 of the Calls sheet. After pasting with ctrl+V, change it to paste-by-value by press and release ctrl, then press V. This will preserve the conditional formatting in columns A and B.</t>
  </si>
  <si>
    <t>Once XLQ fills in the bid/ask for each option you can see the time value gain per month in column J and other stats to help you choose the best covered call to write.</t>
  </si>
  <si>
    <t>Columns N through U only apply to rolling a call or put. To roll, put a "1" in column N on the row for the option you want to buy to close. Make sure no other cell in column N has any value.</t>
  </si>
  <si>
    <t>Also make sure that every cell in columns A through M has a valid value. None can say "#VALUE!" or the math in columns N through U will not work. It's fine to have multiple rows for the same option, so just fill in any busted lines with some valid date and strike price.</t>
  </si>
  <si>
    <t>Now you can look at all your rolling options (ha!). Net debit rolls are negative numbers in column P. Choose how much cash you want to roll.</t>
  </si>
  <si>
    <t>Net credit rolls require looking at colums S and T. S is the return on incremental capital per quarter. You want 50% or higher, and these are highlighted.</t>
  </si>
  <si>
    <t>T is return on capital per year. This is to make sure you're not fooling yourself by getting a great return on your *incremental* capital, while your already invested capital sits idly with no upside but plenty of downside.</t>
  </si>
  <si>
    <t>Puts ABC</t>
  </si>
  <si>
    <t>These sheets are similar to the Calls ABC sheets, but for puts. There is a P in cell W2 and the equations are different. I think column T may be inaccurate for puts.</t>
  </si>
  <si>
    <t>On the Generator page make sure to change cell Q3 to P when you want puts.</t>
  </si>
  <si>
    <t>Multileg ABC</t>
  </si>
  <si>
    <t>This is my masterpiece. It lets you visualize each option leg of a position and your net gain/less with all different final prices at expiration.</t>
  </si>
  <si>
    <t>You specify a ticker and an expiration date in the cells with green text.</t>
  </si>
  <si>
    <t>You specify the first two strike prices in cells B 2 and B3. It will figure out the pattern and fill in the rest.</t>
  </si>
  <si>
    <t>It then fetches the bid/ask prices for calls and puts at the chosen prices for the given expiration date.</t>
  </si>
  <si>
    <t>Now fill in cells L1:O3 with four options to map. They must all be found in list in columns B:H. Set the quantity to 0 for ones you don't care about.</t>
  </si>
  <si>
    <t>K4 shows your net price per share price to buy this position.</t>
  </si>
  <si>
    <t>Columns L through O show your gain/loss for each leg at the given share price at expiration, and column K shows the net for the whole position.</t>
  </si>
  <si>
    <t>To the right is a hockey stick graph of these columns, with the green line showing your net return.</t>
  </si>
  <si>
    <t>BCS ABC</t>
  </si>
  <si>
    <t>Helps analyze Bull Call Spread opportunities</t>
  </si>
  <si>
    <t>Change%</t>
  </si>
  <si>
    <t>Price/Earn</t>
  </si>
  <si>
    <t>Dividend</t>
  </si>
  <si>
    <t>Seet the ticker and for each section, set the expiration date.</t>
  </si>
  <si>
    <t>Set the lowest two strike prices of interest in B3 and B4</t>
  </si>
  <si>
    <t>Columns F through I show the cost to buy the BCS that has the owned leg at the given strike price and the written leg $5 through $20 above that.</t>
  </si>
  <si>
    <t>Columns K through N show the profit if the price at expiration is above the upper leg.</t>
  </si>
  <si>
    <t>Buy Calls ABC</t>
  </si>
  <si>
    <t>Helps choose which call to buy if you expect a given price at expiration with a given probability.</t>
  </si>
  <si>
    <t>Choose ticker, expiration, and the first two strike prices of interest.</t>
  </si>
  <si>
    <t>Choose the first two expiration prices in F1 and G1.</t>
  </si>
  <si>
    <t>It gives you the gain/loss for each strike price and expiration price.</t>
  </si>
  <si>
    <t>You can choose an expected expiration price and standard deviation.</t>
  </si>
  <si>
    <t>This feeds back to column C, with an expected value given a $100 investment.</t>
  </si>
  <si>
    <t>&lt;-- This is the data source I use with XLQ because I have a TD Ameritrade account. The cell is named "tda".</t>
  </si>
  <si>
    <t>Use XLQPlus with this spreadsheet. It costs $159. It does not require the more expensive XLQ2. You can get a free 45 day trial.</t>
  </si>
  <si>
    <t>You also need a data source. Yahoo is free but doesn't do options. I use TD Ameritrade. Interactive Brokers works, too, I've heard.</t>
  </si>
  <si>
    <t>CAPS All-Star Outperform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</si>
</sst>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m/d/yy"/>
    <numFmt numFmtId="165" formatCode="_(&quot;$&quot;* #,##0_);_(&quot;$&quot;* \(#,##0\);_(&quot;$&quot;* &quot;-&quot;??_);_(@_)"/>
    <numFmt numFmtId="166" formatCode="0.0"/>
    <numFmt numFmtId="167" formatCode="&quot;$&quot;#,##0.00"/>
    <numFmt numFmtId="168" formatCode="0.0%"/>
    <numFmt numFmtId="169" formatCode="_(* #,##0_);_(* \(#,##0\);_(* &quot;-&quot;??_);_(@_)"/>
    <numFmt numFmtId="170" formatCode="_(&quot;$&quot;* #,##0.0_);_(&quot;$&quot;* \(#,##0.0\);_(&quot;$&quot;* &quot;-&quot;??_);_(@_)"/>
    <numFmt numFmtId="171" formatCode="_(* #,##0.000_);_(* \(#,##0.000\);_(* &quot;-&quot;??_);_(@_)"/>
  </numFmts>
  <fonts count="27" x14ac:knownFonts="1">
    <font>
      <sz val="11"/>
      <color rgb="FF000000"/>
      <name val="Calibri"/>
    </font>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11"/>
      <name val="Calibri"/>
      <family val="2"/>
    </font>
    <font>
      <sz val="11"/>
      <color rgb="FF000000"/>
      <name val="Calibri"/>
      <family val="2"/>
    </font>
    <font>
      <b/>
      <sz val="11"/>
      <color rgb="FF000000"/>
      <name val="Calibri"/>
      <family val="2"/>
    </font>
    <font>
      <b/>
      <sz val="11"/>
      <color theme="1"/>
      <name val="Calibri"/>
      <family val="2"/>
      <scheme val="minor"/>
    </font>
    <font>
      <b/>
      <sz val="10"/>
      <color theme="1"/>
      <name val="Calibri"/>
      <family val="2"/>
      <scheme val="minor"/>
    </font>
    <font>
      <sz val="10"/>
      <color theme="1"/>
      <name val="Calibri"/>
      <family val="2"/>
      <scheme val="minor"/>
    </font>
    <font>
      <b/>
      <sz val="11"/>
      <name val="Calibri"/>
      <family val="2"/>
      <scheme val="minor"/>
    </font>
    <font>
      <b/>
      <sz val="11"/>
      <name val="Calibri"/>
      <family val="2"/>
    </font>
    <font>
      <sz val="11"/>
      <name val="Calibri"/>
      <family val="2"/>
      <scheme val="minor"/>
    </font>
    <font>
      <b/>
      <sz val="11"/>
      <color theme="0" tint="-0.14999847407452621"/>
      <name val="Calibri"/>
      <family val="2"/>
    </font>
    <font>
      <sz val="11"/>
      <color theme="0" tint="-0.14999847407452621"/>
      <name val="Calibri"/>
      <family val="2"/>
    </font>
    <font>
      <sz val="9"/>
      <color indexed="81"/>
      <name val="Tahoma"/>
      <family val="2"/>
    </font>
    <font>
      <b/>
      <sz val="9"/>
      <color indexed="81"/>
      <name val="Tahoma"/>
      <family val="2"/>
    </font>
    <font>
      <sz val="11"/>
      <color rgb="FFFF0000"/>
      <name val="Calibri"/>
      <family val="2"/>
    </font>
    <font>
      <b/>
      <sz val="11"/>
      <color theme="2" tint="-0.499984740745262"/>
      <name val="Calibri"/>
      <family val="2"/>
    </font>
    <font>
      <sz val="11"/>
      <color theme="2" tint="-0.499984740745262"/>
      <name val="Calibri"/>
      <family val="2"/>
    </font>
    <font>
      <b/>
      <sz val="11"/>
      <color theme="2" tint="-0.499984740745262"/>
      <name val="Calibri"/>
      <family val="2"/>
      <scheme val="minor"/>
    </font>
    <font>
      <b/>
      <sz val="9"/>
      <color rgb="FF000000"/>
      <name val="Calibri"/>
      <family val="2"/>
    </font>
    <font>
      <sz val="11"/>
      <color theme="9"/>
      <name val="Calibri"/>
      <family val="2"/>
    </font>
    <font>
      <u/>
      <sz val="11"/>
      <color theme="10"/>
      <name val="Calibri"/>
    </font>
    <font>
      <b/>
      <sz val="11"/>
      <color theme="9"/>
      <name val="Calibri"/>
      <family val="2"/>
    </font>
    <font>
      <b/>
      <sz val="11"/>
      <color theme="9"/>
      <name val="Calibri"/>
      <family val="2"/>
      <scheme val="minor"/>
    </font>
  </fonts>
  <fills count="17">
    <fill>
      <patternFill patternType="none"/>
    </fill>
    <fill>
      <patternFill patternType="gray125"/>
    </fill>
    <fill>
      <patternFill patternType="solid">
        <fgColor rgb="FFE2EFD9"/>
        <bgColor rgb="FFE2EFD9"/>
      </patternFill>
    </fill>
    <fill>
      <patternFill patternType="solid">
        <fgColor rgb="FFD9E2F3"/>
        <bgColor rgb="FFD9E2F3"/>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79998168889431442"/>
        <bgColor rgb="FFD9E2F3"/>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DEB9F5"/>
        <bgColor indexed="64"/>
      </patternFill>
    </fill>
    <fill>
      <patternFill patternType="solid">
        <fgColor rgb="FFFF0000"/>
        <bgColor indexed="64"/>
      </patternFill>
    </fill>
    <fill>
      <patternFill patternType="solid">
        <fgColor rgb="FFFF9999"/>
        <bgColor indexed="64"/>
      </patternFill>
    </fill>
    <fill>
      <patternFill patternType="solid">
        <fgColor theme="9" tint="0.59999389629810485"/>
        <bgColor indexed="64"/>
      </patternFill>
    </fill>
  </fills>
  <borders count="2">
    <border>
      <left/>
      <right/>
      <top/>
      <bottom/>
      <diagonal/>
    </border>
    <border>
      <left/>
      <right/>
      <top/>
      <bottom/>
      <diagonal/>
    </border>
  </borders>
  <cellStyleXfs count="5">
    <xf numFmtId="0" fontId="0" fillId="0" borderId="0"/>
    <xf numFmtId="44"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24" fillId="0" borderId="0" applyNumberFormat="0" applyFill="0" applyBorder="0" applyAlignment="0" applyProtection="0"/>
  </cellStyleXfs>
  <cellXfs count="265">
    <xf numFmtId="0" fontId="0" fillId="0" borderId="0" xfId="0"/>
    <xf numFmtId="44" fontId="0" fillId="0" borderId="0" xfId="0" applyNumberFormat="1"/>
    <xf numFmtId="10" fontId="0" fillId="0" borderId="0" xfId="0" applyNumberFormat="1"/>
    <xf numFmtId="14" fontId="4" fillId="0" borderId="0" xfId="0" applyNumberFormat="1" applyFont="1"/>
    <xf numFmtId="44" fontId="4" fillId="0" borderId="0" xfId="0" applyNumberFormat="1" applyFont="1"/>
    <xf numFmtId="44" fontId="4" fillId="2" borderId="1" xfId="0" applyNumberFormat="1" applyFont="1" applyFill="1" applyBorder="1"/>
    <xf numFmtId="1" fontId="4" fillId="0" borderId="0" xfId="0" applyNumberFormat="1" applyFont="1"/>
    <xf numFmtId="2" fontId="4" fillId="0" borderId="0" xfId="0" applyNumberFormat="1" applyFont="1"/>
    <xf numFmtId="10" fontId="4" fillId="0" borderId="0" xfId="0" applyNumberFormat="1" applyFont="1"/>
    <xf numFmtId="0" fontId="5" fillId="3" borderId="1" xfId="0" applyFont="1" applyFill="1" applyBorder="1" applyAlignment="1">
      <alignment horizontal="center"/>
    </xf>
    <xf numFmtId="44" fontId="5" fillId="3" borderId="1" xfId="0" applyNumberFormat="1" applyFont="1" applyFill="1" applyBorder="1"/>
    <xf numFmtId="9" fontId="5" fillId="3" borderId="1" xfId="0" applyNumberFormat="1" applyFont="1" applyFill="1" applyBorder="1"/>
    <xf numFmtId="0" fontId="7" fillId="0" borderId="0" xfId="0" applyFont="1" applyAlignment="1">
      <alignment horizontal="center"/>
    </xf>
    <xf numFmtId="0" fontId="7" fillId="0" borderId="0" xfId="0" applyFont="1"/>
    <xf numFmtId="44" fontId="0" fillId="0" borderId="0" xfId="1" applyFont="1" applyAlignment="1">
      <alignment horizontal="center"/>
    </xf>
    <xf numFmtId="0" fontId="7" fillId="2" borderId="1" xfId="0" applyFont="1" applyFill="1" applyBorder="1"/>
    <xf numFmtId="0" fontId="7" fillId="4" borderId="0" xfId="0" applyFont="1" applyFill="1" applyAlignment="1">
      <alignment horizontal="center"/>
    </xf>
    <xf numFmtId="0" fontId="4" fillId="0" borderId="0" xfId="0" applyFont="1"/>
    <xf numFmtId="0" fontId="7" fillId="5" borderId="0" xfId="0" applyFont="1" applyFill="1"/>
    <xf numFmtId="10" fontId="4" fillId="5" borderId="0" xfId="0" applyNumberFormat="1" applyFont="1" applyFill="1"/>
    <xf numFmtId="0" fontId="8" fillId="0" borderId="0" xfId="0" applyFont="1"/>
    <xf numFmtId="165" fontId="8" fillId="0" borderId="0" xfId="1" applyNumberFormat="1" applyFont="1"/>
    <xf numFmtId="44" fontId="8" fillId="0" borderId="0" xfId="1" applyFont="1" applyAlignment="1">
      <alignment horizontal="center"/>
    </xf>
    <xf numFmtId="44" fontId="8" fillId="0" borderId="0" xfId="1" applyFont="1"/>
    <xf numFmtId="0" fontId="0" fillId="0" borderId="0" xfId="0" quotePrefix="1" applyAlignment="1">
      <alignment horizontal="center"/>
    </xf>
    <xf numFmtId="10" fontId="0" fillId="0" borderId="0" xfId="3" applyNumberFormat="1" applyFont="1"/>
    <xf numFmtId="167" fontId="10" fillId="0" borderId="0" xfId="1" applyNumberFormat="1" applyFont="1"/>
    <xf numFmtId="165" fontId="9" fillId="0" borderId="0" xfId="1" applyNumberFormat="1" applyFont="1"/>
    <xf numFmtId="44" fontId="0" fillId="0" borderId="0" xfId="0" applyNumberFormat="1" applyAlignment="1">
      <alignment horizontal="center"/>
    </xf>
    <xf numFmtId="170" fontId="11" fillId="0" borderId="0" xfId="0" applyNumberFormat="1" applyFont="1"/>
    <xf numFmtId="0" fontId="12" fillId="0" borderId="0" xfId="0" applyFont="1"/>
    <xf numFmtId="170" fontId="13" fillId="0" borderId="0" xfId="1" applyNumberFormat="1" applyFont="1"/>
    <xf numFmtId="0" fontId="7" fillId="6" borderId="0" xfId="0" applyFont="1" applyFill="1" applyAlignment="1">
      <alignment horizontal="center"/>
    </xf>
    <xf numFmtId="165" fontId="8" fillId="6" borderId="0" xfId="1" applyNumberFormat="1" applyFont="1" applyFill="1"/>
    <xf numFmtId="43" fontId="8" fillId="6" borderId="0" xfId="2" applyFont="1" applyFill="1"/>
    <xf numFmtId="171" fontId="0" fillId="6" borderId="0" xfId="2" applyNumberFormat="1" applyFont="1" applyFill="1"/>
    <xf numFmtId="0" fontId="0" fillId="6" borderId="0" xfId="0" applyFill="1"/>
    <xf numFmtId="44" fontId="0" fillId="6" borderId="0" xfId="1" applyFont="1" applyFill="1" applyAlignment="1">
      <alignment horizontal="center"/>
    </xf>
    <xf numFmtId="10" fontId="8" fillId="6" borderId="0" xfId="3" applyNumberFormat="1" applyFont="1" applyFill="1"/>
    <xf numFmtId="10" fontId="0" fillId="6" borderId="0" xfId="3" applyNumberFormat="1" applyFont="1" applyFill="1"/>
    <xf numFmtId="44" fontId="7" fillId="6" borderId="0" xfId="0" applyNumberFormat="1" applyFont="1" applyFill="1" applyAlignment="1">
      <alignment horizontal="center"/>
    </xf>
    <xf numFmtId="170" fontId="11" fillId="6" borderId="0" xfId="0" applyNumberFormat="1" applyFont="1" applyFill="1"/>
    <xf numFmtId="165" fontId="5" fillId="0" borderId="0" xfId="1" applyNumberFormat="1" applyFont="1"/>
    <xf numFmtId="165" fontId="0" fillId="0" borderId="0" xfId="1" applyNumberFormat="1" applyFont="1"/>
    <xf numFmtId="0" fontId="12" fillId="6" borderId="0" xfId="0" applyFont="1" applyFill="1"/>
    <xf numFmtId="170" fontId="5" fillId="6" borderId="0" xfId="1" applyNumberFormat="1" applyFont="1" applyFill="1"/>
    <xf numFmtId="0" fontId="14" fillId="0" borderId="0" xfId="0" applyFont="1"/>
    <xf numFmtId="0" fontId="15" fillId="0" borderId="0" xfId="0" applyFont="1"/>
    <xf numFmtId="166" fontId="15" fillId="0" borderId="0" xfId="0" applyNumberFormat="1" applyFont="1"/>
    <xf numFmtId="0" fontId="0" fillId="0" borderId="0" xfId="0" applyAlignment="1">
      <alignment vertical="center"/>
    </xf>
    <xf numFmtId="0" fontId="7" fillId="0" borderId="0" xfId="0" applyFont="1" applyAlignment="1">
      <alignment vertical="center"/>
    </xf>
    <xf numFmtId="14" fontId="7" fillId="0" borderId="0" xfId="0" applyNumberFormat="1" applyFont="1" applyAlignment="1">
      <alignment vertical="center"/>
    </xf>
    <xf numFmtId="14" fontId="0" fillId="0" borderId="0" xfId="0" applyNumberFormat="1" applyAlignment="1">
      <alignment vertical="center"/>
    </xf>
    <xf numFmtId="169" fontId="7" fillId="0" borderId="0" xfId="2" applyNumberFormat="1" applyFont="1" applyAlignment="1">
      <alignment vertical="center"/>
    </xf>
    <xf numFmtId="169" fontId="0" fillId="0" borderId="0" xfId="2" applyNumberFormat="1" applyFont="1" applyAlignment="1">
      <alignment vertical="center"/>
    </xf>
    <xf numFmtId="44" fontId="4" fillId="0" borderId="0" xfId="1" applyFont="1"/>
    <xf numFmtId="0" fontId="7" fillId="0" borderId="1" xfId="0" applyFont="1" applyBorder="1" applyAlignment="1">
      <alignment horizontal="center"/>
    </xf>
    <xf numFmtId="10" fontId="5" fillId="7" borderId="1" xfId="0" applyNumberFormat="1" applyFont="1" applyFill="1" applyBorder="1"/>
    <xf numFmtId="0" fontId="3" fillId="0" borderId="0" xfId="0" applyFont="1" applyAlignment="1">
      <alignment vertical="center"/>
    </xf>
    <xf numFmtId="164" fontId="0" fillId="0" borderId="0" xfId="0" applyNumberFormat="1" applyAlignment="1">
      <alignment vertical="center"/>
    </xf>
    <xf numFmtId="44" fontId="7" fillId="6" borderId="0" xfId="1" quotePrefix="1" applyFont="1" applyFill="1" applyAlignment="1">
      <alignment horizontal="center"/>
    </xf>
    <xf numFmtId="0" fontId="4" fillId="0" borderId="0" xfId="0" applyFont="1" applyAlignment="1">
      <alignment horizontal="left"/>
    </xf>
    <xf numFmtId="0" fontId="4" fillId="0" borderId="0" xfId="0" applyFont="1" applyAlignment="1">
      <alignment vertical="center"/>
    </xf>
    <xf numFmtId="44" fontId="0" fillId="0" borderId="0" xfId="1" applyFont="1"/>
    <xf numFmtId="0" fontId="4" fillId="6" borderId="0" xfId="0" applyFont="1" applyFill="1" applyAlignment="1">
      <alignment horizontal="center"/>
    </xf>
    <xf numFmtId="0" fontId="7" fillId="6" borderId="0" xfId="0" applyFont="1" applyFill="1"/>
    <xf numFmtId="14" fontId="7" fillId="6" borderId="0" xfId="0" applyNumberFormat="1" applyFont="1" applyFill="1" applyAlignment="1">
      <alignment horizontal="center"/>
    </xf>
    <xf numFmtId="0" fontId="7" fillId="6" borderId="0" xfId="0" applyFont="1" applyFill="1" applyAlignment="1">
      <alignment horizontal="right"/>
    </xf>
    <xf numFmtId="14" fontId="7" fillId="6" borderId="0" xfId="0" applyNumberFormat="1" applyFont="1" applyFill="1" applyAlignment="1">
      <alignment vertical="center"/>
    </xf>
    <xf numFmtId="44" fontId="7" fillId="6" borderId="0" xfId="1" quotePrefix="1" applyFont="1" applyFill="1" applyAlignment="1">
      <alignment horizontal="right"/>
    </xf>
    <xf numFmtId="44" fontId="7" fillId="6" borderId="0" xfId="0" applyNumberFormat="1" applyFont="1" applyFill="1" applyAlignment="1">
      <alignment horizontal="right" vertical="center"/>
    </xf>
    <xf numFmtId="44" fontId="7" fillId="6" borderId="0" xfId="1" applyFont="1" applyFill="1" applyAlignment="1">
      <alignment horizontal="right"/>
    </xf>
    <xf numFmtId="170" fontId="7" fillId="6" borderId="0" xfId="1" applyNumberFormat="1" applyFont="1" applyFill="1" applyAlignment="1">
      <alignment horizontal="right"/>
    </xf>
    <xf numFmtId="14" fontId="7" fillId="6" borderId="0" xfId="0" applyNumberFormat="1" applyFont="1" applyFill="1" applyAlignment="1">
      <alignment horizontal="right"/>
    </xf>
    <xf numFmtId="0" fontId="0" fillId="4" borderId="0" xfId="0" applyFill="1" applyAlignment="1">
      <alignment horizontal="left"/>
    </xf>
    <xf numFmtId="0" fontId="0" fillId="4" borderId="0" xfId="0" applyFill="1"/>
    <xf numFmtId="44" fontId="0" fillId="9" borderId="0" xfId="1" applyFont="1" applyFill="1"/>
    <xf numFmtId="0" fontId="0" fillId="9" borderId="0" xfId="0" applyFill="1"/>
    <xf numFmtId="44" fontId="7" fillId="0" borderId="0" xfId="1" applyFont="1"/>
    <xf numFmtId="0" fontId="7" fillId="4" borderId="0" xfId="0" applyFont="1" applyFill="1"/>
    <xf numFmtId="44" fontId="0" fillId="6" borderId="0" xfId="0" applyNumberFormat="1" applyFill="1" applyAlignment="1">
      <alignment horizontal="center"/>
    </xf>
    <xf numFmtId="0" fontId="0" fillId="10" borderId="0" xfId="0" applyFill="1"/>
    <xf numFmtId="14" fontId="0" fillId="10" borderId="0" xfId="0" applyNumberFormat="1" applyFill="1"/>
    <xf numFmtId="14" fontId="4" fillId="4" borderId="0" xfId="0" applyNumberFormat="1" applyFont="1" applyFill="1"/>
    <xf numFmtId="44" fontId="4" fillId="4" borderId="0" xfId="0" applyNumberFormat="1" applyFont="1" applyFill="1"/>
    <xf numFmtId="0" fontId="7" fillId="5" borderId="0" xfId="0" applyFont="1" applyFill="1" applyAlignment="1">
      <alignment vertical="center"/>
    </xf>
    <xf numFmtId="14" fontId="7" fillId="5" borderId="0" xfId="0" applyNumberFormat="1" applyFont="1" applyFill="1" applyAlignment="1">
      <alignment vertical="center"/>
    </xf>
    <xf numFmtId="14" fontId="0" fillId="5" borderId="0" xfId="0" applyNumberFormat="1" applyFill="1" applyAlignment="1">
      <alignment vertical="center"/>
    </xf>
    <xf numFmtId="0" fontId="0" fillId="5" borderId="0" xfId="0" applyFill="1" applyAlignment="1">
      <alignment vertical="center"/>
    </xf>
    <xf numFmtId="0" fontId="18" fillId="5" borderId="0" xfId="0" applyFont="1" applyFill="1" applyAlignment="1">
      <alignment vertical="center"/>
    </xf>
    <xf numFmtId="14" fontId="18" fillId="5" borderId="0" xfId="0" applyNumberFormat="1" applyFont="1" applyFill="1" applyAlignment="1">
      <alignment vertical="center"/>
    </xf>
    <xf numFmtId="44" fontId="7" fillId="6" borderId="0" xfId="1" applyFont="1" applyFill="1"/>
    <xf numFmtId="0" fontId="4" fillId="6" borderId="0" xfId="0" applyFont="1" applyFill="1" applyAlignment="1">
      <alignment horizontal="right"/>
    </xf>
    <xf numFmtId="44" fontId="0" fillId="6" borderId="0" xfId="0" applyNumberFormat="1" applyFill="1" applyAlignment="1">
      <alignment horizontal="right"/>
    </xf>
    <xf numFmtId="0" fontId="0" fillId="0" borderId="0" xfId="0" applyAlignment="1">
      <alignment horizontal="right"/>
    </xf>
    <xf numFmtId="168" fontId="0" fillId="0" borderId="0" xfId="3" applyNumberFormat="1" applyFont="1" applyAlignment="1">
      <alignment horizontal="right"/>
    </xf>
    <xf numFmtId="0" fontId="7" fillId="0" borderId="0" xfId="0" applyFont="1" applyAlignment="1">
      <alignment horizontal="right"/>
    </xf>
    <xf numFmtId="0" fontId="4" fillId="0" borderId="0" xfId="0" applyFont="1" applyAlignment="1">
      <alignment horizontal="right"/>
    </xf>
    <xf numFmtId="44" fontId="7" fillId="0" borderId="0" xfId="0" applyNumberFormat="1" applyFont="1"/>
    <xf numFmtId="0" fontId="8" fillId="6" borderId="0" xfId="0" applyFont="1" applyFill="1" applyAlignment="1">
      <alignment horizontal="center"/>
    </xf>
    <xf numFmtId="44" fontId="8" fillId="6" borderId="0" xfId="1" applyFont="1" applyFill="1" applyAlignment="1">
      <alignment horizontal="center"/>
    </xf>
    <xf numFmtId="0" fontId="0" fillId="6" borderId="0" xfId="0" quotePrefix="1" applyFill="1" applyAlignment="1">
      <alignment horizontal="center"/>
    </xf>
    <xf numFmtId="0" fontId="0" fillId="6" borderId="0" xfId="0" applyFill="1" applyAlignment="1">
      <alignment horizontal="center"/>
    </xf>
    <xf numFmtId="170" fontId="11" fillId="6" borderId="0" xfId="0" applyNumberFormat="1" applyFont="1" applyFill="1" applyAlignment="1">
      <alignment horizontal="center"/>
    </xf>
    <xf numFmtId="165" fontId="9" fillId="6" borderId="0" xfId="1" applyNumberFormat="1" applyFont="1" applyFill="1" applyAlignment="1">
      <alignment horizontal="center"/>
    </xf>
    <xf numFmtId="0" fontId="0" fillId="6" borderId="0" xfId="2" applyNumberFormat="1" applyFont="1" applyFill="1" applyAlignment="1">
      <alignment horizontal="center"/>
    </xf>
    <xf numFmtId="44" fontId="7" fillId="9" borderId="0" xfId="0" applyNumberFormat="1" applyFont="1" applyFill="1" applyAlignment="1">
      <alignment horizontal="center"/>
    </xf>
    <xf numFmtId="165" fontId="8" fillId="9" borderId="0" xfId="1" applyNumberFormat="1" applyFont="1" applyFill="1"/>
    <xf numFmtId="44" fontId="8" fillId="9" borderId="0" xfId="1" applyFont="1" applyFill="1"/>
    <xf numFmtId="44" fontId="4" fillId="9" borderId="0" xfId="1" applyFont="1" applyFill="1"/>
    <xf numFmtId="10" fontId="0" fillId="9" borderId="0" xfId="3" applyNumberFormat="1" applyFont="1" applyFill="1"/>
    <xf numFmtId="0" fontId="0" fillId="9" borderId="0" xfId="0" applyFill="1" applyAlignment="1">
      <alignment horizontal="center"/>
    </xf>
    <xf numFmtId="165" fontId="7" fillId="6" borderId="0" xfId="1" applyNumberFormat="1" applyFont="1" applyFill="1" applyAlignment="1">
      <alignment horizontal="center"/>
    </xf>
    <xf numFmtId="0" fontId="0" fillId="6" borderId="0" xfId="1" applyNumberFormat="1" applyFont="1" applyFill="1" applyAlignment="1">
      <alignment horizontal="center"/>
    </xf>
    <xf numFmtId="0" fontId="9" fillId="6" borderId="0" xfId="1" applyNumberFormat="1" applyFont="1" applyFill="1" applyAlignment="1">
      <alignment horizontal="center"/>
    </xf>
    <xf numFmtId="0" fontId="7" fillId="9" borderId="0" xfId="0" applyFont="1" applyFill="1" applyAlignment="1">
      <alignment horizontal="center"/>
    </xf>
    <xf numFmtId="0" fontId="0" fillId="9" borderId="0" xfId="2" applyNumberFormat="1" applyFont="1" applyFill="1" applyAlignment="1">
      <alignment horizontal="center"/>
    </xf>
    <xf numFmtId="0" fontId="19" fillId="0" borderId="0" xfId="0" applyFont="1"/>
    <xf numFmtId="0" fontId="20" fillId="0" borderId="0" xfId="0" applyFont="1"/>
    <xf numFmtId="0" fontId="3" fillId="6" borderId="0" xfId="0" applyFont="1" applyFill="1" applyAlignment="1">
      <alignment horizontal="right"/>
    </xf>
    <xf numFmtId="0" fontId="3" fillId="6" borderId="0" xfId="0" applyFont="1" applyFill="1" applyAlignment="1">
      <alignment horizontal="center"/>
    </xf>
    <xf numFmtId="44" fontId="2" fillId="0" borderId="0" xfId="1" applyFont="1"/>
    <xf numFmtId="165" fontId="2" fillId="0" borderId="0" xfId="1" applyNumberFormat="1" applyFont="1"/>
    <xf numFmtId="165" fontId="8" fillId="4" borderId="0" xfId="1" applyNumberFormat="1" applyFont="1" applyFill="1"/>
    <xf numFmtId="0" fontId="3" fillId="0" borderId="0" xfId="0" applyFont="1"/>
    <xf numFmtId="169" fontId="0" fillId="0" borderId="0" xfId="2" applyNumberFormat="1" applyFont="1"/>
    <xf numFmtId="169" fontId="0" fillId="0" borderId="0" xfId="0" applyNumberFormat="1"/>
    <xf numFmtId="168" fontId="0" fillId="0" borderId="0" xfId="0" applyNumberFormat="1"/>
    <xf numFmtId="168" fontId="0" fillId="10" borderId="0" xfId="0" applyNumberFormat="1" applyFill="1"/>
    <xf numFmtId="0" fontId="21" fillId="0" borderId="0" xfId="0" applyFont="1"/>
    <xf numFmtId="44" fontId="21" fillId="0" borderId="0" xfId="1" applyFont="1"/>
    <xf numFmtId="44" fontId="21" fillId="9" borderId="0" xfId="1" applyFont="1" applyFill="1"/>
    <xf numFmtId="165" fontId="7" fillId="0" borderId="0" xfId="1" applyNumberFormat="1" applyFont="1"/>
    <xf numFmtId="9" fontId="0" fillId="0" borderId="0" xfId="0" applyNumberFormat="1"/>
    <xf numFmtId="9" fontId="0" fillId="10" borderId="0" xfId="0" applyNumberFormat="1" applyFill="1"/>
    <xf numFmtId="0" fontId="3" fillId="11" borderId="0" xfId="0" applyFont="1" applyFill="1"/>
    <xf numFmtId="44" fontId="0" fillId="11" borderId="0" xfId="1" applyFont="1" applyFill="1"/>
    <xf numFmtId="0" fontId="0" fillId="11" borderId="0" xfId="0" applyFill="1"/>
    <xf numFmtId="44" fontId="3" fillId="11" borderId="0" xfId="0" applyNumberFormat="1" applyFont="1" applyFill="1"/>
    <xf numFmtId="0" fontId="7" fillId="12" borderId="0" xfId="0" applyFont="1" applyFill="1" applyAlignment="1">
      <alignment horizontal="center"/>
    </xf>
    <xf numFmtId="0" fontId="8" fillId="12" borderId="0" xfId="0" applyFont="1" applyFill="1" applyAlignment="1">
      <alignment horizontal="center"/>
    </xf>
    <xf numFmtId="44" fontId="8" fillId="12" borderId="0" xfId="1" applyFont="1" applyFill="1" applyAlignment="1">
      <alignment horizontal="center"/>
    </xf>
    <xf numFmtId="0" fontId="0" fillId="12" borderId="0" xfId="0" applyFill="1" applyAlignment="1">
      <alignment horizontal="center"/>
    </xf>
    <xf numFmtId="14" fontId="0" fillId="12" borderId="0" xfId="0" applyNumberFormat="1" applyFill="1" applyAlignment="1">
      <alignment horizontal="center"/>
    </xf>
    <xf numFmtId="0" fontId="0" fillId="12" borderId="0" xfId="0" quotePrefix="1" applyFill="1" applyAlignment="1">
      <alignment horizontal="center"/>
    </xf>
    <xf numFmtId="0" fontId="0" fillId="12" borderId="0" xfId="2" applyNumberFormat="1" applyFont="1" applyFill="1" applyAlignment="1">
      <alignment horizontal="center"/>
    </xf>
    <xf numFmtId="0" fontId="0" fillId="12" borderId="0" xfId="1" applyNumberFormat="1" applyFont="1" applyFill="1" applyAlignment="1">
      <alignment horizontal="center"/>
    </xf>
    <xf numFmtId="165" fontId="7" fillId="12" borderId="0" xfId="1" applyNumberFormat="1" applyFont="1" applyFill="1" applyAlignment="1">
      <alignment horizontal="center"/>
    </xf>
    <xf numFmtId="0" fontId="9" fillId="12" borderId="0" xfId="1" applyNumberFormat="1" applyFont="1" applyFill="1" applyAlignment="1">
      <alignment horizontal="center"/>
    </xf>
    <xf numFmtId="44" fontId="0" fillId="12" borderId="0" xfId="1" applyFont="1" applyFill="1" applyAlignment="1">
      <alignment horizontal="center"/>
    </xf>
    <xf numFmtId="0" fontId="19" fillId="6" borderId="0" xfId="0" applyFont="1" applyFill="1"/>
    <xf numFmtId="0" fontId="8" fillId="6" borderId="0" xfId="0" applyFont="1" applyFill="1"/>
    <xf numFmtId="0" fontId="21" fillId="6" borderId="0" xfId="0" applyFont="1" applyFill="1"/>
    <xf numFmtId="44" fontId="8" fillId="6" borderId="0" xfId="1" applyFont="1" applyFill="1"/>
    <xf numFmtId="44" fontId="21" fillId="6" borderId="0" xfId="1" applyFont="1" applyFill="1"/>
    <xf numFmtId="0" fontId="20" fillId="6" borderId="0" xfId="0" applyFont="1" applyFill="1"/>
    <xf numFmtId="44" fontId="3" fillId="11" borderId="0" xfId="1" applyFont="1" applyFill="1"/>
    <xf numFmtId="170" fontId="8" fillId="0" borderId="0" xfId="1" applyNumberFormat="1" applyFont="1"/>
    <xf numFmtId="0" fontId="22" fillId="0" borderId="0" xfId="0" applyFont="1" applyAlignment="1">
      <alignment horizontal="center"/>
    </xf>
    <xf numFmtId="0" fontId="8" fillId="13" borderId="0" xfId="0" applyFont="1" applyFill="1"/>
    <xf numFmtId="0" fontId="21" fillId="13" borderId="0" xfId="0" applyFont="1" applyFill="1"/>
    <xf numFmtId="44" fontId="8" fillId="13" borderId="0" xfId="1" applyFont="1" applyFill="1"/>
    <xf numFmtId="44" fontId="21" fillId="13" borderId="0" xfId="1" applyFont="1" applyFill="1"/>
    <xf numFmtId="0" fontId="20" fillId="13" borderId="0" xfId="0" applyFont="1" applyFill="1"/>
    <xf numFmtId="0" fontId="19" fillId="13" borderId="0" xfId="0" applyFont="1" applyFill="1"/>
    <xf numFmtId="10" fontId="7" fillId="12" borderId="0" xfId="3" applyNumberFormat="1" applyFont="1" applyFill="1" applyAlignment="1">
      <alignment horizontal="center"/>
    </xf>
    <xf numFmtId="10" fontId="0" fillId="6" borderId="0" xfId="3" quotePrefix="1" applyNumberFormat="1" applyFont="1" applyFill="1" applyAlignment="1">
      <alignment horizontal="center"/>
    </xf>
    <xf numFmtId="0" fontId="3" fillId="9" borderId="0" xfId="0" applyFont="1" applyFill="1" applyAlignment="1">
      <alignment horizontal="center"/>
    </xf>
    <xf numFmtId="0" fontId="0" fillId="8" borderId="0" xfId="0" applyFill="1"/>
    <xf numFmtId="0" fontId="3" fillId="8" borderId="0" xfId="0" applyFont="1" applyFill="1" applyAlignment="1">
      <alignment horizontal="center"/>
    </xf>
    <xf numFmtId="0" fontId="3" fillId="11" borderId="0" xfId="0" applyFont="1" applyFill="1" applyAlignment="1">
      <alignment horizontal="center"/>
    </xf>
    <xf numFmtId="0" fontId="3" fillId="4" borderId="0" xfId="0" applyFont="1" applyFill="1" applyAlignment="1">
      <alignment horizontal="center"/>
    </xf>
    <xf numFmtId="0" fontId="4" fillId="12" borderId="0" xfId="0" applyFont="1" applyFill="1" applyAlignment="1">
      <alignment horizontal="center"/>
    </xf>
    <xf numFmtId="0" fontId="0" fillId="0" borderId="0" xfId="0" applyAlignment="1">
      <alignment horizontal="center"/>
    </xf>
    <xf numFmtId="9" fontId="4" fillId="0" borderId="0" xfId="3" applyFont="1"/>
    <xf numFmtId="9" fontId="1" fillId="0" borderId="0" xfId="3" applyFont="1"/>
    <xf numFmtId="0" fontId="7" fillId="0" borderId="0" xfId="0" applyFont="1" applyAlignment="1">
      <alignment horizontal="center"/>
    </xf>
    <xf numFmtId="0" fontId="0" fillId="0" borderId="0" xfId="0" applyAlignment="1">
      <alignment horizontal="center"/>
    </xf>
    <xf numFmtId="0" fontId="7" fillId="0" borderId="0" xfId="0" applyFont="1" applyAlignment="1">
      <alignment horizontal="center"/>
    </xf>
    <xf numFmtId="44" fontId="0" fillId="4" borderId="0" xfId="1" applyFont="1" applyFill="1"/>
    <xf numFmtId="10" fontId="0" fillId="4" borderId="0" xfId="3" applyNumberFormat="1" applyFont="1" applyFill="1"/>
    <xf numFmtId="165" fontId="0" fillId="4" borderId="0" xfId="1" applyNumberFormat="1" applyFont="1" applyFill="1"/>
    <xf numFmtId="14" fontId="0" fillId="11" borderId="0" xfId="0" applyNumberFormat="1" applyFill="1"/>
    <xf numFmtId="0" fontId="4" fillId="11" borderId="0" xfId="0" applyFont="1" applyFill="1" applyAlignment="1">
      <alignment vertical="center"/>
    </xf>
    <xf numFmtId="44" fontId="0" fillId="11" borderId="0" xfId="1" applyFont="1" applyFill="1" applyAlignment="1">
      <alignment vertical="center"/>
    </xf>
    <xf numFmtId="0" fontId="4" fillId="11" borderId="0" xfId="0" applyFont="1" applyFill="1"/>
    <xf numFmtId="14" fontId="4" fillId="11" borderId="0" xfId="0" applyNumberFormat="1" applyFont="1" applyFill="1"/>
    <xf numFmtId="0" fontId="0" fillId="4" borderId="0" xfId="0" applyFill="1" applyAlignment="1">
      <alignment vertical="center"/>
    </xf>
    <xf numFmtId="165" fontId="0" fillId="4" borderId="0" xfId="1" applyNumberFormat="1" applyFont="1" applyFill="1" applyAlignment="1">
      <alignment vertical="center"/>
    </xf>
    <xf numFmtId="0" fontId="0" fillId="6" borderId="0" xfId="0" applyNumberFormat="1" applyFill="1" applyAlignment="1">
      <alignment horizontal="center" vertical="center"/>
    </xf>
    <xf numFmtId="9" fontId="0" fillId="6" borderId="0" xfId="3" applyFont="1" applyFill="1" applyAlignment="1">
      <alignment horizontal="center" vertical="center"/>
    </xf>
    <xf numFmtId="0" fontId="4" fillId="4" borderId="0" xfId="0" applyFont="1" applyFill="1" applyAlignment="1">
      <alignment horizontal="center"/>
    </xf>
    <xf numFmtId="0" fontId="0" fillId="4" borderId="0" xfId="0" applyFill="1" applyAlignment="1">
      <alignment horizontal="center"/>
    </xf>
    <xf numFmtId="44" fontId="4" fillId="11" borderId="0" xfId="1" applyFont="1" applyFill="1" applyAlignment="1">
      <alignment vertical="center"/>
    </xf>
    <xf numFmtId="44" fontId="4" fillId="4" borderId="0" xfId="1" applyFont="1" applyFill="1"/>
    <xf numFmtId="0" fontId="4" fillId="6" borderId="1" xfId="0" applyFont="1" applyFill="1" applyBorder="1" applyAlignment="1">
      <alignment horizontal="center"/>
    </xf>
    <xf numFmtId="0" fontId="4" fillId="6" borderId="0" xfId="0" applyNumberFormat="1" applyFont="1" applyFill="1" applyAlignment="1">
      <alignment horizontal="center" vertical="center"/>
    </xf>
    <xf numFmtId="9" fontId="4" fillId="6" borderId="0" xfId="3" applyFont="1" applyFill="1" applyAlignment="1">
      <alignment horizontal="center" vertical="center"/>
    </xf>
    <xf numFmtId="0" fontId="0" fillId="0" borderId="0" xfId="0" applyFill="1"/>
    <xf numFmtId="0" fontId="4" fillId="0" borderId="0" xfId="0" applyFont="1" applyFill="1"/>
    <xf numFmtId="44" fontId="0" fillId="0" borderId="0" xfId="0" applyNumberFormat="1" applyFill="1"/>
    <xf numFmtId="44" fontId="0" fillId="15" borderId="0" xfId="1" applyFont="1" applyFill="1"/>
    <xf numFmtId="0" fontId="0" fillId="15" borderId="0" xfId="0" applyFill="1"/>
    <xf numFmtId="44" fontId="4" fillId="11" borderId="0" xfId="1" applyFont="1" applyFill="1"/>
    <xf numFmtId="165" fontId="0" fillId="11" borderId="0" xfId="1" applyNumberFormat="1" applyFont="1" applyFill="1"/>
    <xf numFmtId="165" fontId="4" fillId="11" borderId="0" xfId="1" applyNumberFormat="1" applyFont="1" applyFill="1"/>
    <xf numFmtId="44" fontId="4" fillId="15" borderId="0" xfId="1" applyFont="1" applyFill="1"/>
    <xf numFmtId="0" fontId="3" fillId="14" borderId="0" xfId="0" applyFont="1" applyFill="1" applyAlignment="1">
      <alignment horizontal="center"/>
    </xf>
    <xf numFmtId="9" fontId="4" fillId="6" borderId="0" xfId="0" applyNumberFormat="1" applyFont="1" applyFill="1" applyAlignment="1">
      <alignment horizontal="center"/>
    </xf>
    <xf numFmtId="0" fontId="4" fillId="6" borderId="0" xfId="0" applyFont="1" applyFill="1" applyBorder="1" applyAlignment="1">
      <alignment horizontal="center"/>
    </xf>
    <xf numFmtId="0" fontId="3" fillId="11" borderId="0" xfId="0" applyFont="1" applyFill="1" applyAlignment="1">
      <alignment horizontal="center" vertical="center"/>
    </xf>
    <xf numFmtId="9" fontId="3" fillId="4" borderId="0" xfId="0" quotePrefix="1" applyNumberFormat="1" applyFont="1" applyFill="1" applyAlignment="1">
      <alignment horizontal="center"/>
    </xf>
    <xf numFmtId="0" fontId="3" fillId="6" borderId="0" xfId="0" applyFont="1" applyFill="1" applyBorder="1" applyAlignment="1">
      <alignment horizontal="center" vertical="center"/>
    </xf>
    <xf numFmtId="0" fontId="3" fillId="6" borderId="0" xfId="0" applyFont="1" applyFill="1" applyAlignment="1">
      <alignment horizontal="center" vertical="center"/>
    </xf>
    <xf numFmtId="165" fontId="0" fillId="16" borderId="0" xfId="1" applyNumberFormat="1" applyFont="1" applyFill="1" applyAlignment="1">
      <alignment vertical="center"/>
    </xf>
    <xf numFmtId="165" fontId="0" fillId="16" borderId="0" xfId="1" applyNumberFormat="1" applyFont="1" applyFill="1"/>
    <xf numFmtId="0" fontId="3" fillId="8" borderId="0" xfId="0" applyFont="1" applyFill="1" applyAlignment="1">
      <alignment horizontal="center" vertical="center"/>
    </xf>
    <xf numFmtId="44" fontId="3" fillId="8" borderId="0" xfId="1" applyFont="1" applyFill="1" applyAlignment="1">
      <alignment horizontal="center"/>
    </xf>
    <xf numFmtId="165" fontId="3" fillId="8" borderId="0" xfId="1" applyNumberFormat="1" applyFont="1" applyFill="1" applyAlignment="1">
      <alignment horizontal="center" vertical="center"/>
    </xf>
    <xf numFmtId="0" fontId="0" fillId="0" borderId="0" xfId="0" applyNumberFormat="1" applyFill="1"/>
    <xf numFmtId="0" fontId="4" fillId="0" borderId="0" xfId="0" applyNumberFormat="1" applyFont="1" applyFill="1"/>
    <xf numFmtId="0" fontId="0" fillId="6" borderId="1" xfId="0" applyFill="1" applyBorder="1" applyAlignment="1">
      <alignment horizontal="center"/>
    </xf>
    <xf numFmtId="0" fontId="0" fillId="0" borderId="0" xfId="0" applyAlignment="1">
      <alignment horizontal="center"/>
    </xf>
    <xf numFmtId="165" fontId="4" fillId="4" borderId="0" xfId="1" applyNumberFormat="1" applyFont="1" applyFill="1"/>
    <xf numFmtId="165" fontId="4" fillId="16" borderId="0" xfId="1" applyNumberFormat="1" applyFont="1" applyFill="1" applyAlignment="1">
      <alignment vertical="center"/>
    </xf>
    <xf numFmtId="165" fontId="4" fillId="4" borderId="0" xfId="1" applyNumberFormat="1" applyFont="1" applyFill="1" applyAlignment="1">
      <alignment vertical="center"/>
    </xf>
    <xf numFmtId="10" fontId="4" fillId="4" borderId="0" xfId="3" applyNumberFormat="1" applyFont="1" applyFill="1"/>
    <xf numFmtId="0" fontId="24" fillId="0" borderId="0" xfId="4"/>
    <xf numFmtId="14" fontId="3" fillId="0" borderId="0" xfId="0" applyNumberFormat="1" applyFont="1" applyAlignment="1">
      <alignment vertical="center"/>
    </xf>
    <xf numFmtId="0" fontId="25" fillId="12" borderId="0" xfId="0" applyFont="1" applyFill="1" applyAlignment="1">
      <alignment horizontal="center"/>
    </xf>
    <xf numFmtId="170" fontId="26" fillId="0" borderId="0" xfId="1" applyNumberFormat="1" applyFont="1"/>
    <xf numFmtId="44" fontId="23" fillId="11" borderId="0" xfId="1" applyFont="1" applyFill="1"/>
    <xf numFmtId="44" fontId="23" fillId="11" borderId="0" xfId="0" applyNumberFormat="1" applyFont="1" applyFill="1"/>
    <xf numFmtId="164" fontId="3" fillId="0" borderId="0" xfId="0" applyNumberFormat="1" applyFont="1" applyAlignment="1">
      <alignment vertical="center"/>
    </xf>
    <xf numFmtId="0" fontId="26" fillId="6" borderId="0" xfId="0" applyFont="1" applyFill="1" applyAlignment="1">
      <alignment horizontal="center"/>
    </xf>
    <xf numFmtId="14" fontId="23" fillId="6" borderId="0" xfId="0" applyNumberFormat="1" applyFont="1" applyFill="1" applyAlignment="1">
      <alignment horizontal="center"/>
    </xf>
    <xf numFmtId="10" fontId="3" fillId="11" borderId="0" xfId="3" applyNumberFormat="1" applyFont="1" applyFill="1"/>
    <xf numFmtId="14" fontId="3" fillId="11" borderId="0" xfId="0" applyNumberFormat="1" applyFont="1" applyFill="1"/>
    <xf numFmtId="10" fontId="0" fillId="11" borderId="0" xfId="3" applyNumberFormat="1" applyFont="1" applyFill="1"/>
    <xf numFmtId="43" fontId="0" fillId="11" borderId="0" xfId="2" applyFont="1" applyFill="1"/>
    <xf numFmtId="0" fontId="26" fillId="0" borderId="0" xfId="0" applyFont="1" applyAlignment="1">
      <alignment horizontal="center"/>
    </xf>
    <xf numFmtId="14" fontId="23" fillId="0" borderId="0" xfId="0" applyNumberFormat="1" applyFont="1" applyAlignment="1">
      <alignment horizontal="center"/>
    </xf>
    <xf numFmtId="0" fontId="0" fillId="0" borderId="0" xfId="0" applyFill="1" applyAlignment="1">
      <alignment horizontal="center"/>
    </xf>
    <xf numFmtId="0" fontId="7" fillId="0" borderId="0" xfId="0" applyFont="1" applyFill="1" applyAlignment="1">
      <alignment horizontal="center"/>
    </xf>
    <xf numFmtId="44" fontId="23" fillId="0" borderId="0" xfId="1" applyFont="1" applyFill="1" applyAlignment="1">
      <alignment horizontal="center"/>
    </xf>
    <xf numFmtId="0" fontId="3" fillId="0" borderId="0" xfId="0" applyFont="1" applyFill="1" applyAlignment="1">
      <alignment horizontal="center"/>
    </xf>
    <xf numFmtId="165" fontId="26" fillId="4" borderId="0" xfId="1" applyNumberFormat="1" applyFont="1" applyFill="1"/>
    <xf numFmtId="0" fontId="12" fillId="0" borderId="0" xfId="0" applyFont="1" applyFill="1"/>
    <xf numFmtId="170" fontId="11" fillId="0" borderId="0" xfId="0" applyNumberFormat="1" applyFont="1" applyFill="1"/>
    <xf numFmtId="14" fontId="5" fillId="0" borderId="0" xfId="0" applyNumberFormat="1" applyFont="1" applyFill="1"/>
    <xf numFmtId="170" fontId="5" fillId="0" borderId="0" xfId="1" applyNumberFormat="1" applyFont="1" applyFill="1"/>
    <xf numFmtId="170" fontId="13" fillId="0" borderId="0" xfId="1" applyNumberFormat="1" applyFont="1" applyFill="1"/>
    <xf numFmtId="44" fontId="23" fillId="6" borderId="0" xfId="1" applyFont="1" applyFill="1" applyAlignment="1">
      <alignment horizontal="center"/>
    </xf>
    <xf numFmtId="0" fontId="25" fillId="0" borderId="0" xfId="0" applyFont="1" applyAlignment="1">
      <alignment vertical="center"/>
    </xf>
    <xf numFmtId="0" fontId="25" fillId="6" borderId="0" xfId="0" applyFont="1" applyFill="1" applyAlignment="1">
      <alignment horizontal="right"/>
    </xf>
    <xf numFmtId="9" fontId="25" fillId="6" borderId="0" xfId="0" applyNumberFormat="1" applyFont="1" applyFill="1" applyAlignment="1">
      <alignment horizontal="right"/>
    </xf>
    <xf numFmtId="14" fontId="25" fillId="5" borderId="0" xfId="0" applyNumberFormat="1" applyFont="1" applyFill="1" applyAlignment="1">
      <alignment vertical="center"/>
    </xf>
    <xf numFmtId="44" fontId="25" fillId="0" borderId="0" xfId="1" applyFont="1" applyAlignment="1">
      <alignment horizontal="left"/>
    </xf>
    <xf numFmtId="0" fontId="25" fillId="0" borderId="0" xfId="0" applyFont="1" applyAlignment="1">
      <alignment horizontal="center"/>
    </xf>
    <xf numFmtId="14" fontId="25" fillId="12" borderId="0" xfId="0" applyNumberFormat="1" applyFont="1" applyFill="1" applyAlignment="1">
      <alignment horizontal="center"/>
    </xf>
    <xf numFmtId="165" fontId="3" fillId="4" borderId="0" xfId="0" applyNumberFormat="1" applyFont="1" applyFill="1"/>
    <xf numFmtId="9" fontId="25" fillId="8" borderId="0" xfId="0" applyNumberFormat="1" applyFont="1" applyFill="1" applyAlignment="1">
      <alignment horizontal="center"/>
    </xf>
    <xf numFmtId="0" fontId="7" fillId="0" borderId="0" xfId="0" applyFont="1" applyAlignment="1">
      <alignment horizontal="center"/>
    </xf>
    <xf numFmtId="0" fontId="3" fillId="0" borderId="0" xfId="0" applyFont="1" applyAlignment="1">
      <alignment horizontal="center"/>
    </xf>
    <xf numFmtId="0" fontId="0" fillId="0" borderId="0" xfId="0" applyAlignment="1">
      <alignment horizontal="center"/>
    </xf>
  </cellXfs>
  <cellStyles count="5">
    <cellStyle name="Comma" xfId="2" builtinId="3"/>
    <cellStyle name="Currency" xfId="1" builtinId="4"/>
    <cellStyle name="Hyperlink" xfId="4" builtinId="8"/>
    <cellStyle name="Normal" xfId="0" builtinId="0"/>
    <cellStyle name="Percent" xfId="3" builtinId="5"/>
  </cellStyles>
  <dxfs count="20">
    <dxf>
      <font>
        <color rgb="FF9C6500"/>
      </font>
      <fill>
        <patternFill>
          <bgColor rgb="FFFFEB9C"/>
        </patternFill>
      </fill>
    </dxf>
    <dxf>
      <font>
        <color theme="0"/>
      </font>
    </dxf>
    <dxf>
      <font>
        <color rgb="FF9C6500"/>
      </font>
      <fill>
        <patternFill>
          <bgColor rgb="FFFFEB9C"/>
        </patternFill>
      </fill>
    </dxf>
    <dxf>
      <font>
        <color rgb="FF9C6500"/>
      </font>
      <fill>
        <patternFill>
          <bgColor rgb="FFFFEB9C"/>
        </patternFill>
      </fill>
    </dxf>
    <dxf>
      <fill>
        <patternFill>
          <bgColor theme="4" tint="0.79998168889431442"/>
        </patternFill>
      </fill>
    </dxf>
    <dxf>
      <fill>
        <patternFill>
          <bgColor rgb="FFDEB9F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1"/>
      </font>
      <fill>
        <patternFill>
          <bgColor theme="9" tint="0.59996337778862885"/>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theme="1"/>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9999"/>
      <color rgb="FFE3D8F4"/>
      <color rgb="FFDEB9F5"/>
      <color rgb="FFD0BDED"/>
      <color rgb="FFA87BC3"/>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xlq2bridge.bridge">
      <tp t="s">
        <v>#N/A</v>
        <stp/>
        <stp>112</stp>
        <stp>HD_061920C228.5</stp>
        <stp>TDA</stp>
        <stp>0</stp>
        <stp>0</stp>
        <stp>0</stp>
        <stp>0</stp>
        <stp>0</stp>
        <tr r="F875" s="18"/>
      </tp>
      <tp t="s">
        <v>#N/A</v>
        <stp/>
        <stp>112</stp>
        <stp>HD_061920C223.5</stp>
        <stp>TDA</stp>
        <stp>0</stp>
        <stp>0</stp>
        <stp>0</stp>
        <stp>0</stp>
        <stp>0</stp>
        <tr r="F869" s="18"/>
      </tp>
      <tp t="s">
        <v>#N/A</v>
        <stp/>
        <stp>112</stp>
        <stp>HD_061920C208.5</stp>
        <stp>TDA</stp>
        <stp>0</stp>
        <stp>0</stp>
        <stp>0</stp>
        <stp>0</stp>
        <stp>0</stp>
        <tr r="F851" s="18"/>
      </tp>
      <tp t="s">
        <v>#N/A</v>
        <stp/>
        <stp>112</stp>
        <stp>HD_061920C203.5</stp>
        <stp>TDA</stp>
        <stp>0</stp>
        <stp>0</stp>
        <stp>0</stp>
        <stp>0</stp>
        <stp>0</stp>
        <tr r="F845" s="18"/>
      </tp>
      <tp t="s">
        <v>#N/A</v>
        <stp/>
        <stp>112</stp>
        <stp>HD_061920C218.5</stp>
        <stp>TDA</stp>
        <stp>0</stp>
        <stp>0</stp>
        <stp>0</stp>
        <stp>0</stp>
        <stp>0</stp>
        <tr r="F863" s="18"/>
      </tp>
      <tp t="s">
        <v>#N/A</v>
        <stp/>
        <stp>112</stp>
        <stp>HD_061920C213.5</stp>
        <stp>TDA</stp>
        <stp>0</stp>
        <stp>0</stp>
        <stp>0</stp>
        <stp>0</stp>
        <stp>0</stp>
        <tr r="F857" s="18"/>
      </tp>
      <tp>
        <v>0.43890000000000001</v>
        <stp/>
        <stp>204</stp>
        <stp>MKTX_022120C410</stp>
        <stp>TDA</stp>
        <stp>0</stp>
        <stp>0</stp>
        <stp>0</stp>
        <stp>0</stp>
        <stp>0</stp>
        <tr r="O20" s="67"/>
      </tp>
      <tp>
        <v>0.70169999999999999</v>
        <stp/>
        <stp>204</stp>
        <stp>MKTX_022120C370</stp>
        <stp>TDA</stp>
        <stp>0</stp>
        <stp>0</stp>
        <stp>0</stp>
        <stp>0</stp>
        <stp>0</stp>
        <tr r="O35" s="67"/>
      </tp>
      <tp>
        <v>51.2</v>
        <stp/>
        <stp>107</stp>
        <stp>MKTX_022120P440</stp>
        <stp>TDA</stp>
        <stp>0</stp>
        <stp>0</stp>
        <stp>0</stp>
        <stp>0</stp>
        <stp>0</stp>
        <tr r="G22" s="50"/>
      </tp>
      <tp>
        <v>43.800000000000004</v>
        <stp/>
        <stp>107</stp>
        <stp>MKTX_022120P430</stp>
        <stp>TDA</stp>
        <stp>0</stp>
        <stp>0</stp>
        <stp>0</stp>
        <stp>0</stp>
        <stp>0</stp>
        <tr r="G21" s="50"/>
      </tp>
      <tp>
        <v>36.9</v>
        <stp/>
        <stp>107</stp>
        <stp>MKTX_022120P420</stp>
        <stp>TDA</stp>
        <stp>0</stp>
        <stp>0</stp>
        <stp>0</stp>
        <stp>0</stp>
        <stp>0</stp>
        <tr r="G20" s="50"/>
      </tp>
      <tp>
        <v>30.6</v>
        <stp/>
        <stp>107</stp>
        <stp>MKTX_022120P410</stp>
        <stp>TDA</stp>
        <stp>0</stp>
        <stp>0</stp>
        <stp>0</stp>
        <stp>0</stp>
        <stp>0</stp>
        <tr r="G19" s="50"/>
      </tp>
      <tp>
        <v>25.1</v>
        <stp/>
        <stp>107</stp>
        <stp>MKTX_022120P400</stp>
        <stp>TDA</stp>
        <stp>0</stp>
        <stp>0</stp>
        <stp>0</stp>
        <stp>0</stp>
        <stp>0</stp>
        <tr r="G18" s="50"/>
      </tp>
      <tp>
        <v>0.75</v>
        <stp/>
        <stp>107</stp>
        <stp>MKTX_022120P270</stp>
        <stp>TDA</stp>
        <stp>0</stp>
        <stp>0</stp>
        <stp>0</stp>
        <stp>0</stp>
        <stp>0</stp>
        <tr r="G5" s="50"/>
      </tp>
      <tp>
        <v>0.55000000000000004</v>
        <stp/>
        <stp>107</stp>
        <stp>MKTX_022120P260</stp>
        <stp>TDA</stp>
        <stp>0</stp>
        <stp>0</stp>
        <stp>0</stp>
        <stp>0</stp>
        <stp>0</stp>
        <tr r="G4" s="50"/>
      </tp>
      <tp>
        <v>0.4</v>
        <stp/>
        <stp>107</stp>
        <stp>MKTX_022120P250</stp>
        <stp>TDA</stp>
        <stp>0</stp>
        <stp>0</stp>
        <stp>0</stp>
        <stp>0</stp>
        <stp>0</stp>
        <tr r="G3" s="50"/>
      </tp>
      <tp>
        <v>0.3</v>
        <stp/>
        <stp>107</stp>
        <stp>MKTX_022120P240</stp>
        <stp>TDA</stp>
        <stp>0</stp>
        <stp>0</stp>
        <stp>0</stp>
        <stp>0</stp>
        <stp>0</stp>
        <tr r="G2" s="50"/>
      </tp>
      <tp>
        <v>1.3</v>
        <stp/>
        <stp>107</stp>
        <stp>MKTX_022120P290</stp>
        <stp>TDA</stp>
        <stp>0</stp>
        <stp>0</stp>
        <stp>0</stp>
        <stp>0</stp>
        <stp>0</stp>
        <tr r="G7" s="50"/>
      </tp>
      <tp>
        <v>1</v>
        <stp/>
        <stp>107</stp>
        <stp>MKTX_022120P280</stp>
        <stp>TDA</stp>
        <stp>0</stp>
        <stp>0</stp>
        <stp>0</stp>
        <stp>0</stp>
        <stp>0</stp>
        <tr r="G6" s="50"/>
      </tp>
      <tp>
        <v>12.600000000000001</v>
        <stp/>
        <stp>107</stp>
        <stp>MKTX_022120P370</stp>
        <stp>TDA</stp>
        <stp>0</stp>
        <stp>0</stp>
        <stp>0</stp>
        <stp>0</stp>
        <stp>0</stp>
        <tr r="G15" s="50"/>
      </tp>
      <tp>
        <v>9.8000000000000007</v>
        <stp/>
        <stp>107</stp>
        <stp>MKTX_022120P360</stp>
        <stp>TDA</stp>
        <stp>0</stp>
        <stp>0</stp>
        <stp>0</stp>
        <stp>0</stp>
        <stp>0</stp>
        <tr r="G14" s="50"/>
      </tp>
      <tp>
        <v>7.5</v>
        <stp/>
        <stp>107</stp>
        <stp>MKTX_022120P350</stp>
        <stp>TDA</stp>
        <stp>0</stp>
        <stp>0</stp>
        <stp>0</stp>
        <stp>0</stp>
        <stp>0</stp>
        <tr r="G13" s="50"/>
      </tp>
      <tp>
        <v>5.7</v>
        <stp/>
        <stp>107</stp>
        <stp>MKTX_022120P340</stp>
        <stp>TDA</stp>
        <stp>0</stp>
        <stp>0</stp>
        <stp>0</stp>
        <stp>0</stp>
        <stp>0</stp>
        <tr r="G12" s="50"/>
      </tp>
      <tp>
        <v>4.4000000000000004</v>
        <stp/>
        <stp>107</stp>
        <stp>MKTX_022120P330</stp>
        <stp>TDA</stp>
        <stp>0</stp>
        <stp>0</stp>
        <stp>0</stp>
        <stp>0</stp>
        <stp>0</stp>
        <tr r="G11" s="50"/>
      </tp>
      <tp>
        <v>3.3000000000000003</v>
        <stp/>
        <stp>107</stp>
        <stp>MKTX_022120P320</stp>
        <stp>TDA</stp>
        <stp>0</stp>
        <stp>0</stp>
        <stp>0</stp>
        <stp>0</stp>
        <stp>0</stp>
        <tr r="G10" s="50"/>
      </tp>
      <tp>
        <v>2.5</v>
        <stp/>
        <stp>107</stp>
        <stp>MKTX_022120P310</stp>
        <stp>TDA</stp>
        <stp>0</stp>
        <stp>0</stp>
        <stp>0</stp>
        <stp>0</stp>
        <stp>0</stp>
        <tr r="G9" s="50"/>
      </tp>
      <tp>
        <v>1.9000000000000001</v>
        <stp/>
        <stp>107</stp>
        <stp>MKTX_022120P300</stp>
        <stp>TDA</stp>
        <stp>0</stp>
        <stp>0</stp>
        <stp>0</stp>
        <stp>0</stp>
        <stp>0</stp>
        <tr r="G8" s="50"/>
      </tp>
      <tp>
        <v>20.2</v>
        <stp/>
        <stp>107</stp>
        <stp>MKTX_022120P390</stp>
        <stp>TDA</stp>
        <stp>0</stp>
        <stp>0</stp>
        <stp>0</stp>
        <stp>0</stp>
        <stp>0</stp>
        <tr r="G17" s="50"/>
      </tp>
      <tp>
        <v>16</v>
        <stp/>
        <stp>107</stp>
        <stp>MKTX_022120P380</stp>
        <stp>TDA</stp>
        <stp>0</stp>
        <stp>0</stp>
        <stp>0</stp>
        <stp>0</stp>
        <stp>0</stp>
        <tr r="G16" s="50"/>
      </tp>
      <tp>
        <v>176.5</v>
        <stp/>
        <stp>108</stp>
        <stp>PAYC_011521C100</stp>
        <stp>TDA</stp>
        <stp>0</stp>
        <stp>0</stp>
        <stp>0</stp>
        <stp>0</stp>
        <stp>0</stp>
        <tr r="G38" s="67"/>
      </tp>
      <tp>
        <v>42.9</v>
        <stp/>
        <stp>108</stp>
        <stp>PAYC_011521C290</stp>
        <stp>TDA</stp>
        <stp>0</stp>
        <stp>0</stp>
        <stp>0</stp>
        <stp>0</stp>
        <stp>0</stp>
        <tr r="G22" s="67"/>
      </tp>
      <tp>
        <v>7.7</v>
        <stp/>
        <stp>107</stp>
        <stp>MKTX_022120C440</stp>
        <stp>TDA</stp>
        <stp>0</stp>
        <stp>0</stp>
        <stp>0</stp>
        <stp>0</stp>
        <stp>0</stp>
        <tr r="D22" s="50"/>
      </tp>
      <tp>
        <v>10.200000000000001</v>
        <stp/>
        <stp>107</stp>
        <stp>MKTX_022120C430</stp>
        <stp>TDA</stp>
        <stp>0</stp>
        <stp>0</stp>
        <stp>0</stp>
        <stp>0</stp>
        <stp>0</stp>
        <tr r="D21" s="50"/>
      </tp>
      <tp>
        <v>13.200000000000001</v>
        <stp/>
        <stp>107</stp>
        <stp>MKTX_022120C420</stp>
        <stp>TDA</stp>
        <stp>0</stp>
        <stp>0</stp>
        <stp>0</stp>
        <stp>0</stp>
        <stp>0</stp>
        <tr r="D20" s="50"/>
      </tp>
      <tp>
        <v>16.900000000000002</v>
        <stp/>
        <stp>107</stp>
        <stp>MKTX_022120C410</stp>
        <stp>TDA</stp>
        <stp>0</stp>
        <stp>0</stp>
        <stp>0</stp>
        <stp>0</stp>
        <stp>0</stp>
        <tr r="D19" s="50"/>
        <tr r="G20" s="67"/>
      </tp>
      <tp>
        <v>21.3</v>
        <stp/>
        <stp>107</stp>
        <stp>MKTX_022120C400</stp>
        <stp>TDA</stp>
        <stp>0</stp>
        <stp>0</stp>
        <stp>0</stp>
        <stp>0</stp>
        <stp>0</stp>
        <tr r="D18" s="50"/>
      </tp>
      <tp>
        <v>124.60000000000001</v>
        <stp/>
        <stp>107</stp>
        <stp>MKTX_022120C270</stp>
        <stp>TDA</stp>
        <stp>0</stp>
        <stp>0</stp>
        <stp>0</stp>
        <stp>0</stp>
        <stp>0</stp>
        <tr r="D5" s="50"/>
      </tp>
      <tp>
        <v>134.6</v>
        <stp/>
        <stp>107</stp>
        <stp>MKTX_022120C260</stp>
        <stp>TDA</stp>
        <stp>0</stp>
        <stp>0</stp>
        <stp>0</stp>
        <stp>0</stp>
        <stp>0</stp>
        <tr r="D4" s="50"/>
      </tp>
      <tp>
        <v>144</v>
        <stp/>
        <stp>107</stp>
        <stp>MKTX_022120C250</stp>
        <stp>TDA</stp>
        <stp>0</stp>
        <stp>0</stp>
        <stp>0</stp>
        <stp>0</stp>
        <stp>0</stp>
        <tr r="D3" s="50"/>
      </tp>
      <tp>
        <v>154.30000000000001</v>
        <stp/>
        <stp>107</stp>
        <stp>MKTX_022120C240</stp>
        <stp>TDA</stp>
        <stp>0</stp>
        <stp>0</stp>
        <stp>0</stp>
        <stp>0</stp>
        <stp>0</stp>
        <tr r="D2" s="50"/>
      </tp>
      <tp>
        <v>105.4</v>
        <stp/>
        <stp>107</stp>
        <stp>MKTX_022120C290</stp>
        <stp>TDA</stp>
        <stp>0</stp>
        <stp>0</stp>
        <stp>0</stp>
        <stp>0</stp>
        <stp>0</stp>
        <tr r="D7" s="50"/>
      </tp>
      <tp>
        <v>115</v>
        <stp/>
        <stp>107</stp>
        <stp>MKTX_022120C280</stp>
        <stp>TDA</stp>
        <stp>0</stp>
        <stp>0</stp>
        <stp>0</stp>
        <stp>0</stp>
        <stp>0</stp>
        <tr r="D6" s="50"/>
      </tp>
      <tp>
        <v>38.6</v>
        <stp/>
        <stp>107</stp>
        <stp>MKTX_022120C370</stp>
        <stp>TDA</stp>
        <stp>0</stp>
        <stp>0</stp>
        <stp>0</stp>
        <stp>0</stp>
        <stp>0</stp>
        <tr r="D15" s="50"/>
        <tr r="G35" s="67"/>
      </tp>
      <tp>
        <v>45.800000000000004</v>
        <stp/>
        <stp>107</stp>
        <stp>MKTX_022120C360</stp>
        <stp>TDA</stp>
        <stp>0</stp>
        <stp>0</stp>
        <stp>0</stp>
        <stp>0</stp>
        <stp>0</stp>
        <tr r="D14" s="50"/>
      </tp>
      <tp>
        <v>53.5</v>
        <stp/>
        <stp>107</stp>
        <stp>MKTX_022120C350</stp>
        <stp>TDA</stp>
        <stp>0</stp>
        <stp>0</stp>
        <stp>0</stp>
        <stp>0</stp>
        <stp>0</stp>
        <tr r="D13" s="50"/>
      </tp>
      <tp>
        <v>61.2</v>
        <stp/>
        <stp>107</stp>
        <stp>MKTX_022120C340</stp>
        <stp>TDA</stp>
        <stp>0</stp>
        <stp>0</stp>
        <stp>0</stp>
        <stp>0</stp>
        <stp>0</stp>
        <tr r="D12" s="50"/>
      </tp>
      <tp>
        <v>69.900000000000006</v>
        <stp/>
        <stp>107</stp>
        <stp>MKTX_022120C330</stp>
        <stp>TDA</stp>
        <stp>0</stp>
        <stp>0</stp>
        <stp>0</stp>
        <stp>0</stp>
        <stp>0</stp>
        <tr r="D11" s="50"/>
      </tp>
      <tp>
        <v>78.400000000000006</v>
        <stp/>
        <stp>107</stp>
        <stp>MKTX_022120C320</stp>
        <stp>TDA</stp>
        <stp>0</stp>
        <stp>0</stp>
        <stp>0</stp>
        <stp>0</stp>
        <stp>0</stp>
        <tr r="D10" s="50"/>
      </tp>
      <tp>
        <v>86.8</v>
        <stp/>
        <stp>107</stp>
        <stp>MKTX_022120C310</stp>
        <stp>TDA</stp>
        <stp>0</stp>
        <stp>0</stp>
        <stp>0</stp>
        <stp>0</stp>
        <stp>0</stp>
        <tr r="D9" s="50"/>
      </tp>
      <tp>
        <v>96.9</v>
        <stp/>
        <stp>107</stp>
        <stp>MKTX_022120C300</stp>
        <stp>TDA</stp>
        <stp>0</stp>
        <stp>0</stp>
        <stp>0</stp>
        <stp>0</stp>
        <stp>0</stp>
        <tr r="D8" s="50"/>
      </tp>
      <tp>
        <v>26.400000000000002</v>
        <stp/>
        <stp>107</stp>
        <stp>MKTX_022120C390</stp>
        <stp>TDA</stp>
        <stp>0</stp>
        <stp>0</stp>
        <stp>0</stp>
        <stp>0</stp>
        <stp>0</stp>
        <tr r="D17" s="50"/>
      </tp>
      <tp>
        <v>32</v>
        <stp/>
        <stp>107</stp>
        <stp>MKTX_022120C380</stp>
        <stp>TDA</stp>
        <stp>0</stp>
        <stp>0</stp>
        <stp>0</stp>
        <stp>0</stp>
        <stp>0</stp>
        <tr r="D16" s="50"/>
      </tp>
      <tp t="s">
        <v>#N/A</v>
        <stp/>
        <stp>112</stp>
        <stp>HD_061920C188.5</stp>
        <stp>TDA</stp>
        <stp>0</stp>
        <stp>0</stp>
        <stp>0</stp>
        <stp>0</stp>
        <stp>0</stp>
        <tr r="F827" s="18"/>
      </tp>
      <tp t="s">
        <v>#N/A</v>
        <stp/>
        <stp>112</stp>
        <stp>HD_061920C183.5</stp>
        <stp>TDA</stp>
        <stp>0</stp>
        <stp>0</stp>
        <stp>0</stp>
        <stp>0</stp>
        <stp>0</stp>
        <tr r="F821" s="18"/>
      </tp>
      <tp t="s">
        <v>#N/A</v>
        <stp/>
        <stp>112</stp>
        <stp>HD_061920C198.5</stp>
        <stp>TDA</stp>
        <stp>0</stp>
        <stp>0</stp>
        <stp>0</stp>
        <stp>0</stp>
        <stp>0</stp>
        <tr r="F839" s="18"/>
      </tp>
      <tp t="s">
        <v>#N/A</v>
        <stp/>
        <stp>112</stp>
        <stp>HD_061920C193.5</stp>
        <stp>TDA</stp>
        <stp>0</stp>
        <stp>0</stp>
        <stp>0</stp>
        <stp>0</stp>
        <stp>0</stp>
        <tr r="F833" s="18"/>
      </tp>
      <tp t="s">
        <v>#N/A</v>
        <stp/>
        <stp>112</stp>
        <stp>HD_061920C178.5</stp>
        <stp>TDA</stp>
        <stp>0</stp>
        <stp>0</stp>
        <stp>0</stp>
        <stp>0</stp>
        <stp>0</stp>
        <tr r="F815" s="18"/>
      </tp>
      <tp t="s">
        <v>#N/A</v>
        <stp/>
        <stp>112</stp>
        <stp>HD_061920C173.5</stp>
        <stp>TDA</stp>
        <stp>0</stp>
        <stp>0</stp>
        <stp>0</stp>
        <stp>0</stp>
        <stp>0</stp>
        <tr r="F809" s="18"/>
      </tp>
      <tp>
        <v>63.150000000000006</v>
        <stp/>
        <stp>107</stp>
        <stp>AAPL_011720C200</stp>
        <stp>TDA</stp>
        <stp>0</stp>
        <stp>0</stp>
        <stp>0</stp>
        <stp>0</stp>
        <stp>0</stp>
        <tr r="G70" s="67"/>
      </tp>
      <tp>
        <v>6.75</v>
        <stp/>
        <stp>107</stp>
        <stp>PYPL_011720C100</stp>
        <stp>TDA</stp>
        <stp>0</stp>
        <stp>0</stp>
        <stp>0</stp>
        <stp>0</stp>
        <stp>0</stp>
        <tr r="G9" s="67"/>
      </tp>
      <tp>
        <v>0.96050000000000002</v>
        <stp/>
        <stp>204</stp>
        <stp>AAPL_011720C200</stp>
        <stp>TDA</stp>
        <stp>0</stp>
        <stp>0</stp>
        <stp>0</stp>
        <stp>0</stp>
        <stp>0</stp>
        <tr r="O70" s="67"/>
      </tp>
      <tp>
        <v>0.73760000000000003</v>
        <stp/>
        <stp>204</stp>
        <stp>PYPL_011720C100</stp>
        <stp>TDA</stp>
        <stp>0</stp>
        <stp>0</stp>
        <stp>0</stp>
        <stp>0</stp>
        <stp>0</stp>
        <tr r="O9" s="67"/>
      </tp>
      <tp>
        <v>102.9</v>
        <stp/>
        <stp>108</stp>
        <stp>PAYC_011521C185</stp>
        <stp>TDA</stp>
        <stp>0</stp>
        <stp>0</stp>
        <stp>0</stp>
        <stp>0</stp>
        <stp>0</stp>
        <tr r="G39" s="67"/>
      </tp>
      <tp t="s">
        <v>#N/A</v>
        <stp/>
        <stp>112</stp>
        <stp>HD_022120C226.5</stp>
        <stp>TDA</stp>
        <stp>0</stp>
        <stp>0</stp>
        <stp>0</stp>
        <stp>0</stp>
        <stp>0</stp>
        <tr r="F581" s="18"/>
      </tp>
      <tp t="s">
        <v>#N/A</v>
        <stp/>
        <stp>112</stp>
        <stp>HD_022120C221.5</stp>
        <stp>TDA</stp>
        <stp>0</stp>
        <stp>0</stp>
        <stp>0</stp>
        <stp>0</stp>
        <stp>0</stp>
        <tr r="F575" s="18"/>
      </tp>
      <tp>
        <v>100.60000000000001</v>
        <stp/>
        <stp>107</stp>
        <stp>PAYC_011521C185</stp>
        <stp>TDA</stp>
        <stp>0</stp>
        <stp>0</stp>
        <stp>0</stp>
        <stp>0</stp>
        <stp>0</stp>
        <tr r="G39" s="67"/>
      </tp>
      <tp t="s">
        <v>#N/A</v>
        <stp/>
        <stp>112</stp>
        <stp>HD_022120C206.5</stp>
        <stp>TDA</stp>
        <stp>0</stp>
        <stp>0</stp>
        <stp>0</stp>
        <stp>0</stp>
        <stp>0</stp>
        <tr r="F557" s="18"/>
      </tp>
      <tp t="s">
        <v>#N/A</v>
        <stp/>
        <stp>112</stp>
        <stp>HD_022120C201.5</stp>
        <stp>TDA</stp>
        <stp>0</stp>
        <stp>0</stp>
        <stp>0</stp>
        <stp>0</stp>
        <stp>0</stp>
        <tr r="F551" s="18"/>
      </tp>
      <tp t="s">
        <v>#N/A</v>
        <stp/>
        <stp>112</stp>
        <stp>HD_022120C216.5</stp>
        <stp>TDA</stp>
        <stp>0</stp>
        <stp>0</stp>
        <stp>0</stp>
        <stp>0</stp>
        <stp>0</stp>
        <tr r="F569" s="18"/>
      </tp>
      <tp t="s">
        <v>#N/A</v>
        <stp/>
        <stp>112</stp>
        <stp>HD_022120C211.5</stp>
        <stp>TDA</stp>
        <stp>0</stp>
        <stp>0</stp>
        <stp>0</stp>
        <stp>0</stp>
        <stp>0</stp>
        <tr r="F563" s="18"/>
      </tp>
      <tp t="s">
        <v>#N/A</v>
        <stp/>
        <stp>112</stp>
        <stp>HD_121319C186.5</stp>
        <stp>TDA</stp>
        <stp>0</stp>
        <stp>0</stp>
        <stp>0</stp>
        <stp>0</stp>
        <stp>0</stp>
        <tr r="F95" s="18"/>
      </tp>
      <tp t="s">
        <v>#N/A</v>
        <stp/>
        <stp>112</stp>
        <stp>HD_121319C181.5</stp>
        <stp>TDA</stp>
        <stp>0</stp>
        <stp>0</stp>
        <stp>0</stp>
        <stp>0</stp>
        <stp>0</stp>
        <tr r="F89" s="18"/>
      </tp>
      <tp t="s">
        <v>#N/A</v>
        <stp/>
        <stp>112</stp>
        <stp>HD_121319C196.5</stp>
        <stp>TDA</stp>
        <stp>0</stp>
        <stp>0</stp>
        <stp>0</stp>
        <stp>0</stp>
        <stp>0</stp>
        <tr r="F107" s="18"/>
      </tp>
      <tp t="s">
        <v>#N/A</v>
        <stp/>
        <stp>112</stp>
        <stp>HD_121319C191.5</stp>
        <stp>TDA</stp>
        <stp>0</stp>
        <stp>0</stp>
        <stp>0</stp>
        <stp>0</stp>
        <stp>0</stp>
        <tr r="F101" s="18"/>
      </tp>
      <tp t="s">
        <v>#N/A</v>
        <stp/>
        <stp>112</stp>
        <stp>HD_010320C189.5</stp>
        <stp>TDA</stp>
        <stp>0</stp>
        <stp>0</stp>
        <stp>0</stp>
        <stp>0</stp>
        <stp>0</stp>
        <tr r="F317" s="18"/>
      </tp>
      <tp t="s">
        <v>#N/A</v>
        <stp/>
        <stp>112</stp>
        <stp>HD_010320C184.5</stp>
        <stp>TDA</stp>
        <stp>0</stp>
        <stp>0</stp>
        <stp>0</stp>
        <stp>0</stp>
        <stp>0</stp>
        <tr r="F311" s="18"/>
      </tp>
      <tp t="s">
        <v>#N/A</v>
        <stp/>
        <stp>112</stp>
        <stp>HD_010320C199.5</stp>
        <stp>TDA</stp>
        <stp>0</stp>
        <stp>0</stp>
        <stp>0</stp>
        <stp>0</stp>
        <stp>0</stp>
        <tr r="F329" s="18"/>
      </tp>
      <tp t="s">
        <v>#N/A</v>
        <stp/>
        <stp>112</stp>
        <stp>HD_010320C194.5</stp>
        <stp>TDA</stp>
        <stp>0</stp>
        <stp>0</stp>
        <stp>0</stp>
        <stp>0</stp>
        <stp>0</stp>
        <tr r="F323" s="18"/>
      </tp>
      <tp t="s">
        <v>#N/A</v>
        <stp/>
        <stp>112</stp>
        <stp>HD_010320C179.5</stp>
        <stp>TDA</stp>
        <stp>0</stp>
        <stp>0</stp>
        <stp>0</stp>
        <stp>0</stp>
        <stp>0</stp>
        <tr r="F305" s="18"/>
      </tp>
      <tp t="s">
        <v>#N/A</v>
        <stp/>
        <stp>112</stp>
        <stp>HD_010320C174.5</stp>
        <stp>TDA</stp>
        <stp>0</stp>
        <stp>0</stp>
        <stp>0</stp>
        <stp>0</stp>
        <stp>0</stp>
        <tr r="F299" s="18"/>
      </tp>
      <tp t="s">
        <v>#N/A</v>
        <stp/>
        <stp>112</stp>
        <stp>BRK.B</stp>
        <stp/>
        <stp>0</stp>
        <stp>0</stp>
        <stp>0</stp>
        <stp>0</stp>
        <stp>0</stp>
        <tr r="H28" s="68"/>
      </tp>
      <tp t="s">
        <v>#N/A</v>
        <stp/>
        <stp>112</stp>
        <stp>HD_121319C176.5</stp>
        <stp>TDA</stp>
        <stp>0</stp>
        <stp>0</stp>
        <stp>0</stp>
        <stp>0</stp>
        <stp>0</stp>
        <tr r="F83" s="18"/>
      </tp>
      <tp t="s">
        <v>#N/A</v>
        <stp/>
        <stp>112</stp>
        <stp>HD_121319C171.5</stp>
        <stp>TDA</stp>
        <stp>0</stp>
        <stp>0</stp>
        <stp>0</stp>
        <stp>0</stp>
        <stp>0</stp>
        <tr r="F77" s="18"/>
      </tp>
      <tp t="s">
        <v>#N/A</v>
        <stp/>
        <stp>112</stp>
        <stp>HD_122019C205.5</stp>
        <stp>TDA</stp>
        <stp>0</stp>
        <stp>0</stp>
        <stp>0</stp>
        <stp>0</stp>
        <stp>0</stp>
        <tr r="F191" s="18"/>
      </tp>
      <tp t="s">
        <v>#N/A</v>
        <stp/>
        <stp>112</stp>
        <stp>HD_122019C200.5</stp>
        <stp>TDA</stp>
        <stp>0</stp>
        <stp>0</stp>
        <stp>0</stp>
        <stp>0</stp>
        <stp>0</stp>
        <tr r="F185" s="18"/>
      </tp>
      <tp t="s">
        <v>#N/A</v>
        <stp/>
        <stp>112</stp>
        <stp>HD_011020C228.5</stp>
        <stp>TDA</stp>
        <stp>0</stp>
        <stp>0</stp>
        <stp>0</stp>
        <stp>0</stp>
        <stp>0</stp>
        <tr r="F437" s="18"/>
      </tp>
      <tp t="s">
        <v>#N/A</v>
        <stp/>
        <stp>112</stp>
        <stp>HD_032020C225.5</stp>
        <stp>TDA</stp>
        <stp>0</stp>
        <stp>0</stp>
        <stp>0</stp>
        <stp>0</stp>
        <stp>0</stp>
        <tr r="F653" s="18"/>
      </tp>
      <tp t="s">
        <v>#N/A</v>
        <stp/>
        <stp>112</stp>
        <stp>HD_032020C220.5</stp>
        <stp>TDA</stp>
        <stp>0</stp>
        <stp>0</stp>
        <stp>0</stp>
        <stp>0</stp>
        <stp>0</stp>
        <tr r="F647" s="18"/>
      </tp>
      <tp t="s">
        <v>#N/A</v>
        <stp/>
        <stp>112</stp>
        <stp>HD_011020C223.5</stp>
        <stp>TDA</stp>
        <stp>0</stp>
        <stp>0</stp>
        <stp>0</stp>
        <stp>0</stp>
        <stp>0</stp>
        <tr r="F431" s="18"/>
      </tp>
      <tp t="s">
        <v>#N/A</v>
        <stp/>
        <stp>112</stp>
        <stp>HD_122019C215.5</stp>
        <stp>TDA</stp>
        <stp>0</stp>
        <stp>0</stp>
        <stp>0</stp>
        <stp>0</stp>
        <stp>0</stp>
        <tr r="F203" s="18"/>
      </tp>
      <tp t="s">
        <v>#N/A</v>
        <stp/>
        <stp>112</stp>
        <stp>HD_122019C210.5</stp>
        <stp>TDA</stp>
        <stp>0</stp>
        <stp>0</stp>
        <stp>0</stp>
        <stp>0</stp>
        <stp>0</stp>
        <tr r="F197" s="18"/>
      </tp>
      <tp t="s">
        <v>#N/A</v>
        <stp/>
        <stp>112</stp>
        <stp>HD_122019C225.5</stp>
        <stp>TDA</stp>
        <stp>0</stp>
        <stp>0</stp>
        <stp>0</stp>
        <stp>0</stp>
        <stp>0</stp>
        <tr r="F215" s="18"/>
      </tp>
      <tp t="s">
        <v>#N/A</v>
        <stp/>
        <stp>112</stp>
        <stp>HD_122019C220.5</stp>
        <stp>TDA</stp>
        <stp>0</stp>
        <stp>0</stp>
        <stp>0</stp>
        <stp>0</stp>
        <stp>0</stp>
        <tr r="F209" s="18"/>
      </tp>
      <tp t="s">
        <v>#N/A</v>
        <stp/>
        <stp>112</stp>
        <stp>HD_011020C208.5</stp>
        <stp>TDA</stp>
        <stp>0</stp>
        <stp>0</stp>
        <stp>0</stp>
        <stp>0</stp>
        <stp>0</stp>
        <tr r="F413" s="18"/>
      </tp>
      <tp t="s">
        <v>#N/A</v>
        <stp/>
        <stp>112</stp>
        <stp>HD_032020C205.5</stp>
        <stp>TDA</stp>
        <stp>0</stp>
        <stp>0</stp>
        <stp>0</stp>
        <stp>0</stp>
        <stp>0</stp>
        <tr r="F629" s="18"/>
      </tp>
      <tp t="s">
        <v>#N/A</v>
        <stp/>
        <stp>112</stp>
        <stp>HD_032020C200.5</stp>
        <stp>TDA</stp>
        <stp>0</stp>
        <stp>0</stp>
        <stp>0</stp>
        <stp>0</stp>
        <stp>0</stp>
        <tr r="F623" s="18"/>
      </tp>
      <tp t="s">
        <v>#N/A</v>
        <stp/>
        <stp>112</stp>
        <stp>HD_011020C203.5</stp>
        <stp>TDA</stp>
        <stp>0</stp>
        <stp>0</stp>
        <stp>0</stp>
        <stp>0</stp>
        <stp>0</stp>
        <tr r="F407" s="18"/>
      </tp>
      <tp t="s">
        <v>#N/A</v>
        <stp/>
        <stp>112</stp>
        <stp>HD_011020C218.5</stp>
        <stp>TDA</stp>
        <stp>0</stp>
        <stp>0</stp>
        <stp>0</stp>
        <stp>0</stp>
        <stp>0</stp>
        <tr r="F425" s="18"/>
      </tp>
      <tp t="s">
        <v>#N/A</v>
        <stp/>
        <stp>112</stp>
        <stp>HD_032020C215.5</stp>
        <stp>TDA</stp>
        <stp>0</stp>
        <stp>0</stp>
        <stp>0</stp>
        <stp>0</stp>
        <stp>0</stp>
        <tr r="F641" s="18"/>
      </tp>
      <tp t="s">
        <v>#N/A</v>
        <stp/>
        <stp>112</stp>
        <stp>HD_032020C210.5</stp>
        <stp>TDA</stp>
        <stp>0</stp>
        <stp>0</stp>
        <stp>0</stp>
        <stp>0</stp>
        <stp>0</stp>
        <tr r="F635" s="18"/>
      </tp>
      <tp t="s">
        <v>#N/A</v>
        <stp/>
        <stp>112</stp>
        <stp>HD_011020C213.5</stp>
        <stp>TDA</stp>
        <stp>0</stp>
        <stp>0</stp>
        <stp>0</stp>
        <stp>0</stp>
        <stp>0</stp>
        <tr r="F419" s="18"/>
      </tp>
      <tp>
        <v>63.35</v>
        <stp/>
        <stp>108</stp>
        <stp>AAPL_011720C200</stp>
        <stp>TDA</stp>
        <stp>0</stp>
        <stp>0</stp>
        <stp>0</stp>
        <stp>0</stp>
        <stp>0</stp>
        <tr r="G70" s="67"/>
      </tp>
      <tp>
        <v>6.8500000000000005</v>
        <stp/>
        <stp>108</stp>
        <stp>PYPL_011720C100</stp>
        <stp>TDA</stp>
        <stp>0</stp>
        <stp>0</stp>
        <stp>0</stp>
        <stp>0</stp>
        <stp>0</stp>
        <tr r="G9" s="67"/>
      </tp>
      <tp t="s">
        <v>#N/A</v>
        <stp/>
        <stp>112</stp>
        <stp>HD_122019C185.5</stp>
        <stp>TDA</stp>
        <stp>0</stp>
        <stp>0</stp>
        <stp>0</stp>
        <stp>0</stp>
        <stp>0</stp>
        <tr r="F167" s="18"/>
      </tp>
      <tp t="s">
        <v>#N/A</v>
        <stp/>
        <stp>112</stp>
        <stp>HD_122019C180.5</stp>
        <stp>TDA</stp>
        <stp>0</stp>
        <stp>0</stp>
        <stp>0</stp>
        <stp>0</stp>
        <stp>0</stp>
        <tr r="F161" s="18"/>
      </tp>
      <tp t="s">
        <v>#N/A</v>
        <stp/>
        <stp>112</stp>
        <stp>HD_122019C195.5</stp>
        <stp>TDA</stp>
        <stp>0</stp>
        <stp>0</stp>
        <stp>0</stp>
        <stp>0</stp>
        <stp>0</stp>
        <tr r="F179" s="18"/>
      </tp>
      <tp t="s">
        <v>#N/A</v>
        <stp/>
        <stp>112</stp>
        <stp>HD_122019C190.5</stp>
        <stp>TDA</stp>
        <stp>0</stp>
        <stp>0</stp>
        <stp>0</stp>
        <stp>0</stp>
        <stp>0</stp>
        <tr r="F173" s="18"/>
      </tp>
      <tp t="s">
        <v>#N/A</v>
        <stp/>
        <stp>112</stp>
        <stp>HD_011020C188.5</stp>
        <stp>TDA</stp>
        <stp>0</stp>
        <stp>0</stp>
        <stp>0</stp>
        <stp>0</stp>
        <stp>0</stp>
        <tr r="F389" s="18"/>
      </tp>
      <tp t="s">
        <v>#N/A</v>
        <stp/>
        <stp>112</stp>
        <stp>HD_032020C185.5</stp>
        <stp>TDA</stp>
        <stp>0</stp>
        <stp>0</stp>
        <stp>0</stp>
        <stp>0</stp>
        <stp>0</stp>
        <tr r="F605" s="18"/>
      </tp>
      <tp t="s">
        <v>#N/A</v>
        <stp/>
        <stp>112</stp>
        <stp>HD_032020C180.5</stp>
        <stp>TDA</stp>
        <stp>0</stp>
        <stp>0</stp>
        <stp>0</stp>
        <stp>0</stp>
        <stp>0</stp>
        <tr r="F599" s="18"/>
      </tp>
      <tp t="s">
        <v>#N/A</v>
        <stp/>
        <stp>112</stp>
        <stp>HD_011020C183.5</stp>
        <stp>TDA</stp>
        <stp>0</stp>
        <stp>0</stp>
        <stp>0</stp>
        <stp>0</stp>
        <stp>0</stp>
        <tr r="F383" s="18"/>
      </tp>
      <tp t="s">
        <v>#N/A</v>
        <stp/>
        <stp>112</stp>
        <stp>HD_011020C198.5</stp>
        <stp>TDA</stp>
        <stp>0</stp>
        <stp>0</stp>
        <stp>0</stp>
        <stp>0</stp>
        <stp>0</stp>
        <tr r="F401" s="18"/>
      </tp>
      <tp t="s">
        <v>#N/A</v>
        <stp/>
        <stp>112</stp>
        <stp>HD_032020C195.5</stp>
        <stp>TDA</stp>
        <stp>0</stp>
        <stp>0</stp>
        <stp>0</stp>
        <stp>0</stp>
        <stp>0</stp>
        <tr r="F617" s="18"/>
      </tp>
      <tp t="s">
        <v>#N/A</v>
        <stp/>
        <stp>112</stp>
        <stp>HD_032020C190.5</stp>
        <stp>TDA</stp>
        <stp>0</stp>
        <stp>0</stp>
        <stp>0</stp>
        <stp>0</stp>
        <stp>0</stp>
        <tr r="F611" s="18"/>
      </tp>
      <tp t="s">
        <v>#N/A</v>
        <stp/>
        <stp>112</stp>
        <stp>HD_011020C193.5</stp>
        <stp>TDA</stp>
        <stp>0</stp>
        <stp>0</stp>
        <stp>0</stp>
        <stp>0</stp>
        <stp>0</stp>
        <tr r="F395" s="18"/>
      </tp>
      <tp t="s">
        <v>#N/A</v>
        <stp/>
        <stp>112</stp>
        <stp>HD_011020C178.5</stp>
        <stp>TDA</stp>
        <stp>0</stp>
        <stp>0</stp>
        <stp>0</stp>
        <stp>0</stp>
        <stp>0</stp>
        <tr r="F377" s="18"/>
      </tp>
      <tp t="s">
        <v>#N/A</v>
        <stp/>
        <stp>112</stp>
        <stp>HD_032020C175.5</stp>
        <stp>TDA</stp>
        <stp>0</stp>
        <stp>0</stp>
        <stp>0</stp>
        <stp>0</stp>
        <stp>0</stp>
        <tr r="F593" s="18"/>
      </tp>
      <tp t="s">
        <v>#N/A</v>
        <stp/>
        <stp>112</stp>
        <stp>HD_032020C170.5</stp>
        <stp>TDA</stp>
        <stp>0</stp>
        <stp>0</stp>
        <stp>0</stp>
        <stp>0</stp>
        <stp>0</stp>
        <tr r="F587" s="18"/>
      </tp>
      <tp t="s">
        <v>#N/A</v>
        <stp/>
        <stp>112</stp>
        <stp>HD_011020C173.5</stp>
        <stp>TDA</stp>
        <stp>0</stp>
        <stp>0</stp>
        <stp>0</stp>
        <stp>0</stp>
        <stp>0</stp>
        <tr r="F371" s="18"/>
      </tp>
      <tp t="s">
        <v>#N/A</v>
        <stp/>
        <stp>112</stp>
        <stp>HD_122019C175.5</stp>
        <stp>TDA</stp>
        <stp>0</stp>
        <stp>0</stp>
        <stp>0</stp>
        <stp>0</stp>
        <stp>0</stp>
        <tr r="F155" s="18"/>
      </tp>
      <tp t="s">
        <v>#N/A</v>
        <stp/>
        <stp>112</stp>
        <stp>HD_122019C170.5</stp>
        <stp>TDA</stp>
        <stp>0</stp>
        <stp>0</stp>
        <stp>0</stp>
        <stp>0</stp>
        <stp>0</stp>
        <tr r="F149" s="18"/>
      </tp>
      <tp t="s">
        <v>#N/A</v>
        <stp/>
        <stp>112</stp>
        <stp>HD_121319C206.5</stp>
        <stp>TDA</stp>
        <stp>0</stp>
        <stp>0</stp>
        <stp>0</stp>
        <stp>0</stp>
        <stp>0</stp>
        <tr r="F119" s="18"/>
      </tp>
      <tp t="s">
        <v>#N/A</v>
        <stp/>
        <stp>112</stp>
        <stp>HD_121319C201.5</stp>
        <stp>TDA</stp>
        <stp>0</stp>
        <stp>0</stp>
        <stp>0</stp>
        <stp>0</stp>
        <stp>0</stp>
        <tr r="F113" s="18"/>
      </tp>
      <tp t="s">
        <v>#N/A</v>
        <stp/>
        <stp>112</stp>
        <stp>HD_010320C229.5</stp>
        <stp>TDA</stp>
        <stp>0</stp>
        <stp>0</stp>
        <stp>0</stp>
        <stp>0</stp>
        <stp>0</stp>
        <tr r="F365" s="18"/>
      </tp>
      <tp t="s">
        <v>#N/A</v>
        <stp/>
        <stp>112</stp>
        <stp>HD_010320C224.5</stp>
        <stp>TDA</stp>
        <stp>0</stp>
        <stp>0</stp>
        <stp>0</stp>
        <stp>0</stp>
        <stp>0</stp>
        <tr r="F359" s="18"/>
      </tp>
      <tp t="s">
        <v>#N/A</v>
        <stp/>
        <stp>112</stp>
        <stp>HD_121319C216.5</stp>
        <stp>TDA</stp>
        <stp>0</stp>
        <stp>0</stp>
        <stp>0</stp>
        <stp>0</stp>
        <stp>0</stp>
        <tr r="F131" s="18"/>
      </tp>
      <tp t="s">
        <v>#N/A</v>
        <stp/>
        <stp>112</stp>
        <stp>HD_121319C211.5</stp>
        <stp>TDA</stp>
        <stp>0</stp>
        <stp>0</stp>
        <stp>0</stp>
        <stp>0</stp>
        <stp>0</stp>
        <tr r="F125" s="18"/>
      </tp>
      <tp t="s">
        <v>#N/A</v>
        <stp/>
        <stp>112</stp>
        <stp>HD_121319C226.5</stp>
        <stp>TDA</stp>
        <stp>0</stp>
        <stp>0</stp>
        <stp>0</stp>
        <stp>0</stp>
        <stp>0</stp>
        <tr r="F143" s="18"/>
      </tp>
      <tp t="s">
        <v>#N/A</v>
        <stp/>
        <stp>112</stp>
        <stp>HD_121319C221.5</stp>
        <stp>TDA</stp>
        <stp>0</stp>
        <stp>0</stp>
        <stp>0</stp>
        <stp>0</stp>
        <stp>0</stp>
        <tr r="F137" s="18"/>
      </tp>
      <tp t="s">
        <v>#N/A</v>
        <stp/>
        <stp>112</stp>
        <stp>HD_010320C209.5</stp>
        <stp>TDA</stp>
        <stp>0</stp>
        <stp>0</stp>
        <stp>0</stp>
        <stp>0</stp>
        <stp>0</stp>
        <tr r="F341" s="18"/>
      </tp>
      <tp t="s">
        <v>#N/A</v>
        <stp/>
        <stp>112</stp>
        <stp>HD_010320C204.5</stp>
        <stp>TDA</stp>
        <stp>0</stp>
        <stp>0</stp>
        <stp>0</stp>
        <stp>0</stp>
        <stp>0</stp>
        <tr r="F335" s="18"/>
      </tp>
      <tp t="s">
        <v>#N/A</v>
        <stp/>
        <stp>112</stp>
        <stp>HD_010320C219.5</stp>
        <stp>TDA</stp>
        <stp>0</stp>
        <stp>0</stp>
        <stp>0</stp>
        <stp>0</stp>
        <stp>0</stp>
        <tr r="F353" s="18"/>
      </tp>
      <tp t="s">
        <v>#N/A</v>
        <stp/>
        <stp>112</stp>
        <stp>HD_010320C214.5</stp>
        <stp>TDA</stp>
        <stp>0</stp>
        <stp>0</stp>
        <stp>0</stp>
        <stp>0</stp>
        <stp>0</stp>
        <tr r="F347" s="18"/>
      </tp>
      <tp>
        <v>0.67010000000000003</v>
        <stp/>
        <stp>204</stp>
        <stp>ORCL_011720C52.5</stp>
        <stp>TDA</stp>
        <stp>0</stp>
        <stp>0</stp>
        <stp>0</stp>
        <stp>0</stp>
        <stp>0</stp>
        <tr r="O8" s="67"/>
      </tp>
      <tp>
        <v>3.0500000000000003</v>
        <stp/>
        <stp>108</stp>
        <stp>ORCL_011720C52.5</stp>
        <stp>TDA</stp>
        <stp>0</stp>
        <stp>0</stp>
        <stp>0</stp>
        <stp>0</stp>
        <stp>0</stp>
        <tr r="G8" s="67"/>
      </tp>
      <tp>
        <v>2.97</v>
        <stp/>
        <stp>107</stp>
        <stp>ORCL_011720C52.5</stp>
        <stp>TDA</stp>
        <stp>0</stp>
        <stp>0</stp>
        <stp>0</stp>
        <stp>0</stp>
        <stp>0</stp>
        <tr r="G8" s="67"/>
      </tp>
      <tp t="s">
        <v>#N/A</v>
        <stp/>
        <stp>112</stp>
        <stp>HD_022120C186.5</stp>
        <stp>TDA</stp>
        <stp>0</stp>
        <stp>0</stp>
        <stp>0</stp>
        <stp>0</stp>
        <stp>0</stp>
        <tr r="F533" s="18"/>
      </tp>
      <tp t="s">
        <v>#N/A</v>
        <stp/>
        <stp>112</stp>
        <stp>HD_022120C181.5</stp>
        <stp>TDA</stp>
        <stp>0</stp>
        <stp>0</stp>
        <stp>0</stp>
        <stp>0</stp>
        <stp>0</stp>
        <tr r="F527" s="18"/>
      </tp>
      <tp t="s">
        <v>#N/A</v>
        <stp/>
        <stp>112</stp>
        <stp>HD_022120C196.5</stp>
        <stp>TDA</stp>
        <stp>0</stp>
        <stp>0</stp>
        <stp>0</stp>
        <stp>0</stp>
        <stp>0</stp>
        <tr r="F545" s="18"/>
      </tp>
      <tp t="s">
        <v>#N/A</v>
        <stp/>
        <stp>112</stp>
        <stp>HD_022120C191.5</stp>
        <stp>TDA</stp>
        <stp>0</stp>
        <stp>0</stp>
        <stp>0</stp>
        <stp>0</stp>
        <stp>0</stp>
        <tr r="F539" s="18"/>
      </tp>
      <tp t="s">
        <v>#N/A</v>
        <stp/>
        <stp>112</stp>
        <stp>HD_022120C176.5</stp>
        <stp>TDA</stp>
        <stp>0</stp>
        <stp>0</stp>
        <stp>0</stp>
        <stp>0</stp>
        <stp>0</stp>
        <tr r="F521" s="18"/>
      </tp>
      <tp t="s">
        <v>#N/A</v>
        <stp/>
        <stp>112</stp>
        <stp>HD_022120C171.5</stp>
        <stp>TDA</stp>
        <stp>0</stp>
        <stp>0</stp>
        <stp>0</stp>
        <stp>0</stp>
        <stp>0</stp>
        <tr r="F515" s="18"/>
      </tp>
      <tp>
        <v>0.86180000000000001</v>
        <stp/>
        <stp>204</stp>
        <stp>PAYC_011521C185</stp>
        <stp>TDA</stp>
        <stp>0</stp>
        <stp>0</stp>
        <stp>0</stp>
        <stp>0</stp>
        <stp>0</stp>
        <tr r="O39" s="67"/>
      </tp>
      <tp>
        <v>1</v>
        <stp/>
        <stp>204</stp>
        <stp>PYPL_011720C62.5</stp>
        <stp>TDA</stp>
        <stp>0</stp>
        <stp>0</stp>
        <stp>0</stp>
        <stp>0</stp>
        <stp>0</stp>
        <tr r="O51" s="67"/>
      </tp>
      <tp>
        <v>43.800000000000004</v>
        <stp/>
        <stp>108</stp>
        <stp>PYPL_011720C62.5</stp>
        <stp>TDA</stp>
        <stp>0</stp>
        <stp>0</stp>
        <stp>0</stp>
        <stp>0</stp>
        <stp>0</stp>
        <tr r="G51" s="67"/>
      </tp>
      <tp>
        <v>41.550000000000004</v>
        <stp/>
        <stp>107</stp>
        <stp>PYPL_011720C62.5</stp>
        <stp>TDA</stp>
        <stp>0</stp>
        <stp>0</stp>
        <stp>0</stp>
        <stp>0</stp>
        <stp>0</stp>
        <tr r="G51" s="67"/>
      </tp>
      <tp t="s">
        <v>CHARLOTTES WEB HOLDINGS INC</v>
        <stp/>
        <stp>112</stp>
        <stp>CWBHF</stp>
        <stp/>
        <stp>0</stp>
        <stp>0</stp>
        <stp>0</stp>
        <stp>0</stp>
        <stp>0</stp>
        <tr r="H49" s="68"/>
      </tp>
      <tp t="s">
        <v>HD Dec 6 2019 187.5 Call (Weekly)</v>
        <stp/>
        <stp>112</stp>
        <stp>HD_120619C187.5</stp>
        <stp>TDA</stp>
        <stp>0</stp>
        <stp>0</stp>
        <stp>0</stp>
        <stp>0</stp>
        <stp>0</stp>
        <tr r="F23" s="18"/>
      </tp>
      <tp t="s">
        <v>#N/A</v>
        <stp/>
        <stp>112</stp>
        <stp>HD_120619C182.5</stp>
        <stp>TDA</stp>
        <stp>0</stp>
        <stp>0</stp>
        <stp>0</stp>
        <stp>0</stp>
        <stp>0</stp>
        <tr r="F17" s="18"/>
      </tp>
      <tp t="s">
        <v>HD Dec 6 2019 197.5 Call (Weekly)</v>
        <stp/>
        <stp>112</stp>
        <stp>HD_120619C197.5</stp>
        <stp>TDA</stp>
        <stp>0</stp>
        <stp>0</stp>
        <stp>0</stp>
        <stp>0</stp>
        <stp>0</stp>
        <tr r="F35" s="18"/>
      </tp>
      <tp t="s">
        <v>HD Dec 6 2019 192.5 Call (Weekly)</v>
        <stp/>
        <stp>112</stp>
        <stp>HD_120619C192.5</stp>
        <stp>TDA</stp>
        <stp>0</stp>
        <stp>0</stp>
        <stp>0</stp>
        <stp>0</stp>
        <stp>0</stp>
        <tr r="F29" s="18"/>
      </tp>
      <tp t="s">
        <v>#N/A</v>
        <stp/>
        <stp>112</stp>
        <stp>HD_120619C177.5</stp>
        <stp>TDA</stp>
        <stp>0</stp>
        <stp>0</stp>
        <stp>0</stp>
        <stp>0</stp>
        <stp>0</stp>
        <tr r="F11" s="18"/>
      </tp>
      <tp t="s">
        <v>#N/A</v>
        <stp/>
        <stp>112</stp>
        <stp>HD_120619C172.5</stp>
        <stp>TDA</stp>
        <stp>0</stp>
        <stp>0</stp>
        <stp>0</stp>
        <stp>0</stp>
        <stp>0</stp>
        <tr r="F5" s="18"/>
      </tp>
      <tp t="s">
        <v>#N/A</v>
        <stp/>
        <stp>112</stp>
        <stp>HD_051520C229.5</stp>
        <stp>TDA</stp>
        <stp>0</stp>
        <stp>0</stp>
        <stp>0</stp>
        <stp>0</stp>
        <stp>0</stp>
        <tr r="F803" s="18"/>
      </tp>
      <tp t="s">
        <v>#N/A</v>
        <stp/>
        <stp>112</stp>
        <stp>HD_051520C224.5</stp>
        <stp>TDA</stp>
        <stp>0</stp>
        <stp>0</stp>
        <stp>0</stp>
        <stp>0</stp>
        <stp>0</stp>
        <tr r="F797" s="18"/>
      </tp>
      <tp t="s">
        <v>#N/A</v>
        <stp/>
        <stp>112</stp>
        <stp>HD_051520C209.5</stp>
        <stp>TDA</stp>
        <stp>0</stp>
        <stp>0</stp>
        <stp>0</stp>
        <stp>0</stp>
        <stp>0</stp>
        <tr r="F779" s="18"/>
      </tp>
      <tp t="s">
        <v>#N/A</v>
        <stp/>
        <stp>112</stp>
        <stp>HD_051520C204.5</stp>
        <stp>TDA</stp>
        <stp>0</stp>
        <stp>0</stp>
        <stp>0</stp>
        <stp>0</stp>
        <stp>0</stp>
        <tr r="F773" s="18"/>
      </tp>
      <tp t="s">
        <v>#N/A</v>
        <stp/>
        <stp>112</stp>
        <stp>HD_051520C219.5</stp>
        <stp>TDA</stp>
        <stp>0</stp>
        <stp>0</stp>
        <stp>0</stp>
        <stp>0</stp>
        <stp>0</stp>
        <tr r="F791" s="18"/>
      </tp>
      <tp t="s">
        <v>#N/A</v>
        <stp/>
        <stp>112</stp>
        <stp>HD_051520C214.5</stp>
        <stp>TDA</stp>
        <stp>0</stp>
        <stp>0</stp>
        <stp>0</stp>
        <stp>0</stp>
        <stp>0</stp>
        <tr r="F785" s="18"/>
      </tp>
      <tp t="s">
        <v>#N/A</v>
        <stp/>
        <stp>112</stp>
        <stp>HD_122719C184.5</stp>
        <stp>TDA</stp>
        <stp>0</stp>
        <stp>0</stp>
        <stp>0</stp>
        <stp>0</stp>
        <stp>0</stp>
        <tr r="F238" s="18"/>
      </tp>
      <tp t="s">
        <v>#N/A</v>
        <stp/>
        <stp>112</stp>
        <stp>HD_122719C185.5</stp>
        <stp>TDA</stp>
        <stp>0</stp>
        <stp>0</stp>
        <stp>0</stp>
        <stp>0</stp>
        <stp>0</stp>
        <tr r="F240" s="18"/>
      </tp>
      <tp t="s">
        <v>#N/A</v>
        <stp/>
        <stp>112</stp>
        <stp>HD_122719C186.5</stp>
        <stp>TDA</stp>
        <stp>0</stp>
        <stp>0</stp>
        <stp>0</stp>
        <stp>0</stp>
        <stp>0</stp>
        <tr r="F241" s="18"/>
      </tp>
      <tp t="s">
        <v>#N/A</v>
        <stp/>
        <stp>112</stp>
        <stp>HD_122719C187.5</stp>
        <stp>TDA</stp>
        <stp>0</stp>
        <stp>0</stp>
        <stp>0</stp>
        <stp>0</stp>
        <stp>0</stp>
        <tr r="F242" s="18"/>
      </tp>
      <tp t="s">
        <v>#N/A</v>
        <stp/>
        <stp>112</stp>
        <stp>HD_122719C180.5</stp>
        <stp>TDA</stp>
        <stp>0</stp>
        <stp>0</stp>
        <stp>0</stp>
        <stp>0</stp>
        <stp>0</stp>
        <tr r="F234" s="18"/>
      </tp>
      <tp t="s">
        <v>#N/A</v>
        <stp/>
        <stp>112</stp>
        <stp>HD_122719C181.5</stp>
        <stp>TDA</stp>
        <stp>0</stp>
        <stp>0</stp>
        <stp>0</stp>
        <stp>0</stp>
        <stp>0</stp>
        <tr r="F235" s="18"/>
      </tp>
      <tp t="s">
        <v>#N/A</v>
        <stp/>
        <stp>112</stp>
        <stp>HD_122719C182.5</stp>
        <stp>TDA</stp>
        <stp>0</stp>
        <stp>0</stp>
        <stp>0</stp>
        <stp>0</stp>
        <stp>0</stp>
        <tr r="F236" s="18"/>
      </tp>
      <tp t="s">
        <v>#N/A</v>
        <stp/>
        <stp>112</stp>
        <stp>HD_122719C183.5</stp>
        <stp>TDA</stp>
        <stp>0</stp>
        <stp>0</stp>
        <stp>0</stp>
        <stp>0</stp>
        <stp>0</stp>
        <tr r="F237" s="18"/>
      </tp>
      <tp t="s">
        <v>#N/A</v>
        <stp/>
        <stp>112</stp>
        <stp>HD_122719C188.5</stp>
        <stp>TDA</stp>
        <stp>0</stp>
        <stp>0</stp>
        <stp>0</stp>
        <stp>0</stp>
        <stp>0</stp>
        <tr r="F243" s="18"/>
      </tp>
      <tp t="s">
        <v>#N/A</v>
        <stp/>
        <stp>112</stp>
        <stp>HD_122719C189.5</stp>
        <stp>TDA</stp>
        <stp>0</stp>
        <stp>0</stp>
        <stp>0</stp>
        <stp>0</stp>
        <stp>0</stp>
        <tr r="F244" s="18"/>
      </tp>
      <tp t="s">
        <v>#N/A</v>
        <stp/>
        <stp>112</stp>
        <stp>HD_122719C194.5</stp>
        <stp>TDA</stp>
        <stp>0</stp>
        <stp>0</stp>
        <stp>0</stp>
        <stp>0</stp>
        <stp>0</stp>
        <tr r="F250" s="18"/>
      </tp>
      <tp t="s">
        <v>#N/A</v>
        <stp/>
        <stp>112</stp>
        <stp>HD_122719C195.5</stp>
        <stp>TDA</stp>
        <stp>0</stp>
        <stp>0</stp>
        <stp>0</stp>
        <stp>0</stp>
        <stp>0</stp>
        <tr r="F252" s="18"/>
      </tp>
      <tp t="s">
        <v>#N/A</v>
        <stp/>
        <stp>112</stp>
        <stp>HD_122719C196.5</stp>
        <stp>TDA</stp>
        <stp>0</stp>
        <stp>0</stp>
        <stp>0</stp>
        <stp>0</stp>
        <stp>0</stp>
        <tr r="F253" s="18"/>
      </tp>
      <tp t="s">
        <v>HD Dec 27 2019 197.5 Call (Weekly)</v>
        <stp/>
        <stp>112</stp>
        <stp>HD_122719C197.5</stp>
        <stp>TDA</stp>
        <stp>0</stp>
        <stp>0</stp>
        <stp>0</stp>
        <stp>0</stp>
        <stp>0</stp>
        <tr r="F254" s="18"/>
      </tp>
      <tp t="s">
        <v>#N/A</v>
        <stp/>
        <stp>112</stp>
        <stp>HD_122719C190.5</stp>
        <stp>TDA</stp>
        <stp>0</stp>
        <stp>0</stp>
        <stp>0</stp>
        <stp>0</stp>
        <stp>0</stp>
        <tr r="F246" s="18"/>
      </tp>
      <tp t="s">
        <v>#N/A</v>
        <stp/>
        <stp>112</stp>
        <stp>HD_122719C191.5</stp>
        <stp>TDA</stp>
        <stp>0</stp>
        <stp>0</stp>
        <stp>0</stp>
        <stp>0</stp>
        <stp>0</stp>
        <tr r="F247" s="18"/>
      </tp>
      <tp t="s">
        <v>#N/A</v>
        <stp/>
        <stp>112</stp>
        <stp>HD_122719C192.5</stp>
        <stp>TDA</stp>
        <stp>0</stp>
        <stp>0</stp>
        <stp>0</stp>
        <stp>0</stp>
        <stp>0</stp>
        <tr r="F248" s="18"/>
      </tp>
      <tp t="s">
        <v>#N/A</v>
        <stp/>
        <stp>112</stp>
        <stp>HD_122719C193.5</stp>
        <stp>TDA</stp>
        <stp>0</stp>
        <stp>0</stp>
        <stp>0</stp>
        <stp>0</stp>
        <stp>0</stp>
        <tr r="F249" s="18"/>
      </tp>
      <tp t="s">
        <v>#N/A</v>
        <stp/>
        <stp>112</stp>
        <stp>HD_122719C198.5</stp>
        <stp>TDA</stp>
        <stp>0</stp>
        <stp>0</stp>
        <stp>0</stp>
        <stp>0</stp>
        <stp>0</stp>
        <tr r="F255" s="18"/>
      </tp>
      <tp t="s">
        <v>#N/A</v>
        <stp/>
        <stp>112</stp>
        <stp>HD_122719C199.5</stp>
        <stp>TDA</stp>
        <stp>0</stp>
        <stp>0</stp>
        <stp>0</stp>
        <stp>0</stp>
        <stp>0</stp>
        <tr r="F256" s="18"/>
      </tp>
      <tp>
        <v>52.300000000000004</v>
        <stp/>
        <stp>108</stp>
        <stp>MKTX_022120P440</stp>
        <stp>TDA</stp>
        <stp>0</stp>
        <stp>0</stp>
        <stp>0</stp>
        <stp>0</stp>
        <stp>0</stp>
        <tr r="H22" s="50"/>
      </tp>
      <tp>
        <v>44.6</v>
        <stp/>
        <stp>108</stp>
        <stp>MKTX_022120P430</stp>
        <stp>TDA</stp>
        <stp>0</stp>
        <stp>0</stp>
        <stp>0</stp>
        <stp>0</stp>
        <stp>0</stp>
        <tr r="H21" s="50"/>
      </tp>
      <tp>
        <v>37.700000000000003</v>
        <stp/>
        <stp>108</stp>
        <stp>MKTX_022120P420</stp>
        <stp>TDA</stp>
        <stp>0</stp>
        <stp>0</stp>
        <stp>0</stp>
        <stp>0</stp>
        <stp>0</stp>
        <tr r="H20" s="50"/>
      </tp>
      <tp>
        <v>31.400000000000002</v>
        <stp/>
        <stp>108</stp>
        <stp>MKTX_022120P410</stp>
        <stp>TDA</stp>
        <stp>0</stp>
        <stp>0</stp>
        <stp>0</stp>
        <stp>0</stp>
        <stp>0</stp>
        <tr r="H19" s="50"/>
      </tp>
      <tp>
        <v>25.900000000000002</v>
        <stp/>
        <stp>108</stp>
        <stp>MKTX_022120P400</stp>
        <stp>TDA</stp>
        <stp>0</stp>
        <stp>0</stp>
        <stp>0</stp>
        <stp>0</stp>
        <stp>0</stp>
        <tr r="H18" s="50"/>
      </tp>
      <tp>
        <v>1.05</v>
        <stp/>
        <stp>108</stp>
        <stp>MKTX_022120P270</stp>
        <stp>TDA</stp>
        <stp>0</stp>
        <stp>0</stp>
        <stp>0</stp>
        <stp>0</stp>
        <stp>0</stp>
        <tr r="H5" s="50"/>
      </tp>
      <tp>
        <v>0.85000000000000009</v>
        <stp/>
        <stp>108</stp>
        <stp>MKTX_022120P260</stp>
        <stp>TDA</stp>
        <stp>0</stp>
        <stp>0</stp>
        <stp>0</stp>
        <stp>0</stp>
        <stp>0</stp>
        <tr r="H4" s="50"/>
      </tp>
      <tp>
        <v>0.65</v>
        <stp/>
        <stp>108</stp>
        <stp>MKTX_022120P250</stp>
        <stp>TDA</stp>
        <stp>0</stp>
        <stp>0</stp>
        <stp>0</stp>
        <stp>0</stp>
        <stp>0</stp>
        <tr r="H3" s="50"/>
      </tp>
      <tp>
        <v>0.55000000000000004</v>
        <stp/>
        <stp>108</stp>
        <stp>MKTX_022120P240</stp>
        <stp>TDA</stp>
        <stp>0</stp>
        <stp>0</stp>
        <stp>0</stp>
        <stp>0</stp>
        <stp>0</stp>
        <tr r="H2" s="50"/>
      </tp>
      <tp>
        <v>1.6500000000000001</v>
        <stp/>
        <stp>108</stp>
        <stp>MKTX_022120P290</stp>
        <stp>TDA</stp>
        <stp>0</stp>
        <stp>0</stp>
        <stp>0</stp>
        <stp>0</stp>
        <stp>0</stp>
        <tr r="H7" s="50"/>
      </tp>
      <tp>
        <v>1.3</v>
        <stp/>
        <stp>108</stp>
        <stp>MKTX_022120P280</stp>
        <stp>TDA</stp>
        <stp>0</stp>
        <stp>0</stp>
        <stp>0</stp>
        <stp>0</stp>
        <stp>0</stp>
        <tr r="H6" s="50"/>
      </tp>
      <tp>
        <v>13.200000000000001</v>
        <stp/>
        <stp>108</stp>
        <stp>MKTX_022120P370</stp>
        <stp>TDA</stp>
        <stp>0</stp>
        <stp>0</stp>
        <stp>0</stp>
        <stp>0</stp>
        <stp>0</stp>
        <tr r="H15" s="50"/>
      </tp>
      <tp>
        <v>10.3</v>
        <stp/>
        <stp>108</stp>
        <stp>MKTX_022120P360</stp>
        <stp>TDA</stp>
        <stp>0</stp>
        <stp>0</stp>
        <stp>0</stp>
        <stp>0</stp>
        <stp>0</stp>
        <tr r="H14" s="50"/>
      </tp>
      <tp>
        <v>8</v>
        <stp/>
        <stp>108</stp>
        <stp>MKTX_022120P350</stp>
        <stp>TDA</stp>
        <stp>0</stp>
        <stp>0</stp>
        <stp>0</stp>
        <stp>0</stp>
        <stp>0</stp>
        <tr r="H13" s="50"/>
      </tp>
      <tp>
        <v>6.2</v>
        <stp/>
        <stp>108</stp>
        <stp>MKTX_022120P340</stp>
        <stp>TDA</stp>
        <stp>0</stp>
        <stp>0</stp>
        <stp>0</stp>
        <stp>0</stp>
        <stp>0</stp>
        <tr r="H12" s="50"/>
      </tp>
      <tp>
        <v>4.8</v>
        <stp/>
        <stp>108</stp>
        <stp>MKTX_022120P330</stp>
        <stp>TDA</stp>
        <stp>0</stp>
        <stp>0</stp>
        <stp>0</stp>
        <stp>0</stp>
        <stp>0</stp>
        <tr r="H11" s="50"/>
      </tp>
      <tp>
        <v>3.6</v>
        <stp/>
        <stp>108</stp>
        <stp>MKTX_022120P320</stp>
        <stp>TDA</stp>
        <stp>0</stp>
        <stp>0</stp>
        <stp>0</stp>
        <stp>0</stp>
        <stp>0</stp>
        <tr r="H10" s="50"/>
      </tp>
      <tp>
        <v>2.8000000000000003</v>
        <stp/>
        <stp>108</stp>
        <stp>MKTX_022120P310</stp>
        <stp>TDA</stp>
        <stp>0</stp>
        <stp>0</stp>
        <stp>0</stp>
        <stp>0</stp>
        <stp>0</stp>
        <tr r="H9" s="50"/>
      </tp>
      <tp>
        <v>2.15</v>
        <stp/>
        <stp>108</stp>
        <stp>MKTX_022120P300</stp>
        <stp>TDA</stp>
        <stp>0</stp>
        <stp>0</stp>
        <stp>0</stp>
        <stp>0</stp>
        <stp>0</stp>
        <tr r="H8" s="50"/>
      </tp>
      <tp>
        <v>20.900000000000002</v>
        <stp/>
        <stp>108</stp>
        <stp>MKTX_022120P390</stp>
        <stp>TDA</stp>
        <stp>0</stp>
        <stp>0</stp>
        <stp>0</stp>
        <stp>0</stp>
        <stp>0</stp>
        <tr r="H17" s="50"/>
      </tp>
      <tp>
        <v>16.7</v>
        <stp/>
        <stp>108</stp>
        <stp>MKTX_022120P380</stp>
        <stp>TDA</stp>
        <stp>0</stp>
        <stp>0</stp>
        <stp>0</stp>
        <stp>0</stp>
        <stp>0</stp>
        <tr r="H16" s="50"/>
      </tp>
      <tp t="s">
        <v>#N/A</v>
        <stp/>
        <stp>112</stp>
        <stp>HD_041720C189.5</stp>
        <stp>TDA</stp>
        <stp>0</stp>
        <stp>0</stp>
        <stp>0</stp>
        <stp>0</stp>
        <stp>0</stp>
        <tr r="F682" s="18"/>
      </tp>
      <tp t="s">
        <v>#N/A</v>
        <stp/>
        <stp>112</stp>
        <stp>HD_041720C188.5</stp>
        <stp>TDA</stp>
        <stp>0</stp>
        <stp>0</stp>
        <stp>0</stp>
        <stp>0</stp>
        <stp>0</stp>
        <tr r="F681" s="18"/>
      </tp>
      <tp t="s">
        <v>#N/A</v>
        <stp/>
        <stp>112</stp>
        <stp>HD_041720C183.5</stp>
        <stp>TDA</stp>
        <stp>0</stp>
        <stp>0</stp>
        <stp>0</stp>
        <stp>0</stp>
        <stp>0</stp>
        <tr r="F675" s="18"/>
      </tp>
      <tp t="s">
        <v>#N/A</v>
        <stp/>
        <stp>112</stp>
        <stp>HD_011720C187.5</stp>
        <stp>TDA</stp>
        <stp>0</stp>
        <stp>0</stp>
        <stp>0</stp>
        <stp>0</stp>
        <stp>0</stp>
        <tr r="F461" s="18"/>
      </tp>
      <tp t="s">
        <v>#N/A</v>
        <stp/>
        <stp>112</stp>
        <stp>HD_041720C182.5</stp>
        <stp>TDA</stp>
        <stp>0</stp>
        <stp>0</stp>
        <stp>0</stp>
        <stp>0</stp>
        <stp>0</stp>
        <tr r="F674" s="18"/>
      </tp>
      <tp t="s">
        <v>#N/A</v>
        <stp/>
        <stp>112</stp>
        <stp>HD_041720C181.5</stp>
        <stp>TDA</stp>
        <stp>0</stp>
        <stp>0</stp>
        <stp>0</stp>
        <stp>0</stp>
        <stp>0</stp>
        <tr r="F673" s="18"/>
      </tp>
      <tp t="s">
        <v>#N/A</v>
        <stp/>
        <stp>112</stp>
        <stp>HD_041720C180.5</stp>
        <stp>TDA</stp>
        <stp>0</stp>
        <stp>0</stp>
        <stp>0</stp>
        <stp>0</stp>
        <stp>0</stp>
        <tr r="F672" s="18"/>
      </tp>
      <tp t="s">
        <v>#N/A</v>
        <stp/>
        <stp>112</stp>
        <stp>HD_011720C182.5</stp>
        <stp>TDA</stp>
        <stp>0</stp>
        <stp>0</stp>
        <stp>0</stp>
        <stp>0</stp>
        <stp>0</stp>
        <tr r="F455" s="18"/>
      </tp>
      <tp t="s">
        <v>#N/A</v>
        <stp/>
        <stp>112</stp>
        <stp>HD_041720C187.5</stp>
        <stp>TDA</stp>
        <stp>0</stp>
        <stp>0</stp>
        <stp>0</stp>
        <stp>0</stp>
        <stp>0</stp>
        <tr r="F680" s="18"/>
      </tp>
      <tp t="s">
        <v>#N/A</v>
        <stp/>
        <stp>112</stp>
        <stp>HD_041720C186.5</stp>
        <stp>TDA</stp>
        <stp>0</stp>
        <stp>0</stp>
        <stp>0</stp>
        <stp>0</stp>
        <stp>0</stp>
        <tr r="F679" s="18"/>
      </tp>
      <tp t="s">
        <v>#N/A</v>
        <stp/>
        <stp>112</stp>
        <stp>HD_041720C185.5</stp>
        <stp>TDA</stp>
        <stp>0</stp>
        <stp>0</stp>
        <stp>0</stp>
        <stp>0</stp>
        <stp>0</stp>
        <tr r="F678" s="18"/>
      </tp>
      <tp t="s">
        <v>#N/A</v>
        <stp/>
        <stp>112</stp>
        <stp>HD_041720C184.5</stp>
        <stp>TDA</stp>
        <stp>0</stp>
        <stp>0</stp>
        <stp>0</stp>
        <stp>0</stp>
        <stp>0</stp>
        <tr r="F676" s="18"/>
      </tp>
      <tp t="s">
        <v>#N/A</v>
        <stp/>
        <stp>112</stp>
        <stp>HD_041720C199.5</stp>
        <stp>TDA</stp>
        <stp>0</stp>
        <stp>0</stp>
        <stp>0</stp>
        <stp>0</stp>
        <stp>0</stp>
        <tr r="F694" s="18"/>
      </tp>
      <tp t="s">
        <v>#N/A</v>
        <stp/>
        <stp>112</stp>
        <stp>HD_041720C198.5</stp>
        <stp>TDA</stp>
        <stp>0</stp>
        <stp>0</stp>
        <stp>0</stp>
        <stp>0</stp>
        <stp>0</stp>
        <tr r="F693" s="18"/>
      </tp>
      <tp t="s">
        <v>#N/A</v>
        <stp/>
        <stp>112</stp>
        <stp>HD_041720C193.5</stp>
        <stp>TDA</stp>
        <stp>0</stp>
        <stp>0</stp>
        <stp>0</stp>
        <stp>0</stp>
        <stp>0</stp>
        <tr r="F687" s="18"/>
      </tp>
      <tp t="s">
        <v>#N/A</v>
        <stp/>
        <stp>112</stp>
        <stp>HD_011720C197.5</stp>
        <stp>TDA</stp>
        <stp>0</stp>
        <stp>0</stp>
        <stp>0</stp>
        <stp>0</stp>
        <stp>0</stp>
        <tr r="F473" s="18"/>
      </tp>
      <tp t="s">
        <v>#N/A</v>
        <stp/>
        <stp>112</stp>
        <stp>HD_041720C192.5</stp>
        <stp>TDA</stp>
        <stp>0</stp>
        <stp>0</stp>
        <stp>0</stp>
        <stp>0</stp>
        <stp>0</stp>
        <tr r="F686" s="18"/>
      </tp>
      <tp t="s">
        <v>#N/A</v>
        <stp/>
        <stp>112</stp>
        <stp>HD_041720C191.5</stp>
        <stp>TDA</stp>
        <stp>0</stp>
        <stp>0</stp>
        <stp>0</stp>
        <stp>0</stp>
        <stp>0</stp>
        <tr r="F685" s="18"/>
      </tp>
      <tp t="s">
        <v>#N/A</v>
        <stp/>
        <stp>112</stp>
        <stp>HD_041720C190.5</stp>
        <stp>TDA</stp>
        <stp>0</stp>
        <stp>0</stp>
        <stp>0</stp>
        <stp>0</stp>
        <stp>0</stp>
        <tr r="F684" s="18"/>
      </tp>
      <tp t="s">
        <v>#N/A</v>
        <stp/>
        <stp>112</stp>
        <stp>HD_011720C192.5</stp>
        <stp>TDA</stp>
        <stp>0</stp>
        <stp>0</stp>
        <stp>0</stp>
        <stp>0</stp>
        <stp>0</stp>
        <tr r="F467" s="18"/>
      </tp>
      <tp t="s">
        <v>#N/A</v>
        <stp/>
        <stp>112</stp>
        <stp>HD_041720C197.5</stp>
        <stp>TDA</stp>
        <stp>0</stp>
        <stp>0</stp>
        <stp>0</stp>
        <stp>0</stp>
        <stp>0</stp>
        <tr r="F692" s="18"/>
      </tp>
      <tp t="s">
        <v>#N/A</v>
        <stp/>
        <stp>112</stp>
        <stp>HD_041720C196.5</stp>
        <stp>TDA</stp>
        <stp>0</stp>
        <stp>0</stp>
        <stp>0</stp>
        <stp>0</stp>
        <stp>0</stp>
        <tr r="F691" s="18"/>
      </tp>
      <tp t="s">
        <v>#N/A</v>
        <stp/>
        <stp>112</stp>
        <stp>HD_041720C195.5</stp>
        <stp>TDA</stp>
        <stp>0</stp>
        <stp>0</stp>
        <stp>0</stp>
        <stp>0</stp>
        <stp>0</stp>
        <tr r="F690" s="18"/>
      </tp>
      <tp t="s">
        <v>#N/A</v>
        <stp/>
        <stp>112</stp>
        <stp>HD_041720C194.5</stp>
        <stp>TDA</stp>
        <stp>0</stp>
        <stp>0</stp>
        <stp>0</stp>
        <stp>0</stp>
        <stp>0</stp>
        <tr r="F688" s="18"/>
      </tp>
      <tp t="s">
        <v>#N/A</v>
        <stp/>
        <stp>112</stp>
        <stp>HD_041720C179.5</stp>
        <stp>TDA</stp>
        <stp>0</stp>
        <stp>0</stp>
        <stp>0</stp>
        <stp>0</stp>
        <stp>0</stp>
        <tr r="F670" s="18"/>
      </tp>
      <tp t="s">
        <v>#N/A</v>
        <stp/>
        <stp>112</stp>
        <stp>HD_041720C178.5</stp>
        <stp>TDA</stp>
        <stp>0</stp>
        <stp>0</stp>
        <stp>0</stp>
        <stp>0</stp>
        <stp>0</stp>
        <tr r="F669" s="18"/>
      </tp>
      <tp t="s">
        <v>#N/A</v>
        <stp/>
        <stp>112</stp>
        <stp>HD_041720C173.5</stp>
        <stp>TDA</stp>
        <stp>0</stp>
        <stp>0</stp>
        <stp>0</stp>
        <stp>0</stp>
        <stp>0</stp>
        <tr r="F663" s="18"/>
      </tp>
      <tp t="s">
        <v>#N/A</v>
        <stp/>
        <stp>112</stp>
        <stp>HD_011720C177.5</stp>
        <stp>TDA</stp>
        <stp>0</stp>
        <stp>0</stp>
        <stp>0</stp>
        <stp>0</stp>
        <stp>0</stp>
        <tr r="F449" s="18"/>
      </tp>
      <tp t="s">
        <v>#N/A</v>
        <stp/>
        <stp>112</stp>
        <stp>HD_041720C172.5</stp>
        <stp>TDA</stp>
        <stp>0</stp>
        <stp>0</stp>
        <stp>0</stp>
        <stp>0</stp>
        <stp>0</stp>
        <tr r="F662" s="18"/>
      </tp>
      <tp t="s">
        <v>#N/A</v>
        <stp/>
        <stp>112</stp>
        <stp>HD_041720C171.5</stp>
        <stp>TDA</stp>
        <stp>0</stp>
        <stp>0</stp>
        <stp>0</stp>
        <stp>0</stp>
        <stp>0</stp>
        <tr r="F661" s="18"/>
      </tp>
      <tp t="s">
        <v>#N/A</v>
        <stp/>
        <stp>112</stp>
        <stp>HD_071720C172.5</stp>
        <stp>TDA</stp>
        <stp>0</stp>
        <stp>0</stp>
        <stp>0</stp>
        <stp>0</stp>
        <stp>0</stp>
        <tr r="F881" s="18"/>
      </tp>
      <tp t="s">
        <v>#N/A</v>
        <stp/>
        <stp>112</stp>
        <stp>HD_041720C170.5</stp>
        <stp>TDA</stp>
        <stp>0</stp>
        <stp>0</stp>
        <stp>0</stp>
        <stp>0</stp>
        <stp>0</stp>
        <tr r="F660" s="18"/>
      </tp>
      <tp t="s">
        <v>#N/A</v>
        <stp/>
        <stp>112</stp>
        <stp>HD_011720C172.5</stp>
        <stp>TDA</stp>
        <stp>0</stp>
        <stp>0</stp>
        <stp>0</stp>
        <stp>0</stp>
        <stp>0</stp>
        <tr r="F443" s="18"/>
      </tp>
      <tp t="s">
        <v>#N/A</v>
        <stp/>
        <stp>112</stp>
        <stp>HD_041720C177.5</stp>
        <stp>TDA</stp>
        <stp>0</stp>
        <stp>0</stp>
        <stp>0</stp>
        <stp>0</stp>
        <stp>0</stp>
        <tr r="F668" s="18"/>
      </tp>
      <tp t="s">
        <v>#N/A</v>
        <stp/>
        <stp>112</stp>
        <stp>HD_041720C176.5</stp>
        <stp>TDA</stp>
        <stp>0</stp>
        <stp>0</stp>
        <stp>0</stp>
        <stp>0</stp>
        <stp>0</stp>
        <tr r="F667" s="18"/>
      </tp>
      <tp t="s">
        <v>#N/A</v>
        <stp/>
        <stp>112</stp>
        <stp>HD_041720C175.5</stp>
        <stp>TDA</stp>
        <stp>0</stp>
        <stp>0</stp>
        <stp>0</stp>
        <stp>0</stp>
        <stp>0</stp>
        <tr r="F666" s="18"/>
      </tp>
      <tp t="s">
        <v>#N/A</v>
        <stp/>
        <stp>112</stp>
        <stp>HD_041720C174.5</stp>
        <stp>TDA</stp>
        <stp>0</stp>
        <stp>0</stp>
        <stp>0</stp>
        <stp>0</stp>
        <stp>0</stp>
        <tr r="F664" s="18"/>
      </tp>
      <tp t="s">
        <v>#N/A</v>
        <stp/>
        <stp>112</stp>
        <stp>HD_071720C177.5</stp>
        <stp>TDA</stp>
        <stp>0</stp>
        <stp>0</stp>
        <stp>0</stp>
        <stp>0</stp>
        <stp>0</stp>
        <tr r="F887" s="18"/>
      </tp>
      <tp t="s">
        <v>#N/A</v>
        <stp/>
        <stp>112</stp>
        <stp>HD_122719C174.5</stp>
        <stp>TDA</stp>
        <stp>0</stp>
        <stp>0</stp>
        <stp>0</stp>
        <stp>0</stp>
        <stp>0</stp>
        <tr r="F226" s="18"/>
      </tp>
      <tp t="s">
        <v>#N/A</v>
        <stp/>
        <stp>112</stp>
        <stp>HD_122719C175.5</stp>
        <stp>TDA</stp>
        <stp>0</stp>
        <stp>0</stp>
        <stp>0</stp>
        <stp>0</stp>
        <stp>0</stp>
        <tr r="F228" s="18"/>
      </tp>
      <tp t="s">
        <v>#N/A</v>
        <stp/>
        <stp>112</stp>
        <stp>HD_122719C176.5</stp>
        <stp>TDA</stp>
        <stp>0</stp>
        <stp>0</stp>
        <stp>0</stp>
        <stp>0</stp>
        <stp>0</stp>
        <tr r="F229" s="18"/>
      </tp>
      <tp t="s">
        <v>#N/A</v>
        <stp/>
        <stp>112</stp>
        <stp>HD_122719C177.5</stp>
        <stp>TDA</stp>
        <stp>0</stp>
        <stp>0</stp>
        <stp>0</stp>
        <stp>0</stp>
        <stp>0</stp>
        <tr r="F230" s="18"/>
      </tp>
      <tp t="s">
        <v>#N/A</v>
        <stp/>
        <stp>112</stp>
        <stp>HD_122719C170.5</stp>
        <stp>TDA</stp>
        <stp>0</stp>
        <stp>0</stp>
        <stp>0</stp>
        <stp>0</stp>
        <stp>0</stp>
        <tr r="F222" s="18"/>
      </tp>
      <tp t="s">
        <v>#N/A</v>
        <stp/>
        <stp>112</stp>
        <stp>HD_122719C171.5</stp>
        <stp>TDA</stp>
        <stp>0</stp>
        <stp>0</stp>
        <stp>0</stp>
        <stp>0</stp>
        <stp>0</stp>
        <tr r="F223" s="18"/>
      </tp>
      <tp t="s">
        <v>#N/A</v>
        <stp/>
        <stp>112</stp>
        <stp>HD_122719C172.5</stp>
        <stp>TDA</stp>
        <stp>0</stp>
        <stp>0</stp>
        <stp>0</stp>
        <stp>0</stp>
        <stp>0</stp>
        <tr r="F224" s="18"/>
      </tp>
      <tp t="s">
        <v>#N/A</v>
        <stp/>
        <stp>112</stp>
        <stp>HD_122719C173.5</stp>
        <stp>TDA</stp>
        <stp>0</stp>
        <stp>0</stp>
        <stp>0</stp>
        <stp>0</stp>
        <stp>0</stp>
        <tr r="F225" s="18"/>
      </tp>
      <tp t="s">
        <v>#N/A</v>
        <stp/>
        <stp>112</stp>
        <stp>HD_122719C178.5</stp>
        <stp>TDA</stp>
        <stp>0</stp>
        <stp>0</stp>
        <stp>0</stp>
        <stp>0</stp>
        <stp>0</stp>
        <tr r="F231" s="18"/>
      </tp>
      <tp t="s">
        <v>#N/A</v>
        <stp/>
        <stp>112</stp>
        <stp>HD_122719C179.5</stp>
        <stp>TDA</stp>
        <stp>0</stp>
        <stp>0</stp>
        <stp>0</stp>
        <stp>0</stp>
        <stp>0</stp>
        <tr r="F232" s="18"/>
      </tp>
      <tp>
        <v>171.5</v>
        <stp/>
        <stp>107</stp>
        <stp>PAYC_011521C100</stp>
        <stp>TDA</stp>
        <stp>0</stp>
        <stp>0</stp>
        <stp>0</stp>
        <stp>0</stp>
        <stp>0</stp>
        <tr r="G38" s="67"/>
      </tp>
      <tp>
        <v>41</v>
        <stp/>
        <stp>107</stp>
        <stp>PAYC_011521C290</stp>
        <stp>TDA</stp>
        <stp>0</stp>
        <stp>0</stp>
        <stp>0</stp>
        <stp>0</stp>
        <stp>0</stp>
        <tr r="G22" s="67"/>
      </tp>
      <tp>
        <v>8.3000000000000007</v>
        <stp/>
        <stp>108</stp>
        <stp>MKTX_022120C440</stp>
        <stp>TDA</stp>
        <stp>0</stp>
        <stp>0</stp>
        <stp>0</stp>
        <stp>0</stp>
        <stp>0</stp>
        <tr r="E22" s="50"/>
      </tp>
      <tp>
        <v>10.700000000000001</v>
        <stp/>
        <stp>108</stp>
        <stp>MKTX_022120C430</stp>
        <stp>TDA</stp>
        <stp>0</stp>
        <stp>0</stp>
        <stp>0</stp>
        <stp>0</stp>
        <stp>0</stp>
        <tr r="E21" s="50"/>
      </tp>
      <tp>
        <v>13.8</v>
        <stp/>
        <stp>108</stp>
        <stp>MKTX_022120C420</stp>
        <stp>TDA</stp>
        <stp>0</stp>
        <stp>0</stp>
        <stp>0</stp>
        <stp>0</stp>
        <stp>0</stp>
        <tr r="E20" s="50"/>
      </tp>
      <tp>
        <v>17.600000000000001</v>
        <stp/>
        <stp>108</stp>
        <stp>MKTX_022120C410</stp>
        <stp>TDA</stp>
        <stp>0</stp>
        <stp>0</stp>
        <stp>0</stp>
        <stp>0</stp>
        <stp>0</stp>
        <tr r="E19" s="50"/>
        <tr r="G20" s="67"/>
      </tp>
      <tp>
        <v>22</v>
        <stp/>
        <stp>108</stp>
        <stp>MKTX_022120C400</stp>
        <stp>TDA</stp>
        <stp>0</stp>
        <stp>0</stp>
        <stp>0</stp>
        <stp>0</stp>
        <stp>0</stp>
        <tr r="E18" s="50"/>
      </tp>
      <tp>
        <v>129.4</v>
        <stp/>
        <stp>108</stp>
        <stp>MKTX_022120C270</stp>
        <stp>TDA</stp>
        <stp>0</stp>
        <stp>0</stp>
        <stp>0</stp>
        <stp>0</stp>
        <stp>0</stp>
        <tr r="E5" s="50"/>
      </tp>
      <tp>
        <v>139</v>
        <stp/>
        <stp>108</stp>
        <stp>MKTX_022120C260</stp>
        <stp>TDA</stp>
        <stp>0</stp>
        <stp>0</stp>
        <stp>0</stp>
        <stp>0</stp>
        <stp>0</stp>
        <tr r="E4" s="50"/>
      </tp>
      <tp>
        <v>148.70000000000002</v>
        <stp/>
        <stp>108</stp>
        <stp>MKTX_022120C250</stp>
        <stp>TDA</stp>
        <stp>0</stp>
        <stp>0</stp>
        <stp>0</stp>
        <stp>0</stp>
        <stp>0</stp>
        <tr r="E3" s="50"/>
      </tp>
      <tp>
        <v>158.4</v>
        <stp/>
        <stp>108</stp>
        <stp>MKTX_022120C240</stp>
        <stp>TDA</stp>
        <stp>0</stp>
        <stp>0</stp>
        <stp>0</stp>
        <stp>0</stp>
        <stp>0</stp>
        <tr r="E2" s="50"/>
      </tp>
      <tp>
        <v>110</v>
        <stp/>
        <stp>108</stp>
        <stp>MKTX_022120C290</stp>
        <stp>TDA</stp>
        <stp>0</stp>
        <stp>0</stp>
        <stp>0</stp>
        <stp>0</stp>
        <stp>0</stp>
        <tr r="E7" s="50"/>
      </tp>
      <tp>
        <v>119.5</v>
        <stp/>
        <stp>108</stp>
        <stp>MKTX_022120C280</stp>
        <stp>TDA</stp>
        <stp>0</stp>
        <stp>0</stp>
        <stp>0</stp>
        <stp>0</stp>
        <stp>0</stp>
        <tr r="E6" s="50"/>
      </tp>
      <tp>
        <v>39.6</v>
        <stp/>
        <stp>108</stp>
        <stp>MKTX_022120C370</stp>
        <stp>TDA</stp>
        <stp>0</stp>
        <stp>0</stp>
        <stp>0</stp>
        <stp>0</stp>
        <stp>0</stp>
        <tr r="G35" s="67"/>
        <tr r="E15" s="50"/>
      </tp>
      <tp>
        <v>46.7</v>
        <stp/>
        <stp>108</stp>
        <stp>MKTX_022120C360</stp>
        <stp>TDA</stp>
        <stp>0</stp>
        <stp>0</stp>
        <stp>0</stp>
        <stp>0</stp>
        <stp>0</stp>
        <tr r="E14" s="50"/>
      </tp>
      <tp>
        <v>54.5</v>
        <stp/>
        <stp>108</stp>
        <stp>MKTX_022120C350</stp>
        <stp>TDA</stp>
        <stp>0</stp>
        <stp>0</stp>
        <stp>0</stp>
        <stp>0</stp>
        <stp>0</stp>
        <tr r="E13" s="50"/>
      </tp>
      <tp>
        <v>62.7</v>
        <stp/>
        <stp>108</stp>
        <stp>MKTX_022120C340</stp>
        <stp>TDA</stp>
        <stp>0</stp>
        <stp>0</stp>
        <stp>0</stp>
        <stp>0</stp>
        <stp>0</stp>
        <tr r="E12" s="50"/>
      </tp>
      <tp>
        <v>71.100000000000009</v>
        <stp/>
        <stp>108</stp>
        <stp>MKTX_022120C330</stp>
        <stp>TDA</stp>
        <stp>0</stp>
        <stp>0</stp>
        <stp>0</stp>
        <stp>0</stp>
        <stp>0</stp>
        <tr r="E11" s="50"/>
      </tp>
      <tp>
        <v>81.3</v>
        <stp/>
        <stp>108</stp>
        <stp>MKTX_022120C320</stp>
        <stp>TDA</stp>
        <stp>0</stp>
        <stp>0</stp>
        <stp>0</stp>
        <stp>0</stp>
        <stp>0</stp>
        <tr r="E10" s="50"/>
      </tp>
      <tp>
        <v>90.300000000000011</v>
        <stp/>
        <stp>108</stp>
        <stp>MKTX_022120C310</stp>
        <stp>TDA</stp>
        <stp>0</stp>
        <stp>0</stp>
        <stp>0</stp>
        <stp>0</stp>
        <stp>0</stp>
        <tr r="E9" s="50"/>
      </tp>
      <tp>
        <v>99.800000000000011</v>
        <stp/>
        <stp>108</stp>
        <stp>MKTX_022120C300</stp>
        <stp>TDA</stp>
        <stp>0</stp>
        <stp>0</stp>
        <stp>0</stp>
        <stp>0</stp>
        <stp>0</stp>
        <tr r="E8" s="50"/>
      </tp>
      <tp>
        <v>27.200000000000003</v>
        <stp/>
        <stp>108</stp>
        <stp>MKTX_022120C390</stp>
        <stp>TDA</stp>
        <stp>0</stp>
        <stp>0</stp>
        <stp>0</stp>
        <stp>0</stp>
        <stp>0</stp>
        <tr r="E17" s="50"/>
      </tp>
      <tp>
        <v>33</v>
        <stp/>
        <stp>108</stp>
        <stp>MKTX_022120C380</stp>
        <stp>TDA</stp>
        <stp>0</stp>
        <stp>0</stp>
        <stp>0</stp>
        <stp>0</stp>
        <stp>0</stp>
        <tr r="E16" s="50"/>
      </tp>
      <tp t="s">
        <v>#N/A</v>
        <stp/>
        <stp>112</stp>
        <stp>HD_122719C204.5</stp>
        <stp>TDA</stp>
        <stp>0</stp>
        <stp>0</stp>
        <stp>0</stp>
        <stp>0</stp>
        <stp>0</stp>
        <tr r="F262" s="18"/>
      </tp>
      <tp t="s">
        <v>#N/A</v>
        <stp/>
        <stp>112</stp>
        <stp>HD_122719C205.5</stp>
        <stp>TDA</stp>
        <stp>0</stp>
        <stp>0</stp>
        <stp>0</stp>
        <stp>0</stp>
        <stp>0</stp>
        <tr r="F264" s="18"/>
      </tp>
      <tp t="s">
        <v>#N/A</v>
        <stp/>
        <stp>112</stp>
        <stp>HD_122719C206.5</stp>
        <stp>TDA</stp>
        <stp>0</stp>
        <stp>0</stp>
        <stp>0</stp>
        <stp>0</stp>
        <stp>0</stp>
        <tr r="F265" s="18"/>
      </tp>
      <tp t="s">
        <v>#N/A</v>
        <stp/>
        <stp>112</stp>
        <stp>HD_041720C229.5</stp>
        <stp>TDA</stp>
        <stp>0</stp>
        <stp>0</stp>
        <stp>0</stp>
        <stp>0</stp>
        <stp>0</stp>
        <tr r="F730" s="18"/>
      </tp>
      <tp t="s">
        <v>HD Dec 27 2019 207.5 Call (Weekly)</v>
        <stp/>
        <stp>112</stp>
        <stp>HD_122719C207.5</stp>
        <stp>TDA</stp>
        <stp>0</stp>
        <stp>0</stp>
        <stp>0</stp>
        <stp>0</stp>
        <stp>0</stp>
        <tr r="F266" s="18"/>
      </tp>
      <tp t="s">
        <v>#N/A</v>
        <stp/>
        <stp>112</stp>
        <stp>HD_041720C228.5</stp>
        <stp>TDA</stp>
        <stp>0</stp>
        <stp>0</stp>
        <stp>0</stp>
        <stp>0</stp>
        <stp>0</stp>
        <tr r="F729" s="18"/>
      </tp>
      <tp t="s">
        <v>#N/A</v>
        <stp/>
        <stp>112</stp>
        <stp>HD_122719C200.5</stp>
        <stp>TDA</stp>
        <stp>0</stp>
        <stp>0</stp>
        <stp>0</stp>
        <stp>0</stp>
        <stp>0</stp>
        <tr r="F258" s="18"/>
      </tp>
      <tp t="s">
        <v>#N/A</v>
        <stp/>
        <stp>112</stp>
        <stp>HD_122719C201.5</stp>
        <stp>TDA</stp>
        <stp>0</stp>
        <stp>0</stp>
        <stp>0</stp>
        <stp>0</stp>
        <stp>0</stp>
        <tr r="F259" s="18"/>
      </tp>
      <tp t="s">
        <v>HD Dec 27 2019 202.5 Call (Weekly)</v>
        <stp/>
        <stp>112</stp>
        <stp>HD_122719C202.5</stp>
        <stp>TDA</stp>
        <stp>0</stp>
        <stp>0</stp>
        <stp>0</stp>
        <stp>0</stp>
        <stp>0</stp>
        <tr r="F260" s="18"/>
      </tp>
      <tp t="s">
        <v>#N/A</v>
        <stp/>
        <stp>112</stp>
        <stp>HD_122719C203.5</stp>
        <stp>TDA</stp>
        <stp>0</stp>
        <stp>0</stp>
        <stp>0</stp>
        <stp>0</stp>
        <stp>0</stp>
        <tr r="F261" s="18"/>
      </tp>
      <tp t="s">
        <v>#N/A</v>
        <stp/>
        <stp>112</stp>
        <stp>HD_041720C223.5</stp>
        <stp>TDA</stp>
        <stp>0</stp>
        <stp>0</stp>
        <stp>0</stp>
        <stp>0</stp>
        <stp>0</stp>
        <tr r="F723" s="18"/>
      </tp>
      <tp t="s">
        <v>#N/A</v>
        <stp/>
        <stp>112</stp>
        <stp>HD_011720C227.5</stp>
        <stp>TDA</stp>
        <stp>0</stp>
        <stp>0</stp>
        <stp>0</stp>
        <stp>0</stp>
        <stp>0</stp>
        <tr r="F509" s="18"/>
      </tp>
      <tp t="s">
        <v>#N/A</v>
        <stp/>
        <stp>112</stp>
        <stp>HD_041720C222.5</stp>
        <stp>TDA</stp>
        <stp>0</stp>
        <stp>0</stp>
        <stp>0</stp>
        <stp>0</stp>
        <stp>0</stp>
        <tr r="F722" s="18"/>
      </tp>
      <tp t="s">
        <v>#N/A</v>
        <stp/>
        <stp>112</stp>
        <stp>HD_041720C221.5</stp>
        <stp>TDA</stp>
        <stp>0</stp>
        <stp>0</stp>
        <stp>0</stp>
        <stp>0</stp>
        <stp>0</stp>
        <tr r="F721" s="18"/>
      </tp>
      <tp t="s">
        <v>#N/A</v>
        <stp/>
        <stp>112</stp>
        <stp>HD_041720C220.5</stp>
        <stp>TDA</stp>
        <stp>0</stp>
        <stp>0</stp>
        <stp>0</stp>
        <stp>0</stp>
        <stp>0</stp>
        <tr r="F720" s="18"/>
      </tp>
      <tp t="s">
        <v>#N/A</v>
        <stp/>
        <stp>112</stp>
        <stp>HD_122719C208.5</stp>
        <stp>TDA</stp>
        <stp>0</stp>
        <stp>0</stp>
        <stp>0</stp>
        <stp>0</stp>
        <stp>0</stp>
        <tr r="F267" s="18"/>
      </tp>
      <tp t="s">
        <v>#N/A</v>
        <stp/>
        <stp>112</stp>
        <stp>HD_011720C222.5</stp>
        <stp>TDA</stp>
        <stp>0</stp>
        <stp>0</stp>
        <stp>0</stp>
        <stp>0</stp>
        <stp>0</stp>
        <tr r="F503" s="18"/>
      </tp>
      <tp t="s">
        <v>#N/A</v>
        <stp/>
        <stp>112</stp>
        <stp>HD_041720C227.5</stp>
        <stp>TDA</stp>
        <stp>0</stp>
        <stp>0</stp>
        <stp>0</stp>
        <stp>0</stp>
        <stp>0</stp>
        <tr r="F728" s="18"/>
      </tp>
      <tp t="s">
        <v>#N/A</v>
        <stp/>
        <stp>112</stp>
        <stp>HD_122719C209.5</stp>
        <stp>TDA</stp>
        <stp>0</stp>
        <stp>0</stp>
        <stp>0</stp>
        <stp>0</stp>
        <stp>0</stp>
        <tr r="F268" s="18"/>
      </tp>
      <tp t="s">
        <v>#N/A</v>
        <stp/>
        <stp>112</stp>
        <stp>HD_041720C226.5</stp>
        <stp>TDA</stp>
        <stp>0</stp>
        <stp>0</stp>
        <stp>0</stp>
        <stp>0</stp>
        <stp>0</stp>
        <tr r="F727" s="18"/>
      </tp>
      <tp t="s">
        <v>#N/A</v>
        <stp/>
        <stp>112</stp>
        <stp>HD_041720C225.5</stp>
        <stp>TDA</stp>
        <stp>0</stp>
        <stp>0</stp>
        <stp>0</stp>
        <stp>0</stp>
        <stp>0</stp>
        <tr r="F726" s="18"/>
      </tp>
      <tp t="s">
        <v>#N/A</v>
        <stp/>
        <stp>112</stp>
        <stp>HD_041720C224.5</stp>
        <stp>TDA</stp>
        <stp>0</stp>
        <stp>0</stp>
        <stp>0</stp>
        <stp>0</stp>
        <stp>0</stp>
        <tr r="F724" s="18"/>
      </tp>
      <tp>
        <v>0.54730000000000001</v>
        <stp/>
        <stp>204</stp>
        <stp>PAYC_011521C290</stp>
        <stp>TDA</stp>
        <stp>0</stp>
        <stp>0</stp>
        <stp>0</stp>
        <stp>0</stp>
        <stp>0</stp>
        <tr r="O22" s="67"/>
      </tp>
      <tp>
        <v>0.9859</v>
        <stp/>
        <stp>204</stp>
        <stp>PAYC_011521C100</stp>
        <stp>TDA</stp>
        <stp>0</stp>
        <stp>0</stp>
        <stp>0</stp>
        <stp>0</stp>
        <stp>0</stp>
        <tr r="O38" s="67"/>
      </tp>
      <tp t="s">
        <v>#N/A</v>
        <stp/>
        <stp>112</stp>
        <stp>HD_122719C214.5</stp>
        <stp>TDA</stp>
        <stp>0</stp>
        <stp>0</stp>
        <stp>0</stp>
        <stp>0</stp>
        <stp>0</stp>
        <tr r="F274" s="18"/>
      </tp>
      <tp t="s">
        <v>#N/A</v>
        <stp/>
        <stp>112</stp>
        <stp>HD_122719C215.5</stp>
        <stp>TDA</stp>
        <stp>0</stp>
        <stp>0</stp>
        <stp>0</stp>
        <stp>0</stp>
        <stp>0</stp>
        <tr r="F276" s="18"/>
      </tp>
      <tp t="s">
        <v>#N/A</v>
        <stp/>
        <stp>112</stp>
        <stp>HD_122719C216.5</stp>
        <stp>TDA</stp>
        <stp>0</stp>
        <stp>0</stp>
        <stp>0</stp>
        <stp>0</stp>
        <stp>0</stp>
        <tr r="F277" s="18"/>
      </tp>
      <tp t="s">
        <v>HD Dec 27 2019 217.5 Call (Weekly)</v>
        <stp/>
        <stp>112</stp>
        <stp>HD_122719C217.5</stp>
        <stp>TDA</stp>
        <stp>0</stp>
        <stp>0</stp>
        <stp>0</stp>
        <stp>0</stp>
        <stp>0</stp>
        <tr r="F278" s="18"/>
      </tp>
      <tp t="s">
        <v>#N/A</v>
        <stp/>
        <stp>112</stp>
        <stp>HD_122719C210.5</stp>
        <stp>TDA</stp>
        <stp>0</stp>
        <stp>0</stp>
        <stp>0</stp>
        <stp>0</stp>
        <stp>0</stp>
        <tr r="F270" s="18"/>
      </tp>
      <tp t="s">
        <v>#N/A</v>
        <stp/>
        <stp>112</stp>
        <stp>HD_122719C211.5</stp>
        <stp>TDA</stp>
        <stp>0</stp>
        <stp>0</stp>
        <stp>0</stp>
        <stp>0</stp>
        <stp>0</stp>
        <tr r="F271" s="18"/>
      </tp>
      <tp t="s">
        <v>HD Dec 27 2019 212.5 Call (Weekly)</v>
        <stp/>
        <stp>112</stp>
        <stp>HD_122719C212.5</stp>
        <stp>TDA</stp>
        <stp>0</stp>
        <stp>0</stp>
        <stp>0</stp>
        <stp>0</stp>
        <stp>0</stp>
        <tr r="F272" s="18"/>
      </tp>
      <tp t="s">
        <v>#N/A</v>
        <stp/>
        <stp>112</stp>
        <stp>HD_122719C213.5</stp>
        <stp>TDA</stp>
        <stp>0</stp>
        <stp>0</stp>
        <stp>0</stp>
        <stp>0</stp>
        <stp>0</stp>
        <tr r="F273" s="18"/>
      </tp>
      <tp t="s">
        <v>#N/A</v>
        <stp/>
        <stp>112</stp>
        <stp>HD_122719C218.5</stp>
        <stp>TDA</stp>
        <stp>0</stp>
        <stp>0</stp>
        <stp>0</stp>
        <stp>0</stp>
        <stp>0</stp>
        <tr r="F279" s="18"/>
      </tp>
      <tp t="s">
        <v>#N/A</v>
        <stp/>
        <stp>112</stp>
        <stp>HD_122719C219.5</stp>
        <stp>TDA</stp>
        <stp>0</stp>
        <stp>0</stp>
        <stp>0</stp>
        <stp>0</stp>
        <stp>0</stp>
        <tr r="F280" s="18"/>
      </tp>
      <tp t="s">
        <v>#N/A</v>
        <stp/>
        <stp>112</stp>
        <stp>HD_122719C224.5</stp>
        <stp>TDA</stp>
        <stp>0</stp>
        <stp>0</stp>
        <stp>0</stp>
        <stp>0</stp>
        <stp>0</stp>
        <tr r="F286" s="18"/>
      </tp>
      <tp t="s">
        <v>#N/A</v>
        <stp/>
        <stp>112</stp>
        <stp>HD_122719C225.5</stp>
        <stp>TDA</stp>
        <stp>0</stp>
        <stp>0</stp>
        <stp>0</stp>
        <stp>0</stp>
        <stp>0</stp>
        <tr r="F288" s="18"/>
      </tp>
      <tp t="s">
        <v>#N/A</v>
        <stp/>
        <stp>112</stp>
        <stp>HD_122719C226.5</stp>
        <stp>TDA</stp>
        <stp>0</stp>
        <stp>0</stp>
        <stp>0</stp>
        <stp>0</stp>
        <stp>0</stp>
        <tr r="F289" s="18"/>
      </tp>
      <tp t="s">
        <v>#N/A</v>
        <stp/>
        <stp>112</stp>
        <stp>HD_041720C209.5</stp>
        <stp>TDA</stp>
        <stp>0</stp>
        <stp>0</stp>
        <stp>0</stp>
        <stp>0</stp>
        <stp>0</stp>
        <tr r="F706" s="18"/>
      </tp>
      <tp t="s">
        <v>HD Dec 27 2019 227.5 Call (Weekly)</v>
        <stp/>
        <stp>112</stp>
        <stp>HD_122719C227.5</stp>
        <stp>TDA</stp>
        <stp>0</stp>
        <stp>0</stp>
        <stp>0</stp>
        <stp>0</stp>
        <stp>0</stp>
        <tr r="F290" s="18"/>
      </tp>
      <tp t="s">
        <v>#N/A</v>
        <stp/>
        <stp>112</stp>
        <stp>HD_041720C208.5</stp>
        <stp>TDA</stp>
        <stp>0</stp>
        <stp>0</stp>
        <stp>0</stp>
        <stp>0</stp>
        <stp>0</stp>
        <tr r="F705" s="18"/>
      </tp>
      <tp t="s">
        <v>#N/A</v>
        <stp/>
        <stp>112</stp>
        <stp>HD_122719C220.5</stp>
        <stp>TDA</stp>
        <stp>0</stp>
        <stp>0</stp>
        <stp>0</stp>
        <stp>0</stp>
        <stp>0</stp>
        <tr r="F282" s="18"/>
      </tp>
      <tp t="s">
        <v>#N/A</v>
        <stp/>
        <stp>112</stp>
        <stp>HD_122719C221.5</stp>
        <stp>TDA</stp>
        <stp>0</stp>
        <stp>0</stp>
        <stp>0</stp>
        <stp>0</stp>
        <stp>0</stp>
        <tr r="F283" s="18"/>
      </tp>
      <tp t="s">
        <v>HD Dec 27 2019 222.5 Call (Weekly)</v>
        <stp/>
        <stp>112</stp>
        <stp>HD_122719C222.5</stp>
        <stp>TDA</stp>
        <stp>0</stp>
        <stp>0</stp>
        <stp>0</stp>
        <stp>0</stp>
        <stp>0</stp>
        <tr r="F284" s="18"/>
      </tp>
      <tp t="s">
        <v>#N/A</v>
        <stp/>
        <stp>112</stp>
        <stp>HD_122719C223.5</stp>
        <stp>TDA</stp>
        <stp>0</stp>
        <stp>0</stp>
        <stp>0</stp>
        <stp>0</stp>
        <stp>0</stp>
        <tr r="F285" s="18"/>
      </tp>
      <tp t="s">
        <v>#N/A</v>
        <stp/>
        <stp>112</stp>
        <stp>HD_041720C203.5</stp>
        <stp>TDA</stp>
        <stp>0</stp>
        <stp>0</stp>
        <stp>0</stp>
        <stp>0</stp>
        <stp>0</stp>
        <tr r="F699" s="18"/>
      </tp>
      <tp t="s">
        <v>#N/A</v>
        <stp/>
        <stp>112</stp>
        <stp>HD_011720C207.5</stp>
        <stp>TDA</stp>
        <stp>0</stp>
        <stp>0</stp>
        <stp>0</stp>
        <stp>0</stp>
        <stp>0</stp>
        <tr r="F485" s="18"/>
      </tp>
      <tp t="s">
        <v>#N/A</v>
        <stp/>
        <stp>112</stp>
        <stp>HD_041720C202.5</stp>
        <stp>TDA</stp>
        <stp>0</stp>
        <stp>0</stp>
        <stp>0</stp>
        <stp>0</stp>
        <stp>0</stp>
        <tr r="F698" s="18"/>
      </tp>
      <tp t="s">
        <v>#N/A</v>
        <stp/>
        <stp>112</stp>
        <stp>HD_041720C201.5</stp>
        <stp>TDA</stp>
        <stp>0</stp>
        <stp>0</stp>
        <stp>0</stp>
        <stp>0</stp>
        <stp>0</stp>
        <tr r="F697" s="18"/>
      </tp>
      <tp t="s">
        <v>#N/A</v>
        <stp/>
        <stp>112</stp>
        <stp>HD_041720C200.5</stp>
        <stp>TDA</stp>
        <stp>0</stp>
        <stp>0</stp>
        <stp>0</stp>
        <stp>0</stp>
        <stp>0</stp>
        <tr r="F696" s="18"/>
      </tp>
      <tp t="s">
        <v>#N/A</v>
        <stp/>
        <stp>112</stp>
        <stp>HD_122719C228.5</stp>
        <stp>TDA</stp>
        <stp>0</stp>
        <stp>0</stp>
        <stp>0</stp>
        <stp>0</stp>
        <stp>0</stp>
        <tr r="F291" s="18"/>
      </tp>
      <tp t="s">
        <v>#N/A</v>
        <stp/>
        <stp>112</stp>
        <stp>HD_011720C202.5</stp>
        <stp>TDA</stp>
        <stp>0</stp>
        <stp>0</stp>
        <stp>0</stp>
        <stp>0</stp>
        <stp>0</stp>
        <tr r="F479" s="18"/>
      </tp>
      <tp t="s">
        <v>#N/A</v>
        <stp/>
        <stp>112</stp>
        <stp>HD_041720C207.5</stp>
        <stp>TDA</stp>
        <stp>0</stp>
        <stp>0</stp>
        <stp>0</stp>
        <stp>0</stp>
        <stp>0</stp>
        <tr r="F704" s="18"/>
      </tp>
      <tp t="s">
        <v>#N/A</v>
        <stp/>
        <stp>112</stp>
        <stp>HD_122719C229.5</stp>
        <stp>TDA</stp>
        <stp>0</stp>
        <stp>0</stp>
        <stp>0</stp>
        <stp>0</stp>
        <stp>0</stp>
        <tr r="F292" s="18"/>
      </tp>
      <tp t="s">
        <v>#N/A</v>
        <stp/>
        <stp>112</stp>
        <stp>HD_041720C206.5</stp>
        <stp>TDA</stp>
        <stp>0</stp>
        <stp>0</stp>
        <stp>0</stp>
        <stp>0</stp>
        <stp>0</stp>
        <tr r="F703" s="18"/>
      </tp>
      <tp t="s">
        <v>#N/A</v>
        <stp/>
        <stp>112</stp>
        <stp>HD_041720C205.5</stp>
        <stp>TDA</stp>
        <stp>0</stp>
        <stp>0</stp>
        <stp>0</stp>
        <stp>0</stp>
        <stp>0</stp>
        <tr r="F702" s="18"/>
      </tp>
      <tp t="s">
        <v>#N/A</v>
        <stp/>
        <stp>112</stp>
        <stp>HD_041720C204.5</stp>
        <stp>TDA</stp>
        <stp>0</stp>
        <stp>0</stp>
        <stp>0</stp>
        <stp>0</stp>
        <stp>0</stp>
        <tr r="F700" s="18"/>
      </tp>
      <tp t="s">
        <v>#N/A</v>
        <stp/>
        <stp>112</stp>
        <stp>HD_041720C219.5</stp>
        <stp>TDA</stp>
        <stp>0</stp>
        <stp>0</stp>
        <stp>0</stp>
        <stp>0</stp>
        <stp>0</stp>
        <tr r="F718" s="18"/>
      </tp>
      <tp t="s">
        <v>#N/A</v>
        <stp/>
        <stp>112</stp>
        <stp>HD_041720C218.5</stp>
        <stp>TDA</stp>
        <stp>0</stp>
        <stp>0</stp>
        <stp>0</stp>
        <stp>0</stp>
        <stp>0</stp>
        <tr r="F717" s="18"/>
      </tp>
      <tp t="s">
        <v>#N/A</v>
        <stp/>
        <stp>112</stp>
        <stp>HD_041720C213.5</stp>
        <stp>TDA</stp>
        <stp>0</stp>
        <stp>0</stp>
        <stp>0</stp>
        <stp>0</stp>
        <stp>0</stp>
        <tr r="F711" s="18"/>
      </tp>
      <tp t="s">
        <v>#N/A</v>
        <stp/>
        <stp>112</stp>
        <stp>HD_011720C217.5</stp>
        <stp>TDA</stp>
        <stp>0</stp>
        <stp>0</stp>
        <stp>0</stp>
        <stp>0</stp>
        <stp>0</stp>
        <tr r="F497" s="18"/>
      </tp>
      <tp t="s">
        <v>#N/A</v>
        <stp/>
        <stp>112</stp>
        <stp>HD_041720C212.5</stp>
        <stp>TDA</stp>
        <stp>0</stp>
        <stp>0</stp>
        <stp>0</stp>
        <stp>0</stp>
        <stp>0</stp>
        <tr r="F710" s="18"/>
      </tp>
      <tp t="s">
        <v>#N/A</v>
        <stp/>
        <stp>112</stp>
        <stp>HD_041720C211.5</stp>
        <stp>TDA</stp>
        <stp>0</stp>
        <stp>0</stp>
        <stp>0</stp>
        <stp>0</stp>
        <stp>0</stp>
        <tr r="F709" s="18"/>
      </tp>
      <tp t="s">
        <v>#N/A</v>
        <stp/>
        <stp>112</stp>
        <stp>HD_041720C210.5</stp>
        <stp>TDA</stp>
        <stp>0</stp>
        <stp>0</stp>
        <stp>0</stp>
        <stp>0</stp>
        <stp>0</stp>
        <tr r="F708" s="18"/>
      </tp>
      <tp t="s">
        <v>#N/A</v>
        <stp/>
        <stp>112</stp>
        <stp>HD_011720C212.5</stp>
        <stp>TDA</stp>
        <stp>0</stp>
        <stp>0</stp>
        <stp>0</stp>
        <stp>0</stp>
        <stp>0</stp>
        <tr r="F491" s="18"/>
      </tp>
      <tp t="s">
        <v>#N/A</v>
        <stp/>
        <stp>112</stp>
        <stp>HD_041720C217.5</stp>
        <stp>TDA</stp>
        <stp>0</stp>
        <stp>0</stp>
        <stp>0</stp>
        <stp>0</stp>
        <stp>0</stp>
        <tr r="F716" s="18"/>
      </tp>
      <tp t="s">
        <v>#N/A</v>
        <stp/>
        <stp>112</stp>
        <stp>HD_041720C216.5</stp>
        <stp>TDA</stp>
        <stp>0</stp>
        <stp>0</stp>
        <stp>0</stp>
        <stp>0</stp>
        <stp>0</stp>
        <tr r="F715" s="18"/>
      </tp>
      <tp t="s">
        <v>#N/A</v>
        <stp/>
        <stp>112</stp>
        <stp>HD_041720C215.5</stp>
        <stp>TDA</stp>
        <stp>0</stp>
        <stp>0</stp>
        <stp>0</stp>
        <stp>0</stp>
        <stp>0</stp>
        <tr r="F714" s="18"/>
      </tp>
      <tp t="s">
        <v>#N/A</v>
        <stp/>
        <stp>112</stp>
        <stp>HD_041720C214.5</stp>
        <stp>TDA</stp>
        <stp>0</stp>
        <stp>0</stp>
        <stp>0</stp>
        <stp>0</stp>
        <stp>0</stp>
        <tr r="F712" s="18"/>
      </tp>
      <tp t="s">
        <v>#N/A</v>
        <stp/>
        <stp>112</stp>
        <stp>HD_051520C189.5</stp>
        <stp>TDA</stp>
        <stp>0</stp>
        <stp>0</stp>
        <stp>0</stp>
        <stp>0</stp>
        <stp>0</stp>
        <tr r="F755" s="18"/>
      </tp>
      <tp t="s">
        <v>#N/A</v>
        <stp/>
        <stp>112</stp>
        <stp>HD_051520C184.5</stp>
        <stp>TDA</stp>
        <stp>0</stp>
        <stp>0</stp>
        <stp>0</stp>
        <stp>0</stp>
        <stp>0</stp>
        <tr r="F749" s="18"/>
      </tp>
      <tp t="s">
        <v>#N/A</v>
        <stp/>
        <stp>112</stp>
        <stp>HD_051520C199.5</stp>
        <stp>TDA</stp>
        <stp>0</stp>
        <stp>0</stp>
        <stp>0</stp>
        <stp>0</stp>
        <stp>0</stp>
        <tr r="F767" s="18"/>
      </tp>
      <tp t="s">
        <v>#N/A</v>
        <stp/>
        <stp>112</stp>
        <stp>HD_051520C194.5</stp>
        <stp>TDA</stp>
        <stp>0</stp>
        <stp>0</stp>
        <stp>0</stp>
        <stp>0</stp>
        <stp>0</stp>
        <tr r="F761" s="18"/>
      </tp>
      <tp t="s">
        <v>#N/A</v>
        <stp/>
        <stp>112</stp>
        <stp>HD_051520C179.5</stp>
        <stp>TDA</stp>
        <stp>0</stp>
        <stp>0</stp>
        <stp>0</stp>
        <stp>0</stp>
        <stp>0</stp>
        <tr r="F743" s="18"/>
      </tp>
      <tp t="s">
        <v>#N/A</v>
        <stp/>
        <stp>112</stp>
        <stp>HD_051520C174.5</stp>
        <stp>TDA</stp>
        <stp>0</stp>
        <stp>0</stp>
        <stp>0</stp>
        <stp>0</stp>
        <stp>0</stp>
        <tr r="F737" s="18"/>
      </tp>
      <tp t="s">
        <v>HD Dec 6 2019 207.5 Call (Weekly)</v>
        <stp/>
        <stp>112</stp>
        <stp>HD_120619C207.5</stp>
        <stp>TDA</stp>
        <stp>0</stp>
        <stp>0</stp>
        <stp>0</stp>
        <stp>0</stp>
        <stp>0</stp>
        <tr r="F47" s="18"/>
      </tp>
      <tp t="s">
        <v>HD Dec 6 2019 202.5 Call (Weekly)</v>
        <stp/>
        <stp>112</stp>
        <stp>HD_120619C202.5</stp>
        <stp>TDA</stp>
        <stp>0</stp>
        <stp>0</stp>
        <stp>0</stp>
        <stp>0</stp>
        <stp>0</stp>
        <tr r="F41" s="18"/>
      </tp>
      <tp t="s">
        <v>HD Dec 6 2019 217.5 Call (Weekly)</v>
        <stp/>
        <stp>112</stp>
        <stp>HD_120619C217.5</stp>
        <stp>TDA</stp>
        <stp>0</stp>
        <stp>0</stp>
        <stp>0</stp>
        <stp>0</stp>
        <stp>0</stp>
        <tr r="F59" s="18"/>
      </tp>
      <tp t="s">
        <v>HD Dec 6 2019 212.5 Call (Weekly)</v>
        <stp/>
        <stp>112</stp>
        <stp>HD_120619C212.5</stp>
        <stp>TDA</stp>
        <stp>0</stp>
        <stp>0</stp>
        <stp>0</stp>
        <stp>0</stp>
        <stp>0</stp>
        <tr r="F53" s="18"/>
      </tp>
      <tp t="s">
        <v>HD Dec 6 2019 227.5 Call (Weekly)</v>
        <stp/>
        <stp>112</stp>
        <stp>HD_120619C227.5</stp>
        <stp>TDA</stp>
        <stp>0</stp>
        <stp>0</stp>
        <stp>0</stp>
        <stp>0</stp>
        <stp>0</stp>
        <tr r="F71" s="18"/>
      </tp>
      <tp t="s">
        <v>HD Dec 6 2019 222.5 Call (Weekly)</v>
        <stp/>
        <stp>112</stp>
        <stp>HD_120619C222.5</stp>
        <stp>TDA</stp>
        <stp>0</stp>
        <stp>0</stp>
        <stp>0</stp>
        <stp>0</stp>
        <stp>0</stp>
        <tr r="F65" s="18"/>
      </tp>
      <tp>
        <v>1.35</v>
        <stp/>
        <stp>108</stp>
        <stp>SSTK_022120C47.5</stp>
        <stp>TDA</stp>
        <stp>0</stp>
        <stp>0</stp>
        <stp>0</stp>
        <stp>0</stp>
        <stp>0</stp>
        <tr r="E97" s="62"/>
        <tr r="E96" s="62"/>
        <tr r="E7" s="62"/>
      </tp>
      <tp>
        <v>1.1500000000000001</v>
        <stp/>
        <stp>107</stp>
        <stp>SSTK_022120C47.5</stp>
        <stp>TDA</stp>
        <stp>0</stp>
        <stp>0</stp>
        <stp>0</stp>
        <stp>0</stp>
        <stp>0</stp>
        <tr r="D97" s="62"/>
        <tr r="D96" s="62"/>
        <tr r="D7" s="62"/>
      </tp>
      <tp t="s">
        <v>SSTK Feb 21 2020 47.5 Call</v>
        <stp/>
        <stp>112</stp>
        <stp>SSTK_022120C47.5</stp>
        <stp>TDA</stp>
        <stp>0</stp>
        <stp>0</stp>
        <stp>0</stp>
        <stp>0</stp>
        <stp>0</stp>
        <tr r="U7" s="62"/>
        <tr r="U97" s="62"/>
        <tr r="U96" s="62"/>
      </tp>
      <tp t="s">
        <v>SSTK Feb 21 2020 42.5 Call</v>
        <stp/>
        <stp>112</stp>
        <stp>SSTK_022120C42.5</stp>
        <stp>TDA</stp>
        <stp>0</stp>
        <stp>0</stp>
        <stp>0</stp>
        <stp>0</stp>
        <stp>0</stp>
        <tr r="U93" s="62"/>
        <tr r="U5" s="62"/>
        <tr r="U92" s="62"/>
      </tp>
      <tp>
        <v>3.6</v>
        <stp/>
        <stp>108</stp>
        <stp>SSTK_022120C42.5</stp>
        <stp>TDA</stp>
        <stp>0</stp>
        <stp>0</stp>
        <stp>0</stp>
        <stp>0</stp>
        <stp>0</stp>
        <tr r="E5" s="62"/>
        <tr r="E92" s="62"/>
        <tr r="E93" s="62"/>
      </tp>
      <tp>
        <v>3.3000000000000003</v>
        <stp/>
        <stp>107</stp>
        <stp>SSTK_022120C42.5</stp>
        <stp>TDA</stp>
        <stp>0</stp>
        <stp>0</stp>
        <stp>0</stp>
        <stp>0</stp>
        <stp>0</stp>
        <tr r="D5" s="62"/>
        <tr r="D92" s="62"/>
        <tr r="D93" s="62"/>
      </tp>
      <tp t="s">
        <v>SSTK Dec 20 2019 52.5 Call</v>
        <stp/>
        <stp>112</stp>
        <stp>SSTK_122019C52.5</stp>
        <stp>TDA</stp>
        <stp>0</stp>
        <stp>0</stp>
        <stp>0</stp>
        <stp>0</stp>
        <stp>0</stp>
        <tr r="U76" s="62"/>
      </tp>
      <tp>
        <v>0</v>
        <stp/>
        <stp>107</stp>
        <stp>SSTK_122019C52.5</stp>
        <stp>TDA</stp>
        <stp>0</stp>
        <stp>0</stp>
        <stp>0</stp>
        <stp>0</stp>
        <stp>0</stp>
        <tr r="D76" s="62"/>
      </tp>
      <tp>
        <v>0.55000000000000004</v>
        <stp/>
        <stp>108</stp>
        <stp>SSTK_122019C52.5</stp>
        <stp>TDA</stp>
        <stp>0</stp>
        <stp>0</stp>
        <stp>0</stp>
        <stp>0</stp>
        <stp>0</stp>
        <tr r="E76" s="62"/>
      </tp>
      <tp>
        <v>0.1</v>
        <stp/>
        <stp>107</stp>
        <stp>SSTK_122019C47.5</stp>
        <stp>TDA</stp>
        <stp>0</stp>
        <stp>0</stp>
        <stp>0</stp>
        <stp>0</stp>
        <stp>0</stp>
        <tr r="D74" s="62"/>
      </tp>
      <tp>
        <v>0.2</v>
        <stp/>
        <stp>108</stp>
        <stp>SSTK_122019C47.5</stp>
        <stp>TDA</stp>
        <stp>0</stp>
        <stp>0</stp>
        <stp>0</stp>
        <stp>0</stp>
        <stp>0</stp>
        <tr r="E74" s="62"/>
      </tp>
      <tp t="s">
        <v>SSTK Dec 20 2019 47.5 Call</v>
        <stp/>
        <stp>112</stp>
        <stp>SSTK_122019C47.5</stp>
        <stp>TDA</stp>
        <stp>0</stp>
        <stp>0</stp>
        <stp>0</stp>
        <stp>0</stp>
        <stp>0</stp>
        <tr r="U74" s="62"/>
      </tp>
      <tp t="s">
        <v>SSTK Feb 21 2020 52.5 Call</v>
        <stp/>
        <stp>112</stp>
        <stp>SSTK_022120C52.5</stp>
        <stp>TDA</stp>
        <stp>0</stp>
        <stp>0</stp>
        <stp>0</stp>
        <stp>0</stp>
        <stp>0</stp>
        <tr r="U9" s="62"/>
      </tp>
      <tp>
        <v>0.45</v>
        <stp/>
        <stp>108</stp>
        <stp>SSTK_022120C52.5</stp>
        <stp>TDA</stp>
        <stp>0</stp>
        <stp>0</stp>
        <stp>0</stp>
        <stp>0</stp>
        <stp>0</stp>
        <tr r="E9" s="62"/>
      </tp>
      <tp>
        <v>0.3</v>
        <stp/>
        <stp>107</stp>
        <stp>SSTK_022120C52.5</stp>
        <stp>TDA</stp>
        <stp>0</stp>
        <stp>0</stp>
        <stp>0</stp>
        <stp>0</stp>
        <stp>0</stp>
        <tr r="D9" s="62"/>
      </tp>
      <tp t="s">
        <v>SSTK Dec 20 2019 42.5 Call</v>
        <stp/>
        <stp>112</stp>
        <stp>SSTK_122019C42.5</stp>
        <stp>TDA</stp>
        <stp>0</stp>
        <stp>0</stp>
        <stp>0</stp>
        <stp>0</stp>
        <stp>0</stp>
        <tr r="U72" s="62"/>
      </tp>
      <tp>
        <v>1.9000000000000001</v>
        <stp/>
        <stp>107</stp>
        <stp>SSTK_122019C42.5</stp>
        <stp>TDA</stp>
        <stp>0</stp>
        <stp>0</stp>
        <stp>0</stp>
        <stp>0</stp>
        <stp>0</stp>
        <tr r="D72" s="62"/>
      </tp>
      <tp>
        <v>2.1</v>
        <stp/>
        <stp>108</stp>
        <stp>SSTK_122019C42.5</stp>
        <stp>TDA</stp>
        <stp>0</stp>
        <stp>0</stp>
        <stp>0</stp>
        <stp>0</stp>
        <stp>0</stp>
        <tr r="E72" s="62"/>
      </tp>
      <tp>
        <v>6.2</v>
        <stp/>
        <stp>107</stp>
        <stp>SSTK_122019C37.5</stp>
        <stp>TDA</stp>
        <stp>0</stp>
        <stp>0</stp>
        <stp>0</stp>
        <stp>0</stp>
        <stp>0</stp>
        <tr r="D70" s="62"/>
      </tp>
      <tp>
        <v>6.9</v>
        <stp/>
        <stp>108</stp>
        <stp>SSTK_122019C37.5</stp>
        <stp>TDA</stp>
        <stp>0</stp>
        <stp>0</stp>
        <stp>0</stp>
        <stp>0</stp>
        <stp>0</stp>
        <tr r="E70" s="62"/>
      </tp>
      <tp t="s">
        <v>SSTK Dec 20 2019 37.5 Call</v>
        <stp/>
        <stp>112</stp>
        <stp>SSTK_122019C37.5</stp>
        <stp>TDA</stp>
        <stp>0</stp>
        <stp>0</stp>
        <stp>0</stp>
        <stp>0</stp>
        <stp>0</stp>
        <tr r="U70" s="62"/>
      </tp>
      <tp t="s">
        <v>SSTK Dec 20 2019 32.5 Call</v>
        <stp/>
        <stp>112</stp>
        <stp>SSTK_122019C32.5</stp>
        <stp>TDA</stp>
        <stp>0</stp>
        <stp>0</stp>
        <stp>0</stp>
        <stp>0</stp>
        <stp>0</stp>
        <tr r="U68" s="62"/>
      </tp>
      <tp>
        <v>11</v>
        <stp/>
        <stp>107</stp>
        <stp>SSTK_122019C32.5</stp>
        <stp>TDA</stp>
        <stp>0</stp>
        <stp>0</stp>
        <stp>0</stp>
        <stp>0</stp>
        <stp>0</stp>
        <tr r="D68" s="62"/>
      </tp>
      <tp>
        <v>12.100000000000001</v>
        <stp/>
        <stp>108</stp>
        <stp>SSTK_122019C32.5</stp>
        <stp>TDA</stp>
        <stp>0</stp>
        <stp>0</stp>
        <stp>0</stp>
        <stp>0</stp>
        <stp>0</stp>
        <tr r="E68" s="62"/>
      </tp>
      <tp>
        <v>7.2</v>
        <stp/>
        <stp>108</stp>
        <stp>SSTK_022120C37.5</stp>
        <stp>TDA</stp>
        <stp>0</stp>
        <stp>0</stp>
        <stp>0</stp>
        <stp>0</stp>
        <stp>0</stp>
        <tr r="E89" s="62"/>
        <tr r="E88" s="62"/>
        <tr r="E3" s="62"/>
      </tp>
      <tp>
        <v>6.9</v>
        <stp/>
        <stp>107</stp>
        <stp>SSTK_022120C37.5</stp>
        <stp>TDA</stp>
        <stp>0</stp>
        <stp>0</stp>
        <stp>0</stp>
        <stp>0</stp>
        <stp>0</stp>
        <tr r="D3" s="62"/>
        <tr r="D88" s="62"/>
        <tr r="D89" s="62"/>
      </tp>
      <tp t="s">
        <v>SSTK Feb 21 2020 37.5 Call</v>
        <stp/>
        <stp>112</stp>
        <stp>SSTK_022120C37.5</stp>
        <stp>TDA</stp>
        <stp>0</stp>
        <stp>0</stp>
        <stp>0</stp>
        <stp>0</stp>
        <stp>0</stp>
        <tr r="U88" s="62"/>
        <tr r="U89" s="62"/>
        <tr r="U3" s="62"/>
      </tp>
      <tp>
        <v>7.4</v>
        <stp/>
        <stp>108</stp>
        <stp>CBOE_011720C115</stp>
        <stp>TDA</stp>
        <stp>0</stp>
        <stp>0</stp>
        <stp>0</stp>
        <stp>0</stp>
        <stp>0</stp>
        <tr r="G13" s="67"/>
      </tp>
      <tp>
        <v>25.650000000000002</v>
        <stp/>
        <stp>108</stp>
        <stp>BRKB_011521C210</stp>
        <stp>TDA</stp>
        <stp>0</stp>
        <stp>0</stp>
        <stp>0</stp>
        <stp>0</stp>
        <stp>0</stp>
        <tr r="G50" s="67"/>
      </tp>
      <tp>
        <v>31</v>
        <stp/>
        <stp>107</stp>
        <stp>NVDA_011521C220</stp>
        <stp>TDA</stp>
        <stp>0</stp>
        <stp>0</stp>
        <stp>0</stp>
        <stp>0</stp>
        <stp>0</stp>
        <tr r="F64" s="61"/>
        <tr r="D65" s="61"/>
        <tr r="G63" s="61"/>
        <tr r="H62" s="61"/>
        <tr r="I61" s="61"/>
      </tp>
      <tp>
        <v>27</v>
        <stp/>
        <stp>107</stp>
        <stp>NVDA_011521C230</stp>
        <stp>TDA</stp>
        <stp>0</stp>
        <stp>0</stp>
        <stp>0</stp>
        <stp>0</stp>
        <stp>0</stp>
        <tr r="F66" s="61"/>
        <tr r="G65" s="61"/>
        <tr r="H64" s="61"/>
        <tr r="I63" s="61"/>
        <tr r="D67" s="61"/>
      </tp>
      <tp>
        <v>40.25</v>
        <stp/>
        <stp>107</stp>
        <stp>NVDA_011521C200</stp>
        <stp>TDA</stp>
        <stp>0</stp>
        <stp>0</stp>
        <stp>0</stp>
        <stp>0</stp>
        <stp>0</stp>
        <tr r="G59" s="61"/>
        <tr r="F60" s="61"/>
        <tr r="H58" s="61"/>
        <tr r="I57" s="61"/>
        <tr r="D61" s="61"/>
      </tp>
      <tp>
        <v>35.4</v>
        <stp/>
        <stp>107</stp>
        <stp>NVDA_011521C210</stp>
        <stp>TDA</stp>
        <stp>0</stp>
        <stp>0</stp>
        <stp>0</stp>
        <stp>0</stp>
        <stp>0</stp>
        <tr r="I59" s="61"/>
        <tr r="H60" s="61"/>
        <tr r="F62" s="61"/>
        <tr r="D63" s="61"/>
        <tr r="G61" s="61"/>
      </tp>
      <tp>
        <v>17.5</v>
        <stp/>
        <stp>107</stp>
        <stp>NVDA_011521C260</stp>
        <stp>TDA</stp>
        <stp>0</stp>
        <stp>0</stp>
        <stp>0</stp>
        <stp>0</stp>
        <stp>0</stp>
        <tr r="G71" s="61"/>
        <tr r="I69" s="61"/>
        <tr r="H70" s="61"/>
      </tp>
      <tp>
        <v>15.05</v>
        <stp/>
        <stp>107</stp>
        <stp>NVDA_011521C270</stp>
        <stp>TDA</stp>
        <stp>0</stp>
        <stp>0</stp>
        <stp>0</stp>
        <stp>0</stp>
        <stp>0</stp>
        <tr r="I71" s="61"/>
      </tp>
      <tp>
        <v>23.450000000000003</v>
        <stp/>
        <stp>107</stp>
        <stp>NVDA_011521C240</stp>
        <stp>TDA</stp>
        <stp>0</stp>
        <stp>0</stp>
        <stp>0</stp>
        <stp>0</stp>
        <stp>0</stp>
        <tr r="F68" s="61"/>
        <tr r="G67" s="61"/>
        <tr r="H66" s="61"/>
        <tr r="I65" s="61"/>
        <tr r="D69" s="61"/>
      </tp>
      <tp>
        <v>20.3</v>
        <stp/>
        <stp>107</stp>
        <stp>NVDA_011521C250</stp>
        <stp>TDA</stp>
        <stp>0</stp>
        <stp>0</stp>
        <stp>0</stp>
        <stp>0</stp>
        <stp>0</stp>
        <tr r="F70" s="61"/>
        <tr r="G69" s="61"/>
        <tr r="H68" s="61"/>
        <tr r="I67" s="61"/>
        <tr r="D71" s="61"/>
      </tp>
      <tp>
        <v>51.35</v>
        <stp/>
        <stp>107</stp>
        <stp>NVDA_011521C180</stp>
        <stp>TDA</stp>
        <stp>0</stp>
        <stp>0</stp>
        <stp>0</stp>
        <stp>0</stp>
        <stp>0</stp>
        <tr r="F56" s="61"/>
        <tr r="G55" s="61"/>
        <tr r="I53" s="61"/>
        <tr r="H54" s="61"/>
        <tr r="D57" s="61"/>
      </tp>
      <tp>
        <v>45.5</v>
        <stp/>
        <stp>107</stp>
        <stp>NVDA_011521C190</stp>
        <stp>TDA</stp>
        <stp>0</stp>
        <stp>0</stp>
        <stp>0</stp>
        <stp>0</stp>
        <stp>0</stp>
        <tr r="F58" s="61"/>
        <tr r="D59" s="61"/>
        <tr r="H56" s="61"/>
        <tr r="G57" s="61"/>
        <tr r="I55" s="61"/>
      </tp>
      <tp>
        <v>86.850000000000009</v>
        <stp/>
        <stp>107</stp>
        <stp>NVDA_011521C130</stp>
        <stp>TDA</stp>
        <stp>0</stp>
        <stp>0</stp>
        <stp>0</stp>
        <stp>0</stp>
        <stp>0</stp>
        <tr r="G21" s="67"/>
      </tp>
      <tp>
        <v>64.350000000000009</v>
        <stp/>
        <stp>107</stp>
        <stp>NVDA_011521C160</stp>
        <stp>TDA</stp>
        <stp>0</stp>
        <stp>0</stp>
        <stp>0</stp>
        <stp>0</stp>
        <stp>0</stp>
        <tr r="F52" s="61"/>
        <tr r="G51" s="61"/>
        <tr r="D53" s="61"/>
      </tp>
      <tp>
        <v>57.550000000000004</v>
        <stp/>
        <stp>107</stp>
        <stp>NVDA_011521C170</stp>
        <stp>TDA</stp>
        <stp>0</stp>
        <stp>0</stp>
        <stp>0</stp>
        <stp>0</stp>
        <stp>0</stp>
        <tr r="F54" s="61"/>
        <tr r="D55" s="61"/>
        <tr r="I51" s="61"/>
        <tr r="H52" s="61"/>
        <tr r="G53" s="61"/>
      </tp>
      <tp>
        <v>71.5</v>
        <stp/>
        <stp>107</stp>
        <stp>NVDA_011521C150</stp>
        <stp>TDA</stp>
        <stp>0</stp>
        <stp>0</stp>
        <stp>0</stp>
        <stp>0</stp>
        <stp>0</stp>
        <tr r="D51" s="61"/>
      </tp>
      <tp>
        <v>16.900000000000002</v>
        <stp/>
        <stp>107</stp>
        <stp>TEAM_011521P115</stp>
        <stp>TDA</stp>
        <stp>0</stp>
        <stp>0</stp>
        <stp>0</stp>
        <stp>0</stp>
        <stp>0</stp>
        <tr r="D85" s="33"/>
        <tr r="D86" s="33"/>
      </tp>
      <tp>
        <v>8</v>
        <stp/>
        <stp>107</stp>
        <stp>TEAM_051520P110</stp>
        <stp>TDA</stp>
        <stp>0</stp>
        <stp>0</stp>
        <stp>0</stp>
        <stp>0</stp>
        <stp>0</stp>
        <tr r="D55" s="33"/>
      </tp>
      <tp t="s">
        <v>TEAM Jan 15 2021 100 Put</v>
        <stp/>
        <stp>112</stp>
        <stp>TEAM_011521P100</stp>
        <stp>TDA</stp>
        <stp>0</stp>
        <stp>0</stp>
        <stp>0</stp>
        <stp>0</stp>
        <stp>0</stp>
        <tr r="S80" s="33"/>
      </tp>
      <tp t="s">
        <v>TEAM May 15 2020 105 Put</v>
        <stp/>
        <stp>112</stp>
        <stp>TEAM_051520P105</stp>
        <stp>TDA</stp>
        <stp>0</stp>
        <stp>0</stp>
        <stp>0</stp>
        <stp>0</stp>
        <stp>0</stp>
        <tr r="S54" s="33"/>
      </tp>
      <tp>
        <v>12.9</v>
        <stp/>
        <stp>107</stp>
        <stp>TEAM_011521P105</stp>
        <stp>TDA</stp>
        <stp>0</stp>
        <stp>0</stp>
        <stp>0</stp>
        <stp>0</stp>
        <stp>0</stp>
        <tr r="D82" s="33"/>
        <tr r="D81" s="33"/>
      </tp>
      <tp t="s">
        <v>TEAM Jan 15 2021 110 Put</v>
        <stp/>
        <stp>112</stp>
        <stp>TEAM_011521P110</stp>
        <stp>TDA</stp>
        <stp>0</stp>
        <stp>0</stp>
        <stp>0</stp>
        <stp>0</stp>
        <stp>0</stp>
        <tr r="S83" s="33"/>
        <tr r="S84" s="33"/>
      </tp>
      <tp t="s">
        <v>TEAM May 15 2020 115 Put</v>
        <stp/>
        <stp>112</stp>
        <stp>TEAM_051520P115</stp>
        <stp>TDA</stp>
        <stp>0</stp>
        <stp>0</stp>
        <stp>0</stp>
        <stp>0</stp>
        <stp>0</stp>
        <tr r="S56" s="33"/>
      </tp>
      <tp>
        <v>27.400000000000002</v>
        <stp/>
        <stp>107</stp>
        <stp>TEAM_011521P135</stp>
        <stp>TDA</stp>
        <stp>0</stp>
        <stp>0</stp>
        <stp>0</stp>
        <stp>0</stp>
        <stp>0</stp>
        <tr r="D92" s="33"/>
      </tp>
      <tp>
        <v>17.100000000000001</v>
        <stp/>
        <stp>107</stp>
        <stp>TEAM_051520P130</stp>
        <stp>TDA</stp>
        <stp>0</stp>
        <stp>0</stp>
        <stp>0</stp>
        <stp>0</stp>
        <stp>0</stp>
        <tr r="D59" s="33"/>
      </tp>
      <tp t="s">
        <v>TEAM Jan 15 2021 120 Put</v>
        <stp/>
        <stp>112</stp>
        <stp>TEAM_011521P120</stp>
        <stp>TDA</stp>
        <stp>0</stp>
        <stp>0</stp>
        <stp>0</stp>
        <stp>0</stp>
        <stp>0</stp>
        <tr r="S87" s="33"/>
        <tr r="S88" s="33"/>
      </tp>
      <tp t="s">
        <v>TEAM May 15 2020 125 Put</v>
        <stp/>
        <stp>112</stp>
        <stp>TEAM_051520P125</stp>
        <stp>TDA</stp>
        <stp>0</stp>
        <stp>0</stp>
        <stp>0</stp>
        <stp>0</stp>
        <stp>0</stp>
        <tr r="S58" s="33"/>
      </tp>
      <tp>
        <v>21.8</v>
        <stp/>
        <stp>107</stp>
        <stp>TEAM_011521P125</stp>
        <stp>TDA</stp>
        <stp>0</stp>
        <stp>0</stp>
        <stp>0</stp>
        <stp>0</stp>
        <stp>0</stp>
        <tr r="D90" s="33"/>
        <tr r="D89" s="33"/>
      </tp>
      <tp>
        <v>12</v>
        <stp/>
        <stp>107</stp>
        <stp>TEAM_051520P120</stp>
        <stp>TDA</stp>
        <stp>0</stp>
        <stp>0</stp>
        <stp>0</stp>
        <stp>0</stp>
        <stp>0</stp>
        <tr r="D57" s="33"/>
      </tp>
      <tp t="s">
        <v>TEAM Jan 15 2021 130 Put</v>
        <stp/>
        <stp>112</stp>
        <stp>TEAM_011521P130</stp>
        <stp>TDA</stp>
        <stp>0</stp>
        <stp>0</stp>
        <stp>0</stp>
        <stp>0</stp>
        <stp>0</stp>
        <tr r="S91" s="33"/>
      </tp>
      <tp t="s">
        <v>TEAM May 15 2020 135 Put</v>
        <stp/>
        <stp>112</stp>
        <stp>TEAM_051520P135</stp>
        <stp>TDA</stp>
        <stp>0</stp>
        <stp>0</stp>
        <stp>0</stp>
        <stp>0</stp>
        <stp>0</stp>
        <tr r="S60" s="33"/>
      </tp>
      <tp>
        <v>40.4</v>
        <stp/>
        <stp>107</stp>
        <stp>TEAM_011521P155</stp>
        <stp>TDA</stp>
        <stp>0</stp>
        <stp>0</stp>
        <stp>0</stp>
        <stp>0</stp>
        <stp>0</stp>
        <tr r="D96" s="33"/>
      </tp>
      <tp t="s">
        <v>TEAM Jan 15 2021 140 Put</v>
        <stp/>
        <stp>112</stp>
        <stp>TEAM_011521P140</stp>
        <stp>TDA</stp>
        <stp>0</stp>
        <stp>0</stp>
        <stp>0</stp>
        <stp>0</stp>
        <stp>0</stp>
        <tr r="S93" s="33"/>
      </tp>
      <tp>
        <v>33.6</v>
        <stp/>
        <stp>107</stp>
        <stp>TEAM_011521P145</stp>
        <stp>TDA</stp>
        <stp>0</stp>
        <stp>0</stp>
        <stp>0</stp>
        <stp>0</stp>
        <stp>0</stp>
        <tr r="D94" s="33"/>
      </tp>
      <tp>
        <v>23.400000000000002</v>
        <stp/>
        <stp>107</stp>
        <stp>TEAM_051520P140</stp>
        <stp>TDA</stp>
        <stp>0</stp>
        <stp>0</stp>
        <stp>0</stp>
        <stp>0</stp>
        <stp>0</stp>
        <tr r="D61" s="33"/>
      </tp>
      <tp t="s">
        <v>TEAM Jan 15 2021 150 Put</v>
        <stp/>
        <stp>112</stp>
        <stp>TEAM_011521P150</stp>
        <stp>TDA</stp>
        <stp>0</stp>
        <stp>0</stp>
        <stp>0</stp>
        <stp>0</stp>
        <stp>0</stp>
        <tr r="S95" s="33"/>
      </tp>
      <tp>
        <v>55.300000000000004</v>
        <stp/>
        <stp>107</stp>
        <stp>TEAM_011521P175</stp>
        <stp>TDA</stp>
        <stp>0</stp>
        <stp>0</stp>
        <stp>0</stp>
        <stp>0</stp>
        <stp>0</stp>
        <tr r="D100" s="33"/>
      </tp>
      <tp t="s">
        <v>TEAM Jan 15 2021 160 Put</v>
        <stp/>
        <stp>112</stp>
        <stp>TEAM_011521P160</stp>
        <stp>TDA</stp>
        <stp>0</stp>
        <stp>0</stp>
        <stp>0</stp>
        <stp>0</stp>
        <stp>0</stp>
        <tr r="S97" s="33"/>
      </tp>
      <tp>
        <v>47.900000000000006</v>
        <stp/>
        <stp>107</stp>
        <stp>TEAM_011521P165</stp>
        <stp>TDA</stp>
        <stp>0</stp>
        <stp>0</stp>
        <stp>0</stp>
        <stp>0</stp>
        <stp>0</stp>
        <tr r="D98" s="33"/>
      </tp>
      <tp t="s">
        <v>TEAM Jan 15 2021 170 Put</v>
        <stp/>
        <stp>112</stp>
        <stp>TEAM_011521P170</stp>
        <stp>TDA</stp>
        <stp>0</stp>
        <stp>0</stp>
        <stp>0</stp>
        <stp>0</stp>
        <stp>0</stp>
        <tr r="S99" s="33"/>
      </tp>
      <tp>
        <v>0.5</v>
        <stp/>
        <stp>108</stp>
        <stp>TEAM_120619P111</stp>
        <stp>TDA</stp>
        <stp>0</stp>
        <stp>0</stp>
        <stp>0</stp>
        <stp>0</stp>
        <stp>0</stp>
        <tr r="E8" s="33"/>
      </tp>
      <tp>
        <v>12.8</v>
        <stp/>
        <stp>108</stp>
        <stp>BRKB_011521P210</stp>
        <stp>TDA</stp>
        <stp>0</stp>
        <stp>0</stp>
        <stp>0</stp>
        <stp>0</stp>
        <stp>0</stp>
        <tr r="G4" s="67"/>
      </tp>
      <tp>
        <v>0.02</v>
        <stp/>
        <stp>107</stp>
        <stp>NVDA_011720C300</stp>
        <stp>TDA</stp>
        <stp>0</stp>
        <stp>0</stp>
        <stp>0</stp>
        <stp>0</stp>
        <stp>0</stp>
        <tr r="D22" s="58"/>
      </tp>
      <tp>
        <v>6.0000000000000005E-2</v>
        <stp/>
        <stp>107</stp>
        <stp>NVDA_011720C280</stp>
        <stp>TDA</stp>
        <stp>0</stp>
        <stp>0</stp>
        <stp>0</stp>
        <stp>0</stp>
        <stp>0</stp>
        <tr r="D18" s="58"/>
      </tp>
      <tp t="s">
        <v>NVDA Jan 17 2020 295 Call</v>
        <stp/>
        <stp>112</stp>
        <stp>NVDA_011720C295</stp>
        <stp>TDA</stp>
        <stp>0</stp>
        <stp>0</stp>
        <stp>0</stp>
        <stp>0</stp>
        <stp>0</stp>
        <tr r="AR21" s="58"/>
      </tp>
      <tp>
        <v>3.0000000000000002E-2</v>
        <stp/>
        <stp>107</stp>
        <stp>NVDA_011720C290</stp>
        <stp>TDA</stp>
        <stp>0</stp>
        <stp>0</stp>
        <stp>0</stp>
        <stp>0</stp>
        <stp>0</stp>
        <tr r="D20" s="58"/>
      </tp>
      <tp t="s">
        <v>NVDA Jan 17 2020 285 Call</v>
        <stp/>
        <stp>112</stp>
        <stp>NVDA_011720C285</stp>
        <stp>TDA</stp>
        <stp>0</stp>
        <stp>0</stp>
        <stp>0</stp>
        <stp>0</stp>
        <stp>0</stp>
        <tr r="AR19" s="58"/>
      </tp>
      <tp>
        <v>5.45</v>
        <stp/>
        <stp>107</stp>
        <stp>NVDA_011720C220</stp>
        <stp>TDA</stp>
        <stp>0</stp>
        <stp>0</stp>
        <stp>0</stp>
        <stp>0</stp>
        <stp>0</stp>
        <tr r="D6" s="58"/>
      </tp>
      <tp t="s">
        <v>NVDA Jan 17 2020 235 Call</v>
        <stp/>
        <stp>112</stp>
        <stp>NVDA_011720C235</stp>
        <stp>TDA</stp>
        <stp>0</stp>
        <stp>0</stp>
        <stp>0</stp>
        <stp>0</stp>
        <stp>0</stp>
        <tr r="AR9" s="58"/>
      </tp>
      <tp>
        <v>2.74</v>
        <stp/>
        <stp>107</stp>
        <stp>NVDA_011720C230</stp>
        <stp>TDA</stp>
        <stp>0</stp>
        <stp>0</stp>
        <stp>0</stp>
        <stp>0</stp>
        <stp>0</stp>
        <tr r="D8" s="58"/>
      </tp>
      <tp t="s">
        <v>NVDA Jan 17 2020 225 Call</v>
        <stp/>
        <stp>112</stp>
        <stp>NVDA_011720C225</stp>
        <stp>TDA</stp>
        <stp>0</stp>
        <stp>0</stp>
        <stp>0</stp>
        <stp>0</stp>
        <stp>0</stp>
        <tr r="AR7" s="58"/>
      </tp>
      <tp>
        <v>15.600000000000001</v>
        <stp/>
        <stp>107</stp>
        <stp>NVDA_011720C200</stp>
        <stp>TDA</stp>
        <stp>0</stp>
        <stp>0</stp>
        <stp>0</stp>
        <stp>0</stp>
        <stp>0</stp>
        <tr r="D2" s="58"/>
      </tp>
      <tp t="s">
        <v>NVDA Jan 17 2020 215 Call</v>
        <stp/>
        <stp>112</stp>
        <stp>NVDA_011720C215</stp>
        <stp>TDA</stp>
        <stp>0</stp>
        <stp>0</stp>
        <stp>0</stp>
        <stp>0</stp>
        <stp>0</stp>
        <tr r="AR5" s="58"/>
      </tp>
      <tp>
        <v>9.75</v>
        <stp/>
        <stp>107</stp>
        <stp>NVDA_011720C210</stp>
        <stp>TDA</stp>
        <stp>0</stp>
        <stp>0</stp>
        <stp>0</stp>
        <stp>0</stp>
        <stp>0</stp>
        <tr r="D4" s="58"/>
      </tp>
      <tp t="s">
        <v>NVDA Jan 17 2020 205 Call</v>
        <stp/>
        <stp>112</stp>
        <stp>NVDA_011720C205</stp>
        <stp>TDA</stp>
        <stp>0</stp>
        <stp>0</stp>
        <stp>0</stp>
        <stp>0</stp>
        <stp>0</stp>
        <tr r="AR3" s="58"/>
      </tp>
      <tp>
        <v>0.24000000000000002</v>
        <stp/>
        <stp>107</stp>
        <stp>NVDA_011720C260</stp>
        <stp>TDA</stp>
        <stp>0</stp>
        <stp>0</stp>
        <stp>0</stp>
        <stp>0</stp>
        <stp>0</stp>
        <tr r="D14" s="58"/>
      </tp>
      <tp t="s">
        <v>NVDA Jan 17 2020 275 Call</v>
        <stp/>
        <stp>112</stp>
        <stp>NVDA_011720C275</stp>
        <stp>TDA</stp>
        <stp>0</stp>
        <stp>0</stp>
        <stp>0</stp>
        <stp>0</stp>
        <stp>0</stp>
        <tr r="AR17" s="58"/>
      </tp>
      <tp>
        <v>0.11</v>
        <stp/>
        <stp>107</stp>
        <stp>NVDA_011720C270</stp>
        <stp>TDA</stp>
        <stp>0</stp>
        <stp>0</stp>
        <stp>0</stp>
        <stp>0</stp>
        <stp>0</stp>
        <tr r="D16" s="58"/>
      </tp>
      <tp t="s">
        <v>NVDA Jan 17 2020 265 Call</v>
        <stp/>
        <stp>112</stp>
        <stp>NVDA_011720C265</stp>
        <stp>TDA</stp>
        <stp>0</stp>
        <stp>0</stp>
        <stp>0</stp>
        <stp>0</stp>
        <stp>0</stp>
        <tr r="AR15" s="58"/>
      </tp>
      <tp>
        <v>1.25</v>
        <stp/>
        <stp>107</stp>
        <stp>NVDA_011720C240</stp>
        <stp>TDA</stp>
        <stp>0</stp>
        <stp>0</stp>
        <stp>0</stp>
        <stp>0</stp>
        <stp>0</stp>
        <tr r="D10" s="58"/>
      </tp>
      <tp t="s">
        <v>NVDA Jan 17 2020 255 Call</v>
        <stp/>
        <stp>112</stp>
        <stp>NVDA_011720C255</stp>
        <stp>TDA</stp>
        <stp>0</stp>
        <stp>0</stp>
        <stp>0</stp>
        <stp>0</stp>
        <stp>0</stp>
        <tr r="AR13" s="58"/>
      </tp>
      <tp>
        <v>0.55000000000000004</v>
        <stp/>
        <stp>107</stp>
        <stp>NVDA_011720C250</stp>
        <stp>TDA</stp>
        <stp>0</stp>
        <stp>0</stp>
        <stp>0</stp>
        <stp>0</stp>
        <stp>0</stp>
        <tr r="D12" s="58"/>
      </tp>
      <tp t="s">
        <v>NVDA Jan 17 2020 245 Call</v>
        <stp/>
        <stp>112</stp>
        <stp>NVDA_011720C245</stp>
        <stp>TDA</stp>
        <stp>0</stp>
        <stp>0</stp>
        <stp>0</stp>
        <stp>0</stp>
        <stp>0</stp>
        <tr r="AR11" s="58"/>
      </tp>
      <tp>
        <v>3.8000000000000003</v>
        <stp/>
        <stp>107</stp>
        <stp>TEAM_011720P115</stp>
        <stp>TDA</stp>
        <stp>0</stp>
        <stp>0</stp>
        <stp>0</stp>
        <stp>0</stp>
        <stp>0</stp>
        <tr r="D34" s="33"/>
      </tp>
      <tp t="s">
        <v>TEAM Jan 17 2020 100 Put</v>
        <stp/>
        <stp>112</stp>
        <stp>TEAM_011720P100</stp>
        <stp>TDA</stp>
        <stp>0</stp>
        <stp>0</stp>
        <stp>0</stp>
        <stp>0</stp>
        <stp>0</stp>
        <tr r="S31" s="33"/>
      </tp>
      <tp>
        <v>1.6500000000000001</v>
        <stp/>
        <stp>107</stp>
        <stp>TEAM_011720P105</stp>
        <stp>TDA</stp>
        <stp>0</stp>
        <stp>0</stp>
        <stp>0</stp>
        <stp>0</stp>
        <stp>0</stp>
        <tr r="D32" s="33"/>
      </tp>
      <tp t="s">
        <v>TEAM Jan 17 2020 110 Put</v>
        <stp/>
        <stp>112</stp>
        <stp>TEAM_011720P110</stp>
        <stp>TDA</stp>
        <stp>0</stp>
        <stp>0</stp>
        <stp>0</stp>
        <stp>0</stp>
        <stp>0</stp>
        <tr r="S33" s="33"/>
      </tp>
      <tp t="s">
        <v>TEAM Jan 17 2020 120 Put</v>
        <stp/>
        <stp>112</stp>
        <stp>TEAM_011720P120</stp>
        <stp>TDA</stp>
        <stp>0</stp>
        <stp>0</stp>
        <stp>0</stp>
        <stp>0</stp>
        <stp>0</stp>
        <tr r="S35" s="33"/>
      </tp>
      <tp>
        <v>7.9</v>
        <stp/>
        <stp>107</stp>
        <stp>TEAM_011720P125</stp>
        <stp>TDA</stp>
        <stp>0</stp>
        <stp>0</stp>
        <stp>0</stp>
        <stp>0</stp>
        <stp>0</stp>
        <tr r="D36" s="33"/>
      </tp>
      <tp t="s">
        <v>TEAM Jan 17 2020 130 Put</v>
        <stp/>
        <stp>112</stp>
        <stp>TEAM_011720P130</stp>
        <stp>TDA</stp>
        <stp>0</stp>
        <stp>0</stp>
        <stp>0</stp>
        <stp>0</stp>
        <stp>0</stp>
        <tr r="S37" s="33"/>
      </tp>
      <tp>
        <v>7.1000000000000005</v>
        <stp/>
        <stp>108</stp>
        <stp>TEAM_120619P130</stp>
        <stp>TDA</stp>
        <stp>0</stp>
        <stp>0</stp>
        <stp>0</stp>
        <stp>0</stp>
        <stp>0</stp>
        <tr r="E19" s="33"/>
      </tp>
      <tp>
        <v>0.65</v>
        <stp/>
        <stp>108</stp>
        <stp>TEAM_120619P120</stp>
        <stp>TDA</stp>
        <stp>0</stp>
        <stp>0</stp>
        <stp>0</stp>
        <stp>0</stp>
        <stp>0</stp>
        <tr r="E17" s="33"/>
      </tp>
      <tp>
        <v>0.5</v>
        <stp/>
        <stp>108</stp>
        <stp>TEAM_120619P110</stp>
        <stp>TDA</stp>
        <stp>0</stp>
        <stp>0</stp>
        <stp>0</stp>
        <stp>0</stp>
        <stp>0</stp>
        <tr r="E7" s="33"/>
      </tp>
      <tp>
        <v>17.7</v>
        <stp/>
        <stp>108</stp>
        <stp>TEAM_120619P140</stp>
        <stp>TDA</stp>
        <stp>0</stp>
        <stp>0</stp>
        <stp>0</stp>
        <stp>0</stp>
        <stp>0</stp>
        <tr r="E21" s="33"/>
      </tp>
      <tp>
        <v>8.2000000000000011</v>
        <stp/>
        <stp>108</stp>
        <stp>TEAM_122019P130</stp>
        <stp>TDA</stp>
        <stp>0</stp>
        <stp>0</stp>
        <stp>0</stp>
        <stp>0</stp>
        <stp>0</stp>
        <tr r="E27" s="33"/>
      </tp>
      <tp>
        <v>2.7</v>
        <stp/>
        <stp>108</stp>
        <stp>TEAM_122019P120</stp>
        <stp>TDA</stp>
        <stp>0</stp>
        <stp>0</stp>
        <stp>0</stp>
        <stp>0</stp>
        <stp>0</stp>
        <tr r="E25" s="33"/>
      </tp>
      <tp>
        <v>0.75</v>
        <stp/>
        <stp>108</stp>
        <stp>TEAM_122019P110</stp>
        <stp>TDA</stp>
        <stp>0</stp>
        <stp>0</stp>
        <stp>0</stp>
        <stp>0</stp>
        <stp>0</stp>
        <tr r="E23" s="33"/>
      </tp>
      <tp>
        <v>17.3</v>
        <stp/>
        <stp>108</stp>
        <stp>TEAM_122019P140</stp>
        <stp>TDA</stp>
        <stp>0</stp>
        <stp>0</stp>
        <stp>0</stp>
        <stp>0</stp>
        <stp>0</stp>
        <tr r="E29" s="33"/>
      </tp>
      <tp>
        <v>32.75</v>
        <stp/>
        <stp>107</stp>
        <stp>NVDA_061821C225</stp>
        <stp>TDA</stp>
        <stp>0</stp>
        <stp>0</stp>
        <stp>0</stp>
        <stp>0</stp>
        <stp>0</stp>
        <tr r="F41" s="61"/>
        <tr r="G40" s="61"/>
        <tr r="D42" s="61"/>
        <tr r="H39" s="61"/>
        <tr r="I38" s="61"/>
      </tp>
      <tp>
        <v>28.950000000000003</v>
        <stp/>
        <stp>107</stp>
        <stp>NVDA_061821C235</stp>
        <stp>TDA</stp>
        <stp>0</stp>
        <stp>0</stp>
        <stp>0</stp>
        <stp>0</stp>
        <stp>0</stp>
        <tr r="F43" s="61"/>
        <tr r="G42" s="61"/>
        <tr r="D44" s="61"/>
        <tr r="H41" s="61"/>
        <tr r="I40" s="61"/>
      </tp>
      <tp>
        <v>41.45</v>
        <stp/>
        <stp>107</stp>
        <stp>NVDA_061821C205</stp>
        <stp>TDA</stp>
        <stp>0</stp>
        <stp>0</stp>
        <stp>0</stp>
        <stp>0</stp>
        <stp>0</stp>
        <tr r="H35" s="61"/>
        <tr r="G36" s="61"/>
        <tr r="I34" s="61"/>
        <tr r="F37" s="61"/>
        <tr r="D38" s="61"/>
      </tp>
      <tp>
        <v>36.9</v>
        <stp/>
        <stp>107</stp>
        <stp>NVDA_061821C215</stp>
        <stp>TDA</stp>
        <stp>0</stp>
        <stp>0</stp>
        <stp>0</stp>
        <stp>0</stp>
        <stp>0</stp>
        <tr r="I36" s="61"/>
        <tr r="F39" s="61"/>
        <tr r="D40" s="61"/>
        <tr r="G38" s="61"/>
        <tr r="H37" s="61"/>
      </tp>
      <tp>
        <v>19.600000000000001</v>
        <stp/>
        <stp>107</stp>
        <stp>NVDA_061821C265</stp>
        <stp>TDA</stp>
        <stp>0</stp>
        <stp>0</stp>
        <stp>0</stp>
        <stp>0</stp>
        <stp>0</stp>
        <tr r="I46" s="61"/>
        <tr r="H47" s="61"/>
      </tp>
      <tp>
        <v>25.5</v>
        <stp/>
        <stp>107</stp>
        <stp>NVDA_061821C245</stp>
        <stp>TDA</stp>
        <stp>0</stp>
        <stp>0</stp>
        <stp>0</stp>
        <stp>0</stp>
        <stp>0</stp>
        <tr r="F45" s="61"/>
        <tr r="D46" s="61"/>
        <tr r="G44" s="61"/>
        <tr r="H43" s="61"/>
        <tr r="I42" s="61"/>
      </tp>
      <tp>
        <v>22.400000000000002</v>
        <stp/>
        <stp>107</stp>
        <stp>NVDA_061821C255</stp>
        <stp>TDA</stp>
        <stp>0</stp>
        <stp>0</stp>
        <stp>0</stp>
        <stp>0</stp>
        <stp>0</stp>
        <tr r="G46" s="61"/>
        <tr r="H45" s="61"/>
        <tr r="I44" s="61"/>
        <tr r="F47" s="61"/>
      </tp>
      <tp>
        <v>51.75</v>
        <stp/>
        <stp>107</stp>
        <stp>NVDA_061821C185</stp>
        <stp>TDA</stp>
        <stp>0</stp>
        <stp>0</stp>
        <stp>0</stp>
        <stp>0</stp>
        <stp>0</stp>
        <tr r="F33" s="61"/>
        <tr r="D34" s="61"/>
        <tr r="G32" s="61"/>
        <tr r="H31" s="61"/>
        <tr r="I30" s="61"/>
      </tp>
      <tp>
        <v>46.400000000000006</v>
        <stp/>
        <stp>107</stp>
        <stp>NVDA_061821C195</stp>
        <stp>TDA</stp>
        <stp>0</stp>
        <stp>0</stp>
        <stp>0</stp>
        <stp>0</stp>
        <stp>0</stp>
        <tr r="F35" s="61"/>
        <tr r="H33" s="61"/>
        <tr r="D36" s="61"/>
        <tr r="G34" s="61"/>
        <tr r="I32" s="61"/>
      </tp>
      <tp>
        <v>63.650000000000006</v>
        <stp/>
        <stp>107</stp>
        <stp>NVDA_061821C165</stp>
        <stp>TDA</stp>
        <stp>0</stp>
        <stp>0</stp>
        <stp>0</stp>
        <stp>0</stp>
        <stp>0</stp>
        <tr r="F29" s="61"/>
        <tr r="H27" s="61"/>
        <tr r="G28" s="61"/>
        <tr r="D30" s="61"/>
      </tp>
      <tp>
        <v>57.5</v>
        <stp/>
        <stp>107</stp>
        <stp>NVDA_061821C175</stp>
        <stp>TDA</stp>
        <stp>0</stp>
        <stp>0</stp>
        <stp>0</stp>
        <stp>0</stp>
        <stp>0</stp>
        <tr r="F31" s="61"/>
        <tr r="G30" s="61"/>
        <tr r="D32" s="61"/>
        <tr r="I28" s="61"/>
        <tr r="H29" s="61"/>
      </tp>
      <tp>
        <v>70.2</v>
        <stp/>
        <stp>107</stp>
        <stp>NVDA_061821C155</stp>
        <stp>TDA</stp>
        <stp>0</stp>
        <stp>0</stp>
        <stp>0</stp>
        <stp>0</stp>
        <stp>0</stp>
        <tr r="F27" s="61"/>
        <tr r="D28" s="61"/>
      </tp>
      <tp>
        <v>0.45</v>
        <stp/>
        <stp>108</stp>
        <stp>TEAM_120619P113</stp>
        <stp>TDA</stp>
        <stp>0</stp>
        <stp>0</stp>
        <stp>0</stp>
        <stp>0</stp>
        <stp>0</stp>
        <tr r="E10" s="33"/>
      </tp>
      <tp t="s">
        <v>TEAM Dec 6 2019 109 Put (Weekly)</v>
        <stp/>
        <stp>112</stp>
        <stp>TEAM_120619P109</stp>
        <stp>TDA</stp>
        <stp>0</stp>
        <stp>0</stp>
        <stp>0</stp>
        <stp>0</stp>
        <stp>0</stp>
        <tr r="S6" s="33"/>
      </tp>
      <tp t="s">
        <v>TEAM Dec 6 2019 119 Put (Weekly)</v>
        <stp/>
        <stp>112</stp>
        <stp>TEAM_120619P119</stp>
        <stp>TDA</stp>
        <stp>0</stp>
        <stp>0</stp>
        <stp>0</stp>
        <stp>0</stp>
        <stp>0</stp>
        <tr r="S16" s="33"/>
      </tp>
      <tp>
        <v>6.1000000000000005</v>
        <stp/>
        <stp>107</stp>
        <stp>TEAM_022120P115</stp>
        <stp>TDA</stp>
        <stp>0</stp>
        <stp>0</stp>
        <stp>0</stp>
        <stp>0</stp>
        <stp>0</stp>
        <tr r="D42" s="33"/>
      </tp>
      <tp>
        <v>11.5</v>
        <stp/>
        <stp>108</stp>
        <stp>TEAM_082120P110</stp>
        <stp>TDA</stp>
        <stp>0</stp>
        <stp>0</stp>
        <stp>0</stp>
        <stp>0</stp>
        <stp>0</stp>
        <tr r="E71" s="33"/>
      </tp>
      <tp t="s">
        <v>TEAM Feb 21 2020 100 Put</v>
        <stp/>
        <stp>112</stp>
        <stp>TEAM_022120P100</stp>
        <stp>TDA</stp>
        <stp>0</stp>
        <stp>0</stp>
        <stp>0</stp>
        <stp>0</stp>
        <stp>0</stp>
        <tr r="S39" s="33"/>
      </tp>
      <tp>
        <v>3.3000000000000003</v>
        <stp/>
        <stp>107</stp>
        <stp>TEAM_022120P105</stp>
        <stp>TDA</stp>
        <stp>0</stp>
        <stp>0</stp>
        <stp>0</stp>
        <stp>0</stp>
        <stp>0</stp>
        <tr r="D40" s="33"/>
      </tp>
      <tp t="s">
        <v>TEAM Feb 21 2020 110 Put</v>
        <stp/>
        <stp>112</stp>
        <stp>TEAM_022120P110</stp>
        <stp>TDA</stp>
        <stp>0</stp>
        <stp>0</stp>
        <stp>0</stp>
        <stp>0</stp>
        <stp>0</stp>
        <tr r="S41" s="33"/>
      </tp>
      <tp>
        <v>21</v>
        <stp/>
        <stp>108</stp>
        <stp>TEAM_082120P130</stp>
        <stp>TDA</stp>
        <stp>0</stp>
        <stp>0</stp>
        <stp>0</stp>
        <stp>0</stp>
        <stp>0</stp>
        <tr r="E75" s="33"/>
      </tp>
      <tp t="s">
        <v>TEAM Feb 21 2020 120 Put</v>
        <stp/>
        <stp>112</stp>
        <stp>TEAM_022120P120</stp>
        <stp>TDA</stp>
        <stp>0</stp>
        <stp>0</stp>
        <stp>0</stp>
        <stp>0</stp>
        <stp>0</stp>
        <tr r="S43" s="33"/>
      </tp>
      <tp>
        <v>10.4</v>
        <stp/>
        <stp>107</stp>
        <stp>TEAM_022120P125</stp>
        <stp>TDA</stp>
        <stp>0</stp>
        <stp>0</stp>
        <stp>0</stp>
        <stp>0</stp>
        <stp>0</stp>
        <tr r="D44" s="33"/>
      </tp>
      <tp>
        <v>15.8</v>
        <stp/>
        <stp>108</stp>
        <stp>TEAM_082120P120</stp>
        <stp>TDA</stp>
        <stp>0</stp>
        <stp>0</stp>
        <stp>0</stp>
        <stp>0</stp>
        <stp>0</stp>
        <tr r="E73" s="33"/>
      </tp>
      <tp t="s">
        <v>TEAM Feb 21 2020 130 Put</v>
        <stp/>
        <stp>112</stp>
        <stp>TEAM_022120P130</stp>
        <stp>TDA</stp>
        <stp>0</stp>
        <stp>0</stp>
        <stp>0</stp>
        <stp>0</stp>
        <stp>0</stp>
        <tr r="S45" s="33"/>
      </tp>
      <tp>
        <v>27.1</v>
        <stp/>
        <stp>108</stp>
        <stp>TEAM_082120P140</stp>
        <stp>TDA</stp>
        <stp>0</stp>
        <stp>0</stp>
        <stp>0</stp>
        <stp>0</stp>
        <stp>0</stp>
        <tr r="E77" s="33"/>
      </tp>
      <tp>
        <v>12.3</v>
        <stp/>
        <stp>107</stp>
        <stp>NVDA_032020C220</stp>
        <stp>TDA</stp>
        <stp>0</stp>
        <stp>0</stp>
        <stp>0</stp>
        <stp>0</stp>
        <stp>0</stp>
        <tr r="F112" s="61"/>
        <tr r="G111" s="61"/>
        <tr r="H110" s="61"/>
        <tr r="I109" s="61"/>
        <tr r="D113" s="61"/>
      </tp>
      <tp>
        <v>8.75</v>
        <stp/>
        <stp>107</stp>
        <stp>NVDA_032020C230</stp>
        <stp>TDA</stp>
        <stp>0</stp>
        <stp>0</stp>
        <stp>0</stp>
        <stp>0</stp>
        <stp>0</stp>
        <tr r="H112" s="61"/>
        <tr r="I111" s="61"/>
        <tr r="F114" s="61"/>
        <tr r="G113" s="61"/>
        <tr r="D115" s="61"/>
      </tp>
      <tp>
        <v>22.3</v>
        <stp/>
        <stp>107</stp>
        <stp>NVDA_032020C200</stp>
        <stp>TDA</stp>
        <stp>0</stp>
        <stp>0</stp>
        <stp>0</stp>
        <stp>0</stp>
        <stp>0</stp>
        <tr r="F108" s="61"/>
        <tr r="G107" s="61"/>
        <tr r="D109" s="61"/>
        <tr r="H106" s="61"/>
        <tr r="I105" s="61"/>
      </tp>
      <tp>
        <v>16.850000000000001</v>
        <stp/>
        <stp>107</stp>
        <stp>NVDA_032020C210</stp>
        <stp>TDA</stp>
        <stp>0</stp>
        <stp>0</stp>
        <stp>0</stp>
        <stp>0</stp>
        <stp>0</stp>
        <tr r="F110" s="61"/>
        <tr r="G109" s="61"/>
        <tr r="D111" s="61"/>
        <tr r="H108" s="61"/>
        <tr r="I107" s="61"/>
      </tp>
      <tp>
        <v>2.68</v>
        <stp/>
        <stp>107</stp>
        <stp>NVDA_032020C260</stp>
        <stp>TDA</stp>
        <stp>0</stp>
        <stp>0</stp>
        <stp>0</stp>
        <stp>0</stp>
        <stp>0</stp>
        <tr r="I117" s="61"/>
        <tr r="G119" s="61"/>
        <tr r="H118" s="61"/>
      </tp>
      <tp>
        <v>1.74</v>
        <stp/>
        <stp>107</stp>
        <stp>NVDA_032020C270</stp>
        <stp>TDA</stp>
        <stp>0</stp>
        <stp>0</stp>
        <stp>0</stp>
        <stp>0</stp>
        <stp>0</stp>
        <tr r="I119" s="61"/>
      </tp>
      <tp>
        <v>6</v>
        <stp/>
        <stp>107</stp>
        <stp>NVDA_032020C240</stp>
        <stp>TDA</stp>
        <stp>0</stp>
        <stp>0</stp>
        <stp>0</stp>
        <stp>0</stp>
        <stp>0</stp>
        <tr r="F116" s="61"/>
        <tr r="G115" s="61"/>
        <tr r="H114" s="61"/>
        <tr r="I113" s="61"/>
        <tr r="D117" s="61"/>
      </tp>
      <tp>
        <v>4</v>
        <stp/>
        <stp>107</stp>
        <stp>NVDA_032020C250</stp>
        <stp>TDA</stp>
        <stp>0</stp>
        <stp>0</stp>
        <stp>0</stp>
        <stp>0</stp>
        <stp>0</stp>
        <tr r="G117" s="61"/>
        <tr r="F118" s="61"/>
        <tr r="D119" s="61"/>
        <tr r="H116" s="61"/>
        <tr r="I115" s="61"/>
      </tp>
      <tp>
        <v>41.75</v>
        <stp/>
        <stp>107</stp>
        <stp>NVDA_012122C220</stp>
        <stp>TDA</stp>
        <stp>0</stp>
        <stp>0</stp>
        <stp>0</stp>
        <stp>0</stp>
        <stp>0</stp>
        <tr r="H14" s="61"/>
        <tr r="I13" s="61"/>
        <tr r="F16" s="61"/>
        <tr r="G15" s="61"/>
        <tr r="D17" s="61"/>
      </tp>
      <tp>
        <v>37.700000000000003</v>
        <stp/>
        <stp>107</stp>
        <stp>NVDA_012122C230</stp>
        <stp>TDA</stp>
        <stp>0</stp>
        <stp>0</stp>
        <stp>0</stp>
        <stp>0</stp>
        <stp>0</stp>
        <tr r="F18" s="61"/>
        <tr r="G17" s="61"/>
        <tr r="D19" s="61"/>
        <tr r="H16" s="61"/>
        <tr r="I15" s="61"/>
      </tp>
      <tp>
        <v>50.7</v>
        <stp/>
        <stp>107</stp>
        <stp>NVDA_012122C200</stp>
        <stp>TDA</stp>
        <stp>0</stp>
        <stp>0</stp>
        <stp>0</stp>
        <stp>0</stp>
        <stp>0</stp>
        <tr r="F12" s="61"/>
        <tr r="H10" s="61"/>
        <tr r="G11" s="61"/>
        <tr r="I9" s="61"/>
        <tr r="D13" s="61"/>
      </tp>
      <tp>
        <v>46.1</v>
        <stp/>
        <stp>107</stp>
        <stp>NVDA_012122C210</stp>
        <stp>TDA</stp>
        <stp>0</stp>
        <stp>0</stp>
        <stp>0</stp>
        <stp>0</stp>
        <stp>0</stp>
        <tr r="H12" s="61"/>
        <tr r="I11" s="61"/>
        <tr r="F14" s="61"/>
        <tr r="G13" s="61"/>
        <tr r="D15" s="61"/>
      </tp>
      <tp>
        <v>27.5</v>
        <stp/>
        <stp>107</stp>
        <stp>NVDA_012122C260</stp>
        <stp>TDA</stp>
        <stp>0</stp>
        <stp>0</stp>
        <stp>0</stp>
        <stp>0</stp>
        <stp>0</stp>
        <tr r="G23" s="61"/>
        <tr r="H22" s="61"/>
        <tr r="I21" s="61"/>
      </tp>
      <tp>
        <v>25.5</v>
        <stp/>
        <stp>107</stp>
        <stp>NVDA_012122C270</stp>
        <stp>TDA</stp>
        <stp>0</stp>
        <stp>0</stp>
        <stp>0</stp>
        <stp>0</stp>
        <stp>0</stp>
        <tr r="I23" s="61"/>
      </tp>
      <tp>
        <v>34</v>
        <stp/>
        <stp>107</stp>
        <stp>NVDA_012122C240</stp>
        <stp>TDA</stp>
        <stp>0</stp>
        <stp>0</stp>
        <stp>0</stp>
        <stp>0</stp>
        <stp>0</stp>
        <tr r="F20" s="61"/>
        <tr r="D21" s="61"/>
        <tr r="G19" s="61"/>
        <tr r="H18" s="61"/>
        <tr r="I17" s="61"/>
      </tp>
      <tp>
        <v>30.6</v>
        <stp/>
        <stp>107</stp>
        <stp>NVDA_012122C250</stp>
        <stp>TDA</stp>
        <stp>0</stp>
        <stp>0</stp>
        <stp>0</stp>
        <stp>0</stp>
        <stp>0</stp>
        <tr r="F22" s="61"/>
        <tr r="D23" s="61"/>
        <tr r="G21" s="61"/>
        <tr r="H20" s="61"/>
        <tr r="I19" s="61"/>
      </tp>
      <tp>
        <v>60.650000000000006</v>
        <stp/>
        <stp>107</stp>
        <stp>NVDA_012122C180</stp>
        <stp>TDA</stp>
        <stp>0</stp>
        <stp>0</stp>
        <stp>0</stp>
        <stp>0</stp>
        <stp>0</stp>
        <tr r="F8" s="61"/>
        <tr r="G7" s="61"/>
        <tr r="D9" s="61"/>
        <tr r="H6" s="61"/>
        <tr r="I5" s="61"/>
      </tp>
      <tp>
        <v>57</v>
        <stp/>
        <stp>107</stp>
        <stp>NVDA_012122C190</stp>
        <stp>TDA</stp>
        <stp>0</stp>
        <stp>0</stp>
        <stp>0</stp>
        <stp>0</stp>
        <stp>0</stp>
        <tr r="F10" s="61"/>
        <tr r="D11" s="61"/>
        <tr r="G9" s="61"/>
        <tr r="H8" s="61"/>
        <tr r="I7" s="61"/>
      </tp>
      <tp>
        <v>72</v>
        <stp/>
        <stp>107</stp>
        <stp>NVDA_012122C160</stp>
        <stp>TDA</stp>
        <stp>0</stp>
        <stp>0</stp>
        <stp>0</stp>
        <stp>0</stp>
        <stp>0</stp>
        <tr r="G3" s="61"/>
        <tr r="F4" s="61"/>
        <tr r="D5" s="61"/>
      </tp>
      <tp>
        <v>66.150000000000006</v>
        <stp/>
        <stp>107</stp>
        <stp>NVDA_012122C170</stp>
        <stp>TDA</stp>
        <stp>0</stp>
        <stp>0</stp>
        <stp>0</stp>
        <stp>0</stp>
        <stp>0</stp>
        <tr r="F6" s="61"/>
        <tr r="H4" s="61"/>
        <tr r="G5" s="61"/>
        <tr r="I3" s="61"/>
        <tr r="D7" s="61"/>
      </tp>
      <tp>
        <v>78.3</v>
        <stp/>
        <stp>107</stp>
        <stp>NVDA_012122C150</stp>
        <stp>TDA</stp>
        <stp>0</stp>
        <stp>0</stp>
        <stp>0</stp>
        <stp>0</stp>
        <stp>0</stp>
        <tr r="D3" s="61"/>
      </tp>
      <tp>
        <v>35.9</v>
        <stp/>
        <stp>107</stp>
        <stp>NVDA_032020C180</stp>
        <stp>TDA</stp>
        <stp>0</stp>
        <stp>0</stp>
        <stp>0</stp>
        <stp>0</stp>
        <stp>0</stp>
        <tr r="F104" s="61"/>
        <tr r="H102" s="61"/>
        <tr r="G103" s="61"/>
        <tr r="D105" s="61"/>
        <tr r="I101" s="61"/>
      </tp>
      <tp>
        <v>28.700000000000003</v>
        <stp/>
        <stp>107</stp>
        <stp>NVDA_032020C190</stp>
        <stp>TDA</stp>
        <stp>0</stp>
        <stp>0</stp>
        <stp>0</stp>
        <stp>0</stp>
        <stp>0</stp>
        <tr r="F106" s="61"/>
        <tr r="G105" s="61"/>
        <tr r="D107" s="61"/>
        <tr r="H104" s="61"/>
        <tr r="I103" s="61"/>
      </tp>
      <tp>
        <v>52.300000000000004</v>
        <stp/>
        <stp>107</stp>
        <stp>NVDA_032020C160</stp>
        <stp>TDA</stp>
        <stp>0</stp>
        <stp>0</stp>
        <stp>0</stp>
        <stp>0</stp>
        <stp>0</stp>
        <tr r="F100" s="61"/>
        <tr r="D101" s="61"/>
        <tr r="G99" s="61"/>
      </tp>
      <tp>
        <v>43.800000000000004</v>
        <stp/>
        <stp>107</stp>
        <stp>NVDA_032020C170</stp>
        <stp>TDA</stp>
        <stp>0</stp>
        <stp>0</stp>
        <stp>0</stp>
        <stp>0</stp>
        <stp>0</stp>
        <tr r="F102" s="61"/>
        <tr r="G101" s="61"/>
        <tr r="D103" s="61"/>
        <tr r="H100" s="61"/>
        <tr r="I99" s="61"/>
      </tp>
      <tp>
        <v>61.1</v>
        <stp/>
        <stp>107</stp>
        <stp>NVDA_032020C150</stp>
        <stp>TDA</stp>
        <stp>0</stp>
        <stp>0</stp>
        <stp>0</stp>
        <stp>0</stp>
        <stp>0</stp>
        <tr r="D99" s="61"/>
      </tp>
      <tp>
        <v>0.89670000000000005</v>
        <stp/>
        <stp>204</stp>
        <stp>NVDA_011521C130</stp>
        <stp>TDA</stp>
        <stp>0</stp>
        <stp>0</stp>
        <stp>0</stp>
        <stp>0</stp>
        <stp>0</stp>
        <tr r="O21" s="67"/>
      </tp>
      <tp>
        <v>17.150000000000002</v>
        <stp/>
        <stp>107</stp>
        <stp>NVDA_061920C225</stp>
        <stp>TDA</stp>
        <stp>0</stp>
        <stp>0</stp>
        <stp>0</stp>
        <stp>0</stp>
        <stp>0</stp>
        <tr r="H87" s="61"/>
        <tr r="I86" s="61"/>
        <tr r="F89" s="61"/>
        <tr r="D90" s="61"/>
        <tr r="G88" s="61"/>
      </tp>
      <tp>
        <v>13.600000000000001</v>
        <stp/>
        <stp>107</stp>
        <stp>NVDA_061920C235</stp>
        <stp>TDA</stp>
        <stp>0</stp>
        <stp>0</stp>
        <stp>0</stp>
        <stp>0</stp>
        <stp>0</stp>
        <tr r="F91" s="61"/>
        <tr r="G90" s="61"/>
        <tr r="D92" s="61"/>
        <tr r="H89" s="61"/>
        <tr r="I88" s="61"/>
      </tp>
      <tp>
        <v>26.25</v>
        <stp/>
        <stp>107</stp>
        <stp>NVDA_061920C205</stp>
        <stp>TDA</stp>
        <stp>0</stp>
        <stp>0</stp>
        <stp>0</stp>
        <stp>0</stp>
        <stp>0</stp>
        <tr r="F85" s="61"/>
        <tr r="D86" s="61"/>
        <tr r="G84" s="61"/>
        <tr r="H83" s="61"/>
        <tr r="I82" s="61"/>
      </tp>
      <tp>
        <v>21.35</v>
        <stp/>
        <stp>107</stp>
        <stp>NVDA_061920C215</stp>
        <stp>TDA</stp>
        <stp>0</stp>
        <stp>0</stp>
        <stp>0</stp>
        <stp>0</stp>
        <stp>0</stp>
        <tr r="F87" s="61"/>
        <tr r="G86" s="61"/>
        <tr r="I84" s="61"/>
        <tr r="D88" s="61"/>
        <tr r="H85" s="61"/>
      </tp>
      <tp>
        <v>6.3500000000000005</v>
        <stp/>
        <stp>107</stp>
        <stp>NVDA_061920C265</stp>
        <stp>TDA</stp>
        <stp>0</stp>
        <stp>0</stp>
        <stp>0</stp>
        <stp>0</stp>
        <stp>0</stp>
        <tr r="H95" s="61"/>
        <tr r="I94" s="61"/>
      </tp>
      <tp>
        <v>10.6</v>
        <stp/>
        <stp>107</stp>
        <stp>NVDA_061920C245</stp>
        <stp>TDA</stp>
        <stp>0</stp>
        <stp>0</stp>
        <stp>0</stp>
        <stp>0</stp>
        <stp>0</stp>
        <tr r="F93" s="61"/>
        <tr r="D94" s="61"/>
        <tr r="G92" s="61"/>
        <tr r="H91" s="61"/>
        <tr r="I90" s="61"/>
      </tp>
      <tp>
        <v>8.25</v>
        <stp/>
        <stp>107</stp>
        <stp>NVDA_061920C255</stp>
        <stp>TDA</stp>
        <stp>0</stp>
        <stp>0</stp>
        <stp>0</stp>
        <stp>0</stp>
        <stp>0</stp>
        <tr r="F95" s="61"/>
        <tr r="G94" s="61"/>
        <tr r="H93" s="61"/>
        <tr r="I92" s="61"/>
      </tp>
      <tp>
        <v>38.050000000000004</v>
        <stp/>
        <stp>107</stp>
        <stp>NVDA_061920C185</stp>
        <stp>TDA</stp>
        <stp>0</stp>
        <stp>0</stp>
        <stp>0</stp>
        <stp>0</stp>
        <stp>0</stp>
        <tr r="H79" s="61"/>
        <tr r="F81" s="61"/>
        <tr r="D82" s="61"/>
        <tr r="G80" s="61"/>
        <tr r="I78" s="61"/>
      </tp>
      <tp>
        <v>31.8</v>
        <stp/>
        <stp>107</stp>
        <stp>NVDA_061920C195</stp>
        <stp>TDA</stp>
        <stp>0</stp>
        <stp>0</stp>
        <stp>0</stp>
        <stp>0</stp>
        <stp>0</stp>
        <tr r="F83" s="61"/>
        <tr r="H81" s="61"/>
        <tr r="G82" s="61"/>
        <tr r="D84" s="61"/>
        <tr r="I80" s="61"/>
      </tp>
      <tp>
        <v>52.35</v>
        <stp/>
        <stp>107</stp>
        <stp>NVDA_061920C165</stp>
        <stp>TDA</stp>
        <stp>0</stp>
        <stp>0</stp>
        <stp>0</stp>
        <stp>0</stp>
        <stp>0</stp>
        <tr r="F77" s="61"/>
        <tr r="D78" s="61"/>
        <tr r="G76" s="61"/>
        <tr r="H75" s="61"/>
      </tp>
      <tp>
        <v>44.900000000000006</v>
        <stp/>
        <stp>107</stp>
        <stp>NVDA_061920C175</stp>
        <stp>TDA</stp>
        <stp>0</stp>
        <stp>0</stp>
        <stp>0</stp>
        <stp>0</stp>
        <stp>0</stp>
        <tr r="F79" s="61"/>
        <tr r="G78" s="61"/>
        <tr r="D80" s="61"/>
        <tr r="H77" s="61"/>
        <tr r="I76" s="61"/>
      </tp>
      <tp>
        <v>60.25</v>
        <stp/>
        <stp>107</stp>
        <stp>NVDA_061920C155</stp>
        <stp>TDA</stp>
        <stp>0</stp>
        <stp>0</stp>
        <stp>0</stp>
        <stp>0</stp>
        <stp>0</stp>
        <tr r="F75" s="61"/>
        <tr r="D76" s="61"/>
      </tp>
      <tp>
        <v>9</v>
        <stp/>
        <stp>107</stp>
        <stp>TEAM_061920P110</stp>
        <stp>TDA</stp>
        <stp>0</stp>
        <stp>0</stp>
        <stp>0</stp>
        <stp>0</stp>
        <stp>0</stp>
        <tr r="D63" s="33"/>
      </tp>
      <tp t="s">
        <v>TEAM Jun 19 2020 105 Put</v>
        <stp/>
        <stp>112</stp>
        <stp>TEAM_061920P105</stp>
        <stp>TDA</stp>
        <stp>0</stp>
        <stp>0</stp>
        <stp>0</stp>
        <stp>0</stp>
        <stp>0</stp>
        <tr r="S62" s="33"/>
      </tp>
      <tp t="s">
        <v>TEAM Jun 19 2020 115 Put</v>
        <stp/>
        <stp>112</stp>
        <stp>TEAM_061920P115</stp>
        <stp>TDA</stp>
        <stp>0</stp>
        <stp>0</stp>
        <stp>0</stp>
        <stp>0</stp>
        <stp>0</stp>
        <tr r="S64" s="33"/>
      </tp>
      <tp>
        <v>18.2</v>
        <stp/>
        <stp>107</stp>
        <stp>TEAM_061920P130</stp>
        <stp>TDA</stp>
        <stp>0</stp>
        <stp>0</stp>
        <stp>0</stp>
        <stp>0</stp>
        <stp>0</stp>
        <tr r="D67" s="33"/>
      </tp>
      <tp t="s">
        <v>TEAM Jun 19 2020 125 Put</v>
        <stp/>
        <stp>112</stp>
        <stp>TEAM_061920P125</stp>
        <stp>TDA</stp>
        <stp>0</stp>
        <stp>0</stp>
        <stp>0</stp>
        <stp>0</stp>
        <stp>0</stp>
        <tr r="S66" s="33"/>
      </tp>
      <tp>
        <v>13</v>
        <stp/>
        <stp>107</stp>
        <stp>TEAM_061920P120</stp>
        <stp>TDA</stp>
        <stp>0</stp>
        <stp>0</stp>
        <stp>0</stp>
        <stp>0</stp>
        <stp>0</stp>
        <tr r="D65" s="33"/>
      </tp>
      <tp t="s">
        <v>TEAM Jun 19 2020 135 Put</v>
        <stp/>
        <stp>112</stp>
        <stp>TEAM_061920P135</stp>
        <stp>TDA</stp>
        <stp>0</stp>
        <stp>0</stp>
        <stp>0</stp>
        <stp>0</stp>
        <stp>0</stp>
        <tr r="S68" s="33"/>
      </tp>
      <tp>
        <v>24.3</v>
        <stp/>
        <stp>107</stp>
        <stp>TEAM_061920P140</stp>
        <stp>TDA</stp>
        <stp>0</stp>
        <stp>0</stp>
        <stp>0</stp>
        <stp>0</stp>
        <stp>0</stp>
        <tr r="D69" s="33"/>
      </tp>
      <tp>
        <v>0.15</v>
        <stp/>
        <stp>108</stp>
        <stp>TEAM_120619P112</stp>
        <stp>TDA</stp>
        <stp>0</stp>
        <stp>0</stp>
        <stp>0</stp>
        <stp>0</stp>
        <stp>0</stp>
        <tr r="E9" s="33"/>
      </tp>
      <tp t="s">
        <v>TEAM Dec 6 2019 108 Put (Weekly)</v>
        <stp/>
        <stp>112</stp>
        <stp>TEAM_120619P108</stp>
        <stp>TDA</stp>
        <stp>0</stp>
        <stp>0</stp>
        <stp>0</stp>
        <stp>0</stp>
        <stp>0</stp>
        <tr r="S5" s="33"/>
      </tp>
      <tp t="s">
        <v>TEAM Dec 6 2019 118 Put (Weekly)</v>
        <stp/>
        <stp>112</stp>
        <stp>TEAM_120619P118</stp>
        <stp>TDA</stp>
        <stp>0</stp>
        <stp>0</stp>
        <stp>0</stp>
        <stp>0</stp>
        <stp>0</stp>
        <tr r="S15" s="33"/>
      </tp>
      <tp>
        <v>7.3000000000000007</v>
        <stp/>
        <stp>107</stp>
        <stp>TEAM_032020P115</stp>
        <stp>TDA</stp>
        <stp>0</stp>
        <stp>0</stp>
        <stp>0</stp>
        <stp>0</stp>
        <stp>0</stp>
        <tr r="D48" s="33"/>
      </tp>
      <tp>
        <v>4.2</v>
        <stp/>
        <stp>107</stp>
        <stp>TEAM_032020P105</stp>
        <stp>TDA</stp>
        <stp>0</stp>
        <stp>0</stp>
        <stp>0</stp>
        <stp>0</stp>
        <stp>0</stp>
        <tr r="D46" s="33"/>
      </tp>
      <tp t="s">
        <v>TEAM Mar 20 2020 110 Put</v>
        <stp/>
        <stp>112</stp>
        <stp>TEAM_032020P110</stp>
        <stp>TDA</stp>
        <stp>0</stp>
        <stp>0</stp>
        <stp>0</stp>
        <stp>0</stp>
        <stp>0</stp>
        <tr r="S47" s="33"/>
      </tp>
      <tp>
        <v>17.600000000000001</v>
        <stp/>
        <stp>107</stp>
        <stp>TEAM_032020P135</stp>
        <stp>TDA</stp>
        <stp>0</stp>
        <stp>0</stp>
        <stp>0</stp>
        <stp>0</stp>
        <stp>0</stp>
        <tr r="D52" s="33"/>
      </tp>
      <tp t="s">
        <v>TEAM Mar 20 2020 120 Put</v>
        <stp/>
        <stp>112</stp>
        <stp>TEAM_032020P120</stp>
        <stp>TDA</stp>
        <stp>0</stp>
        <stp>0</stp>
        <stp>0</stp>
        <stp>0</stp>
        <stp>0</stp>
        <tr r="S49" s="33"/>
      </tp>
      <tp>
        <v>11.8</v>
        <stp/>
        <stp>107</stp>
        <stp>TEAM_032020P125</stp>
        <stp>TDA</stp>
        <stp>0</stp>
        <stp>0</stp>
        <stp>0</stp>
        <stp>0</stp>
        <stp>0</stp>
        <tr r="D50" s="33"/>
      </tp>
      <tp t="s">
        <v>TEAM Mar 20 2020 130 Put</v>
        <stp/>
        <stp>112</stp>
        <stp>TEAM_032020P130</stp>
        <stp>TDA</stp>
        <stp>0</stp>
        <stp>0</stp>
        <stp>0</stp>
        <stp>0</stp>
        <stp>0</stp>
        <tr r="S51" s="33"/>
      </tp>
      <tp t="s">
        <v>TEAM Mar 20 2020 140 Put</v>
        <stp/>
        <stp>112</stp>
        <stp>TEAM_032020P140</stp>
        <stp>TDA</stp>
        <stp>0</stp>
        <stp>0</stp>
        <stp>0</stp>
        <stp>0</stp>
        <stp>0</stp>
        <tr r="S53" s="33"/>
      </tp>
      <tp>
        <v>6.6000000000000005</v>
        <stp/>
        <stp>108</stp>
        <stp>BRKB_011720C215</stp>
        <stp>TDA</stp>
        <stp>0</stp>
        <stp>0</stp>
        <stp>0</stp>
        <stp>0</stp>
        <stp>0</stp>
        <tr r="G3" s="67"/>
      </tp>
      <tp t="s">
        <v>NVDA Jan 17 2020 300 Call</v>
        <stp/>
        <stp>112</stp>
        <stp>NVDA_011720C300</stp>
        <stp>TDA</stp>
        <stp>0</stp>
        <stp>0</stp>
        <stp>0</stp>
        <stp>0</stp>
        <stp>0</stp>
        <tr r="AR22" s="58"/>
      </tp>
      <tp>
        <v>0.04</v>
        <stp/>
        <stp>107</stp>
        <stp>NVDA_011720C285</stp>
        <stp>TDA</stp>
        <stp>0</stp>
        <stp>0</stp>
        <stp>0</stp>
        <stp>0</stp>
        <stp>0</stp>
        <tr r="D19" s="58"/>
      </tp>
      <tp t="s">
        <v>NVDA Jan 17 2020 290 Call</v>
        <stp/>
        <stp>112</stp>
        <stp>NVDA_011720C290</stp>
        <stp>TDA</stp>
        <stp>0</stp>
        <stp>0</stp>
        <stp>0</stp>
        <stp>0</stp>
        <stp>0</stp>
        <tr r="AR20" s="58"/>
      </tp>
      <tp>
        <v>0.02</v>
        <stp/>
        <stp>107</stp>
        <stp>NVDA_011720C295</stp>
        <stp>TDA</stp>
        <stp>0</stp>
        <stp>0</stp>
        <stp>0</stp>
        <stp>0</stp>
        <stp>0</stp>
        <tr r="D21" s="58"/>
      </tp>
      <tp t="s">
        <v>NVDA Jan 17 2020 280 Call</v>
        <stp/>
        <stp>112</stp>
        <stp>NVDA_011720C280</stp>
        <stp>TDA</stp>
        <stp>0</stp>
        <stp>0</stp>
        <stp>0</stp>
        <stp>0</stp>
        <stp>0</stp>
        <tr r="AR18" s="58"/>
      </tp>
      <tp>
        <v>3.9000000000000004</v>
        <stp/>
        <stp>107</stp>
        <stp>NVDA_011720C225</stp>
        <stp>TDA</stp>
        <stp>0</stp>
        <stp>0</stp>
        <stp>0</stp>
        <stp>0</stp>
        <stp>0</stp>
        <tr r="D7" s="58"/>
      </tp>
      <tp t="s">
        <v>NVDA Jan 17 2020 230 Call</v>
        <stp/>
        <stp>112</stp>
        <stp>NVDA_011720C230</stp>
        <stp>TDA</stp>
        <stp>0</stp>
        <stp>0</stp>
        <stp>0</stp>
        <stp>0</stp>
        <stp>0</stp>
        <tr r="AR8" s="58"/>
      </tp>
      <tp>
        <v>1.87</v>
        <stp/>
        <stp>107</stp>
        <stp>NVDA_011720C235</stp>
        <stp>TDA</stp>
        <stp>0</stp>
        <stp>0</stp>
        <stp>0</stp>
        <stp>0</stp>
        <stp>0</stp>
        <tr r="D9" s="58"/>
      </tp>
      <tp t="s">
        <v>NVDA Jan 17 2020 220 Call</v>
        <stp/>
        <stp>112</stp>
        <stp>NVDA_011720C220</stp>
        <stp>TDA</stp>
        <stp>0</stp>
        <stp>0</stp>
        <stp>0</stp>
        <stp>0</stp>
        <stp>0</stp>
        <tr r="AR6" s="58"/>
      </tp>
      <tp>
        <v>12.5</v>
        <stp/>
        <stp>107</stp>
        <stp>NVDA_011720C205</stp>
        <stp>TDA</stp>
        <stp>0</stp>
        <stp>0</stp>
        <stp>0</stp>
        <stp>0</stp>
        <stp>0</stp>
        <tr r="D3" s="58"/>
      </tp>
      <tp t="s">
        <v>NVDA Jan 17 2020 210 Call</v>
        <stp/>
        <stp>112</stp>
        <stp>NVDA_011720C210</stp>
        <stp>TDA</stp>
        <stp>0</stp>
        <stp>0</stp>
        <stp>0</stp>
        <stp>0</stp>
        <stp>0</stp>
        <tr r="AR4" s="58"/>
      </tp>
      <tp>
        <v>7.4</v>
        <stp/>
        <stp>107</stp>
        <stp>NVDA_011720C215</stp>
        <stp>TDA</stp>
        <stp>0</stp>
        <stp>0</stp>
        <stp>0</stp>
        <stp>0</stp>
        <stp>0</stp>
        <tr r="D5" s="58"/>
      </tp>
      <tp t="s">
        <v>NVDA Jan 17 2020 200 Call</v>
        <stp/>
        <stp>112</stp>
        <stp>NVDA_011720C200</stp>
        <stp>TDA</stp>
        <stp>0</stp>
        <stp>0</stp>
        <stp>0</stp>
        <stp>0</stp>
        <stp>0</stp>
        <tr r="AR2" s="58"/>
      </tp>
      <tp>
        <v>0.17</v>
        <stp/>
        <stp>107</stp>
        <stp>NVDA_011720C265</stp>
        <stp>TDA</stp>
        <stp>0</stp>
        <stp>0</stp>
        <stp>0</stp>
        <stp>0</stp>
        <stp>0</stp>
        <tr r="D15" s="58"/>
      </tp>
      <tp t="s">
        <v>NVDA Jan 17 2020 270 Call</v>
        <stp/>
        <stp>112</stp>
        <stp>NVDA_011720C270</stp>
        <stp>TDA</stp>
        <stp>0</stp>
        <stp>0</stp>
        <stp>0</stp>
        <stp>0</stp>
        <stp>0</stp>
        <tr r="AR16" s="58"/>
      </tp>
      <tp>
        <v>0.08</v>
        <stp/>
        <stp>107</stp>
        <stp>NVDA_011720C275</stp>
        <stp>TDA</stp>
        <stp>0</stp>
        <stp>0</stp>
        <stp>0</stp>
        <stp>0</stp>
        <stp>0</stp>
        <tr r="D17" s="58"/>
      </tp>
      <tp t="s">
        <v>NVDA Jan 17 2020 260 Call</v>
        <stp/>
        <stp>112</stp>
        <stp>NVDA_011720C260</stp>
        <stp>TDA</stp>
        <stp>0</stp>
        <stp>0</stp>
        <stp>0</stp>
        <stp>0</stp>
        <stp>0</stp>
        <tr r="AR14" s="58"/>
      </tp>
      <tp>
        <v>0.83000000000000007</v>
        <stp/>
        <stp>107</stp>
        <stp>NVDA_011720C245</stp>
        <stp>TDA</stp>
        <stp>0</stp>
        <stp>0</stp>
        <stp>0</stp>
        <stp>0</stp>
        <stp>0</stp>
        <tr r="D11" s="58"/>
      </tp>
      <tp t="s">
        <v>NVDA Jan 17 2020 250 Call</v>
        <stp/>
        <stp>112</stp>
        <stp>NVDA_011720C250</stp>
        <stp>TDA</stp>
        <stp>0</stp>
        <stp>0</stp>
        <stp>0</stp>
        <stp>0</stp>
        <stp>0</stp>
        <tr r="AR12" s="58"/>
      </tp>
      <tp>
        <v>0.35000000000000003</v>
        <stp/>
        <stp>107</stp>
        <stp>NVDA_011720C255</stp>
        <stp>TDA</stp>
        <stp>0</stp>
        <stp>0</stp>
        <stp>0</stp>
        <stp>0</stp>
        <stp>0</stp>
        <tr r="D13" s="58"/>
      </tp>
      <tp t="s">
        <v>NVDA Jan 17 2020 240 Call</v>
        <stp/>
        <stp>112</stp>
        <stp>NVDA_011720C240</stp>
        <stp>TDA</stp>
        <stp>0</stp>
        <stp>0</stp>
        <stp>0</stp>
        <stp>0</stp>
        <stp>0</stp>
        <tr r="AR10" s="58"/>
      </tp>
      <tp>
        <v>2.5500000000000003</v>
        <stp/>
        <stp>107</stp>
        <stp>TEAM_011720P110</stp>
        <stp>TDA</stp>
        <stp>0</stp>
        <stp>0</stp>
        <stp>0</stp>
        <stp>0</stp>
        <stp>0</stp>
        <tr r="D33" s="33"/>
      </tp>
      <tp t="s">
        <v>TEAM Jan 17 2020 105 Put</v>
        <stp/>
        <stp>112</stp>
        <stp>TEAM_011720P105</stp>
        <stp>TDA</stp>
        <stp>0</stp>
        <stp>0</stp>
        <stp>0</stp>
        <stp>0</stp>
        <stp>0</stp>
        <tr r="S32" s="33"/>
      </tp>
      <tp>
        <v>1.05</v>
        <stp/>
        <stp>107</stp>
        <stp>TEAM_011720P100</stp>
        <stp>TDA</stp>
        <stp>0</stp>
        <stp>0</stp>
        <stp>0</stp>
        <stp>0</stp>
        <stp>0</stp>
        <tr r="D31" s="33"/>
        <tr r="G25" s="67"/>
      </tp>
      <tp t="s">
        <v>TEAM Jan 17 2020 115 Put</v>
        <stp/>
        <stp>112</stp>
        <stp>TEAM_011720P115</stp>
        <stp>TDA</stp>
        <stp>0</stp>
        <stp>0</stp>
        <stp>0</stp>
        <stp>0</stp>
        <stp>0</stp>
        <tr r="S34" s="33"/>
      </tp>
      <tp>
        <v>10.6</v>
        <stp/>
        <stp>107</stp>
        <stp>TEAM_011720P130</stp>
        <stp>TDA</stp>
        <stp>0</stp>
        <stp>0</stp>
        <stp>0</stp>
        <stp>0</stp>
        <stp>0</stp>
        <tr r="D37" s="33"/>
      </tp>
      <tp t="s">
        <v>TEAM Jan 17 2020 125 Put</v>
        <stp/>
        <stp>112</stp>
        <stp>TEAM_011720P125</stp>
        <stp>TDA</stp>
        <stp>0</stp>
        <stp>0</stp>
        <stp>0</stp>
        <stp>0</stp>
        <stp>0</stp>
        <tr r="S36" s="33"/>
      </tp>
      <tp>
        <v>5.6000000000000005</v>
        <stp/>
        <stp>107</stp>
        <stp>TEAM_011720P120</stp>
        <stp>TDA</stp>
        <stp>0</stp>
        <stp>0</stp>
        <stp>0</stp>
        <stp>0</stp>
        <stp>0</stp>
        <tr r="D35" s="33"/>
      </tp>
      <tp>
        <v>12.100000000000001</v>
        <stp/>
        <stp>108</stp>
        <stp>TEAM_120619P135</stp>
        <stp>TDA</stp>
        <stp>0</stp>
        <stp>0</stp>
        <stp>0</stp>
        <stp>0</stp>
        <stp>0</stp>
        <tr r="E20" s="33"/>
      </tp>
      <tp>
        <v>2.7</v>
        <stp/>
        <stp>108</stp>
        <stp>TEAM_120619P125</stp>
        <stp>TDA</stp>
        <stp>0</stp>
        <stp>0</stp>
        <stp>0</stp>
        <stp>0</stp>
        <stp>0</stp>
        <tr r="E18" s="33"/>
      </tp>
      <tp>
        <v>0.15</v>
        <stp/>
        <stp>108</stp>
        <stp>TEAM_120619P115</stp>
        <stp>TDA</stp>
        <stp>0</stp>
        <stp>0</stp>
        <stp>0</stp>
        <stp>0</stp>
        <stp>0</stp>
        <tr r="E12" s="33"/>
      </tp>
      <tp>
        <v>0.8</v>
        <stp/>
        <stp>108</stp>
        <stp>TEAM_120619P105</stp>
        <stp>TDA</stp>
        <stp>0</stp>
        <stp>0</stp>
        <stp>0</stp>
        <stp>0</stp>
        <stp>0</stp>
        <tr r="E2" s="33"/>
      </tp>
      <tp>
        <v>12.200000000000001</v>
        <stp/>
        <stp>108</stp>
        <stp>TEAM_122019P135</stp>
        <stp>TDA</stp>
        <stp>0</stp>
        <stp>0</stp>
        <stp>0</stp>
        <stp>0</stp>
        <stp>0</stp>
        <tr r="E28" s="33"/>
        <tr r="G24" s="67"/>
      </tp>
      <tp>
        <v>4.9000000000000004</v>
        <stp/>
        <stp>108</stp>
        <stp>TEAM_122019P125</stp>
        <stp>TDA</stp>
        <stp>0</stp>
        <stp>0</stp>
        <stp>0</stp>
        <stp>0</stp>
        <stp>0</stp>
        <tr r="E26" s="33"/>
      </tp>
      <tp>
        <v>1.4500000000000002</v>
        <stp/>
        <stp>108</stp>
        <stp>TEAM_122019P115</stp>
        <stp>TDA</stp>
        <stp>0</stp>
        <stp>0</stp>
        <stp>0</stp>
        <stp>0</stp>
        <stp>0</stp>
        <tr r="E24" s="33"/>
        <tr r="G23" s="67"/>
      </tp>
      <tp>
        <v>0.4</v>
        <stp/>
        <stp>108</stp>
        <stp>TEAM_122019P105</stp>
        <stp>TDA</stp>
        <stp>0</stp>
        <stp>0</stp>
        <stp>0</stp>
        <stp>0</stp>
        <stp>0</stp>
        <tr r="E22" s="33"/>
      </tp>
      <tp>
        <v>-0.14710000000000001</v>
        <stp/>
        <stp>204</stp>
        <stp>TEAM_022120P100</stp>
        <stp>TDA</stp>
        <stp>0</stp>
        <stp>0</stp>
        <stp>0</stp>
        <stp>0</stp>
        <stp>0</stp>
        <tr r="O26" s="67"/>
      </tp>
      <tp>
        <v>28.950000000000003</v>
        <stp/>
        <stp>107</stp>
        <stp>NVDA_011521C225</stp>
        <stp>TDA</stp>
        <stp>0</stp>
        <stp>0</stp>
        <stp>0</stp>
        <stp>0</stp>
        <stp>0</stp>
        <tr r="F65" s="61"/>
        <tr r="D66" s="61"/>
        <tr r="G64" s="61"/>
        <tr r="H63" s="61"/>
        <tr r="I62" s="61"/>
      </tp>
      <tp>
        <v>25.150000000000002</v>
        <stp/>
        <stp>107</stp>
        <stp>NVDA_011521C235</stp>
        <stp>TDA</stp>
        <stp>0</stp>
        <stp>0</stp>
        <stp>0</stp>
        <stp>0</stp>
        <stp>0</stp>
        <tr r="F67" s="61"/>
        <tr r="G66" s="61"/>
        <tr r="H65" s="61"/>
        <tr r="I64" s="61"/>
        <tr r="D68" s="61"/>
      </tp>
      <tp t="s">
        <v>#N/A</v>
        <stp/>
        <stp>107</stp>
        <stp>NVDA_011521C205</stp>
        <stp>TDA</stp>
        <stp>0</stp>
        <stp>0</stp>
        <stp>0</stp>
        <stp>0</stp>
        <stp>0</stp>
        <tr r="H59" s="61"/>
        <tr r="G60" s="61"/>
        <tr r="I58" s="61"/>
        <tr r="F61" s="61"/>
        <tr r="D62" s="61"/>
      </tp>
      <tp t="s">
        <v>#N/A</v>
        <stp/>
        <stp>107</stp>
        <stp>NVDA_011521C215</stp>
        <stp>TDA</stp>
        <stp>0</stp>
        <stp>0</stp>
        <stp>0</stp>
        <stp>0</stp>
        <stp>0</stp>
        <tr r="I60" s="61"/>
        <tr r="F63" s="61"/>
        <tr r="D64" s="61"/>
        <tr r="G62" s="61"/>
        <tr r="H61" s="61"/>
      </tp>
      <tp>
        <v>16.25</v>
        <stp/>
        <stp>107</stp>
        <stp>NVDA_011521C265</stp>
        <stp>TDA</stp>
        <stp>0</stp>
        <stp>0</stp>
        <stp>0</stp>
        <stp>0</stp>
        <stp>0</stp>
        <tr r="H71" s="61"/>
        <tr r="I70" s="61"/>
      </tp>
      <tp>
        <v>21.8</v>
        <stp/>
        <stp>107</stp>
        <stp>NVDA_011521C245</stp>
        <stp>TDA</stp>
        <stp>0</stp>
        <stp>0</stp>
        <stp>0</stp>
        <stp>0</stp>
        <stp>0</stp>
        <tr r="F69" s="61"/>
        <tr r="H67" s="61"/>
        <tr r="G68" s="61"/>
        <tr r="D70" s="61"/>
        <tr r="I66" s="61"/>
      </tp>
      <tp>
        <v>18.850000000000001</v>
        <stp/>
        <stp>107</stp>
        <stp>NVDA_011521C255</stp>
        <stp>TDA</stp>
        <stp>0</stp>
        <stp>0</stp>
        <stp>0</stp>
        <stp>0</stp>
        <stp>0</stp>
        <tr r="F71" s="61"/>
        <tr r="H69" s="61"/>
        <tr r="G70" s="61"/>
        <tr r="I68" s="61"/>
      </tp>
      <tp>
        <v>48.400000000000006</v>
        <stp/>
        <stp>107</stp>
        <stp>NVDA_011521C185</stp>
        <stp>TDA</stp>
        <stp>0</stp>
        <stp>0</stp>
        <stp>0</stp>
        <stp>0</stp>
        <stp>0</stp>
        <tr r="G56" s="61"/>
        <tr r="H55" s="61"/>
        <tr r="I54" s="61"/>
        <tr r="D58" s="61"/>
        <tr r="F57" s="61"/>
      </tp>
      <tp>
        <v>42.85</v>
        <stp/>
        <stp>107</stp>
        <stp>NVDA_011521C195</stp>
        <stp>TDA</stp>
        <stp>0</stp>
        <stp>0</stp>
        <stp>0</stp>
        <stp>0</stp>
        <stp>0</stp>
        <tr r="F59" s="61"/>
        <tr r="I56" s="61"/>
        <tr r="G58" s="61"/>
        <tr r="D60" s="61"/>
        <tr r="H57" s="61"/>
      </tp>
      <tp>
        <v>90.9</v>
        <stp/>
        <stp>107</stp>
        <stp>NVDA_011521C125</stp>
        <stp>TDA</stp>
        <stp>0</stp>
        <stp>0</stp>
        <stp>0</stp>
        <stp>0</stp>
        <stp>0</stp>
        <tr r="G45" s="67"/>
      </tp>
      <tp>
        <v>60.95</v>
        <stp/>
        <stp>107</stp>
        <stp>NVDA_011521C165</stp>
        <stp>TDA</stp>
        <stp>0</stp>
        <stp>0</stp>
        <stp>0</stp>
        <stp>0</stp>
        <stp>0</stp>
        <tr r="F53" s="61"/>
        <tr r="G52" s="61"/>
        <tr r="D54" s="61"/>
        <tr r="H51" s="61"/>
      </tp>
      <tp>
        <v>54.400000000000006</v>
        <stp/>
        <stp>107</stp>
        <stp>NVDA_011521C175</stp>
        <stp>TDA</stp>
        <stp>0</stp>
        <stp>0</stp>
        <stp>0</stp>
        <stp>0</stp>
        <stp>0</stp>
        <tr r="F55" s="61"/>
        <tr r="G54" s="61"/>
        <tr r="D56" s="61"/>
        <tr r="H53" s="61"/>
        <tr r="I52" s="61"/>
      </tp>
      <tp>
        <v>67.900000000000006</v>
        <stp/>
        <stp>107</stp>
        <stp>NVDA_011521C155</stp>
        <stp>TDA</stp>
        <stp>0</stp>
        <stp>0</stp>
        <stp>0</stp>
        <stp>0</stp>
        <stp>0</stp>
        <tr r="F51" s="61"/>
        <tr r="D52" s="61"/>
      </tp>
      <tp>
        <v>14.700000000000001</v>
        <stp/>
        <stp>107</stp>
        <stp>TEAM_011521P110</stp>
        <stp>TDA</stp>
        <stp>0</stp>
        <stp>0</stp>
        <stp>0</stp>
        <stp>0</stp>
        <stp>0</stp>
        <tr r="D83" s="33"/>
        <tr r="D84" s="33"/>
      </tp>
      <tp>
        <v>9.8000000000000007</v>
        <stp/>
        <stp>107</stp>
        <stp>TEAM_051520P115</stp>
        <stp>TDA</stp>
        <stp>0</stp>
        <stp>0</stp>
        <stp>0</stp>
        <stp>0</stp>
        <stp>0</stp>
        <tr r="D56" s="33"/>
      </tp>
      <tp t="s">
        <v>TEAM Jan 15 2021 105 Put</v>
        <stp/>
        <stp>112</stp>
        <stp>TEAM_011521P105</stp>
        <stp>TDA</stp>
        <stp>0</stp>
        <stp>0</stp>
        <stp>0</stp>
        <stp>0</stp>
        <stp>0</stp>
        <tr r="S81" s="33"/>
        <tr r="S82" s="33"/>
      </tp>
      <tp>
        <v>11</v>
        <stp/>
        <stp>107</stp>
        <stp>TEAM_011521P100</stp>
        <stp>TDA</stp>
        <stp>0</stp>
        <stp>0</stp>
        <stp>0</stp>
        <stp>0</stp>
        <stp>0</stp>
        <tr r="D80" s="33"/>
      </tp>
      <tp>
        <v>6.4</v>
        <stp/>
        <stp>107</stp>
        <stp>TEAM_051520P105</stp>
        <stp>TDA</stp>
        <stp>0</stp>
        <stp>0</stp>
        <stp>0</stp>
        <stp>0</stp>
        <stp>0</stp>
        <tr r="D54" s="33"/>
      </tp>
      <tp t="s">
        <v>TEAM Jan 15 2021 115 Put</v>
        <stp/>
        <stp>112</stp>
        <stp>TEAM_011521P115</stp>
        <stp>TDA</stp>
        <stp>0</stp>
        <stp>0</stp>
        <stp>0</stp>
        <stp>0</stp>
        <stp>0</stp>
        <tr r="S85" s="33"/>
        <tr r="S86" s="33"/>
      </tp>
      <tp t="s">
        <v>TEAM May 15 2020 110 Put</v>
        <stp/>
        <stp>112</stp>
        <stp>TEAM_051520P110</stp>
        <stp>TDA</stp>
        <stp>0</stp>
        <stp>0</stp>
        <stp>0</stp>
        <stp>0</stp>
        <stp>0</stp>
        <tr r="S55" s="33"/>
      </tp>
      <tp>
        <v>24.6</v>
        <stp/>
        <stp>107</stp>
        <stp>TEAM_011521P130</stp>
        <stp>TDA</stp>
        <stp>0</stp>
        <stp>0</stp>
        <stp>0</stp>
        <stp>0</stp>
        <stp>0</stp>
        <tr r="D91" s="33"/>
      </tp>
      <tp>
        <v>20.100000000000001</v>
        <stp/>
        <stp>107</stp>
        <stp>TEAM_051520P135</stp>
        <stp>TDA</stp>
        <stp>0</stp>
        <stp>0</stp>
        <stp>0</stp>
        <stp>0</stp>
        <stp>0</stp>
        <tr r="D60" s="33"/>
      </tp>
      <tp t="s">
        <v>TEAM Jan 15 2021 125 Put</v>
        <stp/>
        <stp>112</stp>
        <stp>TEAM_011521P125</stp>
        <stp>TDA</stp>
        <stp>0</stp>
        <stp>0</stp>
        <stp>0</stp>
        <stp>0</stp>
        <stp>0</stp>
        <tr r="S90" s="33"/>
        <tr r="S89" s="33"/>
      </tp>
      <tp t="s">
        <v>TEAM May 15 2020 120 Put</v>
        <stp/>
        <stp>112</stp>
        <stp>TEAM_051520P120</stp>
        <stp>TDA</stp>
        <stp>0</stp>
        <stp>0</stp>
        <stp>0</stp>
        <stp>0</stp>
        <stp>0</stp>
        <tr r="S57" s="33"/>
      </tp>
      <tp>
        <v>19.2</v>
        <stp/>
        <stp>107</stp>
        <stp>TEAM_011521P120</stp>
        <stp>TDA</stp>
        <stp>0</stp>
        <stp>0</stp>
        <stp>0</stp>
        <stp>0</stp>
        <stp>0</stp>
        <tr r="D87" s="33"/>
        <tr r="D88" s="33"/>
      </tp>
      <tp>
        <v>14.4</v>
        <stp/>
        <stp>107</stp>
        <stp>TEAM_051520P125</stp>
        <stp>TDA</stp>
        <stp>0</stp>
        <stp>0</stp>
        <stp>0</stp>
        <stp>0</stp>
        <stp>0</stp>
        <tr r="D58" s="33"/>
      </tp>
      <tp t="s">
        <v>TEAM Jan 15 2021 135 Put</v>
        <stp/>
        <stp>112</stp>
        <stp>TEAM_011521P135</stp>
        <stp>TDA</stp>
        <stp>0</stp>
        <stp>0</stp>
        <stp>0</stp>
        <stp>0</stp>
        <stp>0</stp>
        <tr r="S92" s="33"/>
      </tp>
      <tp t="s">
        <v>TEAM May 15 2020 130 Put</v>
        <stp/>
        <stp>112</stp>
        <stp>TEAM_051520P130</stp>
        <stp>TDA</stp>
        <stp>0</stp>
        <stp>0</stp>
        <stp>0</stp>
        <stp>0</stp>
        <stp>0</stp>
        <tr r="S59" s="33"/>
      </tp>
      <tp>
        <v>36.9</v>
        <stp/>
        <stp>107</stp>
        <stp>TEAM_011521P150</stp>
        <stp>TDA</stp>
        <stp>0</stp>
        <stp>0</stp>
        <stp>0</stp>
        <stp>0</stp>
        <stp>0</stp>
        <tr r="D95" s="33"/>
      </tp>
      <tp t="s">
        <v>TEAM Jan 15 2021 145 Put</v>
        <stp/>
        <stp>112</stp>
        <stp>TEAM_011521P145</stp>
        <stp>TDA</stp>
        <stp>0</stp>
        <stp>0</stp>
        <stp>0</stp>
        <stp>0</stp>
        <stp>0</stp>
        <tr r="S94" s="33"/>
      </tp>
      <tp t="s">
        <v>TEAM May 15 2020 140 Put</v>
        <stp/>
        <stp>112</stp>
        <stp>TEAM_051520P140</stp>
        <stp>TDA</stp>
        <stp>0</stp>
        <stp>0</stp>
        <stp>0</stp>
        <stp>0</stp>
        <stp>0</stp>
        <tr r="S61" s="33"/>
      </tp>
      <tp>
        <v>30.400000000000002</v>
        <stp/>
        <stp>107</stp>
        <stp>TEAM_011521P140</stp>
        <stp>TDA</stp>
        <stp>0</stp>
        <stp>0</stp>
        <stp>0</stp>
        <stp>0</stp>
        <stp>0</stp>
        <tr r="D93" s="33"/>
      </tp>
      <tp t="s">
        <v>TEAM Jan 15 2021 155 Put</v>
        <stp/>
        <stp>112</stp>
        <stp>TEAM_011521P155</stp>
        <stp>TDA</stp>
        <stp>0</stp>
        <stp>0</stp>
        <stp>0</stp>
        <stp>0</stp>
        <stp>0</stp>
        <tr r="S96" s="33"/>
      </tp>
      <tp>
        <v>51.800000000000004</v>
        <stp/>
        <stp>107</stp>
        <stp>TEAM_011521P170</stp>
        <stp>TDA</stp>
        <stp>0</stp>
        <stp>0</stp>
        <stp>0</stp>
        <stp>0</stp>
        <stp>0</stp>
        <tr r="D99" s="33"/>
      </tp>
      <tp t="s">
        <v>TEAM Jan 15 2021 165 Put</v>
        <stp/>
        <stp>112</stp>
        <stp>TEAM_011521P165</stp>
        <stp>TDA</stp>
        <stp>0</stp>
        <stp>0</stp>
        <stp>0</stp>
        <stp>0</stp>
        <stp>0</stp>
        <tr r="S98" s="33"/>
      </tp>
      <tp>
        <v>43.9</v>
        <stp/>
        <stp>107</stp>
        <stp>TEAM_011521P160</stp>
        <stp>TDA</stp>
        <stp>0</stp>
        <stp>0</stp>
        <stp>0</stp>
        <stp>0</stp>
        <stp>0</stp>
        <tr r="D97" s="33"/>
      </tp>
      <tp t="s">
        <v>TEAM Jan 15 2021 175 Put</v>
        <stp/>
        <stp>112</stp>
        <stp>TEAM_011521P175</stp>
        <stp>TDA</stp>
        <stp>0</stp>
        <stp>0</stp>
        <stp>0</stp>
        <stp>0</stp>
        <stp>0</stp>
        <tr r="S100" s="33"/>
      </tp>
      <tp>
        <v>0.2</v>
        <stp/>
        <stp>108</stp>
        <stp>TEAM_120619P114</stp>
        <stp>TDA</stp>
        <stp>0</stp>
        <stp>0</stp>
        <stp>0</stp>
        <stp>0</stp>
        <stp>0</stp>
        <tr r="E11" s="33"/>
      </tp>
      <tp>
        <v>10.4</v>
        <stp/>
        <stp>107</stp>
        <stp>NVDA_032020C225</stp>
        <stp>TDA</stp>
        <stp>0</stp>
        <stp>0</stp>
        <stp>0</stp>
        <stp>0</stp>
        <stp>0</stp>
        <tr r="G112" s="61"/>
        <tr r="H111" s="61"/>
        <tr r="I110" s="61"/>
        <tr r="F113" s="61"/>
        <tr r="D114" s="61"/>
      </tp>
      <tp>
        <v>7.3000000000000007</v>
        <stp/>
        <stp>107</stp>
        <stp>NVDA_032020C235</stp>
        <stp>TDA</stp>
        <stp>0</stp>
        <stp>0</stp>
        <stp>0</stp>
        <stp>0</stp>
        <stp>0</stp>
        <tr r="I112" s="61"/>
        <tr r="F115" s="61"/>
        <tr r="G114" s="61"/>
        <tr r="D116" s="61"/>
        <tr r="H113" s="61"/>
      </tp>
      <tp>
        <v>19.45</v>
        <stp/>
        <stp>107</stp>
        <stp>NVDA_032020C205</stp>
        <stp>TDA</stp>
        <stp>0</stp>
        <stp>0</stp>
        <stp>0</stp>
        <stp>0</stp>
        <stp>0</stp>
        <tr r="F109" s="61"/>
        <tr r="G108" s="61"/>
        <tr r="D110" s="61"/>
        <tr r="H107" s="61"/>
        <tr r="I106" s="61"/>
      </tp>
      <tp>
        <v>14.450000000000001</v>
        <stp/>
        <stp>107</stp>
        <stp>NVDA_032020C215</stp>
        <stp>TDA</stp>
        <stp>0</stp>
        <stp>0</stp>
        <stp>0</stp>
        <stp>0</stp>
        <stp>0</stp>
        <tr r="F111" s="61"/>
        <tr r="G110" s="61"/>
        <tr r="D112" s="61"/>
        <tr r="H109" s="61"/>
        <tr r="I108" s="61"/>
      </tp>
      <tp>
        <v>2.17</v>
        <stp/>
        <stp>107</stp>
        <stp>NVDA_032020C265</stp>
        <stp>TDA</stp>
        <stp>0</stp>
        <stp>0</stp>
        <stp>0</stp>
        <stp>0</stp>
        <stp>0</stp>
        <tr r="H119" s="61"/>
        <tr r="I118" s="61"/>
      </tp>
      <tp>
        <v>4.95</v>
        <stp/>
        <stp>107</stp>
        <stp>NVDA_032020C245</stp>
        <stp>TDA</stp>
        <stp>0</stp>
        <stp>0</stp>
        <stp>0</stp>
        <stp>0</stp>
        <stp>0</stp>
        <tr r="F117" s="61"/>
        <tr r="G116" s="61"/>
        <tr r="D118" s="61"/>
        <tr r="H115" s="61"/>
        <tr r="I114" s="61"/>
      </tp>
      <tp>
        <v>3.25</v>
        <stp/>
        <stp>107</stp>
        <stp>NVDA_032020C255</stp>
        <stp>TDA</stp>
        <stp>0</stp>
        <stp>0</stp>
        <stp>0</stp>
        <stp>0</stp>
        <stp>0</stp>
        <tr r="H117" s="61"/>
        <tr r="F119" s="61"/>
        <tr r="G118" s="61"/>
        <tr r="I116" s="61"/>
      </tp>
      <tp>
        <v>39.700000000000003</v>
        <stp/>
        <stp>107</stp>
        <stp>NVDA_012122C225</stp>
        <stp>TDA</stp>
        <stp>0</stp>
        <stp>0</stp>
        <stp>0</stp>
        <stp>0</stp>
        <stp>0</stp>
        <tr r="I14" s="61"/>
        <tr r="F17" s="61"/>
        <tr r="G16" s="61"/>
        <tr r="D18" s="61"/>
        <tr r="H15" s="61"/>
      </tp>
      <tp t="s">
        <v>#N/A</v>
        <stp/>
        <stp>107</stp>
        <stp>NVDA_012122C235</stp>
        <stp>TDA</stp>
        <stp>0</stp>
        <stp>0</stp>
        <stp>0</stp>
        <stp>0</stp>
        <stp>0</stp>
        <tr r="F19" s="61"/>
        <tr r="G18" s="61"/>
        <tr r="D20" s="61"/>
        <tr r="H17" s="61"/>
        <tr r="I16" s="61"/>
      </tp>
      <tp>
        <v>48.35</v>
        <stp/>
        <stp>107</stp>
        <stp>NVDA_012122C205</stp>
        <stp>TDA</stp>
        <stp>0</stp>
        <stp>0</stp>
        <stp>0</stp>
        <stp>0</stp>
        <stp>0</stp>
        <tr r="G12" s="61"/>
        <tr r="H11" s="61"/>
        <tr r="I10" s="61"/>
        <tr r="F13" s="61"/>
        <tr r="D14" s="61"/>
      </tp>
      <tp>
        <v>44.15</v>
        <stp/>
        <stp>107</stp>
        <stp>NVDA_012122C215</stp>
        <stp>TDA</stp>
        <stp>0</stp>
        <stp>0</stp>
        <stp>0</stp>
        <stp>0</stp>
        <stp>0</stp>
        <tr r="I12" s="61"/>
        <tr r="G14" s="61"/>
        <tr r="H13" s="61"/>
        <tr r="F15" s="61"/>
        <tr r="D16" s="61"/>
      </tp>
      <tp t="s">
        <v>#N/A</v>
        <stp/>
        <stp>107</stp>
        <stp>NVDA_012122C265</stp>
        <stp>TDA</stp>
        <stp>0</stp>
        <stp>0</stp>
        <stp>0</stp>
        <stp>0</stp>
        <stp>0</stp>
        <tr r="H23" s="61"/>
        <tr r="I22" s="61"/>
      </tp>
      <tp t="s">
        <v>#N/A</v>
        <stp/>
        <stp>107</stp>
        <stp>NVDA_012122C245</stp>
        <stp>TDA</stp>
        <stp>0</stp>
        <stp>0</stp>
        <stp>0</stp>
        <stp>0</stp>
        <stp>0</stp>
        <tr r="F21" s="61"/>
        <tr r="D22" s="61"/>
        <tr r="G20" s="61"/>
        <tr r="H19" s="61"/>
        <tr r="I18" s="61"/>
      </tp>
      <tp t="s">
        <v>#N/A</v>
        <stp/>
        <stp>107</stp>
        <stp>NVDA_012122C255</stp>
        <stp>TDA</stp>
        <stp>0</stp>
        <stp>0</stp>
        <stp>0</stp>
        <stp>0</stp>
        <stp>0</stp>
        <tr r="F23" s="61"/>
        <tr r="G22" s="61"/>
        <tr r="H21" s="61"/>
        <tr r="I20" s="61"/>
      </tp>
      <tp>
        <v>58.050000000000004</v>
        <stp/>
        <stp>107</stp>
        <stp>NVDA_012122C185</stp>
        <stp>TDA</stp>
        <stp>0</stp>
        <stp>0</stp>
        <stp>0</stp>
        <stp>0</stp>
        <stp>0</stp>
        <tr r="F9" s="61"/>
        <tr r="D10" s="61"/>
        <tr r="G8" s="61"/>
        <tr r="H7" s="61"/>
        <tr r="I6" s="61"/>
      </tp>
      <tp>
        <v>53.1</v>
        <stp/>
        <stp>107</stp>
        <stp>NVDA_012122C195</stp>
        <stp>TDA</stp>
        <stp>0</stp>
        <stp>0</stp>
        <stp>0</stp>
        <stp>0</stp>
        <stp>0</stp>
        <tr r="F11" s="61"/>
        <tr r="D12" s="61"/>
        <tr r="G10" s="61"/>
        <tr r="H9" s="61"/>
        <tr r="I8" s="61"/>
      </tp>
      <tp>
        <v>69</v>
        <stp/>
        <stp>107</stp>
        <stp>NVDA_012122C165</stp>
        <stp>TDA</stp>
        <stp>0</stp>
        <stp>0</stp>
        <stp>0</stp>
        <stp>0</stp>
        <stp>0</stp>
        <tr r="G4" s="61"/>
        <tr r="F5" s="61"/>
        <tr r="H3" s="61"/>
        <tr r="D6" s="61"/>
      </tp>
      <tp>
        <v>63.35</v>
        <stp/>
        <stp>107</stp>
        <stp>NVDA_012122C175</stp>
        <stp>TDA</stp>
        <stp>0</stp>
        <stp>0</stp>
        <stp>0</stp>
        <stp>0</stp>
        <stp>0</stp>
        <tr r="F7" s="61"/>
        <tr r="G6" s="61"/>
        <tr r="D8" s="61"/>
        <tr r="I4" s="61"/>
        <tr r="H5" s="61"/>
      </tp>
      <tp>
        <v>75.100000000000009</v>
        <stp/>
        <stp>107</stp>
        <stp>NVDA_012122C155</stp>
        <stp>TDA</stp>
        <stp>0</stp>
        <stp>0</stp>
        <stp>0</stp>
        <stp>0</stp>
        <stp>0</stp>
        <tr r="F3" s="61"/>
        <tr r="D4" s="61"/>
      </tp>
      <tp>
        <v>32.200000000000003</v>
        <stp/>
        <stp>107</stp>
        <stp>NVDA_032020C185</stp>
        <stp>TDA</stp>
        <stp>0</stp>
        <stp>0</stp>
        <stp>0</stp>
        <stp>0</stp>
        <stp>0</stp>
        <tr r="F105" s="61"/>
        <tr r="G104" s="61"/>
        <tr r="D106" s="61"/>
        <tr r="I102" s="61"/>
        <tr r="H103" s="61"/>
      </tp>
      <tp>
        <v>25.400000000000002</v>
        <stp/>
        <stp>107</stp>
        <stp>NVDA_032020C195</stp>
        <stp>TDA</stp>
        <stp>0</stp>
        <stp>0</stp>
        <stp>0</stp>
        <stp>0</stp>
        <stp>0</stp>
        <tr r="F107" s="61"/>
        <tr r="D108" s="61"/>
        <tr r="G106" s="61"/>
        <tr r="H105" s="61"/>
        <tr r="I104" s="61"/>
      </tp>
      <tp>
        <v>47.95</v>
        <stp/>
        <stp>107</stp>
        <stp>NVDA_032020C165</stp>
        <stp>TDA</stp>
        <stp>0</stp>
        <stp>0</stp>
        <stp>0</stp>
        <stp>0</stp>
        <stp>0</stp>
        <tr r="F101" s="61"/>
        <tr r="D102" s="61"/>
        <tr r="G100" s="61"/>
        <tr r="H99" s="61"/>
      </tp>
      <tp>
        <v>39.75</v>
        <stp/>
        <stp>107</stp>
        <stp>NVDA_032020C175</stp>
        <stp>TDA</stp>
        <stp>0</stp>
        <stp>0</stp>
        <stp>0</stp>
        <stp>0</stp>
        <stp>0</stp>
        <tr r="D104" s="61"/>
        <tr r="G102" s="61"/>
        <tr r="F103" s="61"/>
        <tr r="H101" s="61"/>
        <tr r="I100" s="61"/>
      </tp>
      <tp>
        <v>56.550000000000004</v>
        <stp/>
        <stp>107</stp>
        <stp>NVDA_032020C155</stp>
        <stp>TDA</stp>
        <stp>0</stp>
        <stp>0</stp>
        <stp>0</stp>
        <stp>0</stp>
        <stp>0</stp>
        <tr r="F99" s="61"/>
        <tr r="D100" s="61"/>
      </tp>
      <tp>
        <v>0.90850000000000009</v>
        <stp/>
        <stp>204</stp>
        <stp>NVDA_011521C125</stp>
        <stp>TDA</stp>
        <stp>0</stp>
        <stp>0</stp>
        <stp>0</stp>
        <stp>0</stp>
        <stp>0</stp>
        <tr r="O45" s="67"/>
      </tp>
      <tp>
        <v>19.2</v>
        <stp/>
        <stp>107</stp>
        <stp>NVDA_061920C220</stp>
        <stp>TDA</stp>
        <stp>0</stp>
        <stp>0</stp>
        <stp>0</stp>
        <stp>0</stp>
        <stp>0</stp>
        <tr r="G87" s="61"/>
        <tr r="H86" s="61"/>
        <tr r="F88" s="61"/>
        <tr r="D89" s="61"/>
        <tr r="I85" s="61"/>
      </tp>
      <tp>
        <v>15.3</v>
        <stp/>
        <stp>107</stp>
        <stp>NVDA_061920C230</stp>
        <stp>TDA</stp>
        <stp>0</stp>
        <stp>0</stp>
        <stp>0</stp>
        <stp>0</stp>
        <stp>0</stp>
        <tr r="I87" s="61"/>
        <tr r="F90" s="61"/>
        <tr r="D91" s="61"/>
        <tr r="G89" s="61"/>
        <tr r="H88" s="61"/>
      </tp>
      <tp>
        <v>28.900000000000002</v>
        <stp/>
        <stp>107</stp>
        <stp>NVDA_061920C200</stp>
        <stp>TDA</stp>
        <stp>0</stp>
        <stp>0</stp>
        <stp>0</stp>
        <stp>0</stp>
        <stp>0</stp>
        <tr r="F84" s="61"/>
        <tr r="G83" s="61"/>
        <tr r="I81" s="61"/>
        <tr r="H82" s="61"/>
        <tr r="D85" s="61"/>
      </tp>
      <tp>
        <v>23.700000000000003</v>
        <stp/>
        <stp>107</stp>
        <stp>NVDA_061920C210</stp>
        <stp>TDA</stp>
        <stp>0</stp>
        <stp>0</stp>
        <stp>0</stp>
        <stp>0</stp>
        <stp>0</stp>
        <tr r="F86" s="61"/>
        <tr r="G85" s="61"/>
        <tr r="H84" s="61"/>
        <tr r="I83" s="61"/>
        <tr r="D87" s="61"/>
      </tp>
      <tp>
        <v>7.25</v>
        <stp/>
        <stp>107</stp>
        <stp>NVDA_061920C260</stp>
        <stp>TDA</stp>
        <stp>0</stp>
        <stp>0</stp>
        <stp>0</stp>
        <stp>0</stp>
        <stp>0</stp>
        <tr r="G95" s="61"/>
        <tr r="H94" s="61"/>
        <tr r="I93" s="61"/>
      </tp>
      <tp>
        <v>5.55</v>
        <stp/>
        <stp>107</stp>
        <stp>NVDA_061920C270</stp>
        <stp>TDA</stp>
        <stp>0</stp>
        <stp>0</stp>
        <stp>0</stp>
        <stp>0</stp>
        <stp>0</stp>
        <tr r="I95" s="61"/>
      </tp>
      <tp>
        <v>12</v>
        <stp/>
        <stp>107</stp>
        <stp>NVDA_061920C240</stp>
        <stp>TDA</stp>
        <stp>0</stp>
        <stp>0</stp>
        <stp>0</stp>
        <stp>0</stp>
        <stp>0</stp>
        <tr r="F92" s="61"/>
        <tr r="G91" s="61"/>
        <tr r="D93" s="61"/>
        <tr r="H90" s="61"/>
        <tr r="I89" s="61"/>
      </tp>
      <tp>
        <v>9.35</v>
        <stp/>
        <stp>107</stp>
        <stp>NVDA_061920C250</stp>
        <stp>TDA</stp>
        <stp>0</stp>
        <stp>0</stp>
        <stp>0</stp>
        <stp>0</stp>
        <stp>0</stp>
        <tr r="F94" s="61"/>
        <tr r="D95" s="61"/>
        <tr r="G93" s="61"/>
        <tr r="H92" s="61"/>
        <tr r="I91" s="61"/>
      </tp>
      <tp>
        <v>41.4</v>
        <stp/>
        <stp>107</stp>
        <stp>NVDA_061920C180</stp>
        <stp>TDA</stp>
        <stp>0</stp>
        <stp>0</stp>
        <stp>0</stp>
        <stp>0</stp>
        <stp>0</stp>
        <tr r="G79" s="61"/>
        <tr r="F80" s="61"/>
        <tr r="D81" s="61"/>
        <tr r="H78" s="61"/>
        <tr r="I77" s="61"/>
      </tp>
      <tp>
        <v>34.85</v>
        <stp/>
        <stp>107</stp>
        <stp>NVDA_061920C190</stp>
        <stp>TDA</stp>
        <stp>0</stp>
        <stp>0</stp>
        <stp>0</stp>
        <stp>0</stp>
        <stp>0</stp>
        <tr r="I79" s="61"/>
        <tr r="F82" s="61"/>
        <tr r="G81" s="61"/>
        <tr r="D83" s="61"/>
        <tr r="H80" s="61"/>
      </tp>
      <tp>
        <v>56.25</v>
        <stp/>
        <stp>107</stp>
        <stp>NVDA_061920C160</stp>
        <stp>TDA</stp>
        <stp>0</stp>
        <stp>0</stp>
        <stp>0</stp>
        <stp>0</stp>
        <stp>0</stp>
        <tr r="F76" s="61"/>
        <tr r="D77" s="61"/>
        <tr r="G75" s="61"/>
      </tp>
      <tp>
        <v>48.550000000000004</v>
        <stp/>
        <stp>107</stp>
        <stp>NVDA_061920C170</stp>
        <stp>TDA</stp>
        <stp>0</stp>
        <stp>0</stp>
        <stp>0</stp>
        <stp>0</stp>
        <stp>0</stp>
        <tr r="F78" s="61"/>
        <tr r="D79" s="61"/>
        <tr r="G77" s="61"/>
        <tr r="H76" s="61"/>
        <tr r="I75" s="61"/>
      </tp>
      <tp>
        <v>64.400000000000006</v>
        <stp/>
        <stp>107</stp>
        <stp>NVDA_061920C150</stp>
        <stp>TDA</stp>
        <stp>0</stp>
        <stp>0</stp>
        <stp>0</stp>
        <stp>0</stp>
        <stp>0</stp>
        <tr r="D75" s="61"/>
      </tp>
      <tp>
        <v>10.9</v>
        <stp/>
        <stp>107</stp>
        <stp>TEAM_061920P115</stp>
        <stp>TDA</stp>
        <stp>0</stp>
        <stp>0</stp>
        <stp>0</stp>
        <stp>0</stp>
        <stp>0</stp>
        <tr r="D64" s="33"/>
      </tp>
      <tp>
        <v>7.3000000000000007</v>
        <stp/>
        <stp>107</stp>
        <stp>TEAM_061920P105</stp>
        <stp>TDA</stp>
        <stp>0</stp>
        <stp>0</stp>
        <stp>0</stp>
        <stp>0</stp>
        <stp>0</stp>
        <tr r="D62" s="33"/>
      </tp>
      <tp t="s">
        <v>TEAM Jun 19 2020 110 Put</v>
        <stp/>
        <stp>112</stp>
        <stp>TEAM_061920P110</stp>
        <stp>TDA</stp>
        <stp>0</stp>
        <stp>0</stp>
        <stp>0</stp>
        <stp>0</stp>
        <stp>0</stp>
        <tr r="S63" s="33"/>
      </tp>
      <tp>
        <v>21.1</v>
        <stp/>
        <stp>107</stp>
        <stp>TEAM_061920P135</stp>
        <stp>TDA</stp>
        <stp>0</stp>
        <stp>0</stp>
        <stp>0</stp>
        <stp>0</stp>
        <stp>0</stp>
        <tr r="D68" s="33"/>
      </tp>
      <tp t="s">
        <v>TEAM Jun 19 2020 120 Put</v>
        <stp/>
        <stp>112</stp>
        <stp>TEAM_061920P120</stp>
        <stp>TDA</stp>
        <stp>0</stp>
        <stp>0</stp>
        <stp>0</stp>
        <stp>0</stp>
        <stp>0</stp>
        <tr r="S65" s="33"/>
      </tp>
      <tp>
        <v>15.5</v>
        <stp/>
        <stp>107</stp>
        <stp>TEAM_061920P125</stp>
        <stp>TDA</stp>
        <stp>0</stp>
        <stp>0</stp>
        <stp>0</stp>
        <stp>0</stp>
        <stp>0</stp>
        <tr r="D66" s="33"/>
      </tp>
      <tp t="s">
        <v>TEAM Jun 19 2020 130 Put</v>
        <stp/>
        <stp>112</stp>
        <stp>TEAM_061920P130</stp>
        <stp>TDA</stp>
        <stp>0</stp>
        <stp>0</stp>
        <stp>0</stp>
        <stp>0</stp>
        <stp>0</stp>
        <tr r="S67" s="33"/>
      </tp>
      <tp t="s">
        <v>TEAM Jun 19 2020 140 Put</v>
        <stp/>
        <stp>112</stp>
        <stp>TEAM_061920P140</stp>
        <stp>TDA</stp>
        <stp>0</stp>
        <stp>0</stp>
        <stp>0</stp>
        <stp>0</stp>
        <stp>0</stp>
        <tr r="S69" s="33"/>
      </tp>
      <tp>
        <v>0.2</v>
        <stp/>
        <stp>107</stp>
        <stp>TEAM_120619P118</stp>
        <stp>TDA</stp>
        <stp>0</stp>
        <stp>0</stp>
        <stp>0</stp>
        <stp>0</stp>
        <stp>0</stp>
        <tr r="D15" s="33"/>
      </tp>
      <tp>
        <v>0.25</v>
        <stp/>
        <stp>108</stp>
        <stp>TEAM_120619P117</stp>
        <stp>TDA</stp>
        <stp>0</stp>
        <stp>0</stp>
        <stp>0</stp>
        <stp>0</stp>
        <stp>0</stp>
        <tr r="E14" s="33"/>
      </tp>
      <tp>
        <v>0</v>
        <stp/>
        <stp>107</stp>
        <stp>TEAM_120619P108</stp>
        <stp>TDA</stp>
        <stp>0</stp>
        <stp>0</stp>
        <stp>0</stp>
        <stp>0</stp>
        <stp>0</stp>
        <tr r="D5" s="33"/>
      </tp>
      <tp>
        <v>0.5</v>
        <stp/>
        <stp>108</stp>
        <stp>TEAM_120619P107</stp>
        <stp>TDA</stp>
        <stp>0</stp>
        <stp>0</stp>
        <stp>0</stp>
        <stp>0</stp>
        <stp>0</stp>
        <tr r="E4" s="33"/>
      </tp>
      <tp>
        <v>5.6000000000000005</v>
        <stp/>
        <stp>107</stp>
        <stp>TEAM_032020P110</stp>
        <stp>TDA</stp>
        <stp>0</stp>
        <stp>0</stp>
        <stp>0</stp>
        <stp>0</stp>
        <stp>0</stp>
        <tr r="D47" s="33"/>
      </tp>
      <tp t="s">
        <v>TEAM Mar 20 2020 105 Put</v>
        <stp/>
        <stp>112</stp>
        <stp>TEAM_032020P105</stp>
        <stp>TDA</stp>
        <stp>0</stp>
        <stp>0</stp>
        <stp>0</stp>
        <stp>0</stp>
        <stp>0</stp>
        <tr r="S46" s="33"/>
      </tp>
      <tp t="s">
        <v>TEAM Mar 20 2020 115 Put</v>
        <stp/>
        <stp>112</stp>
        <stp>TEAM_032020P115</stp>
        <stp>TDA</stp>
        <stp>0</stp>
        <stp>0</stp>
        <stp>0</stp>
        <stp>0</stp>
        <stp>0</stp>
        <tr r="S48" s="33"/>
      </tp>
      <tp>
        <v>14.5</v>
        <stp/>
        <stp>107</stp>
        <stp>TEAM_032020P130</stp>
        <stp>TDA</stp>
        <stp>0</stp>
        <stp>0</stp>
        <stp>0</stp>
        <stp>0</stp>
        <stp>0</stp>
        <tr r="D51" s="33"/>
      </tp>
      <tp t="s">
        <v>TEAM Mar 20 2020 125 Put</v>
        <stp/>
        <stp>112</stp>
        <stp>TEAM_032020P125</stp>
        <stp>TDA</stp>
        <stp>0</stp>
        <stp>0</stp>
        <stp>0</stp>
        <stp>0</stp>
        <stp>0</stp>
        <tr r="S50" s="33"/>
      </tp>
      <tp>
        <v>9.4</v>
        <stp/>
        <stp>107</stp>
        <stp>TEAM_032020P120</stp>
        <stp>TDA</stp>
        <stp>0</stp>
        <stp>0</stp>
        <stp>0</stp>
        <stp>0</stp>
        <stp>0</stp>
        <tr r="D49" s="33"/>
      </tp>
      <tp t="s">
        <v>TEAM Mar 20 2020 135 Put</v>
        <stp/>
        <stp>112</stp>
        <stp>TEAM_032020P135</stp>
        <stp>TDA</stp>
        <stp>0</stp>
        <stp>0</stp>
        <stp>0</stp>
        <stp>0</stp>
        <stp>0</stp>
        <tr r="S52" s="33"/>
      </tp>
      <tp>
        <v>21</v>
        <stp/>
        <stp>107</stp>
        <stp>TEAM_032020P140</stp>
        <stp>TDA</stp>
        <stp>0</stp>
        <stp>0</stp>
        <stp>0</stp>
        <stp>0</stp>
        <stp>0</stp>
        <tr r="D53" s="33"/>
      </tp>
      <tp>
        <v>34.800000000000004</v>
        <stp/>
        <stp>107</stp>
        <stp>NVDA_061821C220</stp>
        <stp>TDA</stp>
        <stp>0</stp>
        <stp>0</stp>
        <stp>0</stp>
        <stp>0</stp>
        <stp>0</stp>
        <tr r="F40" s="61"/>
        <tr r="G39" s="61"/>
        <tr r="D41" s="61"/>
        <tr r="H38" s="61"/>
        <tr r="I37" s="61"/>
      </tp>
      <tp>
        <v>30.8</v>
        <stp/>
        <stp>107</stp>
        <stp>NVDA_061821C230</stp>
        <stp>TDA</stp>
        <stp>0</stp>
        <stp>0</stp>
        <stp>0</stp>
        <stp>0</stp>
        <stp>0</stp>
        <tr r="F42" s="61"/>
        <tr r="G41" s="61"/>
        <tr r="D43" s="61"/>
        <tr r="H40" s="61"/>
        <tr r="I39" s="61"/>
      </tp>
      <tp>
        <v>43.85</v>
        <stp/>
        <stp>107</stp>
        <stp>NVDA_061821C200</stp>
        <stp>TDA</stp>
        <stp>0</stp>
        <stp>0</stp>
        <stp>0</stp>
        <stp>0</stp>
        <stp>0</stp>
        <tr r="F36" s="61"/>
        <tr r="G35" s="61"/>
        <tr r="H34" s="61"/>
        <tr r="I33" s="61"/>
        <tr r="D37" s="61"/>
      </tp>
      <tp>
        <v>39.15</v>
        <stp/>
        <stp>107</stp>
        <stp>NVDA_061821C210</stp>
        <stp>TDA</stp>
        <stp>0</stp>
        <stp>0</stp>
        <stp>0</stp>
        <stp>0</stp>
        <stp>0</stp>
        <tr r="H36" s="61"/>
        <tr r="I35" s="61"/>
        <tr r="F38" s="61"/>
        <tr r="D39" s="61"/>
        <tr r="G37" s="61"/>
      </tp>
      <tp>
        <v>20.95</v>
        <stp/>
        <stp>107</stp>
        <stp>NVDA_061821C260</stp>
        <stp>TDA</stp>
        <stp>0</stp>
        <stp>0</stp>
        <stp>0</stp>
        <stp>0</stp>
        <stp>0</stp>
        <tr r="H46" s="61"/>
        <tr r="I45" s="61"/>
        <tr r="G47" s="61"/>
      </tp>
      <tp>
        <v>18.3</v>
        <stp/>
        <stp>107</stp>
        <stp>NVDA_061821C270</stp>
        <stp>TDA</stp>
        <stp>0</stp>
        <stp>0</stp>
        <stp>0</stp>
        <stp>0</stp>
        <stp>0</stp>
        <tr r="I47" s="61"/>
      </tp>
      <tp>
        <v>27.200000000000003</v>
        <stp/>
        <stp>107</stp>
        <stp>NVDA_061821C240</stp>
        <stp>TDA</stp>
        <stp>0</stp>
        <stp>0</stp>
        <stp>0</stp>
        <stp>0</stp>
        <stp>0</stp>
        <tr r="F44" s="61"/>
        <tr r="D45" s="61"/>
        <tr r="G43" s="61"/>
        <tr r="H42" s="61"/>
        <tr r="I41" s="61"/>
      </tp>
      <tp>
        <v>23.900000000000002</v>
        <stp/>
        <stp>107</stp>
        <stp>NVDA_061821C250</stp>
        <stp>TDA</stp>
        <stp>0</stp>
        <stp>0</stp>
        <stp>0</stp>
        <stp>0</stp>
        <stp>0</stp>
        <tr r="F46" s="61"/>
        <tr r="G45" s="61"/>
        <tr r="H44" s="61"/>
        <tr r="I43" s="61"/>
        <tr r="D47" s="61"/>
      </tp>
      <tp>
        <v>54.550000000000004</v>
        <stp/>
        <stp>107</stp>
        <stp>NVDA_061821C180</stp>
        <stp>TDA</stp>
        <stp>0</stp>
        <stp>0</stp>
        <stp>0</stp>
        <stp>0</stp>
        <stp>0</stp>
        <tr r="F32" s="61"/>
        <tr r="G31" s="61"/>
        <tr r="D33" s="61"/>
        <tr r="H30" s="61"/>
        <tr r="I29" s="61"/>
      </tp>
      <tp>
        <v>49</v>
        <stp/>
        <stp>107</stp>
        <stp>NVDA_061821C190</stp>
        <stp>TDA</stp>
        <stp>0</stp>
        <stp>0</stp>
        <stp>0</stp>
        <stp>0</stp>
        <stp>0</stp>
        <tr r="F34" s="61"/>
        <tr r="G33" s="61"/>
        <tr r="D35" s="61"/>
        <tr r="H32" s="61"/>
        <tr r="I31" s="61"/>
      </tp>
      <tp>
        <v>66.900000000000006</v>
        <stp/>
        <stp>107</stp>
        <stp>NVDA_061821C160</stp>
        <stp>TDA</stp>
        <stp>0</stp>
        <stp>0</stp>
        <stp>0</stp>
        <stp>0</stp>
        <stp>0</stp>
        <tr r="G27" s="61"/>
        <tr r="F28" s="61"/>
        <tr r="D29" s="61"/>
      </tp>
      <tp>
        <v>60.550000000000004</v>
        <stp/>
        <stp>107</stp>
        <stp>NVDA_061821C170</stp>
        <stp>TDA</stp>
        <stp>0</stp>
        <stp>0</stp>
        <stp>0</stp>
        <stp>0</stp>
        <stp>0</stp>
        <tr r="F30" s="61"/>
        <tr r="D31" s="61"/>
        <tr r="H28" s="61"/>
        <tr r="G29" s="61"/>
        <tr r="I27" s="61"/>
      </tp>
      <tp>
        <v>73.650000000000006</v>
        <stp/>
        <stp>107</stp>
        <stp>NVDA_061821C150</stp>
        <stp>TDA</stp>
        <stp>0</stp>
        <stp>0</stp>
        <stp>0</stp>
        <stp>0</stp>
        <stp>0</stp>
        <tr r="D27" s="61"/>
      </tp>
      <tp>
        <v>-9.9400000000000002E-2</v>
        <stp/>
        <stp>204</stp>
        <stp>TEAM_011720P100</stp>
        <stp>TDA</stp>
        <stp>0</stp>
        <stp>0</stp>
        <stp>0</stp>
        <stp>0</stp>
        <stp>0</stp>
        <tr r="O25" s="67"/>
      </tp>
      <tp>
        <v>0.35000000000000003</v>
        <stp/>
        <stp>107</stp>
        <stp>TEAM_120619P119</stp>
        <stp>TDA</stp>
        <stp>0</stp>
        <stp>0</stp>
        <stp>0</stp>
        <stp>0</stp>
        <stp>0</stp>
        <tr r="D16" s="33"/>
      </tp>
      <tp>
        <v>0.2</v>
        <stp/>
        <stp>108</stp>
        <stp>TEAM_120619P116</stp>
        <stp>TDA</stp>
        <stp>0</stp>
        <stp>0</stp>
        <stp>0</stp>
        <stp>0</stp>
        <stp>0</stp>
        <tr r="E13" s="33"/>
      </tp>
      <tp>
        <v>0</v>
        <stp/>
        <stp>107</stp>
        <stp>TEAM_120619P109</stp>
        <stp>TDA</stp>
        <stp>0</stp>
        <stp>0</stp>
        <stp>0</stp>
        <stp>0</stp>
        <stp>0</stp>
        <tr r="D6" s="33"/>
      </tp>
      <tp>
        <v>0.75</v>
        <stp/>
        <stp>108</stp>
        <stp>TEAM_120619P106</stp>
        <stp>TDA</stp>
        <stp>0</stp>
        <stp>0</stp>
        <stp>0</stp>
        <stp>0</stp>
        <stp>0</stp>
        <tr r="E3" s="33"/>
      </tp>
      <tp>
        <v>4.5</v>
        <stp/>
        <stp>107</stp>
        <stp>TEAM_022120P110</stp>
        <stp>TDA</stp>
        <stp>0</stp>
        <stp>0</stp>
        <stp>0</stp>
        <stp>0</stp>
        <stp>0</stp>
        <tr r="D41" s="33"/>
      </tp>
      <tp>
        <v>13.600000000000001</v>
        <stp/>
        <stp>108</stp>
        <stp>TEAM_082120P115</stp>
        <stp>TDA</stp>
        <stp>0</stp>
        <stp>0</stp>
        <stp>0</stp>
        <stp>0</stp>
        <stp>0</stp>
        <tr r="E72" s="33"/>
      </tp>
      <tp t="s">
        <v>TEAM Feb 21 2020 105 Put</v>
        <stp/>
        <stp>112</stp>
        <stp>TEAM_022120P105</stp>
        <stp>TDA</stp>
        <stp>0</stp>
        <stp>0</stp>
        <stp>0</stp>
        <stp>0</stp>
        <stp>0</stp>
        <tr r="S40" s="33"/>
      </tp>
      <tp>
        <v>2.35</v>
        <stp/>
        <stp>107</stp>
        <stp>TEAM_022120P100</stp>
        <stp>TDA</stp>
        <stp>0</stp>
        <stp>0</stp>
        <stp>0</stp>
        <stp>0</stp>
        <stp>0</stp>
        <tr r="D39" s="33"/>
        <tr r="G26" s="67"/>
      </tp>
      <tp>
        <v>9.6</v>
        <stp/>
        <stp>108</stp>
        <stp>TEAM_082120P105</stp>
        <stp>TDA</stp>
        <stp>0</stp>
        <stp>0</stp>
        <stp>0</stp>
        <stp>0</stp>
        <stp>0</stp>
        <tr r="E70" s="33"/>
      </tp>
      <tp t="s">
        <v>TEAM Feb 21 2020 115 Put</v>
        <stp/>
        <stp>112</stp>
        <stp>TEAM_022120P115</stp>
        <stp>TDA</stp>
        <stp>0</stp>
        <stp>0</stp>
        <stp>0</stp>
        <stp>0</stp>
        <stp>0</stp>
        <tr r="S42" s="33"/>
      </tp>
      <tp>
        <v>13.100000000000001</v>
        <stp/>
        <stp>107</stp>
        <stp>TEAM_022120P130</stp>
        <stp>TDA</stp>
        <stp>0</stp>
        <stp>0</stp>
        <stp>0</stp>
        <stp>0</stp>
        <stp>0</stp>
        <tr r="D45" s="33"/>
      </tp>
      <tp>
        <v>23.900000000000002</v>
        <stp/>
        <stp>108</stp>
        <stp>TEAM_082120P135</stp>
        <stp>TDA</stp>
        <stp>0</stp>
        <stp>0</stp>
        <stp>0</stp>
        <stp>0</stp>
        <stp>0</stp>
        <tr r="E76" s="33"/>
      </tp>
      <tp t="s">
        <v>TEAM Feb 21 2020 125 Put</v>
        <stp/>
        <stp>112</stp>
        <stp>TEAM_022120P125</stp>
        <stp>TDA</stp>
        <stp>0</stp>
        <stp>0</stp>
        <stp>0</stp>
        <stp>0</stp>
        <stp>0</stp>
        <tr r="S44" s="33"/>
      </tp>
      <tp>
        <v>8.1</v>
        <stp/>
        <stp>107</stp>
        <stp>TEAM_022120P120</stp>
        <stp>TDA</stp>
        <stp>0</stp>
        <stp>0</stp>
        <stp>0</stp>
        <stp>0</stp>
        <stp>0</stp>
        <tr r="D43" s="33"/>
      </tp>
      <tp>
        <v>18.3</v>
        <stp/>
        <stp>108</stp>
        <stp>TEAM_082120P125</stp>
        <stp>TDA</stp>
        <stp>0</stp>
        <stp>0</stp>
        <stp>0</stp>
        <stp>0</stp>
        <stp>0</stp>
        <tr r="E74" s="33"/>
      </tp>
      <tp t="s">
        <v>TENCENT HOLDINGS LIMITED</v>
        <stp/>
        <stp>112</stp>
        <stp>TCEHY</stp>
        <stp/>
        <stp>0</stp>
        <stp>0</stp>
        <stp>0</stp>
        <stp>0</stp>
        <stp>0</stp>
        <tr r="H52" s="68"/>
      </tp>
      <tp>
        <v>0.64800000000000002</v>
        <stp/>
        <stp>204</stp>
        <stp>BRKB_011720C215</stp>
        <stp>TDA</stp>
        <stp>0</stp>
        <stp>0</stp>
        <stp>0</stp>
        <stp>0</stp>
        <stp>0</stp>
        <tr r="O3" s="67"/>
      </tp>
      <tp>
        <v>38.75</v>
        <stp/>
        <stp>108</stp>
        <stp>NVDA_061821C220</stp>
        <stp>TDA</stp>
        <stp>0</stp>
        <stp>0</stp>
        <stp>0</stp>
        <stp>0</stp>
        <stp>0</stp>
        <tr r="F40" s="61"/>
        <tr r="G39" s="61"/>
        <tr r="E41" s="61"/>
        <tr r="H38" s="61"/>
        <tr r="I37" s="61"/>
      </tp>
      <tp>
        <v>34.75</v>
        <stp/>
        <stp>108</stp>
        <stp>NVDA_061821C230</stp>
        <stp>TDA</stp>
        <stp>0</stp>
        <stp>0</stp>
        <stp>0</stp>
        <stp>0</stp>
        <stp>0</stp>
        <tr r="F42" s="61"/>
        <tr r="G41" s="61"/>
        <tr r="E43" s="61"/>
        <tr r="H40" s="61"/>
        <tr r="I39" s="61"/>
      </tp>
      <tp>
        <v>47.7</v>
        <stp/>
        <stp>108</stp>
        <stp>NVDA_061821C200</stp>
        <stp>TDA</stp>
        <stp>0</stp>
        <stp>0</stp>
        <stp>0</stp>
        <stp>0</stp>
        <stp>0</stp>
        <tr r="F36" s="61"/>
        <tr r="G35" s="61"/>
        <tr r="H34" s="61"/>
        <tr r="I33" s="61"/>
        <tr r="E37" s="61"/>
      </tp>
      <tp>
        <v>43.050000000000004</v>
        <stp/>
        <stp>108</stp>
        <stp>NVDA_061821C210</stp>
        <stp>TDA</stp>
        <stp>0</stp>
        <stp>0</stp>
        <stp>0</stp>
        <stp>0</stp>
        <stp>0</stp>
        <tr r="H36" s="61"/>
        <tr r="I35" s="61"/>
        <tr r="F38" s="61"/>
        <tr r="E39" s="61"/>
        <tr r="G37" s="61"/>
      </tp>
      <tp>
        <v>24.8</v>
        <stp/>
        <stp>108</stp>
        <stp>NVDA_061821C260</stp>
        <stp>TDA</stp>
        <stp>0</stp>
        <stp>0</stp>
        <stp>0</stp>
        <stp>0</stp>
        <stp>0</stp>
        <tr r="H46" s="61"/>
        <tr r="I45" s="61"/>
        <tr r="G47" s="61"/>
      </tp>
      <tp>
        <v>22.1</v>
        <stp/>
        <stp>108</stp>
        <stp>NVDA_061821C270</stp>
        <stp>TDA</stp>
        <stp>0</stp>
        <stp>0</stp>
        <stp>0</stp>
        <stp>0</stp>
        <stp>0</stp>
        <tr r="I47" s="61"/>
      </tp>
      <tp>
        <v>31.1</v>
        <stp/>
        <stp>108</stp>
        <stp>NVDA_061821C240</stp>
        <stp>TDA</stp>
        <stp>0</stp>
        <stp>0</stp>
        <stp>0</stp>
        <stp>0</stp>
        <stp>0</stp>
        <tr r="F44" s="61"/>
        <tr r="G43" s="61"/>
        <tr r="E45" s="61"/>
        <tr r="H42" s="61"/>
        <tr r="I41" s="61"/>
      </tp>
      <tp>
        <v>27.75</v>
        <stp/>
        <stp>108</stp>
        <stp>NVDA_061821C250</stp>
        <stp>TDA</stp>
        <stp>0</stp>
        <stp>0</stp>
        <stp>0</stp>
        <stp>0</stp>
        <stp>0</stp>
        <tr r="F46" s="61"/>
        <tr r="G45" s="61"/>
        <tr r="H44" s="61"/>
        <tr r="I43" s="61"/>
        <tr r="E47" s="61"/>
      </tp>
      <tp>
        <v>58.400000000000006</v>
        <stp/>
        <stp>108</stp>
        <stp>NVDA_061821C180</stp>
        <stp>TDA</stp>
        <stp>0</stp>
        <stp>0</stp>
        <stp>0</stp>
        <stp>0</stp>
        <stp>0</stp>
        <tr r="F32" s="61"/>
        <tr r="E33" s="61"/>
        <tr r="G31" s="61"/>
        <tr r="H30" s="61"/>
        <tr r="I29" s="61"/>
      </tp>
      <tp>
        <v>52.800000000000004</v>
        <stp/>
        <stp>108</stp>
        <stp>NVDA_061821C190</stp>
        <stp>TDA</stp>
        <stp>0</stp>
        <stp>0</stp>
        <stp>0</stp>
        <stp>0</stp>
        <stp>0</stp>
        <tr r="F34" s="61"/>
        <tr r="G33" s="61"/>
        <tr r="E35" s="61"/>
        <tr r="H32" s="61"/>
        <tr r="I31" s="61"/>
      </tp>
      <tp>
        <v>70.8</v>
        <stp/>
        <stp>108</stp>
        <stp>NVDA_061821C160</stp>
        <stp>TDA</stp>
        <stp>0</stp>
        <stp>0</stp>
        <stp>0</stp>
        <stp>0</stp>
        <stp>0</stp>
        <tr r="G27" s="61"/>
        <tr r="F28" s="61"/>
        <tr r="E29" s="61"/>
      </tp>
      <tp>
        <v>64.350000000000009</v>
        <stp/>
        <stp>108</stp>
        <stp>NVDA_061821C170</stp>
        <stp>TDA</stp>
        <stp>0</stp>
        <stp>0</stp>
        <stp>0</stp>
        <stp>0</stp>
        <stp>0</stp>
        <tr r="F30" s="61"/>
        <tr r="E31" s="61"/>
        <tr r="H28" s="61"/>
        <tr r="G29" s="61"/>
        <tr r="I27" s="61"/>
      </tp>
      <tp>
        <v>77.55</v>
        <stp/>
        <stp>108</stp>
        <stp>NVDA_061821C150</stp>
        <stp>TDA</stp>
        <stp>0</stp>
        <stp>0</stp>
        <stp>0</stp>
        <stp>0</stp>
        <stp>0</stp>
        <tr r="E27" s="61"/>
      </tp>
      <tp>
        <v>0.1</v>
        <stp/>
        <stp>107</stp>
        <stp>TEAM_120619P116</stp>
        <stp>TDA</stp>
        <stp>0</stp>
        <stp>0</stp>
        <stp>0</stp>
        <stp>0</stp>
        <stp>0</stp>
        <tr r="D13" s="33"/>
      </tp>
      <tp>
        <v>0.45</v>
        <stp/>
        <stp>108</stp>
        <stp>TEAM_120619P119</stp>
        <stp>TDA</stp>
        <stp>0</stp>
        <stp>0</stp>
        <stp>0</stp>
        <stp>0</stp>
        <stp>0</stp>
        <tr r="E16" s="33"/>
      </tp>
      <tp>
        <v>0</v>
        <stp/>
        <stp>107</stp>
        <stp>TEAM_120619P106</stp>
        <stp>TDA</stp>
        <stp>0</stp>
        <stp>0</stp>
        <stp>0</stp>
        <stp>0</stp>
        <stp>0</stp>
        <tr r="D3" s="33"/>
      </tp>
      <tp>
        <v>0.45</v>
        <stp/>
        <stp>108</stp>
        <stp>TEAM_120619P109</stp>
        <stp>TDA</stp>
        <stp>0</stp>
        <stp>0</stp>
        <stp>0</stp>
        <stp>0</stp>
        <stp>0</stp>
        <tr r="E6" s="33"/>
      </tp>
      <tp t="s">
        <v>TEAM Dec 6 2019 113 Put (Weekly)</v>
        <stp/>
        <stp>112</stp>
        <stp>TEAM_120619P113</stp>
        <stp>TDA</stp>
        <stp>0</stp>
        <stp>0</stp>
        <stp>0</stp>
        <stp>0</stp>
        <stp>0</stp>
        <tr r="S10" s="33"/>
      </tp>
      <tp>
        <v>13</v>
        <stp/>
        <stp>107</stp>
        <stp>TEAM_082120P115</stp>
        <stp>TDA</stp>
        <stp>0</stp>
        <stp>0</stp>
        <stp>0</stp>
        <stp>0</stp>
        <stp>0</stp>
        <tr r="D72" s="33"/>
      </tp>
      <tp>
        <v>4.7</v>
        <stp/>
        <stp>108</stp>
        <stp>TEAM_022120P110</stp>
        <stp>TDA</stp>
        <stp>0</stp>
        <stp>0</stp>
        <stp>0</stp>
        <stp>0</stp>
        <stp>0</stp>
        <tr r="E41" s="33"/>
      </tp>
      <tp>
        <v>9.1</v>
        <stp/>
        <stp>107</stp>
        <stp>TEAM_082120P105</stp>
        <stp>TDA</stp>
        <stp>0</stp>
        <stp>0</stp>
        <stp>0</stp>
        <stp>0</stp>
        <stp>0</stp>
        <tr r="D70" s="33"/>
      </tp>
      <tp>
        <v>2.5</v>
        <stp/>
        <stp>108</stp>
        <stp>TEAM_022120P100</stp>
        <stp>TDA</stp>
        <stp>0</stp>
        <stp>0</stp>
        <stp>0</stp>
        <stp>0</stp>
        <stp>0</stp>
        <tr r="E39" s="33"/>
        <tr r="G26" s="67"/>
      </tp>
      <tp t="s">
        <v>TEAM Aug 21 2020 110 Put</v>
        <stp/>
        <stp>112</stp>
        <stp>TEAM_082120P110</stp>
        <stp>TDA</stp>
        <stp>0</stp>
        <stp>0</stp>
        <stp>0</stp>
        <stp>0</stp>
        <stp>0</stp>
        <tr r="S71" s="33"/>
      </tp>
      <tp>
        <v>23.200000000000003</v>
        <stp/>
        <stp>107</stp>
        <stp>TEAM_082120P135</stp>
        <stp>TDA</stp>
        <stp>0</stp>
        <stp>0</stp>
        <stp>0</stp>
        <stp>0</stp>
        <stp>0</stp>
        <tr r="D76" s="33"/>
      </tp>
      <tp>
        <v>13.4</v>
        <stp/>
        <stp>108</stp>
        <stp>TEAM_022120P130</stp>
        <stp>TDA</stp>
        <stp>0</stp>
        <stp>0</stp>
        <stp>0</stp>
        <stp>0</stp>
        <stp>0</stp>
        <tr r="E45" s="33"/>
      </tp>
      <tp t="s">
        <v>TEAM Aug 21 2020 120 Put</v>
        <stp/>
        <stp>112</stp>
        <stp>TEAM_082120P120</stp>
        <stp>TDA</stp>
        <stp>0</stp>
        <stp>0</stp>
        <stp>0</stp>
        <stp>0</stp>
        <stp>0</stp>
        <tr r="S73" s="33"/>
      </tp>
      <tp>
        <v>17.600000000000001</v>
        <stp/>
        <stp>107</stp>
        <stp>TEAM_082120P125</stp>
        <stp>TDA</stp>
        <stp>0</stp>
        <stp>0</stp>
        <stp>0</stp>
        <stp>0</stp>
        <stp>0</stp>
        <tr r="D74" s="33"/>
      </tp>
      <tp>
        <v>8.3000000000000007</v>
        <stp/>
        <stp>108</stp>
        <stp>TEAM_022120P120</stp>
        <stp>TDA</stp>
        <stp>0</stp>
        <stp>0</stp>
        <stp>0</stp>
        <stp>0</stp>
        <stp>0</stp>
        <tr r="E43" s="33"/>
      </tp>
      <tp t="s">
        <v>TEAM Aug 21 2020 130 Put</v>
        <stp/>
        <stp>112</stp>
        <stp>TEAM_082120P130</stp>
        <stp>TDA</stp>
        <stp>0</stp>
        <stp>0</stp>
        <stp>0</stp>
        <stp>0</stp>
        <stp>0</stp>
        <tr r="S75" s="33"/>
      </tp>
      <tp t="s">
        <v>TEAM Aug 21 2020 140 Put</v>
        <stp/>
        <stp>112</stp>
        <stp>TEAM_082120P140</stp>
        <stp>TDA</stp>
        <stp>0</stp>
        <stp>0</stp>
        <stp>0</stp>
        <stp>0</stp>
        <stp>0</stp>
        <tr r="S77" s="33"/>
      </tp>
      <tp>
        <v>-0.85880000000000001</v>
        <stp/>
        <stp>204</stp>
        <stp>TEAM_122019P135</stp>
        <stp>TDA</stp>
        <stp>0</stp>
        <stp>0</stp>
        <stp>0</stp>
        <stp>0</stp>
        <stp>0</stp>
        <tr r="O24" s="67"/>
      </tp>
      <tp>
        <v>-0.2021</v>
        <stp/>
        <stp>204</stp>
        <stp>TEAM_122019P115</stp>
        <stp>TDA</stp>
        <stp>0</stp>
        <stp>0</stp>
        <stp>0</stp>
        <stp>0</stp>
        <stp>0</stp>
        <tr r="O23" s="67"/>
      </tp>
      <tp>
        <v>10.55</v>
        <stp/>
        <stp>108</stp>
        <stp>NVDA_032020C225</stp>
        <stp>TDA</stp>
        <stp>0</stp>
        <stp>0</stp>
        <stp>0</stp>
        <stp>0</stp>
        <stp>0</stp>
        <tr r="G112" s="61"/>
        <tr r="H111" s="61"/>
        <tr r="I110" s="61"/>
        <tr r="F113" s="61"/>
        <tr r="E114" s="61"/>
      </tp>
      <tp>
        <v>7.4</v>
        <stp/>
        <stp>108</stp>
        <stp>NVDA_032020C235</stp>
        <stp>TDA</stp>
        <stp>0</stp>
        <stp>0</stp>
        <stp>0</stp>
        <stp>0</stp>
        <stp>0</stp>
        <tr r="I112" s="61"/>
        <tr r="F115" s="61"/>
        <tr r="E116" s="61"/>
        <tr r="G114" s="61"/>
        <tr r="H113" s="61"/>
      </tp>
      <tp>
        <v>19.600000000000001</v>
        <stp/>
        <stp>108</stp>
        <stp>NVDA_032020C205</stp>
        <stp>TDA</stp>
        <stp>0</stp>
        <stp>0</stp>
        <stp>0</stp>
        <stp>0</stp>
        <stp>0</stp>
        <tr r="F109" s="61"/>
        <tr r="G108" s="61"/>
        <tr r="E110" s="61"/>
        <tr r="H107" s="61"/>
        <tr r="I106" s="61"/>
      </tp>
      <tp>
        <v>14.600000000000001</v>
        <stp/>
        <stp>108</stp>
        <stp>NVDA_032020C215</stp>
        <stp>TDA</stp>
        <stp>0</stp>
        <stp>0</stp>
        <stp>0</stp>
        <stp>0</stp>
        <stp>0</stp>
        <tr r="F111" s="61"/>
        <tr r="E112" s="61"/>
        <tr r="G110" s="61"/>
        <tr r="H109" s="61"/>
        <tr r="I108" s="61"/>
      </tp>
      <tp>
        <v>2.2400000000000002</v>
        <stp/>
        <stp>108</stp>
        <stp>NVDA_032020C265</stp>
        <stp>TDA</stp>
        <stp>0</stp>
        <stp>0</stp>
        <stp>0</stp>
        <stp>0</stp>
        <stp>0</stp>
        <tr r="H119" s="61"/>
        <tr r="I118" s="61"/>
      </tp>
      <tp>
        <v>5.05</v>
        <stp/>
        <stp>108</stp>
        <stp>NVDA_032020C245</stp>
        <stp>TDA</stp>
        <stp>0</stp>
        <stp>0</stp>
        <stp>0</stp>
        <stp>0</stp>
        <stp>0</stp>
        <tr r="F117" s="61"/>
        <tr r="G116" s="61"/>
        <tr r="E118" s="61"/>
        <tr r="H115" s="61"/>
        <tr r="I114" s="61"/>
      </tp>
      <tp>
        <v>3.4000000000000004</v>
        <stp/>
        <stp>108</stp>
        <stp>NVDA_032020C255</stp>
        <stp>TDA</stp>
        <stp>0</stp>
        <stp>0</stp>
        <stp>0</stp>
        <stp>0</stp>
        <stp>0</stp>
        <tr r="H117" s="61"/>
        <tr r="F119" s="61"/>
        <tr r="G118" s="61"/>
        <tr r="I116" s="61"/>
      </tp>
      <tp>
        <v>43.65</v>
        <stp/>
        <stp>108</stp>
        <stp>NVDA_012122C225</stp>
        <stp>TDA</stp>
        <stp>0</stp>
        <stp>0</stp>
        <stp>0</stp>
        <stp>0</stp>
        <stp>0</stp>
        <tr r="I14" s="61"/>
        <tr r="F17" s="61"/>
        <tr r="E18" s="61"/>
        <tr r="G16" s="61"/>
        <tr r="H15" s="61"/>
      </tp>
      <tp t="s">
        <v>#N/A</v>
        <stp/>
        <stp>108</stp>
        <stp>NVDA_012122C235</stp>
        <stp>TDA</stp>
        <stp>0</stp>
        <stp>0</stp>
        <stp>0</stp>
        <stp>0</stp>
        <stp>0</stp>
        <tr r="F19" s="61"/>
        <tr r="G18" s="61"/>
        <tr r="E20" s="61"/>
        <tr r="H17" s="61"/>
        <tr r="I16" s="61"/>
      </tp>
      <tp>
        <v>52.25</v>
        <stp/>
        <stp>108</stp>
        <stp>NVDA_012122C205</stp>
        <stp>TDA</stp>
        <stp>0</stp>
        <stp>0</stp>
        <stp>0</stp>
        <stp>0</stp>
        <stp>0</stp>
        <tr r="G12" s="61"/>
        <tr r="H11" s="61"/>
        <tr r="I10" s="61"/>
        <tr r="F13" s="61"/>
        <tr r="E14" s="61"/>
      </tp>
      <tp>
        <v>47.800000000000004</v>
        <stp/>
        <stp>108</stp>
        <stp>NVDA_012122C215</stp>
        <stp>TDA</stp>
        <stp>0</stp>
        <stp>0</stp>
        <stp>0</stp>
        <stp>0</stp>
        <stp>0</stp>
        <tr r="I12" s="61"/>
        <tr r="G14" s="61"/>
        <tr r="H13" s="61"/>
        <tr r="F15" s="61"/>
        <tr r="E16" s="61"/>
      </tp>
      <tp t="s">
        <v>#N/A</v>
        <stp/>
        <stp>108</stp>
        <stp>NVDA_012122C265</stp>
        <stp>TDA</stp>
        <stp>0</stp>
        <stp>0</stp>
        <stp>0</stp>
        <stp>0</stp>
        <stp>0</stp>
        <tr r="H23" s="61"/>
        <tr r="I22" s="61"/>
      </tp>
      <tp t="s">
        <v>#N/A</v>
        <stp/>
        <stp>108</stp>
        <stp>NVDA_012122C245</stp>
        <stp>TDA</stp>
        <stp>0</stp>
        <stp>0</stp>
        <stp>0</stp>
        <stp>0</stp>
        <stp>0</stp>
        <tr r="F21" s="61"/>
        <tr r="E22" s="61"/>
        <tr r="G20" s="61"/>
        <tr r="H19" s="61"/>
        <tr r="I18" s="61"/>
      </tp>
      <tp t="s">
        <v>#N/A</v>
        <stp/>
        <stp>108</stp>
        <stp>NVDA_012122C255</stp>
        <stp>TDA</stp>
        <stp>0</stp>
        <stp>0</stp>
        <stp>0</stp>
        <stp>0</stp>
        <stp>0</stp>
        <tr r="F23" s="61"/>
        <tr r="G22" s="61"/>
        <tr r="H21" s="61"/>
        <tr r="I20" s="61"/>
      </tp>
      <tp>
        <v>61.95</v>
        <stp/>
        <stp>108</stp>
        <stp>NVDA_012122C185</stp>
        <stp>TDA</stp>
        <stp>0</stp>
        <stp>0</stp>
        <stp>0</stp>
        <stp>0</stp>
        <stp>0</stp>
        <tr r="F9" s="61"/>
        <tr r="G8" s="61"/>
        <tr r="E10" s="61"/>
        <tr r="H7" s="61"/>
        <tr r="I6" s="61"/>
      </tp>
      <tp>
        <v>56.95</v>
        <stp/>
        <stp>108</stp>
        <stp>NVDA_012122C195</stp>
        <stp>TDA</stp>
        <stp>0</stp>
        <stp>0</stp>
        <stp>0</stp>
        <stp>0</stp>
        <stp>0</stp>
        <tr r="F11" s="61"/>
        <tr r="E12" s="61"/>
        <tr r="G10" s="61"/>
        <tr r="H9" s="61"/>
        <tr r="I8" s="61"/>
      </tp>
      <tp>
        <v>73</v>
        <stp/>
        <stp>108</stp>
        <stp>NVDA_012122C165</stp>
        <stp>TDA</stp>
        <stp>0</stp>
        <stp>0</stp>
        <stp>0</stp>
        <stp>0</stp>
        <stp>0</stp>
        <tr r="G4" s="61"/>
        <tr r="F5" s="61"/>
        <tr r="H3" s="61"/>
        <tr r="E6" s="61"/>
      </tp>
      <tp>
        <v>67.3</v>
        <stp/>
        <stp>108</stp>
        <stp>NVDA_012122C175</stp>
        <stp>TDA</stp>
        <stp>0</stp>
        <stp>0</stp>
        <stp>0</stp>
        <stp>0</stp>
        <stp>0</stp>
        <tr r="F7" s="61"/>
        <tr r="G6" s="61"/>
        <tr r="E8" s="61"/>
        <tr r="I4" s="61"/>
        <tr r="H5" s="61"/>
      </tp>
      <tp>
        <v>79.100000000000009</v>
        <stp/>
        <stp>108</stp>
        <stp>NVDA_012122C155</stp>
        <stp>TDA</stp>
        <stp>0</stp>
        <stp>0</stp>
        <stp>0</stp>
        <stp>0</stp>
        <stp>0</stp>
        <tr r="F3" s="61"/>
        <tr r="E4" s="61"/>
      </tp>
      <tp>
        <v>32.4</v>
        <stp/>
        <stp>108</stp>
        <stp>NVDA_032020C185</stp>
        <stp>TDA</stp>
        <stp>0</stp>
        <stp>0</stp>
        <stp>0</stp>
        <stp>0</stp>
        <stp>0</stp>
        <tr r="F105" s="61"/>
        <tr r="G104" s="61"/>
        <tr r="E106" s="61"/>
        <tr r="I102" s="61"/>
        <tr r="H103" s="61"/>
      </tp>
      <tp>
        <v>25.55</v>
        <stp/>
        <stp>108</stp>
        <stp>NVDA_032020C195</stp>
        <stp>TDA</stp>
        <stp>0</stp>
        <stp>0</stp>
        <stp>0</stp>
        <stp>0</stp>
        <stp>0</stp>
        <tr r="F107" s="61"/>
        <tr r="E108" s="61"/>
        <tr r="G106" s="61"/>
        <tr r="H105" s="61"/>
        <tr r="I104" s="61"/>
      </tp>
      <tp>
        <v>48.25</v>
        <stp/>
        <stp>108</stp>
        <stp>NVDA_032020C165</stp>
        <stp>TDA</stp>
        <stp>0</stp>
        <stp>0</stp>
        <stp>0</stp>
        <stp>0</stp>
        <stp>0</stp>
        <tr r="F101" s="61"/>
        <tr r="E102" s="61"/>
        <tr r="G100" s="61"/>
        <tr r="H99" s="61"/>
      </tp>
      <tp>
        <v>40</v>
        <stp/>
        <stp>108</stp>
        <stp>NVDA_032020C175</stp>
        <stp>TDA</stp>
        <stp>0</stp>
        <stp>0</stp>
        <stp>0</stp>
        <stp>0</stp>
        <stp>0</stp>
        <tr r="E104" s="61"/>
        <tr r="G102" s="61"/>
        <tr r="F103" s="61"/>
        <tr r="H101" s="61"/>
        <tr r="I100" s="61"/>
      </tp>
      <tp>
        <v>57.1</v>
        <stp/>
        <stp>108</stp>
        <stp>NVDA_032020C155</stp>
        <stp>TDA</stp>
        <stp>0</stp>
        <stp>0</stp>
        <stp>0</stp>
        <stp>0</stp>
        <stp>0</stp>
        <tr r="F99" s="61"/>
        <tr r="E100" s="61"/>
      </tp>
      <tp>
        <v>19.400000000000002</v>
        <stp/>
        <stp>108</stp>
        <stp>NVDA_061920C220</stp>
        <stp>TDA</stp>
        <stp>0</stp>
        <stp>0</stp>
        <stp>0</stp>
        <stp>0</stp>
        <stp>0</stp>
        <tr r="G87" s="61"/>
        <tr r="H86" s="61"/>
        <tr r="F88" s="61"/>
        <tr r="E89" s="61"/>
        <tr r="I85" s="61"/>
      </tp>
      <tp>
        <v>15.5</v>
        <stp/>
        <stp>108</stp>
        <stp>NVDA_061920C230</stp>
        <stp>TDA</stp>
        <stp>0</stp>
        <stp>0</stp>
        <stp>0</stp>
        <stp>0</stp>
        <stp>0</stp>
        <tr r="I87" s="61"/>
        <tr r="F90" s="61"/>
        <tr r="E91" s="61"/>
        <tr r="G89" s="61"/>
        <tr r="H88" s="61"/>
      </tp>
      <tp>
        <v>29.200000000000003</v>
        <stp/>
        <stp>108</stp>
        <stp>NVDA_061920C200</stp>
        <stp>TDA</stp>
        <stp>0</stp>
        <stp>0</stp>
        <stp>0</stp>
        <stp>0</stp>
        <stp>0</stp>
        <tr r="F84" s="61"/>
        <tr r="G83" s="61"/>
        <tr r="I81" s="61"/>
        <tr r="H82" s="61"/>
        <tr r="E85" s="61"/>
      </tp>
      <tp>
        <v>23.950000000000003</v>
        <stp/>
        <stp>108</stp>
        <stp>NVDA_061920C210</stp>
        <stp>TDA</stp>
        <stp>0</stp>
        <stp>0</stp>
        <stp>0</stp>
        <stp>0</stp>
        <stp>0</stp>
        <tr r="F86" s="61"/>
        <tr r="G85" s="61"/>
        <tr r="E87" s="61"/>
        <tr r="H84" s="61"/>
        <tr r="I83" s="61"/>
      </tp>
      <tp>
        <v>7.4</v>
        <stp/>
        <stp>108</stp>
        <stp>NVDA_061920C260</stp>
        <stp>TDA</stp>
        <stp>0</stp>
        <stp>0</stp>
        <stp>0</stp>
        <stp>0</stp>
        <stp>0</stp>
        <tr r="G95" s="61"/>
        <tr r="H94" s="61"/>
        <tr r="I93" s="61"/>
      </tp>
      <tp>
        <v>5.7</v>
        <stp/>
        <stp>108</stp>
        <stp>NVDA_061920C270</stp>
        <stp>TDA</stp>
        <stp>0</stp>
        <stp>0</stp>
        <stp>0</stp>
        <stp>0</stp>
        <stp>0</stp>
        <tr r="I95" s="61"/>
      </tp>
      <tp>
        <v>12.25</v>
        <stp/>
        <stp>108</stp>
        <stp>NVDA_061920C240</stp>
        <stp>TDA</stp>
        <stp>0</stp>
        <stp>0</stp>
        <stp>0</stp>
        <stp>0</stp>
        <stp>0</stp>
        <tr r="F92" s="61"/>
        <tr r="E93" s="61"/>
        <tr r="G91" s="61"/>
        <tr r="H90" s="61"/>
        <tr r="I89" s="61"/>
      </tp>
      <tp>
        <v>9.6</v>
        <stp/>
        <stp>108</stp>
        <stp>NVDA_061920C250</stp>
        <stp>TDA</stp>
        <stp>0</stp>
        <stp>0</stp>
        <stp>0</stp>
        <stp>0</stp>
        <stp>0</stp>
        <tr r="F94" s="61"/>
        <tr r="E95" s="61"/>
        <tr r="G93" s="61"/>
        <tr r="H92" s="61"/>
        <tr r="I91" s="61"/>
      </tp>
      <tp>
        <v>41.65</v>
        <stp/>
        <stp>108</stp>
        <stp>NVDA_061920C180</stp>
        <stp>TDA</stp>
        <stp>0</stp>
        <stp>0</stp>
        <stp>0</stp>
        <stp>0</stp>
        <stp>0</stp>
        <tr r="G79" s="61"/>
        <tr r="F80" s="61"/>
        <tr r="E81" s="61"/>
        <tr r="H78" s="61"/>
        <tr r="I77" s="61"/>
      </tp>
      <tp>
        <v>35.1</v>
        <stp/>
        <stp>108</stp>
        <stp>NVDA_061920C190</stp>
        <stp>TDA</stp>
        <stp>0</stp>
        <stp>0</stp>
        <stp>0</stp>
        <stp>0</stp>
        <stp>0</stp>
        <tr r="I79" s="61"/>
        <tr r="F82" s="61"/>
        <tr r="G81" s="61"/>
        <tr r="E83" s="61"/>
        <tr r="H80" s="61"/>
      </tp>
      <tp>
        <v>56.550000000000004</v>
        <stp/>
        <stp>108</stp>
        <stp>NVDA_061920C160</stp>
        <stp>TDA</stp>
        <stp>0</stp>
        <stp>0</stp>
        <stp>0</stp>
        <stp>0</stp>
        <stp>0</stp>
        <tr r="F76" s="61"/>
        <tr r="E77" s="61"/>
        <tr r="G75" s="61"/>
      </tp>
      <tp>
        <v>48.85</v>
        <stp/>
        <stp>108</stp>
        <stp>NVDA_061920C170</stp>
        <stp>TDA</stp>
        <stp>0</stp>
        <stp>0</stp>
        <stp>0</stp>
        <stp>0</stp>
        <stp>0</stp>
        <tr r="F78" s="61"/>
        <tr r="G77" s="61"/>
        <tr r="E79" s="61"/>
        <tr r="H76" s="61"/>
        <tr r="I75" s="61"/>
      </tp>
      <tp>
        <v>64.75</v>
        <stp/>
        <stp>108</stp>
        <stp>NVDA_061920C150</stp>
        <stp>TDA</stp>
        <stp>0</stp>
        <stp>0</stp>
        <stp>0</stp>
        <stp>0</stp>
        <stp>0</stp>
        <tr r="E75" s="61"/>
      </tp>
      <tp>
        <v>11.200000000000001</v>
        <stp/>
        <stp>108</stp>
        <stp>TEAM_061920P115</stp>
        <stp>TDA</stp>
        <stp>0</stp>
        <stp>0</stp>
        <stp>0</stp>
        <stp>0</stp>
        <stp>0</stp>
        <tr r="E64" s="33"/>
      </tp>
      <tp>
        <v>7.6000000000000005</v>
        <stp/>
        <stp>108</stp>
        <stp>TEAM_061920P105</stp>
        <stp>TDA</stp>
        <stp>0</stp>
        <stp>0</stp>
        <stp>0</stp>
        <stp>0</stp>
        <stp>0</stp>
        <tr r="E62" s="33"/>
      </tp>
      <tp>
        <v>21.6</v>
        <stp/>
        <stp>108</stp>
        <stp>TEAM_061920P135</stp>
        <stp>TDA</stp>
        <stp>0</stp>
        <stp>0</stp>
        <stp>0</stp>
        <stp>0</stp>
        <stp>0</stp>
        <tr r="E68" s="33"/>
      </tp>
      <tp>
        <v>15.9</v>
        <stp/>
        <stp>108</stp>
        <stp>TEAM_061920P125</stp>
        <stp>TDA</stp>
        <stp>0</stp>
        <stp>0</stp>
        <stp>0</stp>
        <stp>0</stp>
        <stp>0</stp>
        <tr r="E66" s="33"/>
      </tp>
      <tp>
        <v>0.15</v>
        <stp/>
        <stp>107</stp>
        <stp>TEAM_120619P117</stp>
        <stp>TDA</stp>
        <stp>0</stp>
        <stp>0</stp>
        <stp>0</stp>
        <stp>0</stp>
        <stp>0</stp>
        <tr r="D14" s="33"/>
      </tp>
      <tp>
        <v>0.35000000000000003</v>
        <stp/>
        <stp>108</stp>
        <stp>TEAM_120619P118</stp>
        <stp>TDA</stp>
        <stp>0</stp>
        <stp>0</stp>
        <stp>0</stp>
        <stp>0</stp>
        <stp>0</stp>
        <tr r="E15" s="33"/>
      </tp>
      <tp>
        <v>0</v>
        <stp/>
        <stp>107</stp>
        <stp>TEAM_120619P107</stp>
        <stp>TDA</stp>
        <stp>0</stp>
        <stp>0</stp>
        <stp>0</stp>
        <stp>0</stp>
        <stp>0</stp>
        <tr r="D4" s="33"/>
      </tp>
      <tp>
        <v>0.55000000000000004</v>
        <stp/>
        <stp>108</stp>
        <stp>TEAM_120619P108</stp>
        <stp>TDA</stp>
        <stp>0</stp>
        <stp>0</stp>
        <stp>0</stp>
        <stp>0</stp>
        <stp>0</stp>
        <tr r="E5" s="33"/>
      </tp>
      <tp t="s">
        <v>TEAM Dec 6 2019 112 Put (Weekly)</v>
        <stp/>
        <stp>112</stp>
        <stp>TEAM_120619P112</stp>
        <stp>TDA</stp>
        <stp>0</stp>
        <stp>0</stp>
        <stp>0</stp>
        <stp>0</stp>
        <stp>0</stp>
        <tr r="S9" s="33"/>
      </tp>
      <tp>
        <v>5.9</v>
        <stp/>
        <stp>108</stp>
        <stp>TEAM_032020P110</stp>
        <stp>TDA</stp>
        <stp>0</stp>
        <stp>0</stp>
        <stp>0</stp>
        <stp>0</stp>
        <stp>0</stp>
        <tr r="E47" s="33"/>
      </tp>
      <tp>
        <v>15</v>
        <stp/>
        <stp>108</stp>
        <stp>TEAM_032020P130</stp>
        <stp>TDA</stp>
        <stp>0</stp>
        <stp>0</stp>
        <stp>0</stp>
        <stp>0</stp>
        <stp>0</stp>
        <tr r="E51" s="33"/>
      </tp>
      <tp>
        <v>9.6</v>
        <stp/>
        <stp>108</stp>
        <stp>TEAM_032020P120</stp>
        <stp>TDA</stp>
        <stp>0</stp>
        <stp>0</stp>
        <stp>0</stp>
        <stp>0</stp>
        <stp>0</stp>
        <tr r="E49" s="33"/>
      </tp>
      <tp>
        <v>21.3</v>
        <stp/>
        <stp>108</stp>
        <stp>TEAM_032020P140</stp>
        <stp>TDA</stp>
        <stp>0</stp>
        <stp>0</stp>
        <stp>0</stp>
        <stp>0</stp>
        <stp>0</stp>
        <tr r="E53" s="33"/>
      </tp>
      <tp>
        <v>29.200000000000003</v>
        <stp/>
        <stp>108</stp>
        <stp>NVDA_011521C225</stp>
        <stp>TDA</stp>
        <stp>0</stp>
        <stp>0</stp>
        <stp>0</stp>
        <stp>0</stp>
        <stp>0</stp>
        <tr r="F65" s="61"/>
        <tr r="E66" s="61"/>
        <tr r="G64" s="61"/>
        <tr r="H63" s="61"/>
        <tr r="I62" s="61"/>
      </tp>
      <tp>
        <v>25.650000000000002</v>
        <stp/>
        <stp>108</stp>
        <stp>NVDA_011521C235</stp>
        <stp>TDA</stp>
        <stp>0</stp>
        <stp>0</stp>
        <stp>0</stp>
        <stp>0</stp>
        <stp>0</stp>
        <tr r="F67" s="61"/>
        <tr r="E68" s="61"/>
        <tr r="G66" s="61"/>
        <tr r="H65" s="61"/>
        <tr r="I64" s="61"/>
      </tp>
      <tp t="s">
        <v>#N/A</v>
        <stp/>
        <stp>108</stp>
        <stp>NVDA_011521C205</stp>
        <stp>TDA</stp>
        <stp>0</stp>
        <stp>0</stp>
        <stp>0</stp>
        <stp>0</stp>
        <stp>0</stp>
        <tr r="H59" s="61"/>
        <tr r="G60" s="61"/>
        <tr r="I58" s="61"/>
        <tr r="F61" s="61"/>
        <tr r="E62" s="61"/>
      </tp>
      <tp t="s">
        <v>#N/A</v>
        <stp/>
        <stp>108</stp>
        <stp>NVDA_011521C215</stp>
        <stp>TDA</stp>
        <stp>0</stp>
        <stp>0</stp>
        <stp>0</stp>
        <stp>0</stp>
        <stp>0</stp>
        <tr r="I60" s="61"/>
        <tr r="F63" s="61"/>
        <tr r="E64" s="61"/>
        <tr r="G62" s="61"/>
        <tr r="H61" s="61"/>
      </tp>
      <tp>
        <v>16.5</v>
        <stp/>
        <stp>108</stp>
        <stp>NVDA_011521C265</stp>
        <stp>TDA</stp>
        <stp>0</stp>
        <stp>0</stp>
        <stp>0</stp>
        <stp>0</stp>
        <stp>0</stp>
        <tr r="H71" s="61"/>
        <tr r="I70" s="61"/>
      </tp>
      <tp>
        <v>22.150000000000002</v>
        <stp/>
        <stp>108</stp>
        <stp>NVDA_011521C245</stp>
        <stp>TDA</stp>
        <stp>0</stp>
        <stp>0</stp>
        <stp>0</stp>
        <stp>0</stp>
        <stp>0</stp>
        <tr r="F69" s="61"/>
        <tr r="H67" s="61"/>
        <tr r="G68" s="61"/>
        <tr r="E70" s="61"/>
        <tr r="I66" s="61"/>
      </tp>
      <tp>
        <v>19.25</v>
        <stp/>
        <stp>108</stp>
        <stp>NVDA_011521C255</stp>
        <stp>TDA</stp>
        <stp>0</stp>
        <stp>0</stp>
        <stp>0</stp>
        <stp>0</stp>
        <stp>0</stp>
        <tr r="F71" s="61"/>
        <tr r="H69" s="61"/>
        <tr r="G70" s="61"/>
        <tr r="I68" s="61"/>
      </tp>
      <tp>
        <v>48.900000000000006</v>
        <stp/>
        <stp>108</stp>
        <stp>NVDA_011521C185</stp>
        <stp>TDA</stp>
        <stp>0</stp>
        <stp>0</stp>
        <stp>0</stp>
        <stp>0</stp>
        <stp>0</stp>
        <tr r="G56" s="61"/>
        <tr r="H55" s="61"/>
        <tr r="I54" s="61"/>
        <tr r="E58" s="61"/>
        <tr r="F57" s="61"/>
      </tp>
      <tp>
        <v>43.300000000000004</v>
        <stp/>
        <stp>108</stp>
        <stp>NVDA_011521C195</stp>
        <stp>TDA</stp>
        <stp>0</stp>
        <stp>0</stp>
        <stp>0</stp>
        <stp>0</stp>
        <stp>0</stp>
        <tr r="F59" s="61"/>
        <tr r="I56" s="61"/>
        <tr r="G58" s="61"/>
        <tr r="E60" s="61"/>
        <tr r="H57" s="61"/>
      </tp>
      <tp>
        <v>92.15</v>
        <stp/>
        <stp>108</stp>
        <stp>NVDA_011521C125</stp>
        <stp>TDA</stp>
        <stp>0</stp>
        <stp>0</stp>
        <stp>0</stp>
        <stp>0</stp>
        <stp>0</stp>
        <tr r="G45" s="67"/>
      </tp>
      <tp>
        <v>61.400000000000006</v>
        <stp/>
        <stp>108</stp>
        <stp>NVDA_011521C165</stp>
        <stp>TDA</stp>
        <stp>0</stp>
        <stp>0</stp>
        <stp>0</stp>
        <stp>0</stp>
        <stp>0</stp>
        <tr r="F53" s="61"/>
        <tr r="G52" s="61"/>
        <tr r="H51" s="61"/>
        <tr r="E54" s="61"/>
      </tp>
      <tp>
        <v>55</v>
        <stp/>
        <stp>108</stp>
        <stp>NVDA_011521C175</stp>
        <stp>TDA</stp>
        <stp>0</stp>
        <stp>0</stp>
        <stp>0</stp>
        <stp>0</stp>
        <stp>0</stp>
        <tr r="F55" s="61"/>
        <tr r="G54" s="61"/>
        <tr r="H53" s="61"/>
        <tr r="I52" s="61"/>
        <tr r="E56" s="61"/>
      </tp>
      <tp>
        <v>68.400000000000006</v>
        <stp/>
        <stp>108</stp>
        <stp>NVDA_011521C155</stp>
        <stp>TDA</stp>
        <stp>0</stp>
        <stp>0</stp>
        <stp>0</stp>
        <stp>0</stp>
        <stp>0</stp>
        <tr r="F51" s="61"/>
        <tr r="E52" s="61"/>
      </tp>
      <tp>
        <v>15.200000000000001</v>
        <stp/>
        <stp>108</stp>
        <stp>TEAM_011521P110</stp>
        <stp>TDA</stp>
        <stp>0</stp>
        <stp>0</stp>
        <stp>0</stp>
        <stp>0</stp>
        <stp>0</stp>
        <tr r="E84" s="33"/>
        <tr r="E83" s="33"/>
      </tp>
      <tp>
        <v>10.200000000000001</v>
        <stp/>
        <stp>108</stp>
        <stp>TEAM_051520P115</stp>
        <stp>TDA</stp>
        <stp>0</stp>
        <stp>0</stp>
        <stp>0</stp>
        <stp>0</stp>
        <stp>0</stp>
        <tr r="E56" s="33"/>
      </tp>
      <tp>
        <v>11.3</v>
        <stp/>
        <stp>108</stp>
        <stp>TEAM_011521P100</stp>
        <stp>TDA</stp>
        <stp>0</stp>
        <stp>0</stp>
        <stp>0</stp>
        <stp>0</stp>
        <stp>0</stp>
        <tr r="E80" s="33"/>
      </tp>
      <tp>
        <v>6.7</v>
        <stp/>
        <stp>108</stp>
        <stp>TEAM_051520P105</stp>
        <stp>TDA</stp>
        <stp>0</stp>
        <stp>0</stp>
        <stp>0</stp>
        <stp>0</stp>
        <stp>0</stp>
        <tr r="E54" s="33"/>
      </tp>
      <tp>
        <v>25.1</v>
        <stp/>
        <stp>108</stp>
        <stp>TEAM_011521P130</stp>
        <stp>TDA</stp>
        <stp>0</stp>
        <stp>0</stp>
        <stp>0</stp>
        <stp>0</stp>
        <stp>0</stp>
        <tr r="E91" s="33"/>
      </tp>
      <tp>
        <v>20.5</v>
        <stp/>
        <stp>108</stp>
        <stp>TEAM_051520P135</stp>
        <stp>TDA</stp>
        <stp>0</stp>
        <stp>0</stp>
        <stp>0</stp>
        <stp>0</stp>
        <stp>0</stp>
        <tr r="E60" s="33"/>
      </tp>
      <tp>
        <v>19.8</v>
        <stp/>
        <stp>108</stp>
        <stp>TEAM_011521P120</stp>
        <stp>TDA</stp>
        <stp>0</stp>
        <stp>0</stp>
        <stp>0</stp>
        <stp>0</stp>
        <stp>0</stp>
        <tr r="E88" s="33"/>
        <tr r="E87" s="33"/>
      </tp>
      <tp>
        <v>14.9</v>
        <stp/>
        <stp>108</stp>
        <stp>TEAM_051520P125</stp>
        <stp>TDA</stp>
        <stp>0</stp>
        <stp>0</stp>
        <stp>0</stp>
        <stp>0</stp>
        <stp>0</stp>
        <tr r="E58" s="33"/>
      </tp>
      <tp>
        <v>37.6</v>
        <stp/>
        <stp>108</stp>
        <stp>TEAM_011521P150</stp>
        <stp>TDA</stp>
        <stp>0</stp>
        <stp>0</stp>
        <stp>0</stp>
        <stp>0</stp>
        <stp>0</stp>
        <tr r="E95" s="33"/>
      </tp>
      <tp>
        <v>31.1</v>
        <stp/>
        <stp>108</stp>
        <stp>TEAM_011521P140</stp>
        <stp>TDA</stp>
        <stp>0</stp>
        <stp>0</stp>
        <stp>0</stp>
        <stp>0</stp>
        <stp>0</stp>
        <tr r="E93" s="33"/>
      </tp>
      <tp>
        <v>52.5</v>
        <stp/>
        <stp>108</stp>
        <stp>TEAM_011521P170</stp>
        <stp>TDA</stp>
        <stp>0</stp>
        <stp>0</stp>
        <stp>0</stp>
        <stp>0</stp>
        <stp>0</stp>
        <tr r="E99" s="33"/>
      </tp>
      <tp>
        <v>44.800000000000004</v>
        <stp/>
        <stp>108</stp>
        <stp>TEAM_011521P160</stp>
        <stp>TDA</stp>
        <stp>0</stp>
        <stp>0</stp>
        <stp>0</stp>
        <stp>0</stp>
        <stp>0</stp>
        <tr r="E97" s="33"/>
      </tp>
      <tp>
        <v>0.05</v>
        <stp/>
        <stp>107</stp>
        <stp>TEAM_120619P114</stp>
        <stp>TDA</stp>
        <stp>0</stp>
        <stp>0</stp>
        <stp>0</stp>
        <stp>0</stp>
        <stp>0</stp>
        <tr r="D11" s="33"/>
      </tp>
      <tp t="s">
        <v>TEAM Dec 6 2019 111 Put (Weekly)</v>
        <stp/>
        <stp>112</stp>
        <stp>TEAM_120619P111</stp>
        <stp>TDA</stp>
        <stp>0</stp>
        <stp>0</stp>
        <stp>0</stp>
        <stp>0</stp>
        <stp>0</stp>
        <tr r="S8" s="33"/>
      </tp>
      <tp>
        <v>6.3500000000000005</v>
        <stp/>
        <stp>107</stp>
        <stp>BRKB_011720C215</stp>
        <stp>TDA</stp>
        <stp>0</stp>
        <stp>0</stp>
        <stp>0</stp>
        <stp>0</stp>
        <stp>0</stp>
        <tr r="G3" s="67"/>
      </tp>
      <tp>
        <v>6.0000000000000005E-2</v>
        <stp/>
        <stp>108</stp>
        <stp>NVDA_011720C285</stp>
        <stp>TDA</stp>
        <stp>0</stp>
        <stp>0</stp>
        <stp>0</stp>
        <stp>0</stp>
        <stp>0</stp>
        <tr r="D19" s="58"/>
      </tp>
      <tp>
        <v>0.04</v>
        <stp/>
        <stp>108</stp>
        <stp>NVDA_011720C295</stp>
        <stp>TDA</stp>
        <stp>0</stp>
        <stp>0</stp>
        <stp>0</stp>
        <stp>0</stp>
        <stp>0</stp>
        <tr r="D21" s="58"/>
      </tp>
      <tp>
        <v>4</v>
        <stp/>
        <stp>108</stp>
        <stp>NVDA_011720C225</stp>
        <stp>TDA</stp>
        <stp>0</stp>
        <stp>0</stp>
        <stp>0</stp>
        <stp>0</stp>
        <stp>0</stp>
        <tr r="D7" s="58"/>
      </tp>
      <tp>
        <v>1.9100000000000001</v>
        <stp/>
        <stp>108</stp>
        <stp>NVDA_011720C235</stp>
        <stp>TDA</stp>
        <stp>0</stp>
        <stp>0</stp>
        <stp>0</stp>
        <stp>0</stp>
        <stp>0</stp>
        <tr r="D9" s="58"/>
      </tp>
      <tp>
        <v>12.600000000000001</v>
        <stp/>
        <stp>108</stp>
        <stp>NVDA_011720C205</stp>
        <stp>TDA</stp>
        <stp>0</stp>
        <stp>0</stp>
        <stp>0</stp>
        <stp>0</stp>
        <stp>0</stp>
        <tr r="D3" s="58"/>
      </tp>
      <tp>
        <v>7.5</v>
        <stp/>
        <stp>108</stp>
        <stp>NVDA_011720C215</stp>
        <stp>TDA</stp>
        <stp>0</stp>
        <stp>0</stp>
        <stp>0</stp>
        <stp>0</stp>
        <stp>0</stp>
        <tr r="D5" s="58"/>
      </tp>
      <tp>
        <v>0.19</v>
        <stp/>
        <stp>108</stp>
        <stp>NVDA_011720C265</stp>
        <stp>TDA</stp>
        <stp>0</stp>
        <stp>0</stp>
        <stp>0</stp>
        <stp>0</stp>
        <stp>0</stp>
        <tr r="D15" s="58"/>
      </tp>
      <tp>
        <v>0.1</v>
        <stp/>
        <stp>108</stp>
        <stp>NVDA_011720C275</stp>
        <stp>TDA</stp>
        <stp>0</stp>
        <stp>0</stp>
        <stp>0</stp>
        <stp>0</stp>
        <stp>0</stp>
        <tr r="D17" s="58"/>
      </tp>
      <tp>
        <v>0.86</v>
        <stp/>
        <stp>108</stp>
        <stp>NVDA_011720C245</stp>
        <stp>TDA</stp>
        <stp>0</stp>
        <stp>0</stp>
        <stp>0</stp>
        <stp>0</stp>
        <stp>0</stp>
        <tr r="D11" s="58"/>
      </tp>
      <tp>
        <v>0.39</v>
        <stp/>
        <stp>108</stp>
        <stp>NVDA_011720C255</stp>
        <stp>TDA</stp>
        <stp>0</stp>
        <stp>0</stp>
        <stp>0</stp>
        <stp>0</stp>
        <stp>0</stp>
        <tr r="D13" s="58"/>
      </tp>
      <tp>
        <v>2.8000000000000003</v>
        <stp/>
        <stp>108</stp>
        <stp>TEAM_011720P110</stp>
        <stp>TDA</stp>
        <stp>0</stp>
        <stp>0</stp>
        <stp>0</stp>
        <stp>0</stp>
        <stp>0</stp>
        <tr r="E33" s="33"/>
      </tp>
      <tp>
        <v>1.2</v>
        <stp/>
        <stp>108</stp>
        <stp>TEAM_011720P100</stp>
        <stp>TDA</stp>
        <stp>0</stp>
        <stp>0</stp>
        <stp>0</stp>
        <stp>0</stp>
        <stp>0</stp>
        <tr r="E31" s="33"/>
        <tr r="G25" s="67"/>
      </tp>
      <tp>
        <v>11.1</v>
        <stp/>
        <stp>108</stp>
        <stp>TEAM_011720P130</stp>
        <stp>TDA</stp>
        <stp>0</stp>
        <stp>0</stp>
        <stp>0</stp>
        <stp>0</stp>
        <stp>0</stp>
        <tr r="E37" s="33"/>
      </tp>
      <tp>
        <v>5.9</v>
        <stp/>
        <stp>108</stp>
        <stp>TEAM_011720P120</stp>
        <stp>TDA</stp>
        <stp>0</stp>
        <stp>0</stp>
        <stp>0</stp>
        <stp>0</stp>
        <stp>0</stp>
        <tr r="E35" s="33"/>
      </tp>
      <tp>
        <v>11.1</v>
        <stp/>
        <stp>107</stp>
        <stp>TEAM_120619P135</stp>
        <stp>TDA</stp>
        <stp>0</stp>
        <stp>0</stp>
        <stp>0</stp>
        <stp>0</stp>
        <stp>0</stp>
        <tr r="D20" s="33"/>
      </tp>
      <tp t="s">
        <v>TEAM Dec 6 2019 120 Put (Weekly)</v>
        <stp/>
        <stp>112</stp>
        <stp>TEAM_120619P120</stp>
        <stp>TDA</stp>
        <stp>0</stp>
        <stp>0</stp>
        <stp>0</stp>
        <stp>0</stp>
        <stp>0</stp>
        <tr r="S17" s="33"/>
      </tp>
      <tp>
        <v>2.35</v>
        <stp/>
        <stp>107</stp>
        <stp>TEAM_120619P125</stp>
        <stp>TDA</stp>
        <stp>0</stp>
        <stp>0</stp>
        <stp>0</stp>
        <stp>0</stp>
        <stp>0</stp>
        <tr r="D18" s="33"/>
      </tp>
      <tp t="s">
        <v>TEAM Dec 6 2019 130 Put (Weekly)</v>
        <stp/>
        <stp>112</stp>
        <stp>TEAM_120619P130</stp>
        <stp>TDA</stp>
        <stp>0</stp>
        <stp>0</stp>
        <stp>0</stp>
        <stp>0</stp>
        <stp>0</stp>
        <tr r="S19" s="33"/>
      </tp>
      <tp>
        <v>0.05</v>
        <stp/>
        <stp>107</stp>
        <stp>TEAM_120619P115</stp>
        <stp>TDA</stp>
        <stp>0</stp>
        <stp>0</stp>
        <stp>0</stp>
        <stp>0</stp>
        <stp>0</stp>
        <tr r="D12" s="33"/>
      </tp>
      <tp>
        <v>0</v>
        <stp/>
        <stp>107</stp>
        <stp>TEAM_120619P105</stp>
        <stp>TDA</stp>
        <stp>0</stp>
        <stp>0</stp>
        <stp>0</stp>
        <stp>0</stp>
        <stp>0</stp>
        <tr r="D2" s="33"/>
      </tp>
      <tp t="s">
        <v>TEAM Dec 6 2019 110 Put (Weekly)</v>
        <stp/>
        <stp>112</stp>
        <stp>TEAM_120619P110</stp>
        <stp>TDA</stp>
        <stp>0</stp>
        <stp>0</stp>
        <stp>0</stp>
        <stp>0</stp>
        <stp>0</stp>
        <tr r="S7" s="33"/>
      </tp>
      <tp t="s">
        <v>TEAM Dec 6 2019 140 Put (Weekly)</v>
        <stp/>
        <stp>112</stp>
        <stp>TEAM_120619P140</stp>
        <stp>TDA</stp>
        <stp>0</stp>
        <stp>0</stp>
        <stp>0</stp>
        <stp>0</stp>
        <stp>0</stp>
        <tr r="S21" s="33"/>
      </tp>
      <tp>
        <v>11.8</v>
        <stp/>
        <stp>107</stp>
        <stp>TEAM_122019P135</stp>
        <stp>TDA</stp>
        <stp>0</stp>
        <stp>0</stp>
        <stp>0</stp>
        <stp>0</stp>
        <stp>0</stp>
        <tr r="D28" s="33"/>
        <tr r="G24" s="67"/>
      </tp>
      <tp t="s">
        <v>TEAM Dec 20 2019 120 Put</v>
        <stp/>
        <stp>112</stp>
        <stp>TEAM_122019P120</stp>
        <stp>TDA</stp>
        <stp>0</stp>
        <stp>0</stp>
        <stp>0</stp>
        <stp>0</stp>
        <stp>0</stp>
        <tr r="S25" s="33"/>
      </tp>
      <tp>
        <v>4.6000000000000005</v>
        <stp/>
        <stp>107</stp>
        <stp>TEAM_122019P125</stp>
        <stp>TDA</stp>
        <stp>0</stp>
        <stp>0</stp>
        <stp>0</stp>
        <stp>0</stp>
        <stp>0</stp>
        <tr r="D26" s="33"/>
      </tp>
      <tp t="s">
        <v>TEAM Dec 20 2019 130 Put</v>
        <stp/>
        <stp>112</stp>
        <stp>TEAM_122019P130</stp>
        <stp>TDA</stp>
        <stp>0</stp>
        <stp>0</stp>
        <stp>0</stp>
        <stp>0</stp>
        <stp>0</stp>
        <tr r="S27" s="33"/>
      </tp>
      <tp>
        <v>1.25</v>
        <stp/>
        <stp>107</stp>
        <stp>TEAM_122019P115</stp>
        <stp>TDA</stp>
        <stp>0</stp>
        <stp>0</stp>
        <stp>0</stp>
        <stp>0</stp>
        <stp>0</stp>
        <tr r="D24" s="33"/>
        <tr r="G23" s="67"/>
      </tp>
      <tp>
        <v>0.25</v>
        <stp/>
        <stp>107</stp>
        <stp>TEAM_122019P105</stp>
        <stp>TDA</stp>
        <stp>0</stp>
        <stp>0</stp>
        <stp>0</stp>
        <stp>0</stp>
        <stp>0</stp>
        <tr r="D22" s="33"/>
      </tp>
      <tp t="s">
        <v>TEAM Dec 20 2019 110 Put</v>
        <stp/>
        <stp>112</stp>
        <stp>TEAM_122019P110</stp>
        <stp>TDA</stp>
        <stp>0</stp>
        <stp>0</stp>
        <stp>0</stp>
        <stp>0</stp>
        <stp>0</stp>
        <tr r="S23" s="33"/>
      </tp>
      <tp t="s">
        <v>TEAM Dec 20 2019 140 Put</v>
        <stp/>
        <stp>112</stp>
        <stp>TEAM_122019P140</stp>
        <stp>TDA</stp>
        <stp>0</stp>
        <stp>0</stp>
        <stp>0</stp>
        <stp>0</stp>
        <stp>0</stp>
        <tr r="S29" s="33"/>
      </tp>
      <tp>
        <v>0.71550000000000002</v>
        <stp/>
        <stp>204</stp>
        <stp>CBOE_011720C115</stp>
        <stp>TDA</stp>
        <stp>0</stp>
        <stp>0</stp>
        <stp>0</stp>
        <stp>0</stp>
        <stp>0</stp>
        <tr r="O13" s="67"/>
      </tp>
      <tp>
        <v>12.450000000000001</v>
        <stp/>
        <stp>108</stp>
        <stp>NVDA_032020C220</stp>
        <stp>TDA</stp>
        <stp>0</stp>
        <stp>0</stp>
        <stp>0</stp>
        <stp>0</stp>
        <stp>0</stp>
        <tr r="F112" s="61"/>
        <tr r="G111" s="61"/>
        <tr r="H110" s="61"/>
        <tr r="I109" s="61"/>
        <tr r="E113" s="61"/>
      </tp>
      <tp>
        <v>8.85</v>
        <stp/>
        <stp>108</stp>
        <stp>NVDA_032020C230</stp>
        <stp>TDA</stp>
        <stp>0</stp>
        <stp>0</stp>
        <stp>0</stp>
        <stp>0</stp>
        <stp>0</stp>
        <tr r="H112" s="61"/>
        <tr r="I111" s="61"/>
        <tr r="F114" s="61"/>
        <tr r="E115" s="61"/>
        <tr r="G113" s="61"/>
      </tp>
      <tp>
        <v>22.5</v>
        <stp/>
        <stp>108</stp>
        <stp>NVDA_032020C200</stp>
        <stp>TDA</stp>
        <stp>0</stp>
        <stp>0</stp>
        <stp>0</stp>
        <stp>0</stp>
        <stp>0</stp>
        <tr r="F108" s="61"/>
        <tr r="E109" s="61"/>
        <tr r="G107" s="61"/>
        <tr r="H106" s="61"/>
        <tr r="I105" s="61"/>
      </tp>
      <tp>
        <v>17</v>
        <stp/>
        <stp>108</stp>
        <stp>NVDA_032020C210</stp>
        <stp>TDA</stp>
        <stp>0</stp>
        <stp>0</stp>
        <stp>0</stp>
        <stp>0</stp>
        <stp>0</stp>
        <tr r="F110" s="61"/>
        <tr r="G109" s="61"/>
        <tr r="E111" s="61"/>
        <tr r="H108" s="61"/>
        <tr r="I107" s="61"/>
      </tp>
      <tp>
        <v>2.7600000000000002</v>
        <stp/>
        <stp>108</stp>
        <stp>NVDA_032020C260</stp>
        <stp>TDA</stp>
        <stp>0</stp>
        <stp>0</stp>
        <stp>0</stp>
        <stp>0</stp>
        <stp>0</stp>
        <tr r="I117" s="61"/>
        <tr r="G119" s="61"/>
        <tr r="H118" s="61"/>
      </tp>
      <tp>
        <v>1.82</v>
        <stp/>
        <stp>108</stp>
        <stp>NVDA_032020C270</stp>
        <stp>TDA</stp>
        <stp>0</stp>
        <stp>0</stp>
        <stp>0</stp>
        <stp>0</stp>
        <stp>0</stp>
        <tr r="I119" s="61"/>
      </tp>
      <tp>
        <v>6.15</v>
        <stp/>
        <stp>108</stp>
        <stp>NVDA_032020C240</stp>
        <stp>TDA</stp>
        <stp>0</stp>
        <stp>0</stp>
        <stp>0</stp>
        <stp>0</stp>
        <stp>0</stp>
        <tr r="F116" s="61"/>
        <tr r="E117" s="61"/>
        <tr r="G115" s="61"/>
        <tr r="H114" s="61"/>
        <tr r="I113" s="61"/>
      </tp>
      <tp>
        <v>4.1500000000000004</v>
        <stp/>
        <stp>108</stp>
        <stp>NVDA_032020C250</stp>
        <stp>TDA</stp>
        <stp>0</stp>
        <stp>0</stp>
        <stp>0</stp>
        <stp>0</stp>
        <stp>0</stp>
        <tr r="G117" s="61"/>
        <tr r="F118" s="61"/>
        <tr r="E119" s="61"/>
        <tr r="H116" s="61"/>
        <tr r="I115" s="61"/>
      </tp>
      <tp>
        <v>45.7</v>
        <stp/>
        <stp>108</stp>
        <stp>NVDA_012122C220</stp>
        <stp>TDA</stp>
        <stp>0</stp>
        <stp>0</stp>
        <stp>0</stp>
        <stp>0</stp>
        <stp>0</stp>
        <tr r="H14" s="61"/>
        <tr r="I13" s="61"/>
        <tr r="F16" s="61"/>
        <tr r="G15" s="61"/>
        <tr r="E17" s="61"/>
      </tp>
      <tp>
        <v>41.7</v>
        <stp/>
        <stp>108</stp>
        <stp>NVDA_012122C230</stp>
        <stp>TDA</stp>
        <stp>0</stp>
        <stp>0</stp>
        <stp>0</stp>
        <stp>0</stp>
        <stp>0</stp>
        <tr r="F18" s="61"/>
        <tr r="G17" s="61"/>
        <tr r="E19" s="61"/>
        <tr r="H16" s="61"/>
        <tr r="I15" s="61"/>
      </tp>
      <tp>
        <v>54.5</v>
        <stp/>
        <stp>108</stp>
        <stp>NVDA_012122C200</stp>
        <stp>TDA</stp>
        <stp>0</stp>
        <stp>0</stp>
        <stp>0</stp>
        <stp>0</stp>
        <stp>0</stp>
        <tr r="F12" s="61"/>
        <tr r="H10" s="61"/>
        <tr r="G11" s="61"/>
        <tr r="I9" s="61"/>
        <tr r="E13" s="61"/>
      </tp>
      <tp>
        <v>50</v>
        <stp/>
        <stp>108</stp>
        <stp>NVDA_012122C210</stp>
        <stp>TDA</stp>
        <stp>0</stp>
        <stp>0</stp>
        <stp>0</stp>
        <stp>0</stp>
        <stp>0</stp>
        <tr r="H12" s="61"/>
        <tr r="I11" s="61"/>
        <tr r="F14" s="61"/>
        <tr r="G13" s="61"/>
        <tr r="E15" s="61"/>
      </tp>
      <tp>
        <v>31.5</v>
        <stp/>
        <stp>108</stp>
        <stp>NVDA_012122C260</stp>
        <stp>TDA</stp>
        <stp>0</stp>
        <stp>0</stp>
        <stp>0</stp>
        <stp>0</stp>
        <stp>0</stp>
        <tr r="G23" s="61"/>
        <tr r="H22" s="61"/>
        <tr r="I21" s="61"/>
      </tp>
      <tp>
        <v>28.75</v>
        <stp/>
        <stp>108</stp>
        <stp>NVDA_012122C270</stp>
        <stp>TDA</stp>
        <stp>0</stp>
        <stp>0</stp>
        <stp>0</stp>
        <stp>0</stp>
        <stp>0</stp>
        <tr r="I23" s="61"/>
      </tp>
      <tp>
        <v>38</v>
        <stp/>
        <stp>108</stp>
        <stp>NVDA_012122C240</stp>
        <stp>TDA</stp>
        <stp>0</stp>
        <stp>0</stp>
        <stp>0</stp>
        <stp>0</stp>
        <stp>0</stp>
        <tr r="F20" s="61"/>
        <tr r="E21" s="61"/>
        <tr r="G19" s="61"/>
        <tr r="H18" s="61"/>
        <tr r="I17" s="61"/>
      </tp>
      <tp>
        <v>34.6</v>
        <stp/>
        <stp>108</stp>
        <stp>NVDA_012122C250</stp>
        <stp>TDA</stp>
        <stp>0</stp>
        <stp>0</stp>
        <stp>0</stp>
        <stp>0</stp>
        <stp>0</stp>
        <tr r="F22" s="61"/>
        <tr r="E23" s="61"/>
        <tr r="G21" s="61"/>
        <tr r="H20" s="61"/>
        <tr r="I19" s="61"/>
      </tp>
      <tp>
        <v>64.5</v>
        <stp/>
        <stp>108</stp>
        <stp>NVDA_012122C180</stp>
        <stp>TDA</stp>
        <stp>0</stp>
        <stp>0</stp>
        <stp>0</stp>
        <stp>0</stp>
        <stp>0</stp>
        <tr r="F8" s="61"/>
        <tr r="G7" s="61"/>
        <tr r="E9" s="61"/>
        <tr r="H6" s="61"/>
        <tr r="I5" s="61"/>
      </tp>
      <tp>
        <v>59.400000000000006</v>
        <stp/>
        <stp>108</stp>
        <stp>NVDA_012122C190</stp>
        <stp>TDA</stp>
        <stp>0</stp>
        <stp>0</stp>
        <stp>0</stp>
        <stp>0</stp>
        <stp>0</stp>
        <tr r="F10" s="61"/>
        <tr r="E11" s="61"/>
        <tr r="G9" s="61"/>
        <tr r="H8" s="61"/>
        <tr r="I7" s="61"/>
      </tp>
      <tp>
        <v>76</v>
        <stp/>
        <stp>108</stp>
        <stp>NVDA_012122C160</stp>
        <stp>TDA</stp>
        <stp>0</stp>
        <stp>0</stp>
        <stp>0</stp>
        <stp>0</stp>
        <stp>0</stp>
        <tr r="G3" s="61"/>
        <tr r="F4" s="61"/>
        <tr r="E5" s="61"/>
      </tp>
      <tp>
        <v>70.100000000000009</v>
        <stp/>
        <stp>108</stp>
        <stp>NVDA_012122C170</stp>
        <stp>TDA</stp>
        <stp>0</stp>
        <stp>0</stp>
        <stp>0</stp>
        <stp>0</stp>
        <stp>0</stp>
        <tr r="F6" s="61"/>
        <tr r="H4" s="61"/>
        <tr r="E7" s="61"/>
        <tr r="G5" s="61"/>
        <tr r="I3" s="61"/>
      </tp>
      <tp>
        <v>82.3</v>
        <stp/>
        <stp>108</stp>
        <stp>NVDA_012122C150</stp>
        <stp>TDA</stp>
        <stp>0</stp>
        <stp>0</stp>
        <stp>0</stp>
        <stp>0</stp>
        <stp>0</stp>
        <tr r="E3" s="61"/>
      </tp>
      <tp>
        <v>36.1</v>
        <stp/>
        <stp>108</stp>
        <stp>NVDA_032020C180</stp>
        <stp>TDA</stp>
        <stp>0</stp>
        <stp>0</stp>
        <stp>0</stp>
        <stp>0</stp>
        <stp>0</stp>
        <tr r="F104" s="61"/>
        <tr r="H102" s="61"/>
        <tr r="G103" s="61"/>
        <tr r="E105" s="61"/>
        <tr r="I101" s="61"/>
      </tp>
      <tp>
        <v>28.900000000000002</v>
        <stp/>
        <stp>108</stp>
        <stp>NVDA_032020C190</stp>
        <stp>TDA</stp>
        <stp>0</stp>
        <stp>0</stp>
        <stp>0</stp>
        <stp>0</stp>
        <stp>0</stp>
        <tr r="F106" s="61"/>
        <tr r="G105" s="61"/>
        <tr r="E107" s="61"/>
        <tr r="H104" s="61"/>
        <tr r="I103" s="61"/>
      </tp>
      <tp>
        <v>52.550000000000004</v>
        <stp/>
        <stp>108</stp>
        <stp>NVDA_032020C160</stp>
        <stp>TDA</stp>
        <stp>0</stp>
        <stp>0</stp>
        <stp>0</stp>
        <stp>0</stp>
        <stp>0</stp>
        <tr r="F100" s="61"/>
        <tr r="G99" s="61"/>
        <tr r="E101" s="61"/>
      </tp>
      <tp>
        <v>44.050000000000004</v>
        <stp/>
        <stp>108</stp>
        <stp>NVDA_032020C170</stp>
        <stp>TDA</stp>
        <stp>0</stp>
        <stp>0</stp>
        <stp>0</stp>
        <stp>0</stp>
        <stp>0</stp>
        <tr r="F102" s="61"/>
        <tr r="E103" s="61"/>
        <tr r="G101" s="61"/>
        <tr r="H100" s="61"/>
        <tr r="I99" s="61"/>
      </tp>
      <tp>
        <v>61.6</v>
        <stp/>
        <stp>108</stp>
        <stp>NVDA_032020C150</stp>
        <stp>TDA</stp>
        <stp>0</stp>
        <stp>0</stp>
        <stp>0</stp>
        <stp>0</stp>
        <stp>0</stp>
        <tr r="E99" s="61"/>
      </tp>
      <tp>
        <v>0.66190000000000004</v>
        <stp/>
        <stp>204</stp>
        <stp>BRKB_011521C210</stp>
        <stp>TDA</stp>
        <stp>0</stp>
        <stp>0</stp>
        <stp>0</stp>
        <stp>0</stp>
        <stp>0</stp>
        <tr r="O50" s="67"/>
      </tp>
      <tp>
        <v>17.400000000000002</v>
        <stp/>
        <stp>108</stp>
        <stp>NVDA_061920C225</stp>
        <stp>TDA</stp>
        <stp>0</stp>
        <stp>0</stp>
        <stp>0</stp>
        <stp>0</stp>
        <stp>0</stp>
        <tr r="H87" s="61"/>
        <tr r="I86" s="61"/>
        <tr r="F89" s="61"/>
        <tr r="E90" s="61"/>
        <tr r="G88" s="61"/>
      </tp>
      <tp>
        <v>13.850000000000001</v>
        <stp/>
        <stp>108</stp>
        <stp>NVDA_061920C235</stp>
        <stp>TDA</stp>
        <stp>0</stp>
        <stp>0</stp>
        <stp>0</stp>
        <stp>0</stp>
        <stp>0</stp>
        <tr r="F91" s="61"/>
        <tr r="G90" s="61"/>
        <tr r="E92" s="61"/>
        <tr r="H89" s="61"/>
        <tr r="I88" s="61"/>
      </tp>
      <tp>
        <v>26.5</v>
        <stp/>
        <stp>108</stp>
        <stp>NVDA_061920C205</stp>
        <stp>TDA</stp>
        <stp>0</stp>
        <stp>0</stp>
        <stp>0</stp>
        <stp>0</stp>
        <stp>0</stp>
        <tr r="F85" s="61"/>
        <tr r="G84" s="61"/>
        <tr r="H83" s="61"/>
        <tr r="I82" s="61"/>
        <tr r="E86" s="61"/>
      </tp>
      <tp>
        <v>21.6</v>
        <stp/>
        <stp>108</stp>
        <stp>NVDA_061920C215</stp>
        <stp>TDA</stp>
        <stp>0</stp>
        <stp>0</stp>
        <stp>0</stp>
        <stp>0</stp>
        <stp>0</stp>
        <tr r="F87" s="61"/>
        <tr r="G86" s="61"/>
        <tr r="I84" s="61"/>
        <tr r="E88" s="61"/>
        <tr r="H85" s="61"/>
      </tp>
      <tp>
        <v>6.5</v>
        <stp/>
        <stp>108</stp>
        <stp>NVDA_061920C265</stp>
        <stp>TDA</stp>
        <stp>0</stp>
        <stp>0</stp>
        <stp>0</stp>
        <stp>0</stp>
        <stp>0</stp>
        <tr r="H95" s="61"/>
        <tr r="I94" s="61"/>
      </tp>
      <tp>
        <v>10.85</v>
        <stp/>
        <stp>108</stp>
        <stp>NVDA_061920C245</stp>
        <stp>TDA</stp>
        <stp>0</stp>
        <stp>0</stp>
        <stp>0</stp>
        <stp>0</stp>
        <stp>0</stp>
        <tr r="F93" s="61"/>
        <tr r="E94" s="61"/>
        <tr r="G92" s="61"/>
        <tr r="H91" s="61"/>
        <tr r="I90" s="61"/>
      </tp>
      <tp>
        <v>8.4500000000000011</v>
        <stp/>
        <stp>108</stp>
        <stp>NVDA_061920C255</stp>
        <stp>TDA</stp>
        <stp>0</stp>
        <stp>0</stp>
        <stp>0</stp>
        <stp>0</stp>
        <stp>0</stp>
        <tr r="F95" s="61"/>
        <tr r="G94" s="61"/>
        <tr r="H93" s="61"/>
        <tr r="I92" s="61"/>
      </tp>
      <tp>
        <v>38.300000000000004</v>
        <stp/>
        <stp>108</stp>
        <stp>NVDA_061920C185</stp>
        <stp>TDA</stp>
        <stp>0</stp>
        <stp>0</stp>
        <stp>0</stp>
        <stp>0</stp>
        <stp>0</stp>
        <tr r="H79" s="61"/>
        <tr r="F81" s="61"/>
        <tr r="E82" s="61"/>
        <tr r="G80" s="61"/>
        <tr r="I78" s="61"/>
      </tp>
      <tp>
        <v>32.050000000000004</v>
        <stp/>
        <stp>108</stp>
        <stp>NVDA_061920C195</stp>
        <stp>TDA</stp>
        <stp>0</stp>
        <stp>0</stp>
        <stp>0</stp>
        <stp>0</stp>
        <stp>0</stp>
        <tr r="F83" s="61"/>
        <tr r="H81" s="61"/>
        <tr r="E84" s="61"/>
        <tr r="G82" s="61"/>
        <tr r="I80" s="61"/>
      </tp>
      <tp>
        <v>52.6</v>
        <stp/>
        <stp>108</stp>
        <stp>NVDA_061920C165</stp>
        <stp>TDA</stp>
        <stp>0</stp>
        <stp>0</stp>
        <stp>0</stp>
        <stp>0</stp>
        <stp>0</stp>
        <tr r="F77" s="61"/>
        <tr r="G76" s="61"/>
        <tr r="E78" s="61"/>
        <tr r="H75" s="61"/>
      </tp>
      <tp>
        <v>45.2</v>
        <stp/>
        <stp>108</stp>
        <stp>NVDA_061920C175</stp>
        <stp>TDA</stp>
        <stp>0</stp>
        <stp>0</stp>
        <stp>0</stp>
        <stp>0</stp>
        <stp>0</stp>
        <tr r="F79" s="61"/>
        <tr r="E80" s="61"/>
        <tr r="G78" s="61"/>
        <tr r="H77" s="61"/>
        <tr r="I76" s="61"/>
      </tp>
      <tp>
        <v>60.6</v>
        <stp/>
        <stp>108</stp>
        <stp>NVDA_061920C155</stp>
        <stp>TDA</stp>
        <stp>0</stp>
        <stp>0</stp>
        <stp>0</stp>
        <stp>0</stp>
        <stp>0</stp>
        <tr r="F75" s="61"/>
        <tr r="E76" s="61"/>
      </tp>
      <tp>
        <v>9.3000000000000007</v>
        <stp/>
        <stp>108</stp>
        <stp>TEAM_061920P110</stp>
        <stp>TDA</stp>
        <stp>0</stp>
        <stp>0</stp>
        <stp>0</stp>
        <stp>0</stp>
        <stp>0</stp>
        <tr r="E63" s="33"/>
      </tp>
      <tp>
        <v>18.600000000000001</v>
        <stp/>
        <stp>108</stp>
        <stp>TEAM_061920P130</stp>
        <stp>TDA</stp>
        <stp>0</stp>
        <stp>0</stp>
        <stp>0</stp>
        <stp>0</stp>
        <stp>0</stp>
        <tr r="E67" s="33"/>
      </tp>
      <tp>
        <v>13.4</v>
        <stp/>
        <stp>108</stp>
        <stp>TEAM_061920P120</stp>
        <stp>TDA</stp>
        <stp>0</stp>
        <stp>0</stp>
        <stp>0</stp>
        <stp>0</stp>
        <stp>0</stp>
        <tr r="E65" s="33"/>
      </tp>
      <tp>
        <v>24.8</v>
        <stp/>
        <stp>108</stp>
        <stp>TEAM_061920P140</stp>
        <stp>TDA</stp>
        <stp>0</stp>
        <stp>0</stp>
        <stp>0</stp>
        <stp>0</stp>
        <stp>0</stp>
        <tr r="E69" s="33"/>
      </tp>
      <tp>
        <v>0</v>
        <stp/>
        <stp>107</stp>
        <stp>TEAM_120619P112</stp>
        <stp>TDA</stp>
        <stp>0</stp>
        <stp>0</stp>
        <stp>0</stp>
        <stp>0</stp>
        <stp>0</stp>
        <tr r="D9" s="33"/>
      </tp>
      <tp t="s">
        <v>TEAM Dec 6 2019 107 Put (Weekly)</v>
        <stp/>
        <stp>112</stp>
        <stp>TEAM_120619P107</stp>
        <stp>TDA</stp>
        <stp>0</stp>
        <stp>0</stp>
        <stp>0</stp>
        <stp>0</stp>
        <stp>0</stp>
        <tr r="S4" s="33"/>
      </tp>
      <tp t="s">
        <v>TEAM Dec 6 2019 117 Put (Weekly)</v>
        <stp/>
        <stp>112</stp>
        <stp>TEAM_120619P117</stp>
        <stp>TDA</stp>
        <stp>0</stp>
        <stp>0</stp>
        <stp>0</stp>
        <stp>0</stp>
        <stp>0</stp>
        <tr r="S14" s="33"/>
      </tp>
      <tp>
        <v>7.6000000000000005</v>
        <stp/>
        <stp>108</stp>
        <stp>TEAM_032020P115</stp>
        <stp>TDA</stp>
        <stp>0</stp>
        <stp>0</stp>
        <stp>0</stp>
        <stp>0</stp>
        <stp>0</stp>
        <tr r="E48" s="33"/>
      </tp>
      <tp>
        <v>4.5</v>
        <stp/>
        <stp>108</stp>
        <stp>TEAM_032020P105</stp>
        <stp>TDA</stp>
        <stp>0</stp>
        <stp>0</stp>
        <stp>0</stp>
        <stp>0</stp>
        <stp>0</stp>
        <tr r="E46" s="33"/>
      </tp>
      <tp>
        <v>18.100000000000001</v>
        <stp/>
        <stp>108</stp>
        <stp>TEAM_032020P135</stp>
        <stp>TDA</stp>
        <stp>0</stp>
        <stp>0</stp>
        <stp>0</stp>
        <stp>0</stp>
        <stp>0</stp>
        <tr r="E52" s="33"/>
      </tp>
      <tp>
        <v>12.100000000000001</v>
        <stp/>
        <stp>108</stp>
        <stp>TEAM_032020P125</stp>
        <stp>TDA</stp>
        <stp>0</stp>
        <stp>0</stp>
        <stp>0</stp>
        <stp>0</stp>
        <stp>0</stp>
        <tr r="E50" s="33"/>
      </tp>
      <tp>
        <v>-0.35320000000000001</v>
        <stp/>
        <stp>204</stp>
        <stp>BRKB_011521P210</stp>
        <stp>TDA</stp>
        <stp>0</stp>
        <stp>0</stp>
        <stp>0</stp>
        <stp>0</stp>
        <stp>0</stp>
        <tr r="O4" s="67"/>
      </tp>
      <tp>
        <v>36.700000000000003</v>
        <stp/>
        <stp>108</stp>
        <stp>NVDA_061821C225</stp>
        <stp>TDA</stp>
        <stp>0</stp>
        <stp>0</stp>
        <stp>0</stp>
        <stp>0</stp>
        <stp>0</stp>
        <tr r="F41" s="61"/>
        <tr r="E42" s="61"/>
        <tr r="G40" s="61"/>
        <tr r="H39" s="61"/>
        <tr r="I38" s="61"/>
      </tp>
      <tp>
        <v>32.9</v>
        <stp/>
        <stp>108</stp>
        <stp>NVDA_061821C235</stp>
        <stp>TDA</stp>
        <stp>0</stp>
        <stp>0</stp>
        <stp>0</stp>
        <stp>0</stp>
        <stp>0</stp>
        <tr r="F43" s="61"/>
        <tr r="G42" s="61"/>
        <tr r="E44" s="61"/>
        <tr r="H41" s="61"/>
        <tr r="I40" s="61"/>
      </tp>
      <tp>
        <v>45.300000000000004</v>
        <stp/>
        <stp>108</stp>
        <stp>NVDA_061821C205</stp>
        <stp>TDA</stp>
        <stp>0</stp>
        <stp>0</stp>
        <stp>0</stp>
        <stp>0</stp>
        <stp>0</stp>
        <tr r="H35" s="61"/>
        <tr r="G36" s="61"/>
        <tr r="I34" s="61"/>
        <tr r="F37" s="61"/>
        <tr r="E38" s="61"/>
      </tp>
      <tp>
        <v>40.85</v>
        <stp/>
        <stp>108</stp>
        <stp>NVDA_061821C215</stp>
        <stp>TDA</stp>
        <stp>0</stp>
        <stp>0</stp>
        <stp>0</stp>
        <stp>0</stp>
        <stp>0</stp>
        <tr r="I36" s="61"/>
        <tr r="F39" s="61"/>
        <tr r="G38" s="61"/>
        <tr r="E40" s="61"/>
        <tr r="H37" s="61"/>
      </tp>
      <tp>
        <v>23.400000000000002</v>
        <stp/>
        <stp>108</stp>
        <stp>NVDA_061821C265</stp>
        <stp>TDA</stp>
        <stp>0</stp>
        <stp>0</stp>
        <stp>0</stp>
        <stp>0</stp>
        <stp>0</stp>
        <tr r="I46" s="61"/>
        <tr r="H47" s="61"/>
      </tp>
      <tp>
        <v>29.400000000000002</v>
        <stp/>
        <stp>108</stp>
        <stp>NVDA_061821C245</stp>
        <stp>TDA</stp>
        <stp>0</stp>
        <stp>0</stp>
        <stp>0</stp>
        <stp>0</stp>
        <stp>0</stp>
        <tr r="F45" s="61"/>
        <tr r="E46" s="61"/>
        <tr r="G44" s="61"/>
        <tr r="H43" s="61"/>
        <tr r="I42" s="61"/>
      </tp>
      <tp>
        <v>26.25</v>
        <stp/>
        <stp>108</stp>
        <stp>NVDA_061821C255</stp>
        <stp>TDA</stp>
        <stp>0</stp>
        <stp>0</stp>
        <stp>0</stp>
        <stp>0</stp>
        <stp>0</stp>
        <tr r="G46" s="61"/>
        <tr r="H45" s="61"/>
        <tr r="I44" s="61"/>
        <tr r="F47" s="61"/>
      </tp>
      <tp>
        <v>55.550000000000004</v>
        <stp/>
        <stp>108</stp>
        <stp>NVDA_061821C185</stp>
        <stp>TDA</stp>
        <stp>0</stp>
        <stp>0</stp>
        <stp>0</stp>
        <stp>0</stp>
        <stp>0</stp>
        <tr r="F33" s="61"/>
        <tr r="E34" s="61"/>
        <tr r="G32" s="61"/>
        <tr r="H31" s="61"/>
        <tr r="I30" s="61"/>
      </tp>
      <tp>
        <v>50.2</v>
        <stp/>
        <stp>108</stp>
        <stp>NVDA_061821C195</stp>
        <stp>TDA</stp>
        <stp>0</stp>
        <stp>0</stp>
        <stp>0</stp>
        <stp>0</stp>
        <stp>0</stp>
        <tr r="F35" s="61"/>
        <tr r="H33" s="61"/>
        <tr r="E36" s="61"/>
        <tr r="G34" s="61"/>
        <tr r="I32" s="61"/>
      </tp>
      <tp>
        <v>67.55</v>
        <stp/>
        <stp>108</stp>
        <stp>NVDA_061821C165</stp>
        <stp>TDA</stp>
        <stp>0</stp>
        <stp>0</stp>
        <stp>0</stp>
        <stp>0</stp>
        <stp>0</stp>
        <tr r="F29" s="61"/>
        <tr r="H27" s="61"/>
        <tr r="G28" s="61"/>
        <tr r="E30" s="61"/>
      </tp>
      <tp>
        <v>61.300000000000004</v>
        <stp/>
        <stp>108</stp>
        <stp>NVDA_061821C175</stp>
        <stp>TDA</stp>
        <stp>0</stp>
        <stp>0</stp>
        <stp>0</stp>
        <stp>0</stp>
        <stp>0</stp>
        <tr r="F31" s="61"/>
        <tr r="G30" s="61"/>
        <tr r="E32" s="61"/>
        <tr r="I28" s="61"/>
        <tr r="H29" s="61"/>
      </tp>
      <tp>
        <v>74.150000000000006</v>
        <stp/>
        <stp>108</stp>
        <stp>NVDA_061821C155</stp>
        <stp>TDA</stp>
        <stp>0</stp>
        <stp>0</stp>
        <stp>0</stp>
        <stp>0</stp>
        <stp>0</stp>
        <tr r="F27" s="61"/>
        <tr r="E28" s="61"/>
      </tp>
      <tp>
        <v>0</v>
        <stp/>
        <stp>107</stp>
        <stp>TEAM_120619P113</stp>
        <stp>TDA</stp>
        <stp>0</stp>
        <stp>0</stp>
        <stp>0</stp>
        <stp>0</stp>
        <stp>0</stp>
        <tr r="D10" s="33"/>
      </tp>
      <tp t="s">
        <v>TEAM Dec 6 2019 106 Put (Weekly)</v>
        <stp/>
        <stp>112</stp>
        <stp>TEAM_120619P106</stp>
        <stp>TDA</stp>
        <stp>0</stp>
        <stp>0</stp>
        <stp>0</stp>
        <stp>0</stp>
        <stp>0</stp>
        <tr r="S3" s="33"/>
      </tp>
      <tp t="s">
        <v>TEAM Dec 6 2019 116 Put (Weekly)</v>
        <stp/>
        <stp>112</stp>
        <stp>TEAM_120619P116</stp>
        <stp>TDA</stp>
        <stp>0</stp>
        <stp>0</stp>
        <stp>0</stp>
        <stp>0</stp>
        <stp>0</stp>
        <tr r="S13" s="33"/>
      </tp>
      <tp>
        <v>10.9</v>
        <stp/>
        <stp>107</stp>
        <stp>TEAM_082120P110</stp>
        <stp>TDA</stp>
        <stp>0</stp>
        <stp>0</stp>
        <stp>0</stp>
        <stp>0</stp>
        <stp>0</stp>
        <tr r="D71" s="33"/>
      </tp>
      <tp>
        <v>6.3000000000000007</v>
        <stp/>
        <stp>108</stp>
        <stp>TEAM_022120P115</stp>
        <stp>TDA</stp>
        <stp>0</stp>
        <stp>0</stp>
        <stp>0</stp>
        <stp>0</stp>
        <stp>0</stp>
        <tr r="E42" s="33"/>
      </tp>
      <tp t="s">
        <v>TEAM Aug 21 2020 105 Put</v>
        <stp/>
        <stp>112</stp>
        <stp>TEAM_082120P105</stp>
        <stp>TDA</stp>
        <stp>0</stp>
        <stp>0</stp>
        <stp>0</stp>
        <stp>0</stp>
        <stp>0</stp>
        <tr r="S70" s="33"/>
      </tp>
      <tp>
        <v>3.5</v>
        <stp/>
        <stp>108</stp>
        <stp>TEAM_022120P105</stp>
        <stp>TDA</stp>
        <stp>0</stp>
        <stp>0</stp>
        <stp>0</stp>
        <stp>0</stp>
        <stp>0</stp>
        <tr r="E40" s="33"/>
      </tp>
      <tp t="s">
        <v>TEAM Aug 21 2020 115 Put</v>
        <stp/>
        <stp>112</stp>
        <stp>TEAM_082120P115</stp>
        <stp>TDA</stp>
        <stp>0</stp>
        <stp>0</stp>
        <stp>0</stp>
        <stp>0</stp>
        <stp>0</stp>
        <tr r="S72" s="33"/>
      </tp>
      <tp>
        <v>20.3</v>
        <stp/>
        <stp>107</stp>
        <stp>TEAM_082120P130</stp>
        <stp>TDA</stp>
        <stp>0</stp>
        <stp>0</stp>
        <stp>0</stp>
        <stp>0</stp>
        <stp>0</stp>
        <tr r="D75" s="33"/>
      </tp>
      <tp t="s">
        <v>TEAM Aug 21 2020 125 Put</v>
        <stp/>
        <stp>112</stp>
        <stp>TEAM_082120P125</stp>
        <stp>TDA</stp>
        <stp>0</stp>
        <stp>0</stp>
        <stp>0</stp>
        <stp>0</stp>
        <stp>0</stp>
        <tr r="S74" s="33"/>
      </tp>
      <tp>
        <v>15.100000000000001</v>
        <stp/>
        <stp>107</stp>
        <stp>TEAM_082120P120</stp>
        <stp>TDA</stp>
        <stp>0</stp>
        <stp>0</stp>
        <stp>0</stp>
        <stp>0</stp>
        <stp>0</stp>
        <tr r="D73" s="33"/>
      </tp>
      <tp>
        <v>10.700000000000001</v>
        <stp/>
        <stp>108</stp>
        <stp>TEAM_022120P125</stp>
        <stp>TDA</stp>
        <stp>0</stp>
        <stp>0</stp>
        <stp>0</stp>
        <stp>0</stp>
        <stp>0</stp>
        <tr r="E44" s="33"/>
      </tp>
      <tp t="s">
        <v>TEAM Aug 21 2020 135 Put</v>
        <stp/>
        <stp>112</stp>
        <stp>TEAM_082120P135</stp>
        <stp>TDA</stp>
        <stp>0</stp>
        <stp>0</stp>
        <stp>0</stp>
        <stp>0</stp>
        <stp>0</stp>
        <tr r="S76" s="33"/>
      </tp>
      <tp>
        <v>26.400000000000002</v>
        <stp/>
        <stp>107</stp>
        <stp>TEAM_082120P140</stp>
        <stp>TDA</stp>
        <stp>0</stp>
        <stp>0</stp>
        <stp>0</stp>
        <stp>0</stp>
        <stp>0</stp>
        <tr r="D77" s="33"/>
      </tp>
      <tp>
        <v>3.0000000000000002E-2</v>
        <stp/>
        <stp>108</stp>
        <stp>NVDA_011720C300</stp>
        <stp>TDA</stp>
        <stp>0</stp>
        <stp>0</stp>
        <stp>0</stp>
        <stp>0</stp>
        <stp>0</stp>
        <tr r="D22" s="58"/>
      </tp>
      <tp>
        <v>7.0000000000000007E-2</v>
        <stp/>
        <stp>108</stp>
        <stp>NVDA_011720C280</stp>
        <stp>TDA</stp>
        <stp>0</stp>
        <stp>0</stp>
        <stp>0</stp>
        <stp>0</stp>
        <stp>0</stp>
        <tr r="D18" s="58"/>
      </tp>
      <tp>
        <v>0.04</v>
        <stp/>
        <stp>108</stp>
        <stp>NVDA_011720C290</stp>
        <stp>TDA</stp>
        <stp>0</stp>
        <stp>0</stp>
        <stp>0</stp>
        <stp>0</stp>
        <stp>0</stp>
        <tr r="D20" s="58"/>
      </tp>
      <tp>
        <v>5.55</v>
        <stp/>
        <stp>108</stp>
        <stp>NVDA_011720C220</stp>
        <stp>TDA</stp>
        <stp>0</stp>
        <stp>0</stp>
        <stp>0</stp>
        <stp>0</stp>
        <stp>0</stp>
        <tr r="D6" s="58"/>
      </tp>
      <tp>
        <v>2.79</v>
        <stp/>
        <stp>108</stp>
        <stp>NVDA_011720C230</stp>
        <stp>TDA</stp>
        <stp>0</stp>
        <stp>0</stp>
        <stp>0</stp>
        <stp>0</stp>
        <stp>0</stp>
        <tr r="D8" s="58"/>
      </tp>
      <tp>
        <v>15.75</v>
        <stp/>
        <stp>108</stp>
        <stp>NVDA_011720C200</stp>
        <stp>TDA</stp>
        <stp>0</stp>
        <stp>0</stp>
        <stp>0</stp>
        <stp>0</stp>
        <stp>0</stp>
        <tr r="D2" s="58"/>
      </tp>
      <tp>
        <v>9.8000000000000007</v>
        <stp/>
        <stp>108</stp>
        <stp>NVDA_011720C210</stp>
        <stp>TDA</stp>
        <stp>0</stp>
        <stp>0</stp>
        <stp>0</stp>
        <stp>0</stp>
        <stp>0</stp>
        <tr r="D4" s="58"/>
      </tp>
      <tp>
        <v>0.27</v>
        <stp/>
        <stp>108</stp>
        <stp>NVDA_011720C260</stp>
        <stp>TDA</stp>
        <stp>0</stp>
        <stp>0</stp>
        <stp>0</stp>
        <stp>0</stp>
        <stp>0</stp>
        <tr r="D14" s="58"/>
      </tp>
      <tp>
        <v>0.13</v>
        <stp/>
        <stp>108</stp>
        <stp>NVDA_011720C270</stp>
        <stp>TDA</stp>
        <stp>0</stp>
        <stp>0</stp>
        <stp>0</stp>
        <stp>0</stp>
        <stp>0</stp>
        <tr r="D16" s="58"/>
      </tp>
      <tp>
        <v>1.29</v>
        <stp/>
        <stp>108</stp>
        <stp>NVDA_011720C240</stp>
        <stp>TDA</stp>
        <stp>0</stp>
        <stp>0</stp>
        <stp>0</stp>
        <stp>0</stp>
        <stp>0</stp>
        <tr r="D10" s="58"/>
      </tp>
      <tp>
        <v>0.57000000000000006</v>
        <stp/>
        <stp>108</stp>
        <stp>NVDA_011720C250</stp>
        <stp>TDA</stp>
        <stp>0</stp>
        <stp>0</stp>
        <stp>0</stp>
        <stp>0</stp>
        <stp>0</stp>
        <tr r="D12" s="58"/>
      </tp>
      <tp>
        <v>4.1000000000000005</v>
        <stp/>
        <stp>108</stp>
        <stp>TEAM_011720P115</stp>
        <stp>TDA</stp>
        <stp>0</stp>
        <stp>0</stp>
        <stp>0</stp>
        <stp>0</stp>
        <stp>0</stp>
        <tr r="E34" s="33"/>
      </tp>
      <tp>
        <v>1.8</v>
        <stp/>
        <stp>108</stp>
        <stp>TEAM_011720P105</stp>
        <stp>TDA</stp>
        <stp>0</stp>
        <stp>0</stp>
        <stp>0</stp>
        <stp>0</stp>
        <stp>0</stp>
        <tr r="E32" s="33"/>
      </tp>
      <tp>
        <v>8.2000000000000011</v>
        <stp/>
        <stp>108</stp>
        <stp>TEAM_011720P125</stp>
        <stp>TDA</stp>
        <stp>0</stp>
        <stp>0</stp>
        <stp>0</stp>
        <stp>0</stp>
        <stp>0</stp>
        <tr r="E36" s="33"/>
      </tp>
      <tp>
        <v>6.2</v>
        <stp/>
        <stp>107</stp>
        <stp>TEAM_120619P130</stp>
        <stp>TDA</stp>
        <stp>0</stp>
        <stp>0</stp>
        <stp>0</stp>
        <stp>0</stp>
        <stp>0</stp>
        <tr r="D19" s="33"/>
      </tp>
      <tp t="s">
        <v>TEAM Dec 6 2019 125 Put (Weekly)</v>
        <stp/>
        <stp>112</stp>
        <stp>TEAM_120619P125</stp>
        <stp>TDA</stp>
        <stp>0</stp>
        <stp>0</stp>
        <stp>0</stp>
        <stp>0</stp>
        <stp>0</stp>
        <tr r="S18" s="33"/>
      </tp>
      <tp>
        <v>0.5</v>
        <stp/>
        <stp>107</stp>
        <stp>TEAM_120619P120</stp>
        <stp>TDA</stp>
        <stp>0</stp>
        <stp>0</stp>
        <stp>0</stp>
        <stp>0</stp>
        <stp>0</stp>
        <tr r="D17" s="33"/>
      </tp>
      <tp t="s">
        <v>TEAM Dec 6 2019 135 Put (Weekly)</v>
        <stp/>
        <stp>112</stp>
        <stp>TEAM_120619P135</stp>
        <stp>TDA</stp>
        <stp>0</stp>
        <stp>0</stp>
        <stp>0</stp>
        <stp>0</stp>
        <stp>0</stp>
        <tr r="S20" s="33"/>
      </tp>
      <tp>
        <v>0</v>
        <stp/>
        <stp>107</stp>
        <stp>TEAM_120619P110</stp>
        <stp>TDA</stp>
        <stp>0</stp>
        <stp>0</stp>
        <stp>0</stp>
        <stp>0</stp>
        <stp>0</stp>
        <tr r="D7" s="33"/>
      </tp>
      <tp t="s">
        <v>TEAM Dec 6 2019 105 Put (Weekly)</v>
        <stp/>
        <stp>112</stp>
        <stp>TEAM_120619P105</stp>
        <stp>TDA</stp>
        <stp>0</stp>
        <stp>0</stp>
        <stp>0</stp>
        <stp>0</stp>
        <stp>0</stp>
        <tr r="S2" s="33"/>
      </tp>
      <tp t="s">
        <v>TEAM Dec 6 2019 115 Put (Weekly)</v>
        <stp/>
        <stp>112</stp>
        <stp>TEAM_120619P115</stp>
        <stp>TDA</stp>
        <stp>0</stp>
        <stp>0</stp>
        <stp>0</stp>
        <stp>0</stp>
        <stp>0</stp>
        <tr r="S12" s="33"/>
      </tp>
      <tp>
        <v>15.700000000000001</v>
        <stp/>
        <stp>107</stp>
        <stp>TEAM_120619P140</stp>
        <stp>TDA</stp>
        <stp>0</stp>
        <stp>0</stp>
        <stp>0</stp>
        <stp>0</stp>
        <stp>0</stp>
        <tr r="D21" s="33"/>
      </tp>
      <tp>
        <v>7.8000000000000007</v>
        <stp/>
        <stp>107</stp>
        <stp>TEAM_122019P130</stp>
        <stp>TDA</stp>
        <stp>0</stp>
        <stp>0</stp>
        <stp>0</stp>
        <stp>0</stp>
        <stp>0</stp>
        <tr r="D27" s="33"/>
      </tp>
      <tp t="s">
        <v>TEAM Dec 20 2019 125 Put</v>
        <stp/>
        <stp>112</stp>
        <stp>TEAM_122019P125</stp>
        <stp>TDA</stp>
        <stp>0</stp>
        <stp>0</stp>
        <stp>0</stp>
        <stp>0</stp>
        <stp>0</stp>
        <tr r="S26" s="33"/>
      </tp>
      <tp>
        <v>2.5</v>
        <stp/>
        <stp>107</stp>
        <stp>TEAM_122019P120</stp>
        <stp>TDA</stp>
        <stp>0</stp>
        <stp>0</stp>
        <stp>0</stp>
        <stp>0</stp>
        <stp>0</stp>
        <tr r="D25" s="33"/>
      </tp>
      <tp t="s">
        <v>TEAM Dec 20 2019 135 Put</v>
        <stp/>
        <stp>112</stp>
        <stp>TEAM_122019P135</stp>
        <stp>TDA</stp>
        <stp>0</stp>
        <stp>0</stp>
        <stp>0</stp>
        <stp>0</stp>
        <stp>0</stp>
        <tr r="S28" s="33"/>
      </tp>
      <tp>
        <v>0.55000000000000004</v>
        <stp/>
        <stp>107</stp>
        <stp>TEAM_122019P110</stp>
        <stp>TDA</stp>
        <stp>0</stp>
        <stp>0</stp>
        <stp>0</stp>
        <stp>0</stp>
        <stp>0</stp>
        <tr r="D23" s="33"/>
      </tp>
      <tp t="s">
        <v>TEAM Dec 20 2019 105 Put</v>
        <stp/>
        <stp>112</stp>
        <stp>TEAM_122019P105</stp>
        <stp>TDA</stp>
        <stp>0</stp>
        <stp>0</stp>
        <stp>0</stp>
        <stp>0</stp>
        <stp>0</stp>
        <tr r="S22" s="33"/>
      </tp>
      <tp t="s">
        <v>TEAM Dec 20 2019 115 Put</v>
        <stp/>
        <stp>112</stp>
        <stp>TEAM_122019P115</stp>
        <stp>TDA</stp>
        <stp>0</stp>
        <stp>0</stp>
        <stp>0</stp>
        <stp>0</stp>
        <stp>0</stp>
        <tr r="S24" s="33"/>
      </tp>
      <tp>
        <v>16.2</v>
        <stp/>
        <stp>107</stp>
        <stp>TEAM_122019P140</stp>
        <stp>TDA</stp>
        <stp>0</stp>
        <stp>0</stp>
        <stp>0</stp>
        <stp>0</stp>
        <stp>0</stp>
        <tr r="D29" s="33"/>
      </tp>
      <tp>
        <v>7.1000000000000005</v>
        <stp/>
        <stp>107</stp>
        <stp>CBOE_011720C115</stp>
        <stp>TDA</stp>
        <stp>0</stp>
        <stp>0</stp>
        <stp>0</stp>
        <stp>0</stp>
        <stp>0</stp>
        <tr r="G13" s="67"/>
      </tp>
      <tp>
        <v>25</v>
        <stp/>
        <stp>107</stp>
        <stp>BRKB_011521C210</stp>
        <stp>TDA</stp>
        <stp>0</stp>
        <stp>0</stp>
        <stp>0</stp>
        <stp>0</stp>
        <stp>0</stp>
        <tr r="G50" s="67"/>
      </tp>
      <tp>
        <v>31.25</v>
        <stp/>
        <stp>108</stp>
        <stp>NVDA_011521C220</stp>
        <stp>TDA</stp>
        <stp>0</stp>
        <stp>0</stp>
        <stp>0</stp>
        <stp>0</stp>
        <stp>0</stp>
        <tr r="F64" s="61"/>
        <tr r="E65" s="61"/>
        <tr r="G63" s="61"/>
        <tr r="H62" s="61"/>
        <tr r="I61" s="61"/>
      </tp>
      <tp>
        <v>27.450000000000003</v>
        <stp/>
        <stp>108</stp>
        <stp>NVDA_011521C230</stp>
        <stp>TDA</stp>
        <stp>0</stp>
        <stp>0</stp>
        <stp>0</stp>
        <stp>0</stp>
        <stp>0</stp>
        <tr r="F66" s="61"/>
        <tr r="E67" s="61"/>
        <tr r="G65" s="61"/>
        <tr r="H64" s="61"/>
        <tr r="I63" s="61"/>
      </tp>
      <tp>
        <v>40.65</v>
        <stp/>
        <stp>108</stp>
        <stp>NVDA_011521C200</stp>
        <stp>TDA</stp>
        <stp>0</stp>
        <stp>0</stp>
        <stp>0</stp>
        <stp>0</stp>
        <stp>0</stp>
        <tr r="G59" s="61"/>
        <tr r="F60" s="61"/>
        <tr r="H58" s="61"/>
        <tr r="I57" s="61"/>
        <tr r="E61" s="61"/>
      </tp>
      <tp>
        <v>35.75</v>
        <stp/>
        <stp>108</stp>
        <stp>NVDA_011521C210</stp>
        <stp>TDA</stp>
        <stp>0</stp>
        <stp>0</stp>
        <stp>0</stp>
        <stp>0</stp>
        <stp>0</stp>
        <tr r="I59" s="61"/>
        <tr r="H60" s="61"/>
        <tr r="F62" s="61"/>
        <tr r="E63" s="61"/>
        <tr r="G61" s="61"/>
      </tp>
      <tp>
        <v>17.8</v>
        <stp/>
        <stp>108</stp>
        <stp>NVDA_011521C260</stp>
        <stp>TDA</stp>
        <stp>0</stp>
        <stp>0</stp>
        <stp>0</stp>
        <stp>0</stp>
        <stp>0</stp>
        <tr r="G71" s="61"/>
        <tr r="I69" s="61"/>
        <tr r="H70" s="61"/>
      </tp>
      <tp>
        <v>15.3</v>
        <stp/>
        <stp>108</stp>
        <stp>NVDA_011521C270</stp>
        <stp>TDA</stp>
        <stp>0</stp>
        <stp>0</stp>
        <stp>0</stp>
        <stp>0</stp>
        <stp>0</stp>
        <tr r="I71" s="61"/>
      </tp>
      <tp>
        <v>23.75</v>
        <stp/>
        <stp>108</stp>
        <stp>NVDA_011521C240</stp>
        <stp>TDA</stp>
        <stp>0</stp>
        <stp>0</stp>
        <stp>0</stp>
        <stp>0</stp>
        <stp>0</stp>
        <tr r="F68" s="61"/>
        <tr r="E69" s="61"/>
        <tr r="G67" s="61"/>
        <tr r="H66" s="61"/>
        <tr r="I65" s="61"/>
      </tp>
      <tp>
        <v>20.6</v>
        <stp/>
        <stp>108</stp>
        <stp>NVDA_011521C250</stp>
        <stp>TDA</stp>
        <stp>0</stp>
        <stp>0</stp>
        <stp>0</stp>
        <stp>0</stp>
        <stp>0</stp>
        <tr r="F70" s="61"/>
        <tr r="E71" s="61"/>
        <tr r="G69" s="61"/>
        <tr r="H68" s="61"/>
        <tr r="I67" s="61"/>
      </tp>
      <tp>
        <v>51.85</v>
        <stp/>
        <stp>108</stp>
        <stp>NVDA_011521C180</stp>
        <stp>TDA</stp>
        <stp>0</stp>
        <stp>0</stp>
        <stp>0</stp>
        <stp>0</stp>
        <stp>0</stp>
        <tr r="F56" s="61"/>
        <tr r="G55" s="61"/>
        <tr r="I53" s="61"/>
        <tr r="H54" s="61"/>
        <tr r="E57" s="61"/>
      </tp>
      <tp>
        <v>45.95</v>
        <stp/>
        <stp>108</stp>
        <stp>NVDA_011521C190</stp>
        <stp>TDA</stp>
        <stp>0</stp>
        <stp>0</stp>
        <stp>0</stp>
        <stp>0</stp>
        <stp>0</stp>
        <tr r="F58" s="61"/>
        <tr r="H56" s="61"/>
        <tr r="G57" s="61"/>
        <tr r="E59" s="61"/>
        <tr r="I55" s="61"/>
      </tp>
      <tp>
        <v>88</v>
        <stp/>
        <stp>108</stp>
        <stp>NVDA_011521C130</stp>
        <stp>TDA</stp>
        <stp>0</stp>
        <stp>0</stp>
        <stp>0</stp>
        <stp>0</stp>
        <stp>0</stp>
        <tr r="G21" s="67"/>
      </tp>
      <tp>
        <v>65.400000000000006</v>
        <stp/>
        <stp>108</stp>
        <stp>NVDA_011521C160</stp>
        <stp>TDA</stp>
        <stp>0</stp>
        <stp>0</stp>
        <stp>0</stp>
        <stp>0</stp>
        <stp>0</stp>
        <tr r="F52" s="61"/>
        <tr r="G51" s="61"/>
        <tr r="E53" s="61"/>
      </tp>
      <tp>
        <v>58.2</v>
        <stp/>
        <stp>108</stp>
        <stp>NVDA_011521C170</stp>
        <stp>TDA</stp>
        <stp>0</stp>
        <stp>0</stp>
        <stp>0</stp>
        <stp>0</stp>
        <stp>0</stp>
        <tr r="F54" s="61"/>
        <tr r="E55" s="61"/>
        <tr r="I51" s="61"/>
        <tr r="H52" s="61"/>
        <tr r="G53" s="61"/>
      </tp>
      <tp>
        <v>72.05</v>
        <stp/>
        <stp>108</stp>
        <stp>NVDA_011521C150</stp>
        <stp>TDA</stp>
        <stp>0</stp>
        <stp>0</stp>
        <stp>0</stp>
        <stp>0</stp>
        <stp>0</stp>
        <tr r="E51" s="61"/>
      </tp>
      <tp>
        <v>17.400000000000002</v>
        <stp/>
        <stp>108</stp>
        <stp>TEAM_011521P115</stp>
        <stp>TDA</stp>
        <stp>0</stp>
        <stp>0</stp>
        <stp>0</stp>
        <stp>0</stp>
        <stp>0</stp>
        <tr r="E86" s="33"/>
        <tr r="E85" s="33"/>
      </tp>
      <tp>
        <v>8.3000000000000007</v>
        <stp/>
        <stp>108</stp>
        <stp>TEAM_051520P110</stp>
        <stp>TDA</stp>
        <stp>0</stp>
        <stp>0</stp>
        <stp>0</stp>
        <stp>0</stp>
        <stp>0</stp>
        <tr r="E55" s="33"/>
      </tp>
      <tp>
        <v>13.200000000000001</v>
        <stp/>
        <stp>108</stp>
        <stp>TEAM_011521P105</stp>
        <stp>TDA</stp>
        <stp>0</stp>
        <stp>0</stp>
        <stp>0</stp>
        <stp>0</stp>
        <stp>0</stp>
        <tr r="E82" s="33"/>
        <tr r="E81" s="33"/>
      </tp>
      <tp>
        <v>28.1</v>
        <stp/>
        <stp>108</stp>
        <stp>TEAM_011521P135</stp>
        <stp>TDA</stp>
        <stp>0</stp>
        <stp>0</stp>
        <stp>0</stp>
        <stp>0</stp>
        <stp>0</stp>
        <tr r="E92" s="33"/>
      </tp>
      <tp>
        <v>17.600000000000001</v>
        <stp/>
        <stp>108</stp>
        <stp>TEAM_051520P130</stp>
        <stp>TDA</stp>
        <stp>0</stp>
        <stp>0</stp>
        <stp>0</stp>
        <stp>0</stp>
        <stp>0</stp>
        <tr r="E59" s="33"/>
      </tp>
      <tp>
        <v>22.400000000000002</v>
        <stp/>
        <stp>108</stp>
        <stp>TEAM_011521P125</stp>
        <stp>TDA</stp>
        <stp>0</stp>
        <stp>0</stp>
        <stp>0</stp>
        <stp>0</stp>
        <stp>0</stp>
        <tr r="E90" s="33"/>
        <tr r="E89" s="33"/>
      </tp>
      <tp>
        <v>12.4</v>
        <stp/>
        <stp>108</stp>
        <stp>TEAM_051520P120</stp>
        <stp>TDA</stp>
        <stp>0</stp>
        <stp>0</stp>
        <stp>0</stp>
        <stp>0</stp>
        <stp>0</stp>
        <tr r="E57" s="33"/>
      </tp>
      <tp>
        <v>41.1</v>
        <stp/>
        <stp>108</stp>
        <stp>TEAM_011521P155</stp>
        <stp>TDA</stp>
        <stp>0</stp>
        <stp>0</stp>
        <stp>0</stp>
        <stp>0</stp>
        <stp>0</stp>
        <tr r="E96" s="33"/>
      </tp>
      <tp>
        <v>34.300000000000004</v>
        <stp/>
        <stp>108</stp>
        <stp>TEAM_011521P145</stp>
        <stp>TDA</stp>
        <stp>0</stp>
        <stp>0</stp>
        <stp>0</stp>
        <stp>0</stp>
        <stp>0</stp>
        <tr r="E94" s="33"/>
      </tp>
      <tp>
        <v>23.900000000000002</v>
        <stp/>
        <stp>108</stp>
        <stp>TEAM_051520P140</stp>
        <stp>TDA</stp>
        <stp>0</stp>
        <stp>0</stp>
        <stp>0</stp>
        <stp>0</stp>
        <stp>0</stp>
        <tr r="E61" s="33"/>
      </tp>
      <tp>
        <v>56.5</v>
        <stp/>
        <stp>108</stp>
        <stp>TEAM_011521P175</stp>
        <stp>TDA</stp>
        <stp>0</stp>
        <stp>0</stp>
        <stp>0</stp>
        <stp>0</stp>
        <stp>0</stp>
        <tr r="E100" s="33"/>
      </tp>
      <tp>
        <v>48.5</v>
        <stp/>
        <stp>108</stp>
        <stp>TEAM_011521P165</stp>
        <stp>TDA</stp>
        <stp>0</stp>
        <stp>0</stp>
        <stp>0</stp>
        <stp>0</stp>
        <stp>0</stp>
        <tr r="E98" s="33"/>
      </tp>
      <tp>
        <v>0</v>
        <stp/>
        <stp>107</stp>
        <stp>TEAM_120619P111</stp>
        <stp>TDA</stp>
        <stp>0</stp>
        <stp>0</stp>
        <stp>0</stp>
        <stp>0</stp>
        <stp>0</stp>
        <tr r="D8" s="33"/>
      </tp>
      <tp t="s">
        <v>TEAM Dec 6 2019 114 Put (Weekly)</v>
        <stp/>
        <stp>112</stp>
        <stp>TEAM_120619P114</stp>
        <stp>TDA</stp>
        <stp>0</stp>
        <stp>0</stp>
        <stp>0</stp>
        <stp>0</stp>
        <stp>0</stp>
        <tr r="S11" s="33"/>
      </tp>
      <tp>
        <v>12.350000000000001</v>
        <stp/>
        <stp>107</stp>
        <stp>BRKB_011521P210</stp>
        <stp>TDA</stp>
        <stp>0</stp>
        <stp>0</stp>
        <stp>0</stp>
        <stp>0</stp>
        <stp>0</stp>
        <tr r="G4" s="67"/>
      </tp>
      <tp t="s">
        <v>Shutterstock, Inc.</v>
        <stp/>
        <stp>112</stp>
        <stp>SSTK</stp>
        <stp/>
        <stp>0</stp>
        <stp>0</stp>
        <stp>0</stp>
        <stp>0</stp>
        <stp>0</stp>
        <tr r="H47" s="68"/>
      </tp>
      <tp t="s">
        <v>Skyworks Solutions, Inc.</v>
        <stp/>
        <stp>112</stp>
        <stp>SWKS</stp>
        <stp/>
        <stp>0</stp>
        <stp>0</stp>
        <stp>0</stp>
        <stp>0</stp>
        <stp>0</stp>
        <tr r="H21" s="68"/>
      </tp>
      <tp t="s">
        <v>Shopify Inc.</v>
        <stp/>
        <stp>112</stp>
        <stp>SHOP</stp>
        <stp/>
        <stp>0</stp>
        <stp>0</stp>
        <stp>0</stp>
        <stp>0</stp>
        <stp>0</stp>
        <tr r="H4" s="68"/>
      </tp>
      <tp t="s">
        <v>Stitch Fix, Inc.</v>
        <stp/>
        <stp>112</stp>
        <stp>SFIX</stp>
        <stp/>
        <stp>0</stp>
        <stp>0</stp>
        <stp>0</stp>
        <stp>0</stp>
        <stp>0</stp>
        <tr r="H44" s="68"/>
      </tp>
      <tp>
        <v>0</v>
        <stp/>
        <stp>117</stp>
        <stp>TTD</stp>
        <stp>TDA</stp>
        <stp>0</stp>
        <stp>0</stp>
        <stp>0</stp>
        <stp>0</stp>
        <stp>0</stp>
        <tr r="M9" s="68"/>
      </tp>
      <tp>
        <v>0</v>
        <stp/>
        <stp>167</stp>
        <stp>TTD</stp>
        <stp>TDA</stp>
        <stp>0</stp>
        <stp>0</stp>
        <stp>0</stp>
        <stp>0</stp>
        <stp>0</stp>
        <tr r="O9" s="68"/>
      </tp>
      <tp>
        <v>20.096700000000002</v>
        <stp/>
        <stp>124</stp>
        <stp>CAG</stp>
        <stp>TDA</stp>
        <stp>0</stp>
        <stp>0</stp>
        <stp>0</stp>
        <stp>0</stp>
        <stp>0</stp>
        <tr r="L53" s="68"/>
      </tp>
      <tp t="s">
        <v>Broadridge Financial Solutions,</v>
        <stp/>
        <stp>112</stp>
        <stp>BR</stp>
        <stp/>
        <stp>0</stp>
        <stp>0</stp>
        <stp>0</stp>
        <stp>0</stp>
        <stp>0</stp>
        <tr r="H19" s="68"/>
      </tp>
      <tp t="s">
        <v>BrightView Holdings, Inc.</v>
        <stp/>
        <stp>112</stp>
        <stp>BV</stp>
        <stp/>
        <stp>0</stp>
        <stp>0</stp>
        <stp>0</stp>
        <stp>0</stp>
        <stp>0</stp>
        <tr r="H43" s="68"/>
      </tp>
      <tp t="s">
        <v>Facebook, Inc.</v>
        <stp/>
        <stp>112</stp>
        <stp>FB</stp>
        <stp/>
        <stp>0</stp>
        <stp>0</stp>
        <stp>0</stp>
        <stp>0</stp>
        <stp>0</stp>
        <tr r="H55" s="68"/>
      </tp>
      <tp t="s">
        <v>JD.com, Inc.</v>
        <stp/>
        <stp>112</stp>
        <stp>JD</stp>
        <stp/>
        <stp>0</stp>
        <stp>0</stp>
        <stp>0</stp>
        <stp>0</stp>
        <stp>0</stp>
        <tr r="H46" s="68"/>
      </tp>
      <tp t="s">
        <v>Home Depot, Inc. (The)</v>
        <stp/>
        <stp>112</stp>
        <stp>HD</stp>
        <stp/>
        <stp>0</stp>
        <stp>0</stp>
        <stp>0</stp>
        <stp>0</stp>
        <stp>0</stp>
        <tr r="H38" s="68"/>
      </tp>
      <tp t="s">
        <v>Mastercard Incorporated</v>
        <stp/>
        <stp>112</stp>
        <stp>MA</stp>
        <stp/>
        <stp>0</stp>
        <stp>0</stp>
        <stp>0</stp>
        <stp>0</stp>
        <stp>0</stp>
        <tr r="H14" s="68"/>
      </tp>
      <tp t="s">
        <v>Square, Inc.</v>
        <stp/>
        <stp>112</stp>
        <stp>SQ</stp>
        <stp/>
        <stp>0</stp>
        <stp>0</stp>
        <stp>0</stp>
        <stp>0</stp>
        <stp>0</stp>
        <tr r="H15" s="68"/>
      </tp>
      <tp t="s">
        <v>Zscaler, Inc.</v>
        <stp/>
        <stp>112</stp>
        <stp>ZS</stp>
        <stp/>
        <stp>0</stp>
        <stp>0</stp>
        <stp>0</stp>
        <stp>0</stp>
        <stp>0</stp>
        <tr r="H35" s="68"/>
      </tp>
      <tp t="s">
        <v>Zoom Video Communications, Inc.</v>
        <stp/>
        <stp>112</stp>
        <stp>ZM</stp>
        <stp/>
        <stp>0</stp>
        <stp>0</stp>
        <stp>0</stp>
        <stp>0</stp>
        <stp>0</stp>
        <tr r="H32" s="68"/>
      </tp>
      <tp>
        <v>1.47</v>
        <stp/>
        <stp>117</stp>
        <stp>CME</stp>
        <stp>TDA</stp>
        <stp>0</stp>
        <stp>0</stp>
        <stp>0</stp>
        <stp>0</stp>
        <stp>0</stp>
        <tr r="M10" s="68"/>
      </tp>
      <tp>
        <v>3</v>
        <stp/>
        <stp>167</stp>
        <stp>CME</stp>
        <stp>TDA</stp>
        <stp>0</stp>
        <stp>0</stp>
        <stp>0</stp>
        <stp>0</stp>
        <stp>0</stp>
        <tr r="O10" s="68"/>
      </tp>
      <tp>
        <v>1.888111888111885</v>
        <stp/>
        <stp>115</stp>
        <stp>CAG</stp>
        <stp>TDA</stp>
        <stp>0</stp>
        <stp>0</stp>
        <stp>0</stp>
        <stp>0</stp>
        <stp>0</stp>
        <tr r="I53" s="68"/>
      </tp>
      <tp t="s">
        <v>QUALCOMM Incorporated</v>
        <stp/>
        <stp>112</stp>
        <stp>QCOM</stp>
        <stp/>
        <stp>0</stp>
        <stp>0</stp>
        <stp>0</stp>
        <stp>0</stp>
        <stp>0</stp>
        <tr r="H26" s="68"/>
      </tp>
      <tp>
        <v>3.616689823586376</v>
        <stp/>
        <stp>115</stp>
        <stp>TTD</stp>
        <stp>TDA</stp>
        <stp>0</stp>
        <stp>0</stp>
        <stp>0</stp>
        <stp>0</stp>
        <stp>0</stp>
        <tr r="I9" s="68"/>
      </tp>
      <tp>
        <v>35.721400000000003</v>
        <stp/>
        <stp>124</stp>
        <stp>CME</stp>
        <stp>TDA</stp>
        <stp>0</stp>
        <stp>0</stp>
        <stp>0</stp>
        <stp>0</stp>
        <stp>0</stp>
        <tr r="L10" s="68"/>
      </tp>
      <tp t="s">
        <v>PayPal Holdings, Inc.</v>
        <stp/>
        <stp>112</stp>
        <stp>PYPL</stp>
        <stp/>
        <stp>0</stp>
        <stp>0</stp>
        <stp>0</stp>
        <stp>0</stp>
        <stp>0</stp>
        <tr r="H18" s="68"/>
      </tp>
      <tp t="s">
        <v>Proto Labs, Inc.</v>
        <stp/>
        <stp>112</stp>
        <stp>PRLB</stp>
        <stp/>
        <stp>0</stp>
        <stp>0</stp>
        <stp>0</stp>
        <stp>0</stp>
        <stp>0</stp>
        <tr r="H25" s="68"/>
      </tp>
      <tp t="s">
        <v>Paycom Software, Inc.</v>
        <stp/>
        <stp>112</stp>
        <stp>PAYC</stp>
        <stp/>
        <stp>0</stp>
        <stp>0</stp>
        <stp>0</stp>
        <stp>0</stp>
        <stp>0</stp>
        <tr r="H5" s="68"/>
      </tp>
      <tp>
        <v>102.43</v>
        <stp/>
        <stp>124</stp>
        <stp>TTD</stp>
        <stp>TDA</stp>
        <stp>0</stp>
        <stp>0</stp>
        <stp>0</stp>
        <stp>0</stp>
        <stp>0</stp>
        <tr r="L9" s="68"/>
      </tp>
      <tp>
        <v>-6.8587105624135974E-2</v>
        <stp/>
        <stp>115</stp>
        <stp>CME</stp>
        <stp>TDA</stp>
        <stp>0</stp>
        <stp>0</stp>
        <stp>0</stp>
        <stp>0</stp>
        <stp>0</stp>
        <tr r="I10" s="68"/>
      </tp>
      <tp>
        <v>0.85000000000000009</v>
        <stp/>
        <stp>167</stp>
        <stp>CAG</stp>
        <stp>TDA</stp>
        <stp>0</stp>
        <stp>0</stp>
        <stp>0</stp>
        <stp>0</stp>
        <stp>0</stp>
        <tr r="O53" s="68"/>
      </tp>
      <tp>
        <v>2.97</v>
        <stp/>
        <stp>117</stp>
        <stp>CAG</stp>
        <stp>TDA</stp>
        <stp>0</stp>
        <stp>0</stp>
        <stp>0</stp>
        <stp>0</stp>
        <stp>0</stp>
        <tr r="M53" s="68"/>
      </tp>
      <tp t="s">
        <v>CME Group Inc. - Class A Common Stock</v>
        <stp/>
        <stp>112</stp>
        <stp>CME</stp>
        <stp>TDA</stp>
        <stp>0</stp>
        <stp>0</stp>
        <stp>0</stp>
        <stp>0</stp>
        <stp>0</stp>
        <tr r="B58" s="67"/>
      </tp>
      <tp>
        <v>3.8700000000000005E-2</v>
        <stp/>
        <stp>152</stp>
        <stp>CME</stp>
        <stp>TDA</stp>
        <stp>0</stp>
        <stp>0</stp>
        <stp>0</stp>
        <stp>0</stp>
        <stp>0</stp>
        <tr r="N10" s="68"/>
      </tp>
      <tp>
        <v>43769</v>
        <stp/>
        <stp>170</stp>
        <stp>CAG</stp>
        <stp>TDA</stp>
        <stp>0</stp>
        <stp>0</stp>
        <stp>0</stp>
        <stp>0</stp>
        <stp>0</stp>
        <tr r="P53" s="68"/>
      </tp>
      <tp>
        <v>20.220000000000002</v>
        <stp/>
        <stp>110</stp>
        <stp>CAG</stp>
        <stp>TDA</stp>
        <stp>0</stp>
        <stp>0</stp>
        <stp>0</stp>
        <stp>0</stp>
        <stp>0</stp>
        <tr r="J53" s="68"/>
      </tp>
      <tp>
        <v>29.14</v>
        <stp/>
        <stp>100</stp>
        <stp>CAG</stp>
        <stp>TDA</stp>
        <stp>0</stp>
        <stp>0</stp>
        <stp>0</stp>
        <stp>0</stp>
        <stp>0</stp>
        <tr r="O68" s="67"/>
        <tr r="B53" s="68"/>
      </tp>
      <tp>
        <v>1</v>
        <stp/>
        <stp>210</stp>
        <stp>CAG</stp>
        <stp>TDA</stp>
        <stp>0</stp>
        <stp>0</stp>
        <stp>0</stp>
        <stp>0</stp>
        <stp>0</stp>
        <tr r="Q53" s="68"/>
      </tp>
      <tp t="s">
        <v>The Trade Desk, Inc. - Class A Common Stock</v>
        <stp/>
        <stp>112</stp>
        <stp>TTD</stp>
        <stp>TDA</stp>
        <stp>0</stp>
        <stp>0</stp>
        <stp>0</stp>
        <stp>0</stp>
        <stp>0</stp>
        <tr r="B55" s="67"/>
      </tp>
      <tp>
        <v>7.0400000000000004E-2</v>
        <stp/>
        <stp>152</stp>
        <stp>TTD</stp>
        <stp>TDA</stp>
        <stp>0</stp>
        <stp>0</stp>
        <stp>0</stp>
        <stp>0</stp>
        <stp>0</stp>
        <tr r="N9" s="68"/>
      </tp>
      <tp>
        <v>32.800000000000004</v>
        <stp/>
        <stp>111</stp>
        <stp>CAG</stp>
        <stp>TDA</stp>
        <stp>0</stp>
        <stp>0</stp>
        <stp>0</stp>
        <stp>0</stp>
        <stp>0</stp>
        <tr r="K53" s="68"/>
      </tp>
      <tp>
        <v>289.51</v>
        <stp/>
        <stp>111</stp>
        <stp>TTD</stp>
        <stp>TDA</stp>
        <stp>0</stp>
        <stp>0</stp>
        <stp>0</stp>
        <stp>0</stp>
        <stp>0</stp>
        <tr r="K9" s="68"/>
      </tp>
      <tp>
        <v>161.05000000000001</v>
        <stp/>
        <stp>110</stp>
        <stp>CME</stp>
        <stp>TDA</stp>
        <stp>0</stp>
        <stp>0</stp>
        <stp>0</stp>
        <stp>0</stp>
        <stp>0</stp>
        <tr r="J10" s="68"/>
      </tp>
      <tp>
        <v>203.98000000000002</v>
        <stp/>
        <stp>100</stp>
        <stp>CME</stp>
        <stp>TDA</stp>
        <stp>0</stp>
        <stp>0</stp>
        <stp>0</stp>
        <stp>0</stp>
        <stp>0</stp>
        <tr r="O58" s="67"/>
        <tr r="G58" s="67"/>
        <tr r="B10" s="68"/>
      </tp>
      <tp>
        <v>43808</v>
        <stp/>
        <stp>170</stp>
        <stp>CME</stp>
        <stp>TDA</stp>
        <stp>0</stp>
        <stp>0</stp>
        <stp>0</stp>
        <stp>0</stp>
        <stp>0</stp>
        <tr r="P10" s="68"/>
      </tp>
      <tp>
        <v>1.6500000000000001E-2</v>
        <stp/>
        <stp>152</stp>
        <stp>CAG</stp>
        <stp>TDA</stp>
        <stp>0</stp>
        <stp>0</stp>
        <stp>0</stp>
        <stp>0</stp>
        <stp>0</stp>
        <tr r="N53" s="68"/>
      </tp>
      <tp t="s">
        <v>ConAgra Brands, Inc. Common Stock</v>
        <stp/>
        <stp>112</stp>
        <stp>CAG</stp>
        <stp>TDA</stp>
        <stp>0</stp>
        <stp>0</stp>
        <stp>0</stp>
        <stp>0</stp>
        <stp>0</stp>
        <tr r="B68" s="67"/>
      </tp>
      <tp>
        <v>1</v>
        <stp/>
        <stp>210</stp>
        <stp>CME</stp>
        <stp>TDA</stp>
        <stp>0</stp>
        <stp>0</stp>
        <stp>0</stp>
        <stp>0</stp>
        <stp>0</stp>
        <tr r="Q10" s="68"/>
      </tp>
      <tp t="s">
        <v>Twilio Inc.</v>
        <stp/>
        <stp>112</stp>
        <stp>TWLO</stp>
        <stp/>
        <stp>0</stp>
        <stp>0</stp>
        <stp>0</stp>
        <stp>0</stp>
        <stp>0</stp>
        <tr r="H24" s="68"/>
      </tp>
      <tp t="s">
        <v>Teladoc Health, Inc.</v>
        <stp/>
        <stp>112</stp>
        <stp>TDOC</stp>
        <stp/>
        <stp>0</stp>
        <stp>0</stp>
        <stp>0</stp>
        <stp>0</stp>
        <stp>0</stp>
        <tr r="H27" s="68"/>
      </tp>
      <tp t="s">
        <v>Atlassian Corporation Plc</v>
        <stp/>
        <stp>112</stp>
        <stp>TEAM</stp>
        <stp/>
        <stp>0</stp>
        <stp>0</stp>
        <stp>0</stp>
        <stp>0</stp>
        <stp>0</stp>
        <tr r="H12" s="68"/>
      </tp>
      <tp>
        <v>1</v>
        <stp/>
        <stp>210</stp>
        <stp>TTD</stp>
        <stp>TDA</stp>
        <stp>0</stp>
        <stp>0</stp>
        <stp>0</stp>
        <stp>0</stp>
        <stp>0</stp>
        <tr r="Q9" s="68"/>
      </tp>
      <tp>
        <v>246.10000000000002</v>
        <stp/>
        <stp>100</stp>
        <stp>TTD</stp>
        <stp>TDA</stp>
        <stp>0</stp>
        <stp>0</stp>
        <stp>0</stp>
        <stp>0</stp>
        <stp>0</stp>
        <tr r="O55" s="67"/>
        <tr r="G55" s="67"/>
        <tr r="B9" s="68"/>
      </tp>
      <tp>
        <v>102.3511</v>
        <stp/>
        <stp>110</stp>
        <stp>TTD</stp>
        <stp>TDA</stp>
        <stp>0</stp>
        <stp>0</stp>
        <stp>0</stp>
        <stp>0</stp>
        <stp>0</stp>
        <tr r="J9" s="68"/>
      </tp>
      <tp>
        <v>0</v>
        <stp/>
        <stp>170</stp>
        <stp>TTD</stp>
        <stp>TDA</stp>
        <stp>0</stp>
        <stp>0</stp>
        <stp>0</stp>
        <stp>0</stp>
        <stp>0</stp>
        <tr r="P9" s="68"/>
      </tp>
      <tp>
        <v>224.91</v>
        <stp/>
        <stp>111</stp>
        <stp>CME</stp>
        <stp>TDA</stp>
        <stp>0</stp>
        <stp>0</stp>
        <stp>0</stp>
        <stp>0</stp>
        <stp>0</stp>
        <tr r="K10" s="68"/>
      </tp>
      <tp>
        <v>0</v>
        <stp/>
        <stp>124</stp>
        <stp>ZUO</stp>
        <stp>TDA</stp>
        <stp>0</stp>
        <stp>0</stp>
        <stp>0</stp>
        <stp>0</stp>
        <stp>0</stp>
        <tr r="L45" s="68"/>
      </tp>
      <tp>
        <v>-1.3260840737290685E-2</v>
        <stp/>
        <stp>115</stp>
        <stp>ZEN</stp>
        <stp>TDA</stp>
        <stp>0</stp>
        <stp>0</stp>
        <stp>0</stp>
        <stp>0</stp>
        <stp>0</stp>
        <tr r="I29" s="68"/>
      </tp>
      <tp t="s">
        <v>Kinder Morgan, Inc. Common Stock</v>
        <stp/>
        <stp>112</stp>
        <stp>KMI</stp>
        <stp>TDA</stp>
        <stp>0</stp>
        <stp>0</stp>
        <stp>0</stp>
        <stp>0</stp>
        <stp>0</stp>
        <tr r="B67" s="67"/>
      </tp>
      <tp>
        <v>1.9200000000000002E-2</v>
        <stp/>
        <stp>152</stp>
        <stp>KMI</stp>
        <stp>TDA</stp>
        <stp>0</stp>
        <stp>0</stp>
        <stp>0</stp>
        <stp>0</stp>
        <stp>0</stp>
        <tr r="N42" s="68"/>
      </tp>
      <tp>
        <v>148.99</v>
        <stp/>
        <stp>111</stp>
        <stp>JNJ</stp>
        <stp>TDA</stp>
        <stp>0</stp>
        <stp>0</stp>
        <stp>0</stp>
        <stp>0</stp>
        <stp>0</stp>
        <tr r="K30" s="68"/>
      </tp>
      <tp>
        <v>0.13020833333333054</v>
        <stp/>
        <stp>115</stp>
        <stp>ZUO</stp>
        <stp>TDA</stp>
        <stp>0</stp>
        <stp>0</stp>
        <stp>0</stp>
        <stp>0</stp>
        <stp>0</stp>
        <tr r="I45" s="68"/>
      </tp>
      <tp>
        <v>0</v>
        <stp/>
        <stp>124</stp>
        <stp>ZEN</stp>
        <stp>TDA</stp>
        <stp>0</stp>
        <stp>0</stp>
        <stp>0</stp>
        <stp>0</stp>
        <stp>0</stp>
        <tr r="L29" s="68"/>
      </tp>
      <tp>
        <v>0</v>
        <stp/>
        <stp>167</stp>
        <stp>CRM</stp>
        <stp>TDA</stp>
        <stp>0</stp>
        <stp>0</stp>
        <stp>0</stp>
        <stp>0</stp>
        <stp>0</stp>
        <tr r="O13" s="68"/>
      </tp>
      <tp>
        <v>0</v>
        <stp/>
        <stp>117</stp>
        <stp>CRM</stp>
        <stp>TDA</stp>
        <stp>0</stp>
        <stp>0</stp>
        <stp>0</stp>
        <stp>0</stp>
        <stp>0</stp>
        <tr r="M13" s="68"/>
      </tp>
      <tp>
        <v>0.64</v>
        <stp/>
        <stp>167</stp>
        <stp>BAM</stp>
        <stp>TDA</stp>
        <stp>0</stp>
        <stp>0</stp>
        <stp>0</stp>
        <stp>0</stp>
        <stp>0</stp>
        <tr r="O34" s="68"/>
      </tp>
      <tp>
        <v>1.1200000000000001</v>
        <stp/>
        <stp>117</stp>
        <stp>BAM</stp>
        <stp>TDA</stp>
        <stp>0</stp>
        <stp>0</stp>
        <stp>0</stp>
        <stp>0</stp>
        <stp>0</stp>
        <tr r="M34" s="68"/>
      </tp>
      <tp>
        <v>138.74</v>
        <stp/>
        <stp>100</stp>
        <stp>JNJ</stp>
        <stp>TDA</stp>
        <stp>0</stp>
        <stp>0</stp>
        <stp>0</stp>
        <stp>0</stp>
        <stp>0</stp>
        <tr r="O34" s="67"/>
        <tr r="O18" s="67"/>
        <tr r="G34" s="67"/>
        <tr r="B30" s="68"/>
      </tp>
      <tp>
        <v>121</v>
        <stp/>
        <stp>110</stp>
        <stp>JNJ</stp>
        <stp>TDA</stp>
        <stp>0</stp>
        <stp>0</stp>
        <stp>0</stp>
        <stp>0</stp>
        <stp>0</stp>
        <tr r="J30" s="68"/>
      </tp>
      <tp>
        <v>43794</v>
        <stp/>
        <stp>170</stp>
        <stp>JNJ</stp>
        <stp>TDA</stp>
        <stp>0</stp>
        <stp>0</stp>
        <stp>0</stp>
        <stp>0</stp>
        <stp>0</stp>
        <tr r="P30" s="68"/>
      </tp>
      <tp>
        <v>1</v>
        <stp/>
        <stp>210</stp>
        <stp>JNJ</stp>
        <stp>TDA</stp>
        <stp>0</stp>
        <stp>0</stp>
        <stp>0</stp>
        <stp>0</stp>
        <stp>0</stp>
        <tr r="Q30" s="68"/>
      </tp>
      <tp>
        <v>0</v>
        <stp/>
        <stp>117</stp>
        <stp>ZEN</stp>
        <stp>TDA</stp>
        <stp>0</stp>
        <stp>0</stp>
        <stp>0</stp>
        <stp>0</stp>
        <stp>0</stp>
        <tr r="M29" s="68"/>
      </tp>
      <tp>
        <v>0</v>
        <stp/>
        <stp>167</stp>
        <stp>ZEN</stp>
        <stp>TDA</stp>
        <stp>0</stp>
        <stp>0</stp>
        <stp>0</stp>
        <stp>0</stp>
        <stp>0</stp>
        <tr r="O29" s="68"/>
      </tp>
      <tp>
        <v>130.89000000000001</v>
        <stp/>
        <stp>124</stp>
        <stp>CRM</stp>
        <stp>TDA</stp>
        <stp>0</stp>
        <stp>0</stp>
        <stp>0</stp>
        <stp>0</stp>
        <stp>0</stp>
        <tr r="L13" s="68"/>
      </tp>
      <tp>
        <v>15.110000000000001</v>
        <stp/>
        <stp>124</stp>
        <stp>BAM</stp>
        <stp>TDA</stp>
        <stp>0</stp>
        <stp>0</stp>
        <stp>0</stp>
        <stp>0</stp>
        <stp>0</stp>
        <tr r="L34" s="68"/>
      </tp>
      <tp>
        <v>14.620100000000001</v>
        <stp/>
        <stp>110</stp>
        <stp>KMI</stp>
        <stp>TDA</stp>
        <stp>0</stp>
        <stp>0</stp>
        <stp>0</stp>
        <stp>0</stp>
        <stp>0</stp>
        <tr r="J42" s="68"/>
      </tp>
      <tp>
        <v>19.1999</v>
        <stp/>
        <stp>100</stp>
        <stp>KMI</stp>
        <stp>TDA</stp>
        <stp>0</stp>
        <stp>0</stp>
        <stp>0</stp>
        <stp>0</stp>
        <stp>0</stp>
        <tr r="O67" s="67"/>
        <tr r="G67" s="67"/>
        <tr r="B42" s="68"/>
      </tp>
      <tp>
        <v>43768</v>
        <stp/>
        <stp>170</stp>
        <stp>KMI</stp>
        <stp>TDA</stp>
        <stp>0</stp>
        <stp>0</stp>
        <stp>0</stp>
        <stp>0</stp>
        <stp>0</stp>
        <tr r="P42" s="68"/>
      </tp>
      <tp>
        <v>1</v>
        <stp/>
        <stp>210</stp>
        <stp>KMI</stp>
        <stp>TDA</stp>
        <stp>0</stp>
        <stp>0</stp>
        <stp>0</stp>
        <stp>0</stp>
        <stp>0</stp>
        <tr r="Q42" s="68"/>
      </tp>
      <tp t="s">
        <v>DENTSPLY SIRONA Inc.</v>
        <stp/>
        <stp>112</stp>
        <stp>XRAY</stp>
        <stp/>
        <stp>0</stp>
        <stp>0</stp>
        <stp>0</stp>
        <stp>0</stp>
        <stp>0</stp>
        <tr r="H56" s="68"/>
      </tp>
      <tp>
        <v>0.51490000000000002</v>
        <stp/>
        <stp>204</stp>
        <stp>SQ_011521C75</stp>
        <stp>TDA</stp>
        <stp>0</stp>
        <stp>0</stp>
        <stp>0</stp>
        <stp>0</stp>
        <stp>0</stp>
        <tr r="O46" s="67"/>
      </tp>
      <tp>
        <v>9.4</v>
        <stp/>
        <stp>108</stp>
        <stp>SQ_011521C75</stp>
        <stp>TDA</stp>
        <stp>0</stp>
        <stp>0</stp>
        <stp>0</stp>
        <stp>0</stp>
        <stp>0</stp>
        <tr r="G46" s="67"/>
      </tp>
      <tp>
        <v>9.3000000000000007</v>
        <stp/>
        <stp>107</stp>
        <stp>SQ_011521C75</stp>
        <stp>TDA</stp>
        <stp>0</stp>
        <stp>0</stp>
        <stp>0</stp>
        <stp>0</stp>
        <stp>0</stp>
        <tr r="G46" s="67"/>
      </tp>
      <tp>
        <v>0.4234</v>
        <stp/>
        <stp>204</stp>
        <stp>ZM_011521C95</stp>
        <stp>TDA</stp>
        <stp>0</stp>
        <stp>0</stp>
        <stp>0</stp>
        <stp>0</stp>
        <stp>0</stp>
        <tr r="O40" s="67"/>
      </tp>
      <tp>
        <v>-0.5786</v>
        <stp/>
        <stp>204</stp>
        <stp>ZM_011521P95</stp>
        <stp>TDA</stp>
        <stp>0</stp>
        <stp>0</stp>
        <stp>0</stp>
        <stp>0</stp>
        <stp>0</stp>
        <tr r="O28" s="67"/>
      </tp>
      <tp>
        <v>8.3000000000000007</v>
        <stp/>
        <stp>107</stp>
        <stp>ZM_011521C95</stp>
        <stp>TDA</stp>
        <stp>0</stp>
        <stp>0</stp>
        <stp>0</stp>
        <stp>0</stp>
        <stp>0</stp>
        <tr r="G40" s="67"/>
      </tp>
      <tp>
        <v>10.200000000000001</v>
        <stp/>
        <stp>108</stp>
        <stp>ZM_011521C95</stp>
        <stp>TDA</stp>
        <stp>0</stp>
        <stp>0</stp>
        <stp>0</stp>
        <stp>0</stp>
        <stp>0</stp>
        <tr r="G40" s="67"/>
      </tp>
      <tp>
        <v>31</v>
        <stp/>
        <stp>107</stp>
        <stp>ZM_011521P95</stp>
        <stp>TDA</stp>
        <stp>0</stp>
        <stp>0</stp>
        <stp>0</stp>
        <stp>0</stp>
        <stp>0</stp>
        <tr r="G28" s="67"/>
      </tp>
      <tp>
        <v>33.700000000000003</v>
        <stp/>
        <stp>108</stp>
        <stp>ZM_011521P95</stp>
        <stp>TDA</stp>
        <stp>0</stp>
        <stp>0</stp>
        <stp>0</stp>
        <stp>0</stp>
        <stp>0</stp>
        <tr r="G28" s="67"/>
      </tp>
      <tp>
        <v>0</v>
        <stp/>
        <stp>117</stp>
        <stp>ZUO</stp>
        <stp>TDA</stp>
        <stp>0</stp>
        <stp>0</stp>
        <stp>0</stp>
        <stp>0</stp>
        <stp>0</stp>
        <tr r="M45" s="68"/>
      </tp>
      <tp>
        <v>0</v>
        <stp/>
        <stp>167</stp>
        <stp>ZUO</stp>
        <stp>TDA</stp>
        <stp>0</stp>
        <stp>0</stp>
        <stp>0</stp>
        <stp>0</stp>
        <stp>0</stp>
        <tr r="O45" s="68"/>
      </tp>
      <tp>
        <v>-3.7321284891997277</v>
        <stp/>
        <stp>115</stp>
        <stp>CRM</stp>
        <stp>TDA</stp>
        <stp>0</stp>
        <stp>0</stp>
        <stp>0</stp>
        <stp>0</stp>
        <stp>0</stp>
        <tr r="I13" s="68"/>
      </tp>
      <tp>
        <v>1.2416928996152516</v>
        <stp/>
        <stp>115</stp>
        <stp>BAM</stp>
        <stp>TDA</stp>
        <stp>0</stp>
        <stp>0</stp>
        <stp>0</stp>
        <stp>0</stp>
        <stp>0</stp>
        <tr r="I34" s="68"/>
      </tp>
      <tp>
        <v>21.495000000000001</v>
        <stp/>
        <stp>111</stp>
        <stp>KMI</stp>
        <stp>TDA</stp>
        <stp>0</stp>
        <stp>0</stp>
        <stp>0</stp>
        <stp>0</stp>
        <stp>0</stp>
        <tr r="K42" s="68"/>
      </tp>
      <tp t="s">
        <v>Johnson &amp; Johnson Common Stock</v>
        <stp/>
        <stp>112</stp>
        <stp>JNJ</stp>
        <stp>TDA</stp>
        <stp>0</stp>
        <stp>0</stp>
        <stp>0</stp>
        <stp>0</stp>
        <stp>0</stp>
        <tr r="B18" s="67"/>
        <tr r="B34" s="67"/>
      </tp>
      <tp>
        <v>1.5900000000000001E-2</v>
        <stp/>
        <stp>152</stp>
        <stp>JNJ</stp>
        <stp>TDA</stp>
        <stp>0</stp>
        <stp>0</stp>
        <stp>0</stp>
        <stp>0</stp>
        <stp>0</stp>
        <tr r="N30" s="68"/>
      </tp>
      <tp>
        <v>0.11</v>
        <stp/>
        <stp>108</stp>
        <stp>SQ_120619C70</stp>
        <stp>TDA</stp>
        <stp>0</stp>
        <stp>0</stp>
        <stp>0</stp>
        <stp>0</stp>
        <stp>0</stp>
        <tr r="G10" s="67"/>
      </tp>
      <tp>
        <v>0.1</v>
        <stp/>
        <stp>107</stp>
        <stp>SQ_120619C70</stp>
        <stp>TDA</stp>
        <stp>0</stp>
        <stp>0</stp>
        <stp>0</stp>
        <stp>0</stp>
        <stp>0</stp>
        <tr r="G10" s="67"/>
      </tp>
      <tp>
        <v>0.12050000000000001</v>
        <stp/>
        <stp>204</stp>
        <stp>SQ_120619C70</stp>
        <stp>TDA</stp>
        <stp>0</stp>
        <stp>0</stp>
        <stp>0</stp>
        <stp>0</stp>
        <stp>0</stp>
        <tr r="O10" s="67"/>
      </tp>
      <tp>
        <v>13.040000000000001</v>
        <stp/>
        <stp>110</stp>
        <stp>ZUO</stp>
        <stp>TDA</stp>
        <stp>0</stp>
        <stp>0</stp>
        <stp>0</stp>
        <stp>0</stp>
        <stp>0</stp>
        <tr r="J45" s="68"/>
      </tp>
      <tp>
        <v>15.38</v>
        <stp/>
        <stp>100</stp>
        <stp>ZUO</stp>
        <stp>TDA</stp>
        <stp>0</stp>
        <stp>0</stp>
        <stp>0</stp>
        <stp>0</stp>
        <stp>0</stp>
        <tr r="O49" s="67"/>
        <tr r="G49" s="67"/>
        <tr r="B45" s="68"/>
      </tp>
      <tp>
        <v>0</v>
        <stp/>
        <stp>170</stp>
        <stp>ZUO</stp>
        <stp>TDA</stp>
        <stp>0</stp>
        <stp>0</stp>
        <stp>0</stp>
        <stp>0</stp>
        <stp>0</stp>
        <tr r="P45" s="68"/>
      </tp>
      <tp>
        <v>94.89</v>
        <stp/>
        <stp>111</stp>
        <stp>ZEN</stp>
        <stp>TDA</stp>
        <stp>0</stp>
        <stp>0</stp>
        <stp>0</stp>
        <stp>0</stp>
        <stp>0</stp>
        <tr r="K29" s="68"/>
      </tp>
      <tp>
        <v>1</v>
        <stp/>
        <stp>210</stp>
        <stp>ZUO</stp>
        <stp>TDA</stp>
        <stp>0</stp>
        <stp>0</stp>
        <stp>0</stp>
        <stp>0</stp>
        <stp>0</stp>
        <tr r="Q45" s="68"/>
      </tp>
      <tp>
        <v>1.9400000000000001E-2</v>
        <stp/>
        <stp>152</stp>
        <stp>CRM</stp>
        <stp>TDA</stp>
        <stp>0</stp>
        <stp>0</stp>
        <stp>0</stp>
        <stp>0</stp>
        <stp>0</stp>
        <tr r="N13" s="68"/>
      </tp>
      <tp t="s">
        <v>Salesforce.com Inc Common Stock</v>
        <stp/>
        <stp>112</stp>
        <stp>CRM</stp>
        <stp>TDA</stp>
        <stp>0</stp>
        <stp>0</stp>
        <stp>0</stp>
        <stp>0</stp>
        <stp>0</stp>
        <tr r="B80" s="67"/>
      </tp>
      <tp>
        <v>1.66E-2</v>
        <stp/>
        <stp>152</stp>
        <stp>BAM</stp>
        <stp>TDA</stp>
        <stp>0</stp>
        <stp>0</stp>
        <stp>0</stp>
        <stp>0</stp>
        <stp>0</stp>
        <tr r="N34" s="68"/>
      </tp>
      <tp t="s">
        <v>Brookfield Asset Management Inc. Common Stock</v>
        <stp/>
        <stp>112</stp>
        <stp>BAM</stp>
        <stp>TDA</stp>
        <stp>0</stp>
        <stp>0</stp>
        <stp>0</stp>
        <stp>0</stp>
        <stp>0</stp>
        <tr r="B79" s="67"/>
      </tp>
      <tp>
        <v>1.1519393409157281</v>
        <stp/>
        <stp>115</stp>
        <stp>JNJ</stp>
        <stp>TDA</stp>
        <stp>0</stp>
        <stp>0</stp>
        <stp>0</stp>
        <stp>0</stp>
        <stp>0</stp>
        <tr r="I30" s="68"/>
      </tp>
      <tp>
        <v>1.4000000000000001</v>
        <stp/>
        <stp>108</stp>
        <stp>JD_122019C31</stp>
        <stp>TDA</stp>
        <stp>0</stp>
        <stp>0</stp>
        <stp>0</stp>
        <stp>0</stp>
        <stp>0</stp>
        <tr r="G6" s="67"/>
      </tp>
      <tp>
        <v>1.3800000000000001</v>
        <stp/>
        <stp>107</stp>
        <stp>JD_122019C31</stp>
        <stp>TDA</stp>
        <stp>0</stp>
        <stp>0</stp>
        <stp>0</stp>
        <stp>0</stp>
        <stp>0</stp>
        <tr r="G6" s="67"/>
      </tp>
      <tp>
        <v>0.64980000000000004</v>
        <stp/>
        <stp>204</stp>
        <stp>JD_122019C31</stp>
        <stp>TDA</stp>
        <stp>0</stp>
        <stp>0</stp>
        <stp>0</stp>
        <stp>0</stp>
        <stp>0</stp>
        <tr r="O6" s="67"/>
      </tp>
      <tp>
        <v>24.650000000000002</v>
        <stp/>
        <stp>111</stp>
        <stp>ZUO</stp>
        <stp>TDA</stp>
        <stp>0</stp>
        <stp>0</stp>
        <stp>0</stp>
        <stp>0</stp>
        <stp>0</stp>
        <tr r="K45" s="68"/>
      </tp>
      <tp>
        <v>50.050000000000004</v>
        <stp/>
        <stp>110</stp>
        <stp>ZEN</stp>
        <stp>TDA</stp>
        <stp>0</stp>
        <stp>0</stp>
        <stp>0</stp>
        <stp>0</stp>
        <stp>0</stp>
        <tr r="J29" s="68"/>
      </tp>
      <tp>
        <v>75.400000000000006</v>
        <stp/>
        <stp>100</stp>
        <stp>ZEN</stp>
        <stp>TDA</stp>
        <stp>0</stp>
        <stp>0</stp>
        <stp>0</stp>
        <stp>0</stp>
        <stp>0</stp>
        <tr r="O92" s="67"/>
        <tr r="G92" s="67"/>
        <tr r="B29" s="68"/>
      </tp>
      <tp>
        <v>0</v>
        <stp/>
        <stp>170</stp>
        <stp>ZEN</stp>
        <stp>TDA</stp>
        <stp>0</stp>
        <stp>0</stp>
        <stp>0</stp>
        <stp>0</stp>
        <stp>0</stp>
        <tr r="P29" s="68"/>
      </tp>
      <tp>
        <v>1</v>
        <stp/>
        <stp>210</stp>
        <stp>ZEN</stp>
        <stp>TDA</stp>
        <stp>0</stp>
        <stp>0</stp>
        <stp>0</stp>
        <stp>0</stp>
        <stp>0</stp>
        <tr r="Q29" s="68"/>
      </tp>
      <tp>
        <v>5.2200000000000006</v>
        <stp/>
        <stp>117</stp>
        <stp>KMI</stp>
        <stp>TDA</stp>
        <stp>0</stp>
        <stp>0</stp>
        <stp>0</stp>
        <stp>0</stp>
        <stp>0</stp>
        <tr r="M42" s="68"/>
      </tp>
      <tp>
        <v>1</v>
        <stp/>
        <stp>167</stp>
        <stp>KMI</stp>
        <stp>TDA</stp>
        <stp>0</stp>
        <stp>0</stp>
        <stp>0</stp>
        <stp>0</stp>
        <stp>0</stp>
        <tr r="O42" s="68"/>
      </tp>
      <tp>
        <v>26.190200000000001</v>
        <stp/>
        <stp>124</stp>
        <stp>JNJ</stp>
        <stp>TDA</stp>
        <stp>0</stp>
        <stp>0</stp>
        <stp>0</stp>
        <stp>0</stp>
        <stp>0</stp>
        <tr r="L30" s="68"/>
      </tp>
      <tp>
        <v>-0.57179999999999997</v>
        <stp/>
        <stp>204</stp>
        <stp>SQ_011720P70</stp>
        <stp>TDA</stp>
        <stp>0</stp>
        <stp>0</stp>
        <stp>0</stp>
        <stp>0</stp>
        <stp>0</stp>
        <tr r="O5" s="67"/>
      </tp>
      <tp>
        <v>-0.55740000000000001</v>
        <stp/>
        <stp>204</stp>
        <stp>SQ_011521P80</stp>
        <stp>TDA</stp>
        <stp>0</stp>
        <stp>0</stp>
        <stp>0</stp>
        <stp>0</stp>
        <stp>0</stp>
        <tr r="O11" s="67"/>
      </tp>
      <tp>
        <v>0.5806</v>
        <stp/>
        <stp>204</stp>
        <stp>SQ_011521C70</stp>
        <stp>TDA</stp>
        <stp>0</stp>
        <stp>0</stp>
        <stp>0</stp>
        <stp>0</stp>
        <stp>0</stp>
        <tr r="O63" s="67"/>
      </tp>
      <tp>
        <v>18.3</v>
        <stp/>
        <stp>107</stp>
        <stp>SQ_011521P80</stp>
        <stp>TDA</stp>
        <stp>0</stp>
        <stp>0</stp>
        <stp>0</stp>
        <stp>0</stp>
        <stp>0</stp>
        <tr r="G11" s="67"/>
      </tp>
      <tp>
        <v>18.400000000000002</v>
        <stp/>
        <stp>108</stp>
        <stp>SQ_011521P80</stp>
        <stp>TDA</stp>
        <stp>0</stp>
        <stp>0</stp>
        <stp>0</stp>
        <stp>0</stp>
        <stp>0</stp>
        <tr r="G11" s="67"/>
      </tp>
      <tp>
        <v>11.350000000000001</v>
        <stp/>
        <stp>108</stp>
        <stp>SQ_011521C70</stp>
        <stp>TDA</stp>
        <stp>0</stp>
        <stp>0</stp>
        <stp>0</stp>
        <stp>0</stp>
        <stp>0</stp>
        <tr r="G63" s="67"/>
      </tp>
      <tp>
        <v>11.3</v>
        <stp/>
        <stp>107</stp>
        <stp>SQ_011521C70</stp>
        <stp>TDA</stp>
        <stp>0</stp>
        <stp>0</stp>
        <stp>0</stp>
        <stp>0</stp>
        <stp>0</stp>
        <tr r="G63" s="67"/>
      </tp>
      <tp>
        <v>4.4000000000000004</v>
        <stp/>
        <stp>108</stp>
        <stp>SQ_011720P70</stp>
        <stp>TDA</stp>
        <stp>0</stp>
        <stp>0</stp>
        <stp>0</stp>
        <stp>0</stp>
        <stp>0</stp>
        <tr r="G5" s="67"/>
      </tp>
      <tp>
        <v>4.3500000000000005</v>
        <stp/>
        <stp>107</stp>
        <stp>SQ_011720P70</stp>
        <stp>TDA</stp>
        <stp>0</stp>
        <stp>0</stp>
        <stp>0</stp>
        <stp>0</stp>
        <stp>0</stp>
        <tr r="G5" s="67"/>
      </tp>
      <tp t="s">
        <v>Zuora, Inc. Class A Common Stock</v>
        <stp/>
        <stp>112</stp>
        <stp>ZUO</stp>
        <stp>TDA</stp>
        <stp>0</stp>
        <stp>0</stp>
        <stp>0</stp>
        <stp>0</stp>
        <stp>0</stp>
        <tr r="B49" s="67"/>
      </tp>
      <tp>
        <v>8.5900000000000004E-2</v>
        <stp/>
        <stp>152</stp>
        <stp>ZUO</stp>
        <stp>TDA</stp>
        <stp>0</stp>
        <stp>0</stp>
        <stp>0</stp>
        <stp>0</stp>
        <stp>0</stp>
        <tr r="N45" s="68"/>
      </tp>
      <tp>
        <v>0</v>
        <stp/>
        <stp>170</stp>
        <stp>CRM</stp>
        <stp>TDA</stp>
        <stp>0</stp>
        <stp>0</stp>
        <stp>0</stp>
        <stp>0</stp>
        <stp>0</stp>
        <tr r="P13" s="68"/>
      </tp>
      <tp>
        <v>155.54000000000002</v>
        <stp/>
        <stp>100</stp>
        <stp>CRM</stp>
        <stp>TDA</stp>
        <stp>0</stp>
        <stp>0</stp>
        <stp>0</stp>
        <stp>0</stp>
        <stp>0</stp>
        <tr r="O80" s="67"/>
        <tr r="G80" s="67"/>
        <tr r="B13" s="68"/>
      </tp>
      <tp>
        <v>120.16000000000001</v>
        <stp/>
        <stp>110</stp>
        <stp>CRM</stp>
        <stp>TDA</stp>
        <stp>0</stp>
        <stp>0</stp>
        <stp>0</stp>
        <stp>0</stp>
        <stp>0</stp>
        <tr r="J13" s="68"/>
      </tp>
      <tp>
        <v>43796</v>
        <stp/>
        <stp>170</stp>
        <stp>BAM</stp>
        <stp>TDA</stp>
        <stp>0</stp>
        <stp>0</stp>
        <stp>0</stp>
        <stp>0</stp>
        <stp>0</stp>
        <tr r="P34" s="68"/>
      </tp>
      <tp>
        <v>36.58</v>
        <stp/>
        <stp>110</stp>
        <stp>BAM</stp>
        <stp>TDA</stp>
        <stp>0</stp>
        <stp>0</stp>
        <stp>0</stp>
        <stp>0</stp>
        <stp>0</stp>
        <tr r="J34" s="68"/>
      </tp>
      <tp>
        <v>57.89</v>
        <stp/>
        <stp>100</stp>
        <stp>BAM</stp>
        <stp>TDA</stp>
        <stp>0</stp>
        <stp>0</stp>
        <stp>0</stp>
        <stp>0</stp>
        <stp>0</stp>
        <tr r="O79" s="67"/>
        <tr r="G79" s="67"/>
        <tr r="B34" s="68"/>
      </tp>
      <tp>
        <v>1</v>
        <stp/>
        <stp>210</stp>
        <stp>BAM</stp>
        <stp>TDA</stp>
        <stp>0</stp>
        <stp>0</stp>
        <stp>0</stp>
        <stp>0</stp>
        <stp>0</stp>
        <tr r="Q34" s="68"/>
      </tp>
      <tp>
        <v>1</v>
        <stp/>
        <stp>210</stp>
        <stp>CRM</stp>
        <stp>TDA</stp>
        <stp>0</stp>
        <stp>0</stp>
        <stp>0</stp>
        <stp>0</stp>
        <stp>0</stp>
        <tr r="Q13" s="68"/>
      </tp>
      <tp>
        <v>21.340500000000002</v>
        <stp/>
        <stp>124</stp>
        <stp>KMI</stp>
        <stp>TDA</stp>
        <stp>0</stp>
        <stp>0</stp>
        <stp>0</stp>
        <stp>0</stp>
        <stp>0</stp>
        <tr r="L42" s="68"/>
      </tp>
      <tp>
        <v>2.77</v>
        <stp/>
        <stp>117</stp>
        <stp>JNJ</stp>
        <stp>TDA</stp>
        <stp>0</stp>
        <stp>0</stp>
        <stp>0</stp>
        <stp>0</stp>
        <stp>0</stp>
        <tr r="M30" s="68"/>
      </tp>
      <tp>
        <v>3.8000000000000003</v>
        <stp/>
        <stp>167</stp>
        <stp>JNJ</stp>
        <stp>TDA</stp>
        <stp>0</stp>
        <stp>0</stp>
        <stp>0</stp>
        <stp>0</stp>
        <stp>0</stp>
        <tr r="O30" s="68"/>
      </tp>
      <tp t="s">
        <v>Zendesk, Inc. Common Stock</v>
        <stp/>
        <stp>112</stp>
        <stp>ZEN</stp>
        <stp>TDA</stp>
        <stp>0</stp>
        <stp>0</stp>
        <stp>0</stp>
        <stp>0</stp>
        <stp>0</stp>
        <tr r="B92" s="67"/>
      </tp>
      <tp>
        <v>4.8300000000000003E-2</v>
        <stp/>
        <stp>152</stp>
        <stp>ZEN</stp>
        <stp>TDA</stp>
        <stp>0</stp>
        <stp>0</stp>
        <stp>0</stp>
        <stp>0</stp>
        <stp>0</stp>
        <tr r="N29" s="68"/>
      </tp>
      <tp>
        <v>167.56</v>
        <stp/>
        <stp>111</stp>
        <stp>CRM</stp>
        <stp>TDA</stp>
        <stp>0</stp>
        <stp>0</stp>
        <stp>0</stp>
        <stp>0</stp>
        <stp>0</stp>
        <tr r="K13" s="68"/>
      </tp>
      <tp>
        <v>58.720000000000006</v>
        <stp/>
        <stp>111</stp>
        <stp>BAM</stp>
        <stp>TDA</stp>
        <stp>0</stp>
        <stp>0</stp>
        <stp>0</stp>
        <stp>0</stp>
        <stp>0</stp>
        <tr r="K34" s="68"/>
      </tp>
      <tp>
        <v>0.26057441253262342</v>
        <stp/>
        <stp>115</stp>
        <stp>KMI</stp>
        <stp>TDA</stp>
        <stp>0</stp>
        <stp>0</stp>
        <stp>0</stp>
        <stp>0</stp>
        <stp>0</stp>
        <tr r="I42" s="68"/>
      </tp>
      <tp t="s">
        <v>Cboe Global Markets, Inc.</v>
        <stp/>
        <stp>112</stp>
        <stp>CBOE</stp>
        <stp/>
        <stp>0</stp>
        <stp>0</stp>
        <stp>0</stp>
        <stp>0</stp>
        <stp>0</stp>
        <tr r="H39" s="68"/>
      </tp>
      <tp>
        <v>1</v>
        <stp/>
        <stp>210</stp>
        <stp>DIS</stp>
        <stp>TDA</stp>
        <stp>0</stp>
        <stp>0</stp>
        <stp>0</stp>
        <stp>0</stp>
        <stp>0</stp>
        <tr r="Q54" s="68"/>
      </tp>
      <tp>
        <v>263.3</v>
        <stp/>
        <stp>100</stp>
        <stp>FDS</stp>
        <stp>TDA</stp>
        <stp>0</stp>
        <stp>0</stp>
        <stp>0</stp>
        <stp>0</stp>
        <stp>0</stp>
        <tr r="O83" s="67"/>
        <tr r="G83" s="67"/>
        <tr r="B8" s="68"/>
      </tp>
      <tp>
        <v>188.31</v>
        <stp/>
        <stp>110</stp>
        <stp>FDS</stp>
        <stp>TDA</stp>
        <stp>0</stp>
        <stp>0</stp>
        <stp>0</stp>
        <stp>0</stp>
        <stp>0</stp>
        <tr r="J8" s="68"/>
      </tp>
      <tp>
        <v>43796</v>
        <stp/>
        <stp>170</stp>
        <stp>FDS</stp>
        <stp>TDA</stp>
        <stp>0</stp>
        <stp>0</stp>
        <stp>0</stp>
        <stp>0</stp>
        <stp>0</stp>
        <tr r="P8" s="68"/>
      </tp>
      <tp>
        <v>1</v>
        <stp/>
        <stp>210</stp>
        <stp>FDS</stp>
        <stp>TDA</stp>
        <stp>0</stp>
        <stp>0</stp>
        <stp>0</stp>
        <stp>0</stp>
        <stp>0</stp>
        <tr r="Q8" s="68"/>
      </tp>
      <tp>
        <v>43651</v>
        <stp/>
        <stp>170</stp>
        <stp>DIS</stp>
        <stp>TDA</stp>
        <stp>0</stp>
        <stp>0</stp>
        <stp>0</stp>
        <stp>0</stp>
        <stp>0</stp>
        <tr r="P54" s="68"/>
      </tp>
      <tp>
        <v>100.35000000000001</v>
        <stp/>
        <stp>110</stp>
        <stp>DIS</stp>
        <stp>TDA</stp>
        <stp>0</stp>
        <stp>0</stp>
        <stp>0</stp>
        <stp>0</stp>
        <stp>0</stp>
        <tr r="J54" s="68"/>
      </tp>
      <tp>
        <v>148.47</v>
        <stp/>
        <stp>100</stp>
        <stp>DIS</stp>
        <stp>TDA</stp>
        <stp>0</stp>
        <stp>0</stp>
        <stp>0</stp>
        <stp>0</stp>
        <stp>0</stp>
        <tr r="O53" s="67"/>
        <tr r="O65" s="67"/>
        <tr r="B54" s="68"/>
      </tp>
      <tp>
        <v>1.8</v>
        <stp/>
        <stp>117</stp>
        <stp>AMT</stp>
        <stp>TDA</stp>
        <stp>0</stp>
        <stp>0</stp>
        <stp>0</stp>
        <stp>0</stp>
        <stp>0</stp>
        <tr r="M17" s="68"/>
      </tp>
      <tp>
        <v>3.8000000000000003</v>
        <stp/>
        <stp>167</stp>
        <stp>AMT</stp>
        <stp>TDA</stp>
        <stp>0</stp>
        <stp>0</stp>
        <stp>0</stp>
        <stp>0</stp>
        <stp>0</stp>
        <tr r="O17" s="68"/>
      </tp>
      <tp>
        <v>3946.5</v>
        <stp/>
        <stp>111</stp>
        <stp>NVR</stp>
        <stp>TDA</stp>
        <stp>0</stp>
        <stp>0</stp>
        <stp>0</stp>
        <stp>0</stp>
        <stp>0</stp>
        <tr r="K2" s="68"/>
      </tp>
      <tp>
        <v>1.9500000000000002</v>
        <stp/>
        <stp>117</stp>
        <stp>MDT</stp>
        <stp>TDA</stp>
        <stp>0</stp>
        <stp>0</stp>
        <stp>0</stp>
        <stp>0</stp>
        <stp>0</stp>
        <tr r="M20" s="68"/>
      </tp>
      <tp>
        <v>2.16</v>
        <stp/>
        <stp>167</stp>
        <stp>MDT</stp>
        <stp>TDA</stp>
        <stp>0</stp>
        <stp>0</stp>
        <stp>0</stp>
        <stp>0</stp>
        <stp>0</stp>
        <tr r="O20" s="68"/>
      </tp>
      <tp>
        <v>144.24</v>
        <stp/>
        <stp>111</stp>
        <stp>MAR</stp>
        <stp>TDA</stp>
        <stp>0</stp>
        <stp>0</stp>
        <stp>0</stp>
        <stp>0</stp>
        <stp>0</stp>
        <tr r="K16" s="68"/>
      </tp>
      <tp>
        <v>1</v>
        <stp/>
        <stp>210</stp>
        <stp>BRK.B</stp>
        <stp>TDA</stp>
        <stp>0</stp>
        <stp>0</stp>
        <stp>0</stp>
        <stp>0</stp>
        <stp>0</stp>
        <tr r="Q28" s="68"/>
      </tp>
      <tp>
        <v>305.38</v>
        <stp/>
        <stp>111</stp>
        <stp>FDS</stp>
        <stp>TDA</stp>
        <stp>0</stp>
        <stp>0</stp>
        <stp>0</stp>
        <stp>0</stp>
        <stp>0</stp>
        <tr r="K8" s="68"/>
      </tp>
      <tp>
        <v>153.41</v>
        <stp/>
        <stp>111</stp>
        <stp>DIS</stp>
        <stp>TDA</stp>
        <stp>0</stp>
        <stp>0</stp>
        <stp>0</stp>
        <stp>0</stp>
        <stp>0</stp>
        <tr r="K54" s="68"/>
      </tp>
      <tp>
        <v>3747.3601000000003</v>
        <stp/>
        <stp>100</stp>
        <stp>NVR</stp>
        <stp>TDA</stp>
        <stp>0</stp>
        <stp>0</stp>
        <stp>0</stp>
        <stp>0</stp>
        <stp>0</stp>
        <tr r="O86" s="67"/>
        <tr r="G86" s="67"/>
        <tr r="B2" s="68"/>
      </tp>
      <tp>
        <v>2285</v>
        <stp/>
        <stp>110</stp>
        <stp>NVR</stp>
        <stp>TDA</stp>
        <stp>0</stp>
        <stp>0</stp>
        <stp>0</stp>
        <stp>0</stp>
        <stp>0</stp>
        <tr r="J2" s="68"/>
      </tp>
      <tp>
        <v>0</v>
        <stp/>
        <stp>170</stp>
        <stp>NVR</stp>
        <stp>TDA</stp>
        <stp>0</stp>
        <stp>0</stp>
        <stp>0</stp>
        <stp>0</stp>
        <stp>0</stp>
        <tr r="P2" s="68"/>
      </tp>
      <tp>
        <v>1</v>
        <stp/>
        <stp>210</stp>
        <stp>MAR</stp>
        <stp>TDA</stp>
        <stp>0</stp>
        <stp>0</stp>
        <stp>0</stp>
        <stp>0</stp>
        <stp>0</stp>
        <tr r="Q16" s="68"/>
      </tp>
      <tp>
        <v>1</v>
        <stp/>
        <stp>210</stp>
        <stp>NVR</stp>
        <stp>TDA</stp>
        <stp>0</stp>
        <stp>0</stp>
        <stp>0</stp>
        <stp>0</stp>
        <stp>0</stp>
        <tr r="Q2" s="68"/>
      </tp>
      <tp>
        <v>43789</v>
        <stp/>
        <stp>170</stp>
        <stp>MAR</stp>
        <stp>TDA</stp>
        <stp>0</stp>
        <stp>0</stp>
        <stp>0</stp>
        <stp>0</stp>
        <stp>0</stp>
        <tr r="P16" s="68"/>
      </tp>
      <tp>
        <v>100.62</v>
        <stp/>
        <stp>110</stp>
        <stp>MAR</stp>
        <stp>TDA</stp>
        <stp>0</stp>
        <stp>0</stp>
        <stp>0</stp>
        <stp>0</stp>
        <stp>0</stp>
        <tr r="J16" s="68"/>
      </tp>
      <tp>
        <v>138.99</v>
        <stp/>
        <stp>100</stp>
        <stp>MAR</stp>
        <stp>TDA</stp>
        <stp>0</stp>
        <stp>0</stp>
        <stp>0</stp>
        <stp>0</stp>
        <stp>0</stp>
        <tr r="O84" s="67"/>
        <tr r="G84" s="67"/>
        <tr r="B16" s="68"/>
      </tp>
      <tp>
        <v>20.02</v>
        <stp/>
        <stp>124</stp>
        <stp>BRK.B</stp>
        <stp>TDA</stp>
        <stp>0</stp>
        <stp>0</stp>
        <stp>0</stp>
        <stp>0</stp>
        <stp>0</stp>
        <tr r="L28" s="68"/>
      </tp>
      <tp>
        <v>218.18</v>
        <stp/>
        <stp>100</stp>
        <stp>BRK.B</stp>
        <stp>TDA</stp>
        <stp>0</stp>
        <stp>0</stp>
        <stp>0</stp>
        <stp>0</stp>
        <stp>0</stp>
        <tr r="O4" s="67"/>
        <tr r="O50" s="67"/>
        <tr r="O3" s="67"/>
        <tr r="B28" s="68"/>
      </tp>
      <tp>
        <v>4.5854732208361296E-2</v>
        <stp/>
        <stp>115</stp>
        <stp>BRK.B</stp>
        <stp>TDA</stp>
        <stp>0</stp>
        <stp>0</stp>
        <stp>0</stp>
        <stp>0</stp>
        <stp>0</stp>
        <tr r="I28" s="68"/>
      </tp>
      <tp>
        <v>0</v>
        <stp/>
        <stp>117</stp>
        <stp>BRK.B</stp>
        <stp>TDA</stp>
        <stp>0</stp>
        <stp>0</stp>
        <stp>0</stp>
        <stp>0</stp>
        <stp>0</stp>
        <tr r="M28" s="68"/>
      </tp>
      <tp>
        <v>223.58600000000001</v>
        <stp/>
        <stp>111</stp>
        <stp>BRK.B</stp>
        <stp>TDA</stp>
        <stp>0</stp>
        <stp>0</stp>
        <stp>0</stp>
        <stp>0</stp>
        <stp>0</stp>
        <tr r="K28" s="68"/>
      </tp>
      <tp>
        <v>186.1003</v>
        <stp/>
        <stp>110</stp>
        <stp>BRK.B</stp>
        <stp>TDA</stp>
        <stp>0</stp>
        <stp>0</stp>
        <stp>0</stp>
        <stp>0</stp>
        <stp>0</stp>
        <tr r="J28" s="68"/>
      </tp>
      <tp t="s">
        <v>Berkshire Hathaway Inc. New Common Stock</v>
        <stp/>
        <stp>112</stp>
        <stp>BRK.B</stp>
        <stp>TDA</stp>
        <stp>0</stp>
        <stp>0</stp>
        <stp>0</stp>
        <stp>0</stp>
        <stp>0</stp>
        <tr r="B4" s="67"/>
        <tr r="B50" s="67"/>
        <tr r="B3" s="67"/>
      </tp>
      <tp>
        <v>0</v>
        <stp/>
        <stp>167</stp>
        <stp>BRK.B</stp>
        <stp>TDA</stp>
        <stp>0</stp>
        <stp>0</stp>
        <stp>0</stp>
        <stp>0</stp>
        <stp>0</stp>
        <tr r="O28" s="68"/>
      </tp>
      <tp>
        <v>0</v>
        <stp/>
        <stp>170</stp>
        <stp>BRK.B</stp>
        <stp>TDA</stp>
        <stp>0</stp>
        <stp>0</stp>
        <stp>0</stp>
        <stp>0</stp>
        <stp>0</stp>
        <tr r="P28" s="68"/>
      </tp>
      <tp>
        <v>1.6900000000000002E-2</v>
        <stp/>
        <stp>152</stp>
        <stp>BRK.B</stp>
        <stp>TDA</stp>
        <stp>0</stp>
        <stp>0</stp>
        <stp>0</stp>
        <stp>0</stp>
        <stp>0</stp>
        <tr r="N28" s="68"/>
      </tp>
      <tp t="s">
        <v>Arista Networks, Inc.</v>
        <stp/>
        <stp>112</stp>
        <stp>ANET</stp>
        <stp/>
        <stp>0</stp>
        <stp>0</stp>
        <stp>0</stp>
        <stp>0</stp>
        <stp>0</stp>
        <tr r="H51" s="68"/>
      </tp>
      <tp t="s">
        <v>Amazon.com, Inc.</v>
        <stp/>
        <stp>112</stp>
        <stp>AMZN</stp>
        <stp/>
        <stp>0</stp>
        <stp>0</stp>
        <stp>0</stp>
        <stp>0</stp>
        <stp>0</stp>
        <tr r="H3" s="68"/>
      </tp>
      <tp t="s">
        <v>Apple Inc.</v>
        <stp/>
        <stp>112</stp>
        <stp>AAPL</stp>
        <stp/>
        <stp>0</stp>
        <stp>0</stp>
        <stp>0</stp>
        <stp>0</stp>
        <stp>0</stp>
        <tr r="H48" s="68"/>
      </tp>
      <tp t="s">
        <v>Adobe Inc.</v>
        <stp/>
        <stp>112</stp>
        <stp>ADBE</stp>
        <stp/>
        <stp>0</stp>
        <stp>0</stp>
        <stp>0</stp>
        <stp>0</stp>
        <stp>0</stp>
        <tr r="H7" s="68"/>
      </tp>
      <tp t="s">
        <v>FactSet Research Systems Inc. Common Stock</v>
        <stp/>
        <stp>112</stp>
        <stp>FDS</stp>
        <stp>TDA</stp>
        <stp>0</stp>
        <stp>0</stp>
        <stp>0</stp>
        <stp>0</stp>
        <stp>0</stp>
        <tr r="B83" s="67"/>
      </tp>
      <tp>
        <v>4.5200000000000004E-2</v>
        <stp/>
        <stp>152</stp>
        <stp>FDS</stp>
        <stp>TDA</stp>
        <stp>0</stp>
        <stp>0</stp>
        <stp>0</stp>
        <stp>0</stp>
        <stp>0</stp>
        <tr r="N8" s="68"/>
      </tp>
      <tp>
        <v>1.7000000000000001E-2</v>
        <stp/>
        <stp>152</stp>
        <stp>DIS</stp>
        <stp>TDA</stp>
        <stp>0</stp>
        <stp>0</stp>
        <stp>0</stp>
        <stp>0</stp>
        <stp>0</stp>
        <tr r="N54" s="68"/>
      </tp>
      <tp t="s">
        <v>Walt Disney Company (The) Common Stock</v>
        <stp/>
        <stp>112</stp>
        <stp>DIS</stp>
        <stp>TDA</stp>
        <stp>0</stp>
        <stp>0</stp>
        <stp>0</stp>
        <stp>0</stp>
        <stp>0</stp>
        <tr r="B53" s="67"/>
        <tr r="B65" s="67"/>
      </tp>
      <tp>
        <v>-0.10899105156005699</v>
        <stp/>
        <stp>115</stp>
        <stp>AMT</stp>
        <stp>TDA</stp>
        <stp>0</stp>
        <stp>0</stp>
        <stp>0</stp>
        <stp>0</stp>
        <stp>0</stp>
        <tr r="I17" s="68"/>
      </tp>
      <tp>
        <v>0.46851067663753126</v>
        <stp/>
        <stp>115</stp>
        <stp>MDT</stp>
        <stp>TDA</stp>
        <stp>0</stp>
        <stp>0</stp>
        <stp>0</stp>
        <stp>0</stp>
        <stp>0</stp>
        <tr r="I20" s="68"/>
      </tp>
      <tp>
        <v>58.2089</v>
        <stp/>
        <stp>124</stp>
        <stp>AMT</stp>
        <stp>TDA</stp>
        <stp>0</stp>
        <stp>0</stp>
        <stp>0</stp>
        <stp>0</stp>
        <stp>0</stp>
        <tr r="L17" s="68"/>
      </tp>
      <tp t="s">
        <v>NVR, Inc. Common Stock</v>
        <stp/>
        <stp>112</stp>
        <stp>NVR</stp>
        <stp>TDA</stp>
        <stp>0</stp>
        <stp>0</stp>
        <stp>0</stp>
        <stp>0</stp>
        <stp>0</stp>
        <tr r="B86" s="67"/>
      </tp>
      <tp>
        <v>7.1400000000000005E-2</v>
        <stp/>
        <stp>152</stp>
        <stp>NVR</stp>
        <stp>TDA</stp>
        <stp>0</stp>
        <stp>0</stp>
        <stp>0</stp>
        <stp>0</stp>
        <stp>0</stp>
        <tr r="N2" s="68"/>
      </tp>
      <tp>
        <v>31.87</v>
        <stp/>
        <stp>124</stp>
        <stp>MDT</stp>
        <stp>TDA</stp>
        <stp>0</stp>
        <stp>0</stp>
        <stp>0</stp>
        <stp>0</stp>
        <stp>0</stp>
        <tr r="L20" s="68"/>
      </tp>
      <tp>
        <v>1.8100000000000002E-2</v>
        <stp/>
        <stp>152</stp>
        <stp>MAR</stp>
        <stp>TDA</stp>
        <stp>0</stp>
        <stp>0</stp>
        <stp>0</stp>
        <stp>0</stp>
        <stp>0</stp>
        <tr r="N16" s="68"/>
      </tp>
      <tp t="s">
        <v>Marriott International - Class A Common Stock</v>
        <stp/>
        <stp>112</stp>
        <stp>MAR</stp>
        <stp>TDA</stp>
        <stp>0</stp>
        <stp>0</stp>
        <stp>0</stp>
        <stp>0</stp>
        <stp>0</stp>
        <tr r="B84" s="67"/>
      </tp>
      <tp>
        <v>1</v>
        <stp/>
        <stp>210</stp>
        <stp>CWBHF</stp>
        <stp>TDA</stp>
        <stp>0</stp>
        <stp>0</stp>
        <stp>0</stp>
        <stp>0</stp>
        <stp>0</stp>
        <tr r="Q49" s="68"/>
      </tp>
      <tp>
        <v>28.9483</v>
        <stp/>
        <stp>124</stp>
        <stp>FDS</stp>
        <stp>TDA</stp>
        <stp>0</stp>
        <stp>0</stp>
        <stp>0</stp>
        <stp>0</stp>
        <stp>0</stp>
        <tr r="L8" s="68"/>
      </tp>
      <tp>
        <v>22.8337</v>
        <stp/>
        <stp>124</stp>
        <stp>DIS</stp>
        <stp>TDA</stp>
        <stp>0</stp>
        <stp>0</stp>
        <stp>0</stp>
        <stp>0</stp>
        <stp>0</stp>
        <tr r="L54" s="68"/>
      </tp>
      <tp>
        <v>0.72790488887933513</v>
        <stp/>
        <stp>115</stp>
        <stp>NVR</stp>
        <stp>TDA</stp>
        <stp>0</stp>
        <stp>0</stp>
        <stp>0</stp>
        <stp>0</stp>
        <stp>0</stp>
        <tr r="I2" s="68"/>
      </tp>
      <tp>
        <v>0.31033487297921969</v>
        <stp/>
        <stp>115</stp>
        <stp>MAR</stp>
        <stp>TDA</stp>
        <stp>0</stp>
        <stp>0</stp>
        <stp>0</stp>
        <stp>0</stp>
        <stp>0</stp>
        <tr r="I16" s="68"/>
      </tp>
      <tp t="s">
        <v>Fastly, Inc.</v>
        <stp/>
        <stp>112</stp>
        <stp>FSLY</stp>
        <stp/>
        <stp>0</stp>
        <stp>0</stp>
        <stp>0</stp>
        <stp>0</stp>
        <stp>0</stp>
        <tr r="H41" s="68"/>
      </tp>
      <tp>
        <v>1.3237897329331167</v>
        <stp/>
        <stp>115</stp>
        <stp>FDS</stp>
        <stp>TDA</stp>
        <stp>0</stp>
        <stp>0</stp>
        <stp>0</stp>
        <stp>0</stp>
        <stp>0</stp>
        <tr r="I8" s="68"/>
      </tp>
      <tp>
        <v>-7.4034190335182146E-2</v>
        <stp/>
        <stp>115</stp>
        <stp>DIS</stp>
        <stp>TDA</stp>
        <stp>0</stp>
        <stp>0</stp>
        <stp>0</stp>
        <stp>0</stp>
        <stp>0</stp>
        <tr r="I54" s="68"/>
      </tp>
      <tp t="s">
        <v>American Tower Corporation (REIT) Common Stock</v>
        <stp/>
        <stp>112</stp>
        <stp>AMT</stp>
        <stp>TDA</stp>
        <stp>0</stp>
        <stp>0</stp>
        <stp>0</stp>
        <stp>0</stp>
        <stp>0</stp>
        <tr r="B52" s="67"/>
        <tr r="B64" s="67"/>
      </tp>
      <tp>
        <v>2.5400000000000002E-2</v>
        <stp/>
        <stp>152</stp>
        <stp>AMT</stp>
        <stp>TDA</stp>
        <stp>0</stp>
        <stp>0</stp>
        <stp>0</stp>
        <stp>0</stp>
        <stp>0</stp>
        <tr r="N17" s="68"/>
      </tp>
      <tp>
        <v>15.940000000000001</v>
        <stp/>
        <stp>124</stp>
        <stp>NVR</stp>
        <stp>TDA</stp>
        <stp>0</stp>
        <stp>0</stp>
        <stp>0</stp>
        <stp>0</stp>
        <stp>0</stp>
        <tr r="L2" s="68"/>
      </tp>
      <tp t="s">
        <v>Medtronic plc. Ordinary Shares</v>
        <stp/>
        <stp>112</stp>
        <stp>MDT</stp>
        <stp>TDA</stp>
        <stp>0</stp>
        <stp>0</stp>
        <stp>0</stp>
        <stp>0</stp>
        <stp>0</stp>
        <tr r="B44" s="67"/>
      </tp>
      <tp>
        <v>35.379800000000003</v>
        <stp/>
        <stp>124</stp>
        <stp>MAR</stp>
        <stp>TDA</stp>
        <stp>0</stp>
        <stp>0</stp>
        <stp>0</stp>
        <stp>0</stp>
        <stp>0</stp>
        <tr r="L16" s="68"/>
      </tp>
      <tp>
        <v>1.26E-2</v>
        <stp/>
        <stp>152</stp>
        <stp>MDT</stp>
        <stp>TDA</stp>
        <stp>0</stp>
        <stp>0</stp>
        <stp>0</stp>
        <stp>0</stp>
        <stp>0</stp>
        <tr r="N20" s="68"/>
      </tp>
      <tp t="s">
        <v>Etsy, Inc.</v>
        <stp/>
        <stp>112</stp>
        <stp>ETSY</stp>
        <stp/>
        <stp>0</stp>
        <stp>0</stp>
        <stp>0</stp>
        <stp>0</stp>
        <stp>0</stp>
        <tr r="H36" s="68"/>
      </tp>
      <tp t="s">
        <v>eBay Inc.</v>
        <stp/>
        <stp>112</stp>
        <stp>EBAY</stp>
        <stp/>
        <stp>0</stp>
        <stp>0</stp>
        <stp>0</stp>
        <stp>0</stp>
        <stp>0</stp>
        <tr r="H40" s="68"/>
      </tp>
      <tp>
        <v>242</v>
        <stp/>
        <stp>111</stp>
        <stp>AMT</stp>
        <stp>TDA</stp>
        <stp>0</stp>
        <stp>0</stp>
        <stp>0</stp>
        <stp>0</stp>
        <stp>0</stp>
        <tr r="K17" s="68"/>
      </tp>
      <tp>
        <v>0</v>
        <stp/>
        <stp>117</stp>
        <stp>NVR</stp>
        <stp>TDA</stp>
        <stp>0</stp>
        <stp>0</stp>
        <stp>0</stp>
        <stp>0</stp>
        <stp>0</stp>
        <tr r="M2" s="68"/>
      </tp>
      <tp>
        <v>0</v>
        <stp/>
        <stp>167</stp>
        <stp>NVR</stp>
        <stp>TDA</stp>
        <stp>0</stp>
        <stp>0</stp>
        <stp>0</stp>
        <stp>0</stp>
        <stp>0</stp>
        <tr r="O2" s="68"/>
      </tp>
      <tp>
        <v>1.9200000000000002</v>
        <stp/>
        <stp>167</stp>
        <stp>MAR</stp>
        <stp>TDA</stp>
        <stp>0</stp>
        <stp>0</stp>
        <stp>0</stp>
        <stp>0</stp>
        <stp>0</stp>
        <tr r="O16" s="68"/>
      </tp>
      <tp>
        <v>114.46000000000001</v>
        <stp/>
        <stp>111</stp>
        <stp>MDT</stp>
        <stp>TDA</stp>
        <stp>0</stp>
        <stp>0</stp>
        <stp>0</stp>
        <stp>0</stp>
        <stp>0</stp>
        <tr r="K20" s="68"/>
      </tp>
      <tp>
        <v>1.3900000000000001</v>
        <stp/>
        <stp>117</stp>
        <stp>MAR</stp>
        <stp>TDA</stp>
        <stp>0</stp>
        <stp>0</stp>
        <stp>0</stp>
        <stp>0</stp>
        <stp>0</stp>
        <tr r="M16" s="68"/>
      </tp>
      <tp>
        <v>0</v>
        <stp/>
        <stp>170</stp>
        <stp>CWBHF</stp>
        <stp>TDA</stp>
        <stp>0</stp>
        <stp>0</stp>
        <stp>0</stp>
        <stp>0</stp>
        <stp>0</stp>
        <tr r="P49" s="68"/>
      </tp>
      <tp>
        <v>0</v>
        <stp/>
        <stp>167</stp>
        <stp>CWBHF</stp>
        <stp>TDA</stp>
        <stp>0</stp>
        <stp>0</stp>
        <stp>0</stp>
        <stp>0</stp>
        <stp>0</stp>
        <tr r="O49" s="68"/>
      </tp>
      <tp>
        <v>0.1807</v>
        <stp/>
        <stp>152</stp>
        <stp>CWBHF</stp>
        <stp>TDA</stp>
        <stp>0</stp>
        <stp>0</stp>
        <stp>0</stp>
        <stp>0</stp>
        <stp>0</stp>
        <tr r="N49" s="68"/>
      </tp>
      <tp>
        <v>148.17000000000002</v>
        <stp/>
        <stp>124</stp>
        <stp>CWBHF</stp>
        <stp>TDA</stp>
        <stp>0</stp>
        <stp>0</stp>
        <stp>0</stp>
        <stp>0</stp>
        <stp>0</stp>
        <tr r="L49" s="68"/>
      </tp>
      <tp>
        <v>-2.3927789934354498</v>
        <stp/>
        <stp>115</stp>
        <stp>CWBHF</stp>
        <stp>TDA</stp>
        <stp>0</stp>
        <stp>0</stp>
        <stp>0</stp>
        <stp>0</stp>
        <stp>0</stp>
        <tr r="I49" s="68"/>
      </tp>
      <tp>
        <v>0</v>
        <stp/>
        <stp>117</stp>
        <stp>CWBHF</stp>
        <stp>TDA</stp>
        <stp>0</stp>
        <stp>0</stp>
        <stp>0</stp>
        <stp>0</stp>
        <stp>0</stp>
        <tr r="M49" s="68"/>
      </tp>
      <tp>
        <v>8.35</v>
        <stp/>
        <stp>110</stp>
        <stp>CWBHF</stp>
        <stp>TDA</stp>
        <stp>0</stp>
        <stp>0</stp>
        <stp>0</stp>
        <stp>0</stp>
        <stp>0</stp>
        <tr r="J49" s="68"/>
      </tp>
      <tp>
        <v>25.25</v>
        <stp/>
        <stp>111</stp>
        <stp>CWBHF</stp>
        <stp>TDA</stp>
        <stp>0</stp>
        <stp>0</stp>
        <stp>0</stp>
        <stp>0</stp>
        <stp>0</stp>
        <tr r="K49" s="68"/>
      </tp>
      <tp t="s">
        <v>Charlottes Web Hldgs Inc  (Canada) Common Shares (QX)</v>
        <stp/>
        <stp>112</stp>
        <stp>CWBHF</stp>
        <stp>TDA</stp>
        <stp>0</stp>
        <stp>0</stp>
        <stp>0</stp>
        <stp>0</stp>
        <stp>0</stp>
        <tr r="B81" s="67"/>
      </tp>
      <tp>
        <v>8.9213000000000005</v>
        <stp/>
        <stp>100</stp>
        <stp>CWBHF</stp>
        <stp>TDA</stp>
        <stp>0</stp>
        <stp>0</stp>
        <stp>0</stp>
        <stp>0</stp>
        <stp>0</stp>
        <tr r="O81" s="67"/>
        <tr r="G81" s="67"/>
        <tr r="B49" s="68"/>
      </tp>
      <tp t="s">
        <v>DocuSign, Inc.</v>
        <stp/>
        <stp>112</stp>
        <stp>DOCU</stp>
        <stp/>
        <stp>0</stp>
        <stp>0</stp>
        <stp>0</stp>
        <stp>0</stp>
        <stp>0</stp>
        <tr r="H33" s="68"/>
      </tp>
      <tp>
        <v>1.1100000000000001</v>
        <stp/>
        <stp>117</stp>
        <stp>FDS</stp>
        <stp>TDA</stp>
        <stp>0</stp>
        <stp>0</stp>
        <stp>0</stp>
        <stp>0</stp>
        <stp>0</stp>
        <tr r="M8" s="68"/>
      </tp>
      <tp>
        <v>2.8800000000000003</v>
        <stp/>
        <stp>167</stp>
        <stp>FDS</stp>
        <stp>TDA</stp>
        <stp>0</stp>
        <stp>0</stp>
        <stp>0</stp>
        <stp>0</stp>
        <stp>0</stp>
        <tr r="O8" s="68"/>
      </tp>
      <tp>
        <v>1.76</v>
        <stp/>
        <stp>167</stp>
        <stp>DIS</stp>
        <stp>TDA</stp>
        <stp>0</stp>
        <stp>0</stp>
        <stp>0</stp>
        <stp>0</stp>
        <stp>0</stp>
        <tr r="O54" s="68"/>
      </tp>
      <tp>
        <v>1.1800000000000002</v>
        <stp/>
        <stp>117</stp>
        <stp>DIS</stp>
        <stp>TDA</stp>
        <stp>0</stp>
        <stp>0</stp>
        <stp>0</stp>
        <stp>0</stp>
        <stp>0</stp>
        <tr r="M54" s="68"/>
      </tp>
      <tp>
        <v>1</v>
        <stp/>
        <stp>210</stp>
        <stp>AMT</stp>
        <stp>TDA</stp>
        <stp>0</stp>
        <stp>0</stp>
        <stp>0</stp>
        <stp>0</stp>
        <stp>0</stp>
        <tr r="Q17" s="68"/>
      </tp>
      <tp>
        <v>150.66500000000002</v>
        <stp/>
        <stp>110</stp>
        <stp>AMT</stp>
        <stp>TDA</stp>
        <stp>0</stp>
        <stp>0</stp>
        <stp>0</stp>
        <stp>0</stp>
        <stp>0</stp>
        <tr r="J17" s="68"/>
      </tp>
      <tp>
        <v>210.97980000000001</v>
        <stp/>
        <stp>100</stp>
        <stp>AMT</stp>
        <stp>TDA</stp>
        <stp>0</stp>
        <stp>0</stp>
        <stp>0</stp>
        <stp>0</stp>
        <stp>0</stp>
        <tr r="O52" s="67"/>
        <tr r="O64" s="67"/>
        <tr r="B17" s="68"/>
      </tp>
      <tp>
        <v>43734</v>
        <stp/>
        <stp>170</stp>
        <stp>AMT</stp>
        <stp>TDA</stp>
        <stp>0</stp>
        <stp>0</stp>
        <stp>0</stp>
        <stp>0</stp>
        <stp>0</stp>
        <tr r="P17" s="68"/>
      </tp>
      <tp>
        <v>1</v>
        <stp/>
        <stp>210</stp>
        <stp>MDT</stp>
        <stp>TDA</stp>
        <stp>0</stp>
        <stp>0</stp>
        <stp>0</stp>
        <stp>0</stp>
        <stp>0</stp>
        <tr r="Q20" s="68"/>
      </tp>
      <tp>
        <v>111.51</v>
        <stp/>
        <stp>100</stp>
        <stp>MDT</stp>
        <stp>TDA</stp>
        <stp>0</stp>
        <stp>0</stp>
        <stp>0</stp>
        <stp>0</stp>
        <stp>0</stp>
        <tr r="O44" s="67"/>
        <tr r="G44" s="67"/>
        <tr r="B20" s="68"/>
      </tp>
      <tp>
        <v>81.663700000000006</v>
        <stp/>
        <stp>110</stp>
        <stp>MDT</stp>
        <stp>TDA</stp>
        <stp>0</stp>
        <stp>0</stp>
        <stp>0</stp>
        <stp>0</stp>
        <stp>0</stp>
        <tr r="J20" s="68"/>
      </tp>
      <tp>
        <v>43734</v>
        <stp/>
        <stp>170</stp>
        <stp>MDT</stp>
        <stp>TDA</stp>
        <stp>0</stp>
        <stp>0</stp>
        <stp>0</stp>
        <stp>0</stp>
        <stp>0</stp>
        <tr r="P20" s="68"/>
      </tp>
      <tp t="s">
        <v>Kinsale Capital Group, Inc.</v>
        <stp/>
        <stp>112</stp>
        <stp>KNSL</stp>
        <stp/>
        <stp>0</stp>
        <stp>0</stp>
        <stp>0</stp>
        <stp>0</stp>
        <stp>0</stp>
        <tr r="H23" s="68"/>
      </tp>
      <tp t="s">
        <v>Equifax, Inc. Common Stock</v>
        <stp/>
        <stp>112</stp>
        <stp>EFX</stp>
        <stp>TDA</stp>
        <stp>0</stp>
        <stp>0</stp>
        <stp>0</stp>
        <stp>0</stp>
        <stp>0</stp>
        <tr r="B33" s="67"/>
        <tr r="B15" s="67"/>
      </tp>
      <tp>
        <v>4.5400000000000003E-2</v>
        <stp/>
        <stp>152</stp>
        <stp>EFX</stp>
        <stp>TDA</stp>
        <stp>0</stp>
        <stp>0</stp>
        <stp>0</stp>
        <stp>0</stp>
        <stp>0</stp>
        <tr r="N57" s="68"/>
      </tp>
      <tp>
        <v>148.59</v>
        <stp/>
        <stp>111</stp>
        <stp>EFX</stp>
        <stp>TDA</stp>
        <stp>0</stp>
        <stp>0</stp>
        <stp>0</stp>
        <stp>0</stp>
        <stp>0</stp>
        <tr r="K57" s="68"/>
      </tp>
      <tp>
        <v>1</v>
        <stp/>
        <stp>210</stp>
        <stp>EFX</stp>
        <stp>TDA</stp>
        <stp>0</stp>
        <stp>0</stp>
        <stp>0</stp>
        <stp>0</stp>
        <stp>0</stp>
        <tr r="Q57" s="68"/>
      </tp>
      <tp>
        <v>136.65</v>
        <stp/>
        <stp>100</stp>
        <stp>EFX</stp>
        <stp>TDA</stp>
        <stp>0</stp>
        <stp>0</stp>
        <stp>0</stp>
        <stp>0</stp>
        <stp>0</stp>
        <tr r="O15" s="67"/>
        <tr r="O33" s="67"/>
        <tr r="B57" s="68"/>
      </tp>
      <tp>
        <v>88.68</v>
        <stp/>
        <stp>110</stp>
        <stp>EFX</stp>
        <stp>TDA</stp>
        <stp>0</stp>
        <stp>0</stp>
        <stp>0</stp>
        <stp>0</stp>
        <stp>0</stp>
        <tr r="J57" s="68"/>
      </tp>
      <tp>
        <v>43790</v>
        <stp/>
        <stp>170</stp>
        <stp>EFX</stp>
        <stp>TDA</stp>
        <stp>0</stp>
        <stp>0</stp>
        <stp>0</stp>
        <stp>0</stp>
        <stp>0</stp>
        <tr r="P57" s="68"/>
      </tp>
      <tp t="s">
        <v>Oracle Corporation</v>
        <stp/>
        <stp>112</stp>
        <stp>ORCL</stp>
        <stp/>
        <stp>0</stp>
        <stp>0</stp>
        <stp>0</stp>
        <stp>0</stp>
        <stp>0</stp>
        <tr r="H31" s="68"/>
      </tp>
      <tp t="s">
        <v>Open Text Corporation</v>
        <stp/>
        <stp>112</stp>
        <stp>OTEX</stp>
        <stp/>
        <stp>0</stp>
        <stp>0</stp>
        <stp>0</stp>
        <stp>0</stp>
        <stp>0</stp>
        <tr r="H37" s="68"/>
      </tp>
      <tp>
        <v>1</v>
        <stp/>
        <stp>210</stp>
        <stp>TCEHY</stp>
        <stp>TDA</stp>
        <stp>0</stp>
        <stp>0</stp>
        <stp>0</stp>
        <stp>0</stp>
        <stp>0</stp>
        <tr r="Q52" s="68"/>
      </tp>
      <tp>
        <v>1.1500000000000001</v>
        <stp/>
        <stp>117</stp>
        <stp>EFX</stp>
        <stp>TDA</stp>
        <stp>0</stp>
        <stp>0</stp>
        <stp>0</stp>
        <stp>0</stp>
        <stp>0</stp>
        <tr r="M57" s="68"/>
      </tp>
      <tp>
        <v>1.56</v>
        <stp/>
        <stp>167</stp>
        <stp>EFX</stp>
        <stp>TDA</stp>
        <stp>0</stp>
        <stp>0</stp>
        <stp>0</stp>
        <stp>0</stp>
        <stp>0</stp>
        <tr r="O57" s="68"/>
      </tp>
      <tp t="s">
        <v>NVIDIA Corporation</v>
        <stp/>
        <stp>112</stp>
        <stp>NVDA</stp>
        <stp/>
        <stp>0</stp>
        <stp>0</stp>
        <stp>0</stp>
        <stp>0</stp>
        <stp>0</stp>
        <tr r="H50" s="68"/>
      </tp>
      <tp t="s">
        <v>Netflix, Inc.</v>
        <stp/>
        <stp>112</stp>
        <stp>NFLX</stp>
        <stp/>
        <stp>0</stp>
        <stp>0</stp>
        <stp>0</stp>
        <stp>0</stp>
        <stp>0</stp>
        <tr r="H6" s="68"/>
      </tp>
      <tp t="s">
        <v>MarketAxess Holdings, Inc.</v>
        <stp/>
        <stp>112</stp>
        <stp>MKTX</stp>
        <stp/>
        <stp>0</stp>
        <stp>0</stp>
        <stp>0</stp>
        <stp>0</stp>
        <stp>0</stp>
        <tr r="H22" s="68"/>
      </tp>
      <tp>
        <v>0.35987074030552962</v>
        <stp/>
        <stp>115</stp>
        <stp>EFX</stp>
        <stp>TDA</stp>
        <stp>0</stp>
        <stp>0</stp>
        <stp>0</stp>
        <stp>0</stp>
        <stp>0</stp>
        <tr r="I57" s="68"/>
      </tp>
      <tp>
        <v>31.39</v>
        <stp/>
        <stp>124</stp>
        <stp>TCEHY</stp>
        <stp>TDA</stp>
        <stp>0</stp>
        <stp>0</stp>
        <stp>0</stp>
        <stp>0</stp>
        <stp>0</stp>
        <tr r="L52" s="68"/>
      </tp>
      <tp>
        <v>51.24</v>
        <stp/>
        <stp>111</stp>
        <stp>TCEHY</stp>
        <stp>TDA</stp>
        <stp>0</stp>
        <stp>0</stp>
        <stp>0</stp>
        <stp>0</stp>
        <stp>0</stp>
        <tr r="K52" s="68"/>
      </tp>
      <tp>
        <v>37.370000000000005</v>
        <stp/>
        <stp>110</stp>
        <stp>TCEHY</stp>
        <stp>TDA</stp>
        <stp>0</stp>
        <stp>0</stp>
        <stp>0</stp>
        <stp>0</stp>
        <stp>0</stp>
        <tr r="J52" s="68"/>
      </tp>
      <tp>
        <v>0.61</v>
        <stp/>
        <stp>117</stp>
        <stp>TCEHY</stp>
        <stp>TDA</stp>
        <stp>0</stp>
        <stp>0</stp>
        <stp>0</stp>
        <stp>0</stp>
        <stp>0</stp>
        <tr r="M52" s="68"/>
      </tp>
      <tp>
        <v>1.3192612137203097</v>
        <stp/>
        <stp>115</stp>
        <stp>TCEHY</stp>
        <stp>TDA</stp>
        <stp>0</stp>
        <stp>0</stp>
        <stp>0</stp>
        <stp>0</stp>
        <stp>0</stp>
        <tr r="I52" s="68"/>
      </tp>
      <tp>
        <v>42.24</v>
        <stp/>
        <stp>100</stp>
        <stp>TCEHY</stp>
        <stp>TDA</stp>
        <stp>0</stp>
        <stp>0</stp>
        <stp>0</stp>
        <stp>0</stp>
        <stp>0</stp>
        <tr r="B52" s="68"/>
      </tp>
      <tp>
        <v>43601</v>
        <stp/>
        <stp>170</stp>
        <stp>TCEHY</stp>
        <stp>TDA</stp>
        <stp>0</stp>
        <stp>0</stp>
        <stp>0</stp>
        <stp>0</stp>
        <stp>0</stp>
        <tr r="P52" s="68"/>
      </tp>
      <tp>
        <v>0.26</v>
        <stp/>
        <stp>167</stp>
        <stp>TCEHY</stp>
        <stp>TDA</stp>
        <stp>0</stp>
        <stp>0</stp>
        <stp>0</stp>
        <stp>0</stp>
        <stp>0</stp>
        <tr r="O52" s="68"/>
      </tp>
      <tp>
        <v>2.9700000000000001E-2</v>
        <stp/>
        <stp>152</stp>
        <stp>TCEHY</stp>
        <stp>TDA</stp>
        <stp>0</stp>
        <stp>0</stp>
        <stp>0</stp>
        <stp>0</stp>
        <stp>0</stp>
        <tr r="N52" s="68"/>
      </tp>
      <tp>
        <v>0</v>
        <stp/>
        <stp>124</stp>
        <stp>EFX</stp>
        <stp>TDA</stp>
        <stp>0</stp>
        <stp>0</stp>
        <stp>0</stp>
        <stp>0</stp>
        <stp>0</stp>
        <tr r="L57" s="68"/>
      </tp>
      <tp>
        <v>0.05</v>
        <stp/>
        <stp>107</stp>
        <stp>CAG_011720P23</stp>
        <stp>TDA</stp>
        <stp>0</stp>
        <stp>0</stp>
        <stp>0</stp>
        <stp>0</stp>
        <stp>0</stp>
        <tr r="G68" s="67"/>
      </tp>
      <tp>
        <v>0.15</v>
        <stp/>
        <stp>108</stp>
        <stp>CAG_011720P23</stp>
        <stp>TDA</stp>
        <stp>0</stp>
        <stp>0</stp>
        <stp>0</stp>
        <stp>0</stp>
        <stp>0</stp>
        <tr r="G68" s="67"/>
      </tp>
      <tp>
        <v>194.46</v>
        <stp/>
        <stp>100</stp>
        <stp>ANET</stp>
        <stp>TDA</stp>
        <stp>0</stp>
        <stp>0</stp>
        <stp>0</stp>
        <stp>0</stp>
        <stp>0</stp>
        <tr r="B51" s="68"/>
      </tp>
      <tp>
        <v>331.27000000000004</v>
        <stp/>
        <stp>111</stp>
        <stp>ANET</stp>
        <stp>TDA</stp>
        <stp>0</stp>
        <stp>0</stp>
        <stp>0</stp>
        <stp>0</stp>
        <stp>0</stp>
        <tr r="K51" s="68"/>
      </tp>
      <tp>
        <v>173.31</v>
        <stp/>
        <stp>110</stp>
        <stp>ANET</stp>
        <stp>TDA</stp>
        <stp>0</stp>
        <stp>0</stp>
        <stp>0</stp>
        <stp>0</stp>
        <stp>0</stp>
        <tr r="J51" s="68"/>
      </tp>
      <tp>
        <v>0</v>
        <stp/>
        <stp>117</stp>
        <stp>ANET</stp>
        <stp>TDA</stp>
        <stp>0</stp>
        <stp>0</stp>
        <stp>0</stp>
        <stp>0</stp>
        <stp>0</stp>
        <tr r="M51" s="68"/>
      </tp>
      <tp>
        <v>1.2865253398614505</v>
        <stp/>
        <stp>115</stp>
        <stp>ANET</stp>
        <stp>TDA</stp>
        <stp>0</stp>
        <stp>0</stp>
        <stp>0</stp>
        <stp>0</stp>
        <stp>0</stp>
        <tr r="I51" s="68"/>
      </tp>
      <tp>
        <v>19.080000000000002</v>
        <stp/>
        <stp>124</stp>
        <stp>ANET</stp>
        <stp>TDA</stp>
        <stp>0</stp>
        <stp>0</stp>
        <stp>0</stp>
        <stp>0</stp>
        <stp>0</stp>
        <tr r="L51" s="68"/>
      </tp>
      <tp>
        <v>4.4500000000000005E-2</v>
        <stp/>
        <stp>152</stp>
        <stp>ANET</stp>
        <stp>TDA</stp>
        <stp>0</stp>
        <stp>0</stp>
        <stp>0</stp>
        <stp>0</stp>
        <stp>0</stp>
        <tr r="N51" s="68"/>
      </tp>
      <tp>
        <v>0</v>
        <stp/>
        <stp>167</stp>
        <stp>ANET</stp>
        <stp>TDA</stp>
        <stp>0</stp>
        <stp>0</stp>
        <stp>0</stp>
        <stp>0</stp>
        <stp>0</stp>
        <tr r="O51" s="68"/>
      </tp>
      <tp>
        <v>0</v>
        <stp/>
        <stp>170</stp>
        <stp>ANET</stp>
        <stp>TDA</stp>
        <stp>0</stp>
        <stp>0</stp>
        <stp>0</stp>
        <stp>0</stp>
        <stp>0</stp>
        <tr r="P51" s="68"/>
      </tp>
      <tp>
        <v>1</v>
        <stp/>
        <stp>210</stp>
        <stp>ANET</stp>
        <stp>TDA</stp>
        <stp>0</stp>
        <stp>0</stp>
        <stp>0</stp>
        <stp>0</stp>
        <stp>0</stp>
        <tr r="Q51" s="68"/>
      </tp>
      <tp t="s">
        <v>#N/A</v>
        <stp/>
        <stp>112</stp>
        <stp>HD_022120C228</stp>
        <stp>TDA</stp>
        <stp>0</stp>
        <stp>0</stp>
        <stp>0</stp>
        <stp>0</stp>
        <stp>0</stp>
        <tr r="F583" s="18"/>
      </tp>
      <tp t="s">
        <v>#N/A</v>
        <stp/>
        <stp>112</stp>
        <stp>HD_022120C208</stp>
        <stp>TDA</stp>
        <stp>0</stp>
        <stp>0</stp>
        <stp>0</stp>
        <stp>0</stp>
        <stp>0</stp>
        <tr r="F559" s="18"/>
      </tp>
      <tp t="s">
        <v>#N/A</v>
        <stp/>
        <stp>112</stp>
        <stp>HD_022120C218</stp>
        <stp>TDA</stp>
        <stp>0</stp>
        <stp>0</stp>
        <stp>0</stp>
        <stp>0</stp>
        <stp>0</stp>
        <tr r="F571" s="18"/>
      </tp>
      <tp t="s">
        <v>#N/A</v>
        <stp/>
        <stp>112</stp>
        <stp>HD_032020C229</stp>
        <stp>TDA</stp>
        <stp>0</stp>
        <stp>0</stp>
        <stp>0</stp>
        <stp>0</stp>
        <stp>0</stp>
        <tr r="F657" s="18"/>
      </tp>
      <tp t="s">
        <v>#N/A</v>
        <stp/>
        <stp>112</stp>
        <stp>HD_122019C201</stp>
        <stp>TDA</stp>
        <stp>0</stp>
        <stp>0</stp>
        <stp>0</stp>
        <stp>0</stp>
        <stp>0</stp>
        <tr r="F186" s="18"/>
      </tp>
      <tp t="s">
        <v>#N/A</v>
        <stp/>
        <stp>112</stp>
        <stp>HD_122019C211</stp>
        <stp>TDA</stp>
        <stp>0</stp>
        <stp>0</stp>
        <stp>0</stp>
        <stp>0</stp>
        <stp>0</stp>
        <tr r="F198" s="18"/>
      </tp>
      <tp t="s">
        <v>#N/A</v>
        <stp/>
        <stp>112</stp>
        <stp>HD_032020C209</stp>
        <stp>TDA</stp>
        <stp>0</stp>
        <stp>0</stp>
        <stp>0</stp>
        <stp>0</stp>
        <stp>0</stp>
        <tr r="F633" s="18"/>
      </tp>
      <tp t="s">
        <v>#N/A</v>
        <stp/>
        <stp>112</stp>
        <stp>HD_122019C221</stp>
        <stp>TDA</stp>
        <stp>0</stp>
        <stp>0</stp>
        <stp>0</stp>
        <stp>0</stp>
        <stp>0</stp>
        <tr r="F210" s="18"/>
      </tp>
      <tp t="s">
        <v>#N/A</v>
        <stp/>
        <stp>112</stp>
        <stp>HD_032020C219</stp>
        <stp>TDA</stp>
        <stp>0</stp>
        <stp>0</stp>
        <stp>0</stp>
        <stp>0</stp>
        <stp>0</stp>
        <tr r="F645" s="18"/>
      </tp>
      <tp t="s">
        <v>#N/A</v>
        <stp/>
        <stp>112</stp>
        <stp>HD_122019C181</stp>
        <stp>TDA</stp>
        <stp>0</stp>
        <stp>0</stp>
        <stp>0</stp>
        <stp>0</stp>
        <stp>0</stp>
        <tr r="F162" s="18"/>
      </tp>
      <tp t="s">
        <v>#N/A</v>
        <stp/>
        <stp>112</stp>
        <stp>HD_122019C191</stp>
        <stp>TDA</stp>
        <stp>0</stp>
        <stp>0</stp>
        <stp>0</stp>
        <stp>0</stp>
        <stp>0</stp>
        <tr r="F174" s="18"/>
      </tp>
      <tp t="s">
        <v>#N/A</v>
        <stp/>
        <stp>112</stp>
        <stp>HD_032020C189</stp>
        <stp>TDA</stp>
        <stp>0</stp>
        <stp>0</stp>
        <stp>0</stp>
        <stp>0</stp>
        <stp>0</stp>
        <tr r="F609" s="18"/>
      </tp>
      <tp t="s">
        <v>#N/A</v>
        <stp/>
        <stp>112</stp>
        <stp>HD_032020C199</stp>
        <stp>TDA</stp>
        <stp>0</stp>
        <stp>0</stp>
        <stp>0</stp>
        <stp>0</stp>
        <stp>0</stp>
        <tr r="F621" s="18"/>
      </tp>
      <tp t="s">
        <v>#N/A</v>
        <stp/>
        <stp>112</stp>
        <stp>HD_032020C179</stp>
        <stp>TDA</stp>
        <stp>0</stp>
        <stp>0</stp>
        <stp>0</stp>
        <stp>0</stp>
        <stp>0</stp>
        <tr r="F597" s="18"/>
      </tp>
      <tp t="s">
        <v>#N/A</v>
        <stp/>
        <stp>112</stp>
        <stp>HD_122019C171</stp>
        <stp>TDA</stp>
        <stp>0</stp>
        <stp>0</stp>
        <stp>0</stp>
        <stp>0</stp>
        <stp>0</stp>
        <tr r="F150" s="18"/>
      </tp>
      <tp t="s">
        <v>#N/A</v>
        <stp/>
        <stp>112</stp>
        <stp>HD_022120C188</stp>
        <stp>TDA</stp>
        <stp>0</stp>
        <stp>0</stp>
        <stp>0</stp>
        <stp>0</stp>
        <stp>0</stp>
        <tr r="F535" s="18"/>
      </tp>
      <tp t="s">
        <v>#N/A</v>
        <stp/>
        <stp>112</stp>
        <stp>HD_022120C198</stp>
        <stp>TDA</stp>
        <stp>0</stp>
        <stp>0</stp>
        <stp>0</stp>
        <stp>0</stp>
        <stp>0</stp>
        <tr r="F547" s="18"/>
      </tp>
      <tp t="s">
        <v>#N/A</v>
        <stp/>
        <stp>112</stp>
        <stp>HD_022120C178</stp>
        <stp>TDA</stp>
        <stp>0</stp>
        <stp>0</stp>
        <stp>0</stp>
        <stp>0</stp>
        <stp>0</stp>
        <tr r="F523" s="18"/>
      </tp>
      <tp t="s">
        <v>#N/A</v>
        <stp/>
        <stp>112</stp>
        <stp>HD_120619C181</stp>
        <stp>TDA</stp>
        <stp>0</stp>
        <stp>0</stp>
        <stp>0</stp>
        <stp>0</stp>
        <stp>0</stp>
        <tr r="F15" s="18"/>
      </tp>
      <tp t="s">
        <v>#N/A</v>
        <stp/>
        <stp>112</stp>
        <stp>HD_120619C191</stp>
        <stp>TDA</stp>
        <stp>0</stp>
        <stp>0</stp>
        <stp>0</stp>
        <stp>0</stp>
        <stp>0</stp>
        <tr r="F27" s="18"/>
      </tp>
      <tp t="s">
        <v>#N/A</v>
        <stp/>
        <stp>112</stp>
        <stp>HD_120619C171</stp>
        <stp>TDA</stp>
        <stp>0</stp>
        <stp>0</stp>
        <stp>0</stp>
        <stp>0</stp>
        <stp>0</stp>
        <tr r="F3" s="18"/>
      </tp>
      <tp t="s">
        <v>#N/A</v>
        <stp/>
        <stp>112</stp>
        <stp>HD_120619C201</stp>
        <stp>TDA</stp>
        <stp>0</stp>
        <stp>0</stp>
        <stp>0</stp>
        <stp>0</stp>
        <stp>0</stp>
        <tr r="F39" s="18"/>
      </tp>
      <tp t="s">
        <v>#N/A</v>
        <stp/>
        <stp>112</stp>
        <stp>HD_120619C211</stp>
        <stp>TDA</stp>
        <stp>0</stp>
        <stp>0</stp>
        <stp>0</stp>
        <stp>0</stp>
        <stp>0</stp>
        <tr r="F51" s="18"/>
      </tp>
      <tp t="s">
        <v>#N/A</v>
        <stp/>
        <stp>112</stp>
        <stp>HD_120619C221</stp>
        <stp>TDA</stp>
        <stp>0</stp>
        <stp>0</stp>
        <stp>0</stp>
        <stp>0</stp>
        <stp>0</stp>
        <tr r="F63" s="18"/>
      </tp>
      <tp t="s">
        <v>#N/A</v>
        <stp/>
        <stp>112</stp>
        <stp>HD_121319C181</stp>
        <stp>TDA</stp>
        <stp>0</stp>
        <stp>0</stp>
        <stp>0</stp>
        <stp>0</stp>
        <stp>0</stp>
        <tr r="F88" s="18"/>
      </tp>
      <tp t="s">
        <v>#N/A</v>
        <stp/>
        <stp>112</stp>
        <stp>HD_121319C191</stp>
        <stp>TDA</stp>
        <stp>0</stp>
        <stp>0</stp>
        <stp>0</stp>
        <stp>0</stp>
        <stp>0</stp>
        <tr r="F100" s="18"/>
      </tp>
      <tp t="s">
        <v>#N/A</v>
        <stp/>
        <stp>112</stp>
        <stp>HD_121319C171</stp>
        <stp>TDA</stp>
        <stp>0</stp>
        <stp>0</stp>
        <stp>0</stp>
        <stp>0</stp>
        <stp>0</stp>
        <tr r="F76" s="18"/>
      </tp>
      <tp t="s">
        <v>#N/A</v>
        <stp/>
        <stp>112</stp>
        <stp>HD_121319C201</stp>
        <stp>TDA</stp>
        <stp>0</stp>
        <stp>0</stp>
        <stp>0</stp>
        <stp>0</stp>
        <stp>0</stp>
        <tr r="F112" s="18"/>
      </tp>
      <tp t="s">
        <v>#N/A</v>
        <stp/>
        <stp>112</stp>
        <stp>HD_121319C211</stp>
        <stp>TDA</stp>
        <stp>0</stp>
        <stp>0</stp>
        <stp>0</stp>
        <stp>0</stp>
        <stp>0</stp>
        <tr r="F124" s="18"/>
      </tp>
      <tp t="s">
        <v>#N/A</v>
        <stp/>
        <stp>112</stp>
        <stp>HD_121319C221</stp>
        <stp>TDA</stp>
        <stp>0</stp>
        <stp>0</stp>
        <stp>0</stp>
        <stp>0</stp>
        <stp>0</stp>
        <tr r="F136" s="18"/>
      </tp>
      <tp>
        <v>-1.6553480475382025</v>
        <stp/>
        <stp>115</stp>
        <stp>DOCU</stp>
        <stp>TDA</stp>
        <stp>0</stp>
        <stp>0</stp>
        <stp>0</stp>
        <stp>0</stp>
        <stp>0</stp>
        <tr r="I33" s="68"/>
      </tp>
      <tp>
        <v>0</v>
        <stp/>
        <stp>117</stp>
        <stp>DOCU</stp>
        <stp>TDA</stp>
        <stp>0</stp>
        <stp>0</stp>
        <stp>0</stp>
        <stp>0</stp>
        <stp>0</stp>
        <tr r="M33" s="68"/>
      </tp>
      <tp>
        <v>73.22</v>
        <stp/>
        <stp>111</stp>
        <stp>DOCU</stp>
        <stp>TDA</stp>
        <stp>0</stp>
        <stp>0</stp>
        <stp>0</stp>
        <stp>0</stp>
        <stp>0</stp>
        <tr r="K33" s="68"/>
      </tp>
      <tp>
        <v>36.248800000000003</v>
        <stp/>
        <stp>110</stp>
        <stp>DOCU</stp>
        <stp>TDA</stp>
        <stp>0</stp>
        <stp>0</stp>
        <stp>0</stp>
        <stp>0</stp>
        <stp>0</stp>
        <tr r="J33" s="68"/>
      </tp>
      <tp t="s">
        <v>DocuSign, Inc. - Common Stock</v>
        <stp/>
        <stp>112</stp>
        <stp>DOCU</stp>
        <stp>TDA</stp>
        <stp>0</stp>
        <stp>0</stp>
        <stp>0</stp>
        <stp>0</stp>
        <stp>0</stp>
        <tr r="B57" s="67"/>
      </tp>
      <tp>
        <v>69.510000000000005</v>
        <stp/>
        <stp>100</stp>
        <stp>DOCU</stp>
        <stp>TDA</stp>
        <stp>0</stp>
        <stp>0</stp>
        <stp>0</stp>
        <stp>0</stp>
        <stp>0</stp>
        <tr r="O57" s="67"/>
        <tr r="G57" s="67"/>
        <tr r="B33" s="68"/>
      </tp>
      <tp>
        <v>0</v>
        <stp/>
        <stp>124</stp>
        <stp>DOCU</stp>
        <stp>TDA</stp>
        <stp>0</stp>
        <stp>0</stp>
        <stp>0</stp>
        <stp>0</stp>
        <stp>0</stp>
        <tr r="L33" s="68"/>
      </tp>
      <tp>
        <v>0.04</v>
        <stp/>
        <stp>152</stp>
        <stp>DOCU</stp>
        <stp>TDA</stp>
        <stp>0</stp>
        <stp>0</stp>
        <stp>0</stp>
        <stp>0</stp>
        <stp>0</stp>
        <tr r="N33" s="68"/>
      </tp>
      <tp>
        <v>0</v>
        <stp/>
        <stp>170</stp>
        <stp>DOCU</stp>
        <stp>TDA</stp>
        <stp>0</stp>
        <stp>0</stp>
        <stp>0</stp>
        <stp>0</stp>
        <stp>0</stp>
        <tr r="P33" s="68"/>
      </tp>
      <tp>
        <v>0</v>
        <stp/>
        <stp>167</stp>
        <stp>DOCU</stp>
        <stp>TDA</stp>
        <stp>0</stp>
        <stp>0</stp>
        <stp>0</stp>
        <stp>0</stp>
        <stp>0</stp>
        <tr r="O33" s="68"/>
      </tp>
      <tp>
        <v>1</v>
        <stp/>
        <stp>210</stp>
        <stp>DOCU</stp>
        <stp>TDA</stp>
        <stp>0</stp>
        <stp>0</stp>
        <stp>0</stp>
        <stp>0</stp>
        <stp>0</stp>
        <tr r="Q33" s="68"/>
      </tp>
      <tp t="s">
        <v>#N/A</v>
        <stp/>
        <stp>112</stp>
        <stp>HD_022120C229</stp>
        <stp>TDA</stp>
        <stp>0</stp>
        <stp>0</stp>
        <stp>0</stp>
        <stp>0</stp>
        <stp>0</stp>
        <tr r="F584" s="18"/>
      </tp>
      <tp t="s">
        <v>#N/A</v>
        <stp/>
        <stp>112</stp>
        <stp>HD_022120C209</stp>
        <stp>TDA</stp>
        <stp>0</stp>
        <stp>0</stp>
        <stp>0</stp>
        <stp>0</stp>
        <stp>0</stp>
        <tr r="F560" s="18"/>
      </tp>
      <tp t="s">
        <v>#N/A</v>
        <stp/>
        <stp>112</stp>
        <stp>HD_022120C219</stp>
        <stp>TDA</stp>
        <stp>0</stp>
        <stp>0</stp>
        <stp>0</stp>
        <stp>0</stp>
        <stp>0</stp>
        <tr r="F572" s="18"/>
      </tp>
      <tp t="s">
        <v>#N/A</v>
        <stp/>
        <stp>112</stp>
        <stp>HD_032020C228</stp>
        <stp>TDA</stp>
        <stp>0</stp>
        <stp>0</stp>
        <stp>0</stp>
        <stp>0</stp>
        <stp>0</stp>
        <tr r="F656" s="18"/>
      </tp>
      <tp t="s">
        <v>HD Dec 20 2019 200 Call</v>
        <stp/>
        <stp>112</stp>
        <stp>HD_122019C200</stp>
        <stp>TDA</stp>
        <stp>0</stp>
        <stp>0</stp>
        <stp>0</stp>
        <stp>0</stp>
        <stp>0</stp>
        <tr r="F184" s="18"/>
      </tp>
      <tp t="s">
        <v>HD Dec 20 2019 210 Call</v>
        <stp/>
        <stp>112</stp>
        <stp>HD_122019C210</stp>
        <stp>TDA</stp>
        <stp>0</stp>
        <stp>0</stp>
        <stp>0</stp>
        <stp>0</stp>
        <stp>0</stp>
        <tr r="F196" s="18"/>
      </tp>
      <tp t="s">
        <v>#N/A</v>
        <stp/>
        <stp>112</stp>
        <stp>HD_032020C208</stp>
        <stp>TDA</stp>
        <stp>0</stp>
        <stp>0</stp>
        <stp>0</stp>
        <stp>0</stp>
        <stp>0</stp>
        <tr r="F632" s="18"/>
      </tp>
      <tp t="s">
        <v>HD Dec 20 2019 220 Call</v>
        <stp/>
        <stp>112</stp>
        <stp>HD_122019C220</stp>
        <stp>TDA</stp>
        <stp>0</stp>
        <stp>0</stp>
        <stp>0</stp>
        <stp>0</stp>
        <stp>0</stp>
        <tr r="F208" s="18"/>
      </tp>
      <tp t="s">
        <v>#N/A</v>
        <stp/>
        <stp>112</stp>
        <stp>HD_032020C218</stp>
        <stp>TDA</stp>
        <stp>0</stp>
        <stp>0</stp>
        <stp>0</stp>
        <stp>0</stp>
        <stp>0</stp>
        <tr r="F644" s="18"/>
      </tp>
      <tp t="s">
        <v>HD Dec 20 2019 230 Call</v>
        <stp/>
        <stp>112</stp>
        <stp>HD_122019C230</stp>
        <stp>TDA</stp>
        <stp>0</stp>
        <stp>0</stp>
        <stp>0</stp>
        <stp>0</stp>
        <stp>0</stp>
        <tr r="F220" s="18"/>
      </tp>
      <tp t="s">
        <v>HD Dec 20 2019 180 Call</v>
        <stp/>
        <stp>112</stp>
        <stp>HD_122019C180</stp>
        <stp>TDA</stp>
        <stp>0</stp>
        <stp>0</stp>
        <stp>0</stp>
        <stp>0</stp>
        <stp>0</stp>
        <tr r="F160" s="18"/>
      </tp>
      <tp t="s">
        <v>HD Dec 20 2019 190 Call</v>
        <stp/>
        <stp>112</stp>
        <stp>HD_122019C190</stp>
        <stp>TDA</stp>
        <stp>0</stp>
        <stp>0</stp>
        <stp>0</stp>
        <stp>0</stp>
        <stp>0</stp>
        <tr r="F172" s="18"/>
      </tp>
      <tp t="s">
        <v>#N/A</v>
        <stp/>
        <stp>112</stp>
        <stp>HD_032020C188</stp>
        <stp>TDA</stp>
        <stp>0</stp>
        <stp>0</stp>
        <stp>0</stp>
        <stp>0</stp>
        <stp>0</stp>
        <tr r="F608" s="18"/>
      </tp>
      <tp t="s">
        <v>#N/A</v>
        <stp/>
        <stp>112</stp>
        <stp>HD_032020C198</stp>
        <stp>TDA</stp>
        <stp>0</stp>
        <stp>0</stp>
        <stp>0</stp>
        <stp>0</stp>
        <stp>0</stp>
        <tr r="F620" s="18"/>
      </tp>
      <tp t="s">
        <v>#N/A</v>
        <stp/>
        <stp>112</stp>
        <stp>HD_032020C178</stp>
        <stp>TDA</stp>
        <stp>0</stp>
        <stp>0</stp>
        <stp>0</stp>
        <stp>0</stp>
        <stp>0</stp>
        <tr r="F596" s="18"/>
      </tp>
      <tp t="s">
        <v>HD Dec 20 2019 170 Call</v>
        <stp/>
        <stp>112</stp>
        <stp>HD_122019C170</stp>
        <stp>TDA</stp>
        <stp>0</stp>
        <stp>0</stp>
        <stp>0</stp>
        <stp>0</stp>
        <stp>0</stp>
        <tr r="F148" s="18"/>
      </tp>
      <tp t="s">
        <v>#N/A</v>
        <stp/>
        <stp>112</stp>
        <stp>HD_022120C189</stp>
        <stp>TDA</stp>
        <stp>0</stp>
        <stp>0</stp>
        <stp>0</stp>
        <stp>0</stp>
        <stp>0</stp>
        <tr r="F536" s="18"/>
      </tp>
      <tp t="s">
        <v>#N/A</v>
        <stp/>
        <stp>112</stp>
        <stp>HD_022120C199</stp>
        <stp>TDA</stp>
        <stp>0</stp>
        <stp>0</stp>
        <stp>0</stp>
        <stp>0</stp>
        <stp>0</stp>
        <tr r="F548" s="18"/>
      </tp>
      <tp t="s">
        <v>#N/A</v>
        <stp/>
        <stp>112</stp>
        <stp>HD_022120C179</stp>
        <stp>TDA</stp>
        <stp>0</stp>
        <stp>0</stp>
        <stp>0</stp>
        <stp>0</stp>
        <stp>0</stp>
        <tr r="F524" s="18"/>
      </tp>
      <tp t="s">
        <v>#N/A</v>
        <stp/>
        <stp>112</stp>
        <stp>HD_122719C180</stp>
        <stp>TDA</stp>
        <stp>0</stp>
        <stp>0</stp>
        <stp>0</stp>
        <stp>0</stp>
        <stp>0</stp>
        <tr r="F233" s="18"/>
      </tp>
      <tp t="s">
        <v>HD Dec 27 2019 190 Call (Weekly)</v>
        <stp/>
        <stp>112</stp>
        <stp>HD_122719C190</stp>
        <stp>TDA</stp>
        <stp>0</stp>
        <stp>0</stp>
        <stp>0</stp>
        <stp>0</stp>
        <stp>0</stp>
        <tr r="F245" s="18"/>
      </tp>
      <tp t="s">
        <v>#N/A</v>
        <stp/>
        <stp>112</stp>
        <stp>HD_122719C170</stp>
        <stp>TDA</stp>
        <stp>0</stp>
        <stp>0</stp>
        <stp>0</stp>
        <stp>0</stp>
        <stp>0</stp>
        <tr r="F221" s="18"/>
      </tp>
      <tp t="s">
        <v>HD Dec 27 2019 200 Call (Weekly)</v>
        <stp/>
        <stp>112</stp>
        <stp>HD_122719C200</stp>
        <stp>TDA</stp>
        <stp>0</stp>
        <stp>0</stp>
        <stp>0</stp>
        <stp>0</stp>
        <stp>0</stp>
        <tr r="F257" s="18"/>
      </tp>
      <tp t="s">
        <v>HD Dec 27 2019 210 Call (Weekly)</v>
        <stp/>
        <stp>112</stp>
        <stp>HD_122719C210</stp>
        <stp>TDA</stp>
        <stp>0</stp>
        <stp>0</stp>
        <stp>0</stp>
        <stp>0</stp>
        <stp>0</stp>
        <tr r="F269" s="18"/>
      </tp>
      <tp t="s">
        <v>HD Dec 27 2019 220 Call (Weekly)</v>
        <stp/>
        <stp>112</stp>
        <stp>HD_122719C220</stp>
        <stp>TDA</stp>
        <stp>0</stp>
        <stp>0</stp>
        <stp>0</stp>
        <stp>0</stp>
        <stp>0</stp>
        <tr r="F281" s="18"/>
      </tp>
      <tp t="s">
        <v>HD Dec 27 2019 230 Call (Weekly)</v>
        <stp/>
        <stp>112</stp>
        <stp>HD_122719C230</stp>
        <stp>TDA</stp>
        <stp>0</stp>
        <stp>0</stp>
        <stp>0</stp>
        <stp>0</stp>
        <stp>0</stp>
        <tr r="F293" s="18"/>
      </tp>
      <tp t="s">
        <v>#N/A</v>
        <stp/>
        <stp>112</stp>
        <stp>HD_120619C180</stp>
        <stp>TDA</stp>
        <stp>0</stp>
        <stp>0</stp>
        <stp>0</stp>
        <stp>0</stp>
        <stp>0</stp>
        <tr r="F14" s="18"/>
      </tp>
      <tp t="s">
        <v>HD Dec 6 2019 190 Call (Weekly)</v>
        <stp/>
        <stp>112</stp>
        <stp>HD_120619C190</stp>
        <stp>TDA</stp>
        <stp>0</stp>
        <stp>0</stp>
        <stp>0</stp>
        <stp>0</stp>
        <stp>0</stp>
        <tr r="F26" s="18"/>
      </tp>
      <tp t="s">
        <v>#N/A</v>
        <stp/>
        <stp>112</stp>
        <stp>HD_120619C170</stp>
        <stp>TDA</stp>
        <stp>0</stp>
        <stp>0</stp>
        <stp>0</stp>
        <stp>0</stp>
        <stp>0</stp>
        <tr r="F2" s="18"/>
      </tp>
      <tp t="s">
        <v>HD Dec 6 2019 200 Call (Weekly)</v>
        <stp/>
        <stp>112</stp>
        <stp>HD_120619C200</stp>
        <stp>TDA</stp>
        <stp>0</stp>
        <stp>0</stp>
        <stp>0</stp>
        <stp>0</stp>
        <stp>0</stp>
        <tr r="F38" s="18"/>
      </tp>
      <tp t="s">
        <v>HD Dec 6 2019 210 Call (Weekly)</v>
        <stp/>
        <stp>112</stp>
        <stp>HD_120619C210</stp>
        <stp>TDA</stp>
        <stp>0</stp>
        <stp>0</stp>
        <stp>0</stp>
        <stp>0</stp>
        <stp>0</stp>
        <tr r="F50" s="18"/>
      </tp>
      <tp t="s">
        <v>HD Dec 6 2019 220 Call (Weekly)</v>
        <stp/>
        <stp>112</stp>
        <stp>HD_120619C220</stp>
        <stp>TDA</stp>
        <stp>0</stp>
        <stp>0</stp>
        <stp>0</stp>
        <stp>0</stp>
        <stp>0</stp>
        <tr r="F62" s="18"/>
      </tp>
      <tp t="s">
        <v>HD Dec 6 2019 230 Call (Weekly)</v>
        <stp/>
        <stp>112</stp>
        <stp>HD_120619C230</stp>
        <stp>TDA</stp>
        <stp>0</stp>
        <stp>0</stp>
        <stp>0</stp>
        <stp>0</stp>
        <stp>0</stp>
        <tr r="F74" s="18"/>
      </tp>
      <tp t="s">
        <v>#N/A</v>
        <stp/>
        <stp>112</stp>
        <stp>HD_121319C180</stp>
        <stp>TDA</stp>
        <stp>0</stp>
        <stp>0</stp>
        <stp>0</stp>
        <stp>0</stp>
        <stp>0</stp>
        <tr r="F87" s="18"/>
      </tp>
      <tp t="s">
        <v>HD Dec 13 2019 190 Call (Weekly)</v>
        <stp/>
        <stp>112</stp>
        <stp>HD_121319C190</stp>
        <stp>TDA</stp>
        <stp>0</stp>
        <stp>0</stp>
        <stp>0</stp>
        <stp>0</stp>
        <stp>0</stp>
        <tr r="F99" s="18"/>
      </tp>
      <tp t="s">
        <v>#N/A</v>
        <stp/>
        <stp>112</stp>
        <stp>HD_121319C170</stp>
        <stp>TDA</stp>
        <stp>0</stp>
        <stp>0</stp>
        <stp>0</stp>
        <stp>0</stp>
        <stp>0</stp>
        <tr r="F75" s="18"/>
      </tp>
      <tp t="s">
        <v>HD Dec 13 2019 200 Call (Weekly)</v>
        <stp/>
        <stp>112</stp>
        <stp>HD_121319C200</stp>
        <stp>TDA</stp>
        <stp>0</stp>
        <stp>0</stp>
        <stp>0</stp>
        <stp>0</stp>
        <stp>0</stp>
        <tr r="F111" s="18"/>
      </tp>
      <tp t="s">
        <v>HD Dec 13 2019 210 Call (Weekly)</v>
        <stp/>
        <stp>112</stp>
        <stp>HD_121319C210</stp>
        <stp>TDA</stp>
        <stp>0</stp>
        <stp>0</stp>
        <stp>0</stp>
        <stp>0</stp>
        <stp>0</stp>
        <tr r="F123" s="18"/>
      </tp>
      <tp t="s">
        <v>HD Dec 13 2019 220 Call (Weekly)</v>
        <stp/>
        <stp>112</stp>
        <stp>HD_121319C220</stp>
        <stp>TDA</stp>
        <stp>0</stp>
        <stp>0</stp>
        <stp>0</stp>
        <stp>0</stp>
        <stp>0</stp>
        <tr r="F135" s="18"/>
      </tp>
      <tp t="s">
        <v>HD Dec 13 2019 230 Call (Weekly)</v>
        <stp/>
        <stp>112</stp>
        <stp>HD_121319C230</stp>
        <stp>TDA</stp>
        <stp>0</stp>
        <stp>0</stp>
        <stp>0</stp>
        <stp>0</stp>
        <stp>0</stp>
        <tr r="F147" s="18"/>
      </tp>
      <tp t="s">
        <v>#N/A</v>
        <stp/>
        <stp>112</stp>
        <stp>HD_122019C203</stp>
        <stp>TDA</stp>
        <stp>0</stp>
        <stp>0</stp>
        <stp>0</stp>
        <stp>0</stp>
        <stp>0</stp>
        <tr r="F188" s="18"/>
      </tp>
      <tp t="s">
        <v>#N/A</v>
        <stp/>
        <stp>112</stp>
        <stp>HD_122019C213</stp>
        <stp>TDA</stp>
        <stp>0</stp>
        <stp>0</stp>
        <stp>0</stp>
        <stp>0</stp>
        <stp>0</stp>
        <tr r="F200" s="18"/>
      </tp>
      <tp t="s">
        <v>#N/A</v>
        <stp/>
        <stp>112</stp>
        <stp>HD_122019C223</stp>
        <stp>TDA</stp>
        <stp>0</stp>
        <stp>0</stp>
        <stp>0</stp>
        <stp>0</stp>
        <stp>0</stp>
        <tr r="F212" s="18"/>
      </tp>
      <tp t="s">
        <v>#N/A</v>
        <stp/>
        <stp>112</stp>
        <stp>HD_122019C183</stp>
        <stp>TDA</stp>
        <stp>0</stp>
        <stp>0</stp>
        <stp>0</stp>
        <stp>0</stp>
        <stp>0</stp>
        <tr r="F164" s="18"/>
      </tp>
      <tp t="s">
        <v>#N/A</v>
        <stp/>
        <stp>112</stp>
        <stp>HD_122019C193</stp>
        <stp>TDA</stp>
        <stp>0</stp>
        <stp>0</stp>
        <stp>0</stp>
        <stp>0</stp>
        <stp>0</stp>
        <tr r="F176" s="18"/>
      </tp>
      <tp t="s">
        <v>#N/A</v>
        <stp/>
        <stp>112</stp>
        <stp>HD_122019C173</stp>
        <stp>TDA</stp>
        <stp>0</stp>
        <stp>0</stp>
        <stp>0</stp>
        <stp>0</stp>
        <stp>0</stp>
        <tr r="F152" s="18"/>
      </tp>
      <tp t="s">
        <v>#N/A</v>
        <stp/>
        <stp>112</stp>
        <stp>HD_010320C189</stp>
        <stp>TDA</stp>
        <stp>0</stp>
        <stp>0</stp>
        <stp>0</stp>
        <stp>0</stp>
        <stp>0</stp>
        <tr r="F316" s="18"/>
      </tp>
      <tp t="s">
        <v>#N/A</v>
        <stp/>
        <stp>112</stp>
        <stp>HD_010320C199</stp>
        <stp>TDA</stp>
        <stp>0</stp>
        <stp>0</stp>
        <stp>0</stp>
        <stp>0</stp>
        <stp>0</stp>
        <tr r="F328" s="18"/>
      </tp>
      <tp t="s">
        <v>#N/A</v>
        <stp/>
        <stp>112</stp>
        <stp>HD_010320C179</stp>
        <stp>TDA</stp>
        <stp>0</stp>
        <stp>0</stp>
        <stp>0</stp>
        <stp>0</stp>
        <stp>0</stp>
        <tr r="F304" s="18"/>
      </tp>
      <tp t="s">
        <v>#N/A</v>
        <stp/>
        <stp>112</stp>
        <stp>HD_010320C229</stp>
        <stp>TDA</stp>
        <stp>0</stp>
        <stp>0</stp>
        <stp>0</stp>
        <stp>0</stp>
        <stp>0</stp>
        <tr r="F364" s="18"/>
      </tp>
      <tp t="s">
        <v>#N/A</v>
        <stp/>
        <stp>112</stp>
        <stp>HD_010320C209</stp>
        <stp>TDA</stp>
        <stp>0</stp>
        <stp>0</stp>
        <stp>0</stp>
        <stp>0</stp>
        <stp>0</stp>
        <tr r="F340" s="18"/>
      </tp>
      <tp t="s">
        <v>#N/A</v>
        <stp/>
        <stp>112</stp>
        <stp>HD_010320C219</stp>
        <stp>TDA</stp>
        <stp>0</stp>
        <stp>0</stp>
        <stp>0</stp>
        <stp>0</stp>
        <stp>0</stp>
        <tr r="F352" s="18"/>
      </tp>
      <tp t="s">
        <v>#N/A</v>
        <stp/>
        <stp>112</stp>
        <stp>HD_120619C183</stp>
        <stp>TDA</stp>
        <stp>0</stp>
        <stp>0</stp>
        <stp>0</stp>
        <stp>0</stp>
        <stp>0</stp>
        <tr r="F18" s="18"/>
      </tp>
      <tp t="s">
        <v>#N/A</v>
        <stp/>
        <stp>112</stp>
        <stp>HD_120619C193</stp>
        <stp>TDA</stp>
        <stp>0</stp>
        <stp>0</stp>
        <stp>0</stp>
        <stp>0</stp>
        <stp>0</stp>
        <tr r="F30" s="18"/>
      </tp>
      <tp t="s">
        <v>#N/A</v>
        <stp/>
        <stp>112</stp>
        <stp>HD_120619C173</stp>
        <stp>TDA</stp>
        <stp>0</stp>
        <stp>0</stp>
        <stp>0</stp>
        <stp>0</stp>
        <stp>0</stp>
        <tr r="F6" s="18"/>
      </tp>
      <tp t="s">
        <v>#N/A</v>
        <stp/>
        <stp>112</stp>
        <stp>HD_120619C203</stp>
        <stp>TDA</stp>
        <stp>0</stp>
        <stp>0</stp>
        <stp>0</stp>
        <stp>0</stp>
        <stp>0</stp>
        <tr r="F42" s="18"/>
      </tp>
      <tp t="s">
        <v>#N/A</v>
        <stp/>
        <stp>112</stp>
        <stp>HD_120619C213</stp>
        <stp>TDA</stp>
        <stp>0</stp>
        <stp>0</stp>
        <stp>0</stp>
        <stp>0</stp>
        <stp>0</stp>
        <tr r="F54" s="18"/>
      </tp>
      <tp t="s">
        <v>#N/A</v>
        <stp/>
        <stp>112</stp>
        <stp>HD_120619C223</stp>
        <stp>TDA</stp>
        <stp>0</stp>
        <stp>0</stp>
        <stp>0</stp>
        <stp>0</stp>
        <stp>0</stp>
        <tr r="F66" s="18"/>
      </tp>
      <tp t="s">
        <v>#N/A</v>
        <stp/>
        <stp>112</stp>
        <stp>HD_121319C183</stp>
        <stp>TDA</stp>
        <stp>0</stp>
        <stp>0</stp>
        <stp>0</stp>
        <stp>0</stp>
        <stp>0</stp>
        <tr r="F91" s="18"/>
      </tp>
      <tp t="s">
        <v>#N/A</v>
        <stp/>
        <stp>112</stp>
        <stp>HD_121319C193</stp>
        <stp>TDA</stp>
        <stp>0</stp>
        <stp>0</stp>
        <stp>0</stp>
        <stp>0</stp>
        <stp>0</stp>
        <tr r="F103" s="18"/>
      </tp>
      <tp t="s">
        <v>#N/A</v>
        <stp/>
        <stp>112</stp>
        <stp>HD_011020C229</stp>
        <stp>TDA</stp>
        <stp>0</stp>
        <stp>0</stp>
        <stp>0</stp>
        <stp>0</stp>
        <stp>0</stp>
        <tr r="F438" s="18"/>
      </tp>
      <tp t="s">
        <v>#N/A</v>
        <stp/>
        <stp>112</stp>
        <stp>HD_011020C209</stp>
        <stp>TDA</stp>
        <stp>0</stp>
        <stp>0</stp>
        <stp>0</stp>
        <stp>0</stp>
        <stp>0</stp>
        <tr r="F414" s="18"/>
      </tp>
      <tp t="s">
        <v>#N/A</v>
        <stp/>
        <stp>112</stp>
        <stp>HD_011020C219</stp>
        <stp>TDA</stp>
        <stp>0</stp>
        <stp>0</stp>
        <stp>0</stp>
        <stp>0</stp>
        <stp>0</stp>
        <tr r="F426" s="18"/>
      </tp>
      <tp t="s">
        <v>#N/A</v>
        <stp/>
        <stp>112</stp>
        <stp>HD_121319C173</stp>
        <stp>TDA</stp>
        <stp>0</stp>
        <stp>0</stp>
        <stp>0</stp>
        <stp>0</stp>
        <stp>0</stp>
        <tr r="F79" s="18"/>
      </tp>
      <tp t="s">
        <v>#N/A</v>
        <stp/>
        <stp>112</stp>
        <stp>HD_011020C189</stp>
        <stp>TDA</stp>
        <stp>0</stp>
        <stp>0</stp>
        <stp>0</stp>
        <stp>0</stp>
        <stp>0</stp>
        <tr r="F390" s="18"/>
      </tp>
      <tp t="s">
        <v>#N/A</v>
        <stp/>
        <stp>112</stp>
        <stp>HD_011020C199</stp>
        <stp>TDA</stp>
        <stp>0</stp>
        <stp>0</stp>
        <stp>0</stp>
        <stp>0</stp>
        <stp>0</stp>
        <tr r="F402" s="18"/>
      </tp>
      <tp t="s">
        <v>#N/A</v>
        <stp/>
        <stp>112</stp>
        <stp>HD_121319C203</stp>
        <stp>TDA</stp>
        <stp>0</stp>
        <stp>0</stp>
        <stp>0</stp>
        <stp>0</stp>
        <stp>0</stp>
        <tr r="F115" s="18"/>
      </tp>
      <tp t="s">
        <v>#N/A</v>
        <stp/>
        <stp>112</stp>
        <stp>HD_121319C213</stp>
        <stp>TDA</stp>
        <stp>0</stp>
        <stp>0</stp>
        <stp>0</stp>
        <stp>0</stp>
        <stp>0</stp>
        <tr r="F127" s="18"/>
      </tp>
      <tp t="s">
        <v>#N/A</v>
        <stp/>
        <stp>112</stp>
        <stp>HD_121319C223</stp>
        <stp>TDA</stp>
        <stp>0</stp>
        <stp>0</stp>
        <stp>0</stp>
        <stp>0</stp>
        <stp>0</stp>
        <tr r="F139" s="18"/>
      </tp>
      <tp t="s">
        <v>#N/A</v>
        <stp/>
        <stp>112</stp>
        <stp>HD_011020C179</stp>
        <stp>TDA</stp>
        <stp>0</stp>
        <stp>0</stp>
        <stp>0</stp>
        <stp>0</stp>
        <stp>0</stp>
        <tr r="F378" s="18"/>
      </tp>
      <tp t="s">
        <v>#N/A</v>
        <stp/>
        <stp>112</stp>
        <stp>HD_011720C189</stp>
        <stp>TDA</stp>
        <stp>0</stp>
        <stp>0</stp>
        <stp>0</stp>
        <stp>0</stp>
        <stp>0</stp>
        <tr r="F463" s="18"/>
      </tp>
      <tp t="s">
        <v>#N/A</v>
        <stp/>
        <stp>112</stp>
        <stp>HD_011720C199</stp>
        <stp>TDA</stp>
        <stp>0</stp>
        <stp>0</stp>
        <stp>0</stp>
        <stp>0</stp>
        <stp>0</stp>
        <tr r="F475" s="18"/>
      </tp>
      <tp t="s">
        <v>#N/A</v>
        <stp/>
        <stp>112</stp>
        <stp>HD_011720C179</stp>
        <stp>TDA</stp>
        <stp>0</stp>
        <stp>0</stp>
        <stp>0</stp>
        <stp>0</stp>
        <stp>0</stp>
        <tr r="F451" s="18"/>
      </tp>
      <tp t="s">
        <v>#N/A</v>
        <stp/>
        <stp>112</stp>
        <stp>HD_011720C229</stp>
        <stp>TDA</stp>
        <stp>0</stp>
        <stp>0</stp>
        <stp>0</stp>
        <stp>0</stp>
        <stp>0</stp>
        <tr r="F511" s="18"/>
      </tp>
      <tp t="s">
        <v>#N/A</v>
        <stp/>
        <stp>112</stp>
        <stp>HD_011720C209</stp>
        <stp>TDA</stp>
        <stp>0</stp>
        <stp>0</stp>
        <stp>0</stp>
        <stp>0</stp>
        <stp>0</stp>
        <tr r="F487" s="18"/>
      </tp>
      <tp t="s">
        <v>#N/A</v>
        <stp/>
        <stp>112</stp>
        <stp>HD_011720C219</stp>
        <stp>TDA</stp>
        <stp>0</stp>
        <stp>0</stp>
        <stp>0</stp>
        <stp>0</stp>
        <stp>0</stp>
        <tr r="F499" s="18"/>
      </tp>
      <tp>
        <v>-5.0900000000000001E-2</v>
        <stp/>
        <stp>204</stp>
        <stp>CAG_011720P23</stp>
        <stp>TDA</stp>
        <stp>0</stp>
        <stp>0</stp>
        <stp>0</stp>
        <stp>0</stp>
        <stp>0</stp>
        <tr r="O68" s="67"/>
      </tp>
      <tp t="s">
        <v>#N/A</v>
        <stp/>
        <stp>112</stp>
        <stp>HD_122019C202</stp>
        <stp>TDA</stp>
        <stp>0</stp>
        <stp>0</stp>
        <stp>0</stp>
        <stp>0</stp>
        <stp>0</stp>
        <tr r="F187" s="18"/>
      </tp>
      <tp t="s">
        <v>#N/A</v>
        <stp/>
        <stp>112</stp>
        <stp>HD_122019C212</stp>
        <stp>TDA</stp>
        <stp>0</stp>
        <stp>0</stp>
        <stp>0</stp>
        <stp>0</stp>
        <stp>0</stp>
        <tr r="F199" s="18"/>
      </tp>
      <tp t="s">
        <v>#N/A</v>
        <stp/>
        <stp>112</stp>
        <stp>HD_122019C222</stp>
        <stp>TDA</stp>
        <stp>0</stp>
        <stp>0</stp>
        <stp>0</stp>
        <stp>0</stp>
        <stp>0</stp>
        <tr r="F211" s="18"/>
      </tp>
      <tp t="s">
        <v>#N/A</v>
        <stp/>
        <stp>112</stp>
        <stp>HD_122019C182</stp>
        <stp>TDA</stp>
        <stp>0</stp>
        <stp>0</stp>
        <stp>0</stp>
        <stp>0</stp>
        <stp>0</stp>
        <tr r="F163" s="18"/>
      </tp>
      <tp t="s">
        <v>#N/A</v>
        <stp/>
        <stp>112</stp>
        <stp>HD_122019C192</stp>
        <stp>TDA</stp>
        <stp>0</stp>
        <stp>0</stp>
        <stp>0</stp>
        <stp>0</stp>
        <stp>0</stp>
        <tr r="F175" s="18"/>
      </tp>
      <tp t="s">
        <v>#N/A</v>
        <stp/>
        <stp>112</stp>
        <stp>HD_122019C172</stp>
        <stp>TDA</stp>
        <stp>0</stp>
        <stp>0</stp>
        <stp>0</stp>
        <stp>0</stp>
        <stp>0</stp>
        <tr r="F151" s="18"/>
      </tp>
      <tp t="s">
        <v>#N/A</v>
        <stp/>
        <stp>112</stp>
        <stp>HD_010320C188</stp>
        <stp>TDA</stp>
        <stp>0</stp>
        <stp>0</stp>
        <stp>0</stp>
        <stp>0</stp>
        <stp>0</stp>
        <tr r="F315" s="18"/>
      </tp>
      <tp t="s">
        <v>#N/A</v>
        <stp/>
        <stp>112</stp>
        <stp>HD_010320C198</stp>
        <stp>TDA</stp>
        <stp>0</stp>
        <stp>0</stp>
        <stp>0</stp>
        <stp>0</stp>
        <stp>0</stp>
        <tr r="F327" s="18"/>
      </tp>
      <tp t="s">
        <v>#N/A</v>
        <stp/>
        <stp>112</stp>
        <stp>HD_010320C178</stp>
        <stp>TDA</stp>
        <stp>0</stp>
        <stp>0</stp>
        <stp>0</stp>
        <stp>0</stp>
        <stp>0</stp>
        <tr r="F303" s="18"/>
      </tp>
      <tp t="s">
        <v>#N/A</v>
        <stp/>
        <stp>112</stp>
        <stp>HD_010320C228</stp>
        <stp>TDA</stp>
        <stp>0</stp>
        <stp>0</stp>
        <stp>0</stp>
        <stp>0</stp>
        <stp>0</stp>
        <tr r="F363" s="18"/>
      </tp>
      <tp t="s">
        <v>#N/A</v>
        <stp/>
        <stp>112</stp>
        <stp>HD_010320C208</stp>
        <stp>TDA</stp>
        <stp>0</stp>
        <stp>0</stp>
        <stp>0</stp>
        <stp>0</stp>
        <stp>0</stp>
        <tr r="F339" s="18"/>
      </tp>
      <tp t="s">
        <v>#N/A</v>
        <stp/>
        <stp>112</stp>
        <stp>HD_010320C218</stp>
        <stp>TDA</stp>
        <stp>0</stp>
        <stp>0</stp>
        <stp>0</stp>
        <stp>0</stp>
        <stp>0</stp>
        <tr r="F351" s="18"/>
      </tp>
      <tp t="s">
        <v>#N/A</v>
        <stp/>
        <stp>112</stp>
        <stp>HD_120619C182</stp>
        <stp>TDA</stp>
        <stp>0</stp>
        <stp>0</stp>
        <stp>0</stp>
        <stp>0</stp>
        <stp>0</stp>
        <tr r="F16" s="18"/>
      </tp>
      <tp t="s">
        <v>#N/A</v>
        <stp/>
        <stp>112</stp>
        <stp>HD_120619C192</stp>
        <stp>TDA</stp>
        <stp>0</stp>
        <stp>0</stp>
        <stp>0</stp>
        <stp>0</stp>
        <stp>0</stp>
        <tr r="F28" s="18"/>
      </tp>
      <tp t="s">
        <v>#N/A</v>
        <stp/>
        <stp>112</stp>
        <stp>HD_120619C172</stp>
        <stp>TDA</stp>
        <stp>0</stp>
        <stp>0</stp>
        <stp>0</stp>
        <stp>0</stp>
        <stp>0</stp>
        <tr r="F4" s="18"/>
      </tp>
      <tp t="s">
        <v>#N/A</v>
        <stp/>
        <stp>112</stp>
        <stp>HD_120619C202</stp>
        <stp>TDA</stp>
        <stp>0</stp>
        <stp>0</stp>
        <stp>0</stp>
        <stp>0</stp>
        <stp>0</stp>
        <tr r="F40" s="18"/>
      </tp>
      <tp t="s">
        <v>#N/A</v>
        <stp/>
        <stp>112</stp>
        <stp>HD_120619C212</stp>
        <stp>TDA</stp>
        <stp>0</stp>
        <stp>0</stp>
        <stp>0</stp>
        <stp>0</stp>
        <stp>0</stp>
        <tr r="F52" s="18"/>
      </tp>
      <tp t="s">
        <v>#N/A</v>
        <stp/>
        <stp>112</stp>
        <stp>HD_120619C222</stp>
        <stp>TDA</stp>
        <stp>0</stp>
        <stp>0</stp>
        <stp>0</stp>
        <stp>0</stp>
        <stp>0</stp>
        <tr r="F64" s="18"/>
      </tp>
      <tp t="s">
        <v>#N/A</v>
        <stp/>
        <stp>112</stp>
        <stp>HD_121319C182</stp>
        <stp>TDA</stp>
        <stp>0</stp>
        <stp>0</stp>
        <stp>0</stp>
        <stp>0</stp>
        <stp>0</stp>
        <tr r="F90" s="18"/>
      </tp>
      <tp t="s">
        <v>#N/A</v>
        <stp/>
        <stp>112</stp>
        <stp>HD_121319C192</stp>
        <stp>TDA</stp>
        <stp>0</stp>
        <stp>0</stp>
        <stp>0</stp>
        <stp>0</stp>
        <stp>0</stp>
        <tr r="F102" s="18"/>
      </tp>
      <tp t="s">
        <v>#N/A</v>
        <stp/>
        <stp>112</stp>
        <stp>HD_011020C228</stp>
        <stp>TDA</stp>
        <stp>0</stp>
        <stp>0</stp>
        <stp>0</stp>
        <stp>0</stp>
        <stp>0</stp>
        <tr r="F436" s="18"/>
      </tp>
      <tp t="s">
        <v>#N/A</v>
        <stp/>
        <stp>112</stp>
        <stp>HD_011020C208</stp>
        <stp>TDA</stp>
        <stp>0</stp>
        <stp>0</stp>
        <stp>0</stp>
        <stp>0</stp>
        <stp>0</stp>
        <tr r="F412" s="18"/>
      </tp>
      <tp t="s">
        <v>#N/A</v>
        <stp/>
        <stp>112</stp>
        <stp>HD_011020C218</stp>
        <stp>TDA</stp>
        <stp>0</stp>
        <stp>0</stp>
        <stp>0</stp>
        <stp>0</stp>
        <stp>0</stp>
        <tr r="F424" s="18"/>
      </tp>
      <tp t="s">
        <v>#N/A</v>
        <stp/>
        <stp>112</stp>
        <stp>HD_121319C172</stp>
        <stp>TDA</stp>
        <stp>0</stp>
        <stp>0</stp>
        <stp>0</stp>
        <stp>0</stp>
        <stp>0</stp>
        <tr r="F78" s="18"/>
      </tp>
      <tp t="s">
        <v>#N/A</v>
        <stp/>
        <stp>112</stp>
        <stp>HD_011020C188</stp>
        <stp>TDA</stp>
        <stp>0</stp>
        <stp>0</stp>
        <stp>0</stp>
        <stp>0</stp>
        <stp>0</stp>
        <tr r="F388" s="18"/>
      </tp>
      <tp t="s">
        <v>#N/A</v>
        <stp/>
        <stp>112</stp>
        <stp>HD_011020C198</stp>
        <stp>TDA</stp>
        <stp>0</stp>
        <stp>0</stp>
        <stp>0</stp>
        <stp>0</stp>
        <stp>0</stp>
        <tr r="F400" s="18"/>
      </tp>
      <tp t="s">
        <v>#N/A</v>
        <stp/>
        <stp>112</stp>
        <stp>HD_121319C202</stp>
        <stp>TDA</stp>
        <stp>0</stp>
        <stp>0</stp>
        <stp>0</stp>
        <stp>0</stp>
        <stp>0</stp>
        <tr r="F114" s="18"/>
      </tp>
      <tp t="s">
        <v>#N/A</v>
        <stp/>
        <stp>112</stp>
        <stp>HD_121319C212</stp>
        <stp>TDA</stp>
        <stp>0</stp>
        <stp>0</stp>
        <stp>0</stp>
        <stp>0</stp>
        <stp>0</stp>
        <tr r="F126" s="18"/>
      </tp>
      <tp t="s">
        <v>#N/A</v>
        <stp/>
        <stp>112</stp>
        <stp>HD_121319C222</stp>
        <stp>TDA</stp>
        <stp>0</stp>
        <stp>0</stp>
        <stp>0</stp>
        <stp>0</stp>
        <stp>0</stp>
        <tr r="F138" s="18"/>
      </tp>
      <tp t="s">
        <v>#N/A</v>
        <stp/>
        <stp>112</stp>
        <stp>HD_011020C178</stp>
        <stp>TDA</stp>
        <stp>0</stp>
        <stp>0</stp>
        <stp>0</stp>
        <stp>0</stp>
        <stp>0</stp>
        <tr r="F376" s="18"/>
      </tp>
      <tp t="s">
        <v>#N/A</v>
        <stp/>
        <stp>112</stp>
        <stp>HD_011720C188</stp>
        <stp>TDA</stp>
        <stp>0</stp>
        <stp>0</stp>
        <stp>0</stp>
        <stp>0</stp>
        <stp>0</stp>
        <tr r="F462" s="18"/>
      </tp>
      <tp t="s">
        <v>#N/A</v>
        <stp/>
        <stp>112</stp>
        <stp>HD_011720C198</stp>
        <stp>TDA</stp>
        <stp>0</stp>
        <stp>0</stp>
        <stp>0</stp>
        <stp>0</stp>
        <stp>0</stp>
        <tr r="F474" s="18"/>
      </tp>
      <tp t="s">
        <v>#N/A</v>
        <stp/>
        <stp>112</stp>
        <stp>HD_011720C178</stp>
        <stp>TDA</stp>
        <stp>0</stp>
        <stp>0</stp>
        <stp>0</stp>
        <stp>0</stp>
        <stp>0</stp>
        <tr r="F450" s="18"/>
      </tp>
      <tp t="s">
        <v>#N/A</v>
        <stp/>
        <stp>112</stp>
        <stp>HD_011720C228</stp>
        <stp>TDA</stp>
        <stp>0</stp>
        <stp>0</stp>
        <stp>0</stp>
        <stp>0</stp>
        <stp>0</stp>
        <tr r="F510" s="18"/>
      </tp>
      <tp t="s">
        <v>#N/A</v>
        <stp/>
        <stp>112</stp>
        <stp>HD_011720C208</stp>
        <stp>TDA</stp>
        <stp>0</stp>
        <stp>0</stp>
        <stp>0</stp>
        <stp>0</stp>
        <stp>0</stp>
        <tr r="F486" s="18"/>
      </tp>
      <tp t="s">
        <v>#N/A</v>
        <stp/>
        <stp>112</stp>
        <stp>HD_011720C218</stp>
        <stp>TDA</stp>
        <stp>0</stp>
        <stp>0</stp>
        <stp>0</stp>
        <stp>0</stp>
        <stp>0</stp>
        <tr r="F498" s="18"/>
      </tp>
      <tp>
        <v>1</v>
        <stp/>
        <stp>210</stp>
        <stp>SHOP</stp>
        <stp>TDA</stp>
        <stp>0</stp>
        <stp>0</stp>
        <stp>0</stp>
        <stp>0</stp>
        <stp>0</stp>
        <tr r="Q4" s="68"/>
      </tp>
      <tp>
        <v>0</v>
        <stp/>
        <stp>167</stp>
        <stp>SHOP</stp>
        <stp>TDA</stp>
        <stp>0</stp>
        <stp>0</stp>
        <stp>0</stp>
        <stp>0</stp>
        <stp>0</stp>
        <tr r="O4" s="68"/>
      </tp>
      <tp>
        <v>0</v>
        <stp/>
        <stp>170</stp>
        <stp>SHOP</stp>
        <stp>TDA</stp>
        <stp>0</stp>
        <stp>0</stp>
        <stp>0</stp>
        <stp>0</stp>
        <stp>0</stp>
        <tr r="P4" s="68"/>
      </tp>
      <tp>
        <v>4.5900000000000003E-2</v>
        <stp/>
        <stp>152</stp>
        <stp>SHOP</stp>
        <stp>TDA</stp>
        <stp>0</stp>
        <stp>0</stp>
        <stp>0</stp>
        <stp>0</stp>
        <stp>0</stp>
        <tr r="N4" s="68"/>
      </tp>
      <tp>
        <v>0</v>
        <stp/>
        <stp>124</stp>
        <stp>SHOP</stp>
        <stp>TDA</stp>
        <stp>0</stp>
        <stp>0</stp>
        <stp>0</stp>
        <stp>0</stp>
        <stp>0</stp>
        <tr r="L4" s="68"/>
      </tp>
      <tp>
        <v>371.30500000000001</v>
        <stp/>
        <stp>100</stp>
        <stp>SHOP</stp>
        <stp>TDA</stp>
        <stp>0</stp>
        <stp>0</stp>
        <stp>0</stp>
        <stp>0</stp>
        <stp>0</stp>
        <tr r="O88" s="67"/>
        <tr r="G88" s="67"/>
        <tr r="B4" s="68"/>
      </tp>
      <tp>
        <v>409.60990000000004</v>
        <stp/>
        <stp>111</stp>
        <stp>SHOP</stp>
        <stp>TDA</stp>
        <stp>0</stp>
        <stp>0</stp>
        <stp>0</stp>
        <stp>0</stp>
        <stp>0</stp>
        <tr r="K4" s="68"/>
      </tp>
      <tp>
        <v>117.64</v>
        <stp/>
        <stp>110</stp>
        <stp>SHOP</stp>
        <stp>TDA</stp>
        <stp>0</stp>
        <stp>0</stp>
        <stp>0</stp>
        <stp>0</stp>
        <stp>0</stp>
        <tr r="J4" s="68"/>
      </tp>
      <tp t="s">
        <v>Shopify Inc. Class A Subordinate Voting Shares</v>
        <stp/>
        <stp>112</stp>
        <stp>SHOP</stp>
        <stp>TDA</stp>
        <stp>0</stp>
        <stp>0</stp>
        <stp>0</stp>
        <stp>0</stp>
        <stp>0</stp>
        <tr r="B88" s="67"/>
      </tp>
      <tp>
        <v>5.8874693435236356</v>
        <stp/>
        <stp>115</stp>
        <stp>SHOP</stp>
        <stp>TDA</stp>
        <stp>0</stp>
        <stp>0</stp>
        <stp>0</stp>
        <stp>0</stp>
        <stp>0</stp>
        <tr r="I4" s="68"/>
      </tp>
      <tp>
        <v>0</v>
        <stp/>
        <stp>117</stp>
        <stp>SHOP</stp>
        <stp>TDA</stp>
        <stp>0</stp>
        <stp>0</stp>
        <stp>0</stp>
        <stp>0</stp>
        <stp>0</stp>
        <tr r="M4" s="68"/>
      </tp>
      <tp t="s">
        <v>HD Dec 20 2019 205 Call</v>
        <stp/>
        <stp>112</stp>
        <stp>HD_122019C205</stp>
        <stp>TDA</stp>
        <stp>0</stp>
        <stp>0</stp>
        <stp>0</stp>
        <stp>0</stp>
        <stp>0</stp>
        <tr r="F190" s="18"/>
      </tp>
      <tp t="s">
        <v>HD Dec 20 2019 215 Call</v>
        <stp/>
        <stp>112</stp>
        <stp>HD_122019C215</stp>
        <stp>TDA</stp>
        <stp>0</stp>
        <stp>0</stp>
        <stp>0</stp>
        <stp>0</stp>
        <stp>0</stp>
        <tr r="F202" s="18"/>
      </tp>
      <tp t="s">
        <v>HD Dec 20 2019 225 Call</v>
        <stp/>
        <stp>112</stp>
        <stp>HD_122019C225</stp>
        <stp>TDA</stp>
        <stp>0</stp>
        <stp>0</stp>
        <stp>0</stp>
        <stp>0</stp>
        <stp>0</stp>
        <tr r="F214" s="18"/>
      </tp>
      <tp t="s">
        <v>HD Dec 20 2019 185 Call</v>
        <stp/>
        <stp>112</stp>
        <stp>HD_122019C185</stp>
        <stp>TDA</stp>
        <stp>0</stp>
        <stp>0</stp>
        <stp>0</stp>
        <stp>0</stp>
        <stp>0</stp>
        <tr r="F166" s="18"/>
      </tp>
      <tp t="s">
        <v>HD Dec 20 2019 195 Call</v>
        <stp/>
        <stp>112</stp>
        <stp>HD_122019C195</stp>
        <stp>TDA</stp>
        <stp>0</stp>
        <stp>0</stp>
        <stp>0</stp>
        <stp>0</stp>
        <stp>0</stp>
        <tr r="F178" s="18"/>
      </tp>
      <tp t="s">
        <v>HD Dec 20 2019 175 Call</v>
        <stp/>
        <stp>112</stp>
        <stp>HD_122019C175</stp>
        <stp>TDA</stp>
        <stp>0</stp>
        <stp>0</stp>
        <stp>0</stp>
        <stp>0</stp>
        <stp>0</stp>
        <tr r="F154" s="18"/>
      </tp>
      <tp t="s">
        <v>HD Dec 27 2019 185 Call (Weekly)</v>
        <stp/>
        <stp>112</stp>
        <stp>HD_122719C185</stp>
        <stp>TDA</stp>
        <stp>0</stp>
        <stp>0</stp>
        <stp>0</stp>
        <stp>0</stp>
        <stp>0</stp>
        <tr r="F239" s="18"/>
      </tp>
      <tp t="s">
        <v>HD Dec 27 2019 195 Call (Weekly)</v>
        <stp/>
        <stp>112</stp>
        <stp>HD_122719C195</stp>
        <stp>TDA</stp>
        <stp>0</stp>
        <stp>0</stp>
        <stp>0</stp>
        <stp>0</stp>
        <stp>0</stp>
        <tr r="F251" s="18"/>
      </tp>
      <tp t="s">
        <v>#N/A</v>
        <stp/>
        <stp>112</stp>
        <stp>HD_122719C175</stp>
        <stp>TDA</stp>
        <stp>0</stp>
        <stp>0</stp>
        <stp>0</stp>
        <stp>0</stp>
        <stp>0</stp>
        <tr r="F227" s="18"/>
      </tp>
      <tp t="s">
        <v>HD Dec 27 2019 205 Call (Weekly)</v>
        <stp/>
        <stp>112</stp>
        <stp>HD_122719C205</stp>
        <stp>TDA</stp>
        <stp>0</stp>
        <stp>0</stp>
        <stp>0</stp>
        <stp>0</stp>
        <stp>0</stp>
        <tr r="F263" s="18"/>
      </tp>
      <tp t="s">
        <v>HD Dec 27 2019 215 Call (Weekly)</v>
        <stp/>
        <stp>112</stp>
        <stp>HD_122719C215</stp>
        <stp>TDA</stp>
        <stp>0</stp>
        <stp>0</stp>
        <stp>0</stp>
        <stp>0</stp>
        <stp>0</stp>
        <tr r="F275" s="18"/>
      </tp>
      <tp t="s">
        <v>HD Dec 27 2019 225 Call (Weekly)</v>
        <stp/>
        <stp>112</stp>
        <stp>HD_122719C225</stp>
        <stp>TDA</stp>
        <stp>0</stp>
        <stp>0</stp>
        <stp>0</stp>
        <stp>0</stp>
        <stp>0</stp>
        <tr r="F287" s="18"/>
      </tp>
      <tp t="s">
        <v>HD Dec 6 2019 185 Call (Weekly)</v>
        <stp/>
        <stp>112</stp>
        <stp>HD_120619C185</stp>
        <stp>TDA</stp>
        <stp>0</stp>
        <stp>0</stp>
        <stp>0</stp>
        <stp>0</stp>
        <stp>0</stp>
        <tr r="F20" s="18"/>
      </tp>
      <tp t="s">
        <v>HD Dec 6 2019 195 Call (Weekly)</v>
        <stp/>
        <stp>112</stp>
        <stp>HD_120619C195</stp>
        <stp>TDA</stp>
        <stp>0</stp>
        <stp>0</stp>
        <stp>0</stp>
        <stp>0</stp>
        <stp>0</stp>
        <tr r="F32" s="18"/>
      </tp>
      <tp t="s">
        <v>#N/A</v>
        <stp/>
        <stp>112</stp>
        <stp>HD_120619C175</stp>
        <stp>TDA</stp>
        <stp>0</stp>
        <stp>0</stp>
        <stp>0</stp>
        <stp>0</stp>
        <stp>0</stp>
        <tr r="F8" s="18"/>
      </tp>
      <tp t="s">
        <v>HD Dec 6 2019 205 Call (Weekly)</v>
        <stp/>
        <stp>112</stp>
        <stp>HD_120619C205</stp>
        <stp>TDA</stp>
        <stp>0</stp>
        <stp>0</stp>
        <stp>0</stp>
        <stp>0</stp>
        <stp>0</stp>
        <tr r="F44" s="18"/>
      </tp>
      <tp t="s">
        <v>HD Dec 6 2019 215 Call (Weekly)</v>
        <stp/>
        <stp>112</stp>
        <stp>HD_120619C215</stp>
        <stp>TDA</stp>
        <stp>0</stp>
        <stp>0</stp>
        <stp>0</stp>
        <stp>0</stp>
        <stp>0</stp>
        <tr r="F56" s="18"/>
      </tp>
      <tp t="s">
        <v>HD Dec 6 2019 225 Call (Weekly)</v>
        <stp/>
        <stp>112</stp>
        <stp>HD_120619C225</stp>
        <stp>TDA</stp>
        <stp>0</stp>
        <stp>0</stp>
        <stp>0</stp>
        <stp>0</stp>
        <stp>0</stp>
        <tr r="F68" s="18"/>
      </tp>
      <tp t="s">
        <v>#N/A</v>
        <stp/>
        <stp>112</stp>
        <stp>HD_061920C228</stp>
        <stp>TDA</stp>
        <stp>0</stp>
        <stp>0</stp>
        <stp>0</stp>
        <stp>0</stp>
        <stp>0</stp>
        <tr r="F874" s="18"/>
      </tp>
      <tp t="s">
        <v>#N/A</v>
        <stp/>
        <stp>112</stp>
        <stp>HD_061920C208</stp>
        <stp>TDA</stp>
        <stp>0</stp>
        <stp>0</stp>
        <stp>0</stp>
        <stp>0</stp>
        <stp>0</stp>
        <tr r="F850" s="18"/>
      </tp>
      <tp t="s">
        <v>#N/A</v>
        <stp/>
        <stp>112</stp>
        <stp>HD_061920C218</stp>
        <stp>TDA</stp>
        <stp>0</stp>
        <stp>0</stp>
        <stp>0</stp>
        <stp>0</stp>
        <stp>0</stp>
        <tr r="F862" s="18"/>
      </tp>
      <tp t="s">
        <v>#N/A</v>
        <stp/>
        <stp>112</stp>
        <stp>HD_061920C188</stp>
        <stp>TDA</stp>
        <stp>0</stp>
        <stp>0</stp>
        <stp>0</stp>
        <stp>0</stp>
        <stp>0</stp>
        <tr r="F826" s="18"/>
      </tp>
      <tp t="s">
        <v>#N/A</v>
        <stp/>
        <stp>112</stp>
        <stp>HD_061920C198</stp>
        <stp>TDA</stp>
        <stp>0</stp>
        <stp>0</stp>
        <stp>0</stp>
        <stp>0</stp>
        <stp>0</stp>
        <tr r="F838" s="18"/>
      </tp>
      <tp t="s">
        <v>#N/A</v>
        <stp/>
        <stp>112</stp>
        <stp>HD_061920C178</stp>
        <stp>TDA</stp>
        <stp>0</stp>
        <stp>0</stp>
        <stp>0</stp>
        <stp>0</stp>
        <stp>0</stp>
        <tr r="F814" s="18"/>
      </tp>
      <tp t="s">
        <v>HD Dec 13 2019 185 Call (Weekly)</v>
        <stp/>
        <stp>112</stp>
        <stp>HD_121319C185</stp>
        <stp>TDA</stp>
        <stp>0</stp>
        <stp>0</stp>
        <stp>0</stp>
        <stp>0</stp>
        <stp>0</stp>
        <tr r="F93" s="18"/>
      </tp>
      <tp t="s">
        <v>HD Dec 13 2019 195 Call (Weekly)</v>
        <stp/>
        <stp>112</stp>
        <stp>HD_121319C195</stp>
        <stp>TDA</stp>
        <stp>0</stp>
        <stp>0</stp>
        <stp>0</stp>
        <stp>0</stp>
        <stp>0</stp>
        <tr r="F105" s="18"/>
      </tp>
      <tp t="s">
        <v>#N/A</v>
        <stp/>
        <stp>112</stp>
        <stp>HD_121319C175</stp>
        <stp>TDA</stp>
        <stp>0</stp>
        <stp>0</stp>
        <stp>0</stp>
        <stp>0</stp>
        <stp>0</stp>
        <tr r="F81" s="18"/>
      </tp>
      <tp t="s">
        <v>HD Dec 13 2019 205 Call (Weekly)</v>
        <stp/>
        <stp>112</stp>
        <stp>HD_121319C205</stp>
        <stp>TDA</stp>
        <stp>0</stp>
        <stp>0</stp>
        <stp>0</stp>
        <stp>0</stp>
        <stp>0</stp>
        <tr r="F117" s="18"/>
      </tp>
      <tp t="s">
        <v>HD Dec 13 2019 215 Call (Weekly)</v>
        <stp/>
        <stp>112</stp>
        <stp>HD_121319C215</stp>
        <stp>TDA</stp>
        <stp>0</stp>
        <stp>0</stp>
        <stp>0</stp>
        <stp>0</stp>
        <stp>0</stp>
        <tr r="F129" s="18"/>
      </tp>
      <tp t="s">
        <v>HD Dec 13 2019 225 Call (Weekly)</v>
        <stp/>
        <stp>112</stp>
        <stp>HD_121319C225</stp>
        <stp>TDA</stp>
        <stp>0</stp>
        <stp>0</stp>
        <stp>0</stp>
        <stp>0</stp>
        <stp>0</stp>
        <tr r="F141" s="18"/>
      </tp>
      <tp t="s">
        <v>#N/A</v>
        <stp/>
        <stp>112</stp>
        <stp>HD_071720C179</stp>
        <stp>TDA</stp>
        <stp>0</stp>
        <stp>0</stp>
        <stp>0</stp>
        <stp>0</stp>
        <stp>0</stp>
        <tr r="F889" s="18"/>
      </tp>
      <tp>
        <v>6.4</v>
        <stp/>
        <stp>108</stp>
        <stp>FB_011720C200</stp>
        <stp>TDA</stp>
        <stp>0</stp>
        <stp>0</stp>
        <stp>0</stp>
        <stp>0</stp>
        <stp>0</stp>
        <tr r="G17" s="67"/>
      </tp>
      <tp>
        <v>12.8</v>
        <stp/>
        <stp>108</stp>
        <stp>FB_011720C190</stp>
        <stp>TDA</stp>
        <stp>0</stp>
        <stp>0</stp>
        <stp>0</stp>
        <stp>0</stp>
        <stp>0</stp>
        <tr r="G16" s="67"/>
      </tp>
      <tp>
        <v>12.65</v>
        <stp/>
        <stp>107</stp>
        <stp>FB_011720C190</stp>
        <stp>TDA</stp>
        <stp>0</stp>
        <stp>0</stp>
        <stp>0</stp>
        <stp>0</stp>
        <stp>0</stp>
        <tr r="G16" s="67"/>
      </tp>
      <tp>
        <v>6.3000000000000007</v>
        <stp/>
        <stp>107</stp>
        <stp>FB_011720C200</stp>
        <stp>TDA</stp>
        <stp>0</stp>
        <stp>0</stp>
        <stp>0</stp>
        <stp>0</stp>
        <stp>0</stp>
        <tr r="G17" s="67"/>
      </tp>
      <tp t="s">
        <v>#N/A</v>
        <stp/>
        <stp>112</stp>
        <stp>HD_122019C204</stp>
        <stp>TDA</stp>
        <stp>0</stp>
        <stp>0</stp>
        <stp>0</stp>
        <stp>0</stp>
        <stp>0</stp>
        <tr r="F189" s="18"/>
      </tp>
      <tp t="s">
        <v>#N/A</v>
        <stp/>
        <stp>112</stp>
        <stp>HD_122019C214</stp>
        <stp>TDA</stp>
        <stp>0</stp>
        <stp>0</stp>
        <stp>0</stp>
        <stp>0</stp>
        <stp>0</stp>
        <tr r="F201" s="18"/>
      </tp>
      <tp t="s">
        <v>#N/A</v>
        <stp/>
        <stp>112</stp>
        <stp>HD_122019C224</stp>
        <stp>TDA</stp>
        <stp>0</stp>
        <stp>0</stp>
        <stp>0</stp>
        <stp>0</stp>
        <stp>0</stp>
        <tr r="F213" s="18"/>
      </tp>
      <tp t="s">
        <v>#N/A</v>
        <stp/>
        <stp>112</stp>
        <stp>HD_122019C184</stp>
        <stp>TDA</stp>
        <stp>0</stp>
        <stp>0</stp>
        <stp>0</stp>
        <stp>0</stp>
        <stp>0</stp>
        <tr r="F165" s="18"/>
      </tp>
      <tp t="s">
        <v>#N/A</v>
        <stp/>
        <stp>112</stp>
        <stp>HD_122019C194</stp>
        <stp>TDA</stp>
        <stp>0</stp>
        <stp>0</stp>
        <stp>0</stp>
        <stp>0</stp>
        <stp>0</stp>
        <tr r="F177" s="18"/>
      </tp>
      <tp t="s">
        <v>#N/A</v>
        <stp/>
        <stp>112</stp>
        <stp>HD_122019C174</stp>
        <stp>TDA</stp>
        <stp>0</stp>
        <stp>0</stp>
        <stp>0</stp>
        <stp>0</stp>
        <stp>0</stp>
        <tr r="F153" s="18"/>
      </tp>
      <tp t="s">
        <v>#N/A</v>
        <stp/>
        <stp>112</stp>
        <stp>HD_120619C184</stp>
        <stp>TDA</stp>
        <stp>0</stp>
        <stp>0</stp>
        <stp>0</stp>
        <stp>0</stp>
        <stp>0</stp>
        <tr r="F19" s="18"/>
      </tp>
      <tp t="s">
        <v>#N/A</v>
        <stp/>
        <stp>112</stp>
        <stp>HD_120619C194</stp>
        <stp>TDA</stp>
        <stp>0</stp>
        <stp>0</stp>
        <stp>0</stp>
        <stp>0</stp>
        <stp>0</stp>
        <tr r="F31" s="18"/>
      </tp>
      <tp t="s">
        <v>#N/A</v>
        <stp/>
        <stp>112</stp>
        <stp>HD_120619C174</stp>
        <stp>TDA</stp>
        <stp>0</stp>
        <stp>0</stp>
        <stp>0</stp>
        <stp>0</stp>
        <stp>0</stp>
        <tr r="F7" s="18"/>
      </tp>
      <tp t="s">
        <v>#N/A</v>
        <stp/>
        <stp>112</stp>
        <stp>HD_120619C204</stp>
        <stp>TDA</stp>
        <stp>0</stp>
        <stp>0</stp>
        <stp>0</stp>
        <stp>0</stp>
        <stp>0</stp>
        <tr r="F43" s="18"/>
      </tp>
      <tp t="s">
        <v>#N/A</v>
        <stp/>
        <stp>112</stp>
        <stp>HD_120619C214</stp>
        <stp>TDA</stp>
        <stp>0</stp>
        <stp>0</stp>
        <stp>0</stp>
        <stp>0</stp>
        <stp>0</stp>
        <tr r="F55" s="18"/>
      </tp>
      <tp t="s">
        <v>#N/A</v>
        <stp/>
        <stp>112</stp>
        <stp>HD_120619C224</stp>
        <stp>TDA</stp>
        <stp>0</stp>
        <stp>0</stp>
        <stp>0</stp>
        <stp>0</stp>
        <stp>0</stp>
        <tr r="F67" s="18"/>
      </tp>
      <tp t="s">
        <v>#N/A</v>
        <stp/>
        <stp>112</stp>
        <stp>HD_061920C229</stp>
        <stp>TDA</stp>
        <stp>0</stp>
        <stp>0</stp>
        <stp>0</stp>
        <stp>0</stp>
        <stp>0</stp>
        <tr r="F876" s="18"/>
      </tp>
      <tp t="s">
        <v>#N/A</v>
        <stp/>
        <stp>112</stp>
        <stp>HD_061920C209</stp>
        <stp>TDA</stp>
        <stp>0</stp>
        <stp>0</stp>
        <stp>0</stp>
        <stp>0</stp>
        <stp>0</stp>
        <tr r="F852" s="18"/>
      </tp>
      <tp t="s">
        <v>#N/A</v>
        <stp/>
        <stp>112</stp>
        <stp>HD_061920C219</stp>
        <stp>TDA</stp>
        <stp>0</stp>
        <stp>0</stp>
        <stp>0</stp>
        <stp>0</stp>
        <stp>0</stp>
        <tr r="F864" s="18"/>
      </tp>
      <tp t="s">
        <v>#N/A</v>
        <stp/>
        <stp>112</stp>
        <stp>HD_061920C189</stp>
        <stp>TDA</stp>
        <stp>0</stp>
        <stp>0</stp>
        <stp>0</stp>
        <stp>0</stp>
        <stp>0</stp>
        <tr r="F828" s="18"/>
      </tp>
      <tp t="s">
        <v>#N/A</v>
        <stp/>
        <stp>112</stp>
        <stp>HD_061920C199</stp>
        <stp>TDA</stp>
        <stp>0</stp>
        <stp>0</stp>
        <stp>0</stp>
        <stp>0</stp>
        <stp>0</stp>
        <tr r="F840" s="18"/>
      </tp>
      <tp t="s">
        <v>#N/A</v>
        <stp/>
        <stp>112</stp>
        <stp>HD_061920C179</stp>
        <stp>TDA</stp>
        <stp>0</stp>
        <stp>0</stp>
        <stp>0</stp>
        <stp>0</stp>
        <stp>0</stp>
        <tr r="F816" s="18"/>
      </tp>
      <tp t="s">
        <v>#N/A</v>
        <stp/>
        <stp>112</stp>
        <stp>HD_121319C184</stp>
        <stp>TDA</stp>
        <stp>0</stp>
        <stp>0</stp>
        <stp>0</stp>
        <stp>0</stp>
        <stp>0</stp>
        <tr r="F92" s="18"/>
      </tp>
      <tp t="s">
        <v>#N/A</v>
        <stp/>
        <stp>112</stp>
        <stp>HD_121319C194</stp>
        <stp>TDA</stp>
        <stp>0</stp>
        <stp>0</stp>
        <stp>0</stp>
        <stp>0</stp>
        <stp>0</stp>
        <tr r="F104" s="18"/>
      </tp>
      <tp t="s">
        <v>#N/A</v>
        <stp/>
        <stp>112</stp>
        <stp>HD_121319C174</stp>
        <stp>TDA</stp>
        <stp>0</stp>
        <stp>0</stp>
        <stp>0</stp>
        <stp>0</stp>
        <stp>0</stp>
        <tr r="F80" s="18"/>
      </tp>
      <tp t="s">
        <v>#N/A</v>
        <stp/>
        <stp>112</stp>
        <stp>HD_121319C204</stp>
        <stp>TDA</stp>
        <stp>0</stp>
        <stp>0</stp>
        <stp>0</stp>
        <stp>0</stp>
        <stp>0</stp>
        <tr r="F116" s="18"/>
      </tp>
      <tp t="s">
        <v>#N/A</v>
        <stp/>
        <stp>112</stp>
        <stp>HD_121319C214</stp>
        <stp>TDA</stp>
        <stp>0</stp>
        <stp>0</stp>
        <stp>0</stp>
        <stp>0</stp>
        <stp>0</stp>
        <tr r="F128" s="18"/>
      </tp>
      <tp t="s">
        <v>#N/A</v>
        <stp/>
        <stp>112</stp>
        <stp>HD_121319C224</stp>
        <stp>TDA</stp>
        <stp>0</stp>
        <stp>0</stp>
        <stp>0</stp>
        <stp>0</stp>
        <stp>0</stp>
        <tr r="F140" s="18"/>
      </tp>
      <tp t="s">
        <v>#N/A</v>
        <stp/>
        <stp>112</stp>
        <stp>HD_071720C178</stp>
        <stp>TDA</stp>
        <stp>0</stp>
        <stp>0</stp>
        <stp>0</stp>
        <stp>0</stp>
        <stp>0</stp>
        <tr r="F888" s="18"/>
      </tp>
      <tp>
        <v>0.50980000000000003</v>
        <stp/>
        <stp>204</stp>
        <stp>FB_011720C200</stp>
        <stp>TDA</stp>
        <stp>0</stp>
        <stp>0</stp>
        <stp>0</stp>
        <stp>0</stp>
        <stp>0</stp>
        <tr r="O17" s="67"/>
      </tp>
      <tp>
        <v>0.73020000000000007</v>
        <stp/>
        <stp>204</stp>
        <stp>FB_011720C190</stp>
        <stp>TDA</stp>
        <stp>0</stp>
        <stp>0</stp>
        <stp>0</stp>
        <stp>0</stp>
        <stp>0</stp>
        <tr r="O16" s="67"/>
      </tp>
      <tp t="s">
        <v>#N/A</v>
        <stp/>
        <stp>112</stp>
        <stp>HD_122019C207</stp>
        <stp>TDA</stp>
        <stp>0</stp>
        <stp>0</stp>
        <stp>0</stp>
        <stp>0</stp>
        <stp>0</stp>
        <tr r="F193" s="18"/>
      </tp>
      <tp t="s">
        <v>#N/A</v>
        <stp/>
        <stp>112</stp>
        <stp>HD_122019C217</stp>
        <stp>TDA</stp>
        <stp>0</stp>
        <stp>0</stp>
        <stp>0</stp>
        <stp>0</stp>
        <stp>0</stp>
        <tr r="F205" s="18"/>
      </tp>
      <tp t="s">
        <v>#N/A</v>
        <stp/>
        <stp>112</stp>
        <stp>HD_122019C227</stp>
        <stp>TDA</stp>
        <stp>0</stp>
        <stp>0</stp>
        <stp>0</stp>
        <stp>0</stp>
        <stp>0</stp>
        <tr r="F217" s="18"/>
      </tp>
      <tp t="s">
        <v>#N/A</v>
        <stp/>
        <stp>112</stp>
        <stp>HD_122019C187</stp>
        <stp>TDA</stp>
        <stp>0</stp>
        <stp>0</stp>
        <stp>0</stp>
        <stp>0</stp>
        <stp>0</stp>
        <tr r="F169" s="18"/>
      </tp>
      <tp t="s">
        <v>#N/A</v>
        <stp/>
        <stp>112</stp>
        <stp>HD_122019C197</stp>
        <stp>TDA</stp>
        <stp>0</stp>
        <stp>0</stp>
        <stp>0</stp>
        <stp>0</stp>
        <stp>0</stp>
        <tr r="F181" s="18"/>
      </tp>
      <tp t="s">
        <v>#N/A</v>
        <stp/>
        <stp>112</stp>
        <stp>HD_122019C177</stp>
        <stp>TDA</stp>
        <stp>0</stp>
        <stp>0</stp>
        <stp>0</stp>
        <stp>0</stp>
        <stp>0</stp>
        <tr r="F157" s="18"/>
      </tp>
      <tp t="s">
        <v>#N/A</v>
        <stp/>
        <stp>112</stp>
        <stp>HD_120619C187</stp>
        <stp>TDA</stp>
        <stp>0</stp>
        <stp>0</stp>
        <stp>0</stp>
        <stp>0</stp>
        <stp>0</stp>
        <tr r="F22" s="18"/>
      </tp>
      <tp t="s">
        <v>#N/A</v>
        <stp/>
        <stp>112</stp>
        <stp>HD_120619C197</stp>
        <stp>TDA</stp>
        <stp>0</stp>
        <stp>0</stp>
        <stp>0</stp>
        <stp>0</stp>
        <stp>0</stp>
        <tr r="F34" s="18"/>
      </tp>
      <tp t="s">
        <v>#N/A</v>
        <stp/>
        <stp>112</stp>
        <stp>HD_120619C177</stp>
        <stp>TDA</stp>
        <stp>0</stp>
        <stp>0</stp>
        <stp>0</stp>
        <stp>0</stp>
        <stp>0</stp>
        <tr r="F10" s="18"/>
      </tp>
      <tp t="s">
        <v>#N/A</v>
        <stp/>
        <stp>112</stp>
        <stp>HD_120619C207</stp>
        <stp>TDA</stp>
        <stp>0</stp>
        <stp>0</stp>
        <stp>0</stp>
        <stp>0</stp>
        <stp>0</stp>
        <tr r="F46" s="18"/>
      </tp>
      <tp t="s">
        <v>#N/A</v>
        <stp/>
        <stp>112</stp>
        <stp>HD_120619C217</stp>
        <stp>TDA</stp>
        <stp>0</stp>
        <stp>0</stp>
        <stp>0</stp>
        <stp>0</stp>
        <stp>0</stp>
        <tr r="F58" s="18"/>
      </tp>
      <tp t="s">
        <v>#N/A</v>
        <stp/>
        <stp>112</stp>
        <stp>HD_120619C227</stp>
        <stp>TDA</stp>
        <stp>0</stp>
        <stp>0</stp>
        <stp>0</stp>
        <stp>0</stp>
        <stp>0</stp>
        <tr r="F70" s="18"/>
      </tp>
      <tp t="s">
        <v>#N/A</v>
        <stp/>
        <stp>112</stp>
        <stp>HD_121319C187</stp>
        <stp>TDA</stp>
        <stp>0</stp>
        <stp>0</stp>
        <stp>0</stp>
        <stp>0</stp>
        <stp>0</stp>
        <tr r="F96" s="18"/>
      </tp>
      <tp t="s">
        <v>#N/A</v>
        <stp/>
        <stp>112</stp>
        <stp>HD_121319C197</stp>
        <stp>TDA</stp>
        <stp>0</stp>
        <stp>0</stp>
        <stp>0</stp>
        <stp>0</stp>
        <stp>0</stp>
        <tr r="F108" s="18"/>
      </tp>
      <tp t="s">
        <v>#N/A</v>
        <stp/>
        <stp>112</stp>
        <stp>HD_121319C177</stp>
        <stp>TDA</stp>
        <stp>0</stp>
        <stp>0</stp>
        <stp>0</stp>
        <stp>0</stp>
        <stp>0</stp>
        <tr r="F84" s="18"/>
      </tp>
      <tp t="s">
        <v>#N/A</v>
        <stp/>
        <stp>112</stp>
        <stp>HD_121319C207</stp>
        <stp>TDA</stp>
        <stp>0</stp>
        <stp>0</stp>
        <stp>0</stp>
        <stp>0</stp>
        <stp>0</stp>
        <tr r="F120" s="18"/>
      </tp>
      <tp t="s">
        <v>#N/A</v>
        <stp/>
        <stp>112</stp>
        <stp>HD_121319C217</stp>
        <stp>TDA</stp>
        <stp>0</stp>
        <stp>0</stp>
        <stp>0</stp>
        <stp>0</stp>
        <stp>0</stp>
        <tr r="F132" s="18"/>
      </tp>
      <tp t="s">
        <v>#N/A</v>
        <stp/>
        <stp>112</stp>
        <stp>HD_121319C227</stp>
        <stp>TDA</stp>
        <stp>0</stp>
        <stp>0</stp>
        <stp>0</stp>
        <stp>0</stp>
        <stp>0</stp>
        <tr r="F144" s="18"/>
      </tp>
      <tp t="s">
        <v>#N/A</v>
        <stp/>
        <stp>112</stp>
        <stp>HD_051520C229</stp>
        <stp>TDA</stp>
        <stp>0</stp>
        <stp>0</stp>
        <stp>0</stp>
        <stp>0</stp>
        <stp>0</stp>
        <tr r="F802" s="18"/>
      </tp>
      <tp t="s">
        <v>#N/A</v>
        <stp/>
        <stp>112</stp>
        <stp>HD_051520C209</stp>
        <stp>TDA</stp>
        <stp>0</stp>
        <stp>0</stp>
        <stp>0</stp>
        <stp>0</stp>
        <stp>0</stp>
        <tr r="F778" s="18"/>
      </tp>
      <tp t="s">
        <v>#N/A</v>
        <stp/>
        <stp>112</stp>
        <stp>HD_051520C219</stp>
        <stp>TDA</stp>
        <stp>0</stp>
        <stp>0</stp>
        <stp>0</stp>
        <stp>0</stp>
        <stp>0</stp>
        <tr r="F790" s="18"/>
      </tp>
      <tp t="s">
        <v>#N/A</v>
        <stp/>
        <stp>112</stp>
        <stp>HD_051520C189</stp>
        <stp>TDA</stp>
        <stp>0</stp>
        <stp>0</stp>
        <stp>0</stp>
        <stp>0</stp>
        <stp>0</stp>
        <tr r="F754" s="18"/>
      </tp>
      <tp t="s">
        <v>#N/A</v>
        <stp/>
        <stp>112</stp>
        <stp>HD_051520C199</stp>
        <stp>TDA</stp>
        <stp>0</stp>
        <stp>0</stp>
        <stp>0</stp>
        <stp>0</stp>
        <stp>0</stp>
        <tr r="F766" s="18"/>
      </tp>
      <tp t="s">
        <v>#N/A</v>
        <stp/>
        <stp>112</stp>
        <stp>HD_051520C179</stp>
        <stp>TDA</stp>
        <stp>0</stp>
        <stp>0</stp>
        <stp>0</stp>
        <stp>0</stp>
        <stp>0</stp>
        <tr r="F742" s="18"/>
      </tp>
      <tp>
        <v>1</v>
        <stp/>
        <stp>210</stp>
        <stp>SWKS</stp>
        <stp>TDA</stp>
        <stp>0</stp>
        <stp>0</stp>
        <stp>0</stp>
        <stp>0</stp>
        <stp>0</stp>
        <tr r="Q21" s="68"/>
      </tp>
      <tp>
        <v>1.6215106732348241</v>
        <stp/>
        <stp>115</stp>
        <stp>SWKS</stp>
        <stp>TDA</stp>
        <stp>0</stp>
        <stp>0</stp>
        <stp>0</stp>
        <stp>0</stp>
        <stp>0</stp>
        <tr r="I21" s="68"/>
      </tp>
      <tp>
        <v>1.81</v>
        <stp/>
        <stp>117</stp>
        <stp>SWKS</stp>
        <stp>TDA</stp>
        <stp>0</stp>
        <stp>0</stp>
        <stp>0</stp>
        <stp>0</stp>
        <stp>0</stp>
        <tr r="M21" s="68"/>
      </tp>
      <tp>
        <v>102.87</v>
        <stp/>
        <stp>111</stp>
        <stp>SWKS</stp>
        <stp>TDA</stp>
        <stp>0</stp>
        <stp>0</stp>
        <stp>0</stp>
        <stp>0</stp>
        <stp>0</stp>
        <tr r="K21" s="68"/>
      </tp>
      <tp>
        <v>60.115000000000002</v>
        <stp/>
        <stp>110</stp>
        <stp>SWKS</stp>
        <stp>TDA</stp>
        <stp>0</stp>
        <stp>0</stp>
        <stp>0</stp>
        <stp>0</stp>
        <stp>0</stp>
        <tr r="J21" s="68"/>
      </tp>
      <tp t="s">
        <v>Skyworks Solutions, Inc. - Common Stock</v>
        <stp/>
        <stp>112</stp>
        <stp>SWKS</stp>
        <stp>TDA</stp>
        <stp>0</stp>
        <stp>0</stp>
        <stp>0</stp>
        <stp>0</stp>
        <stp>0</stp>
        <tr r="B61" s="67"/>
        <tr r="B12" s="67"/>
      </tp>
      <tp>
        <v>99.02000000000001</v>
        <stp/>
        <stp>100</stp>
        <stp>SWKS</stp>
        <stp>TDA</stp>
        <stp>0</stp>
        <stp>0</stp>
        <stp>0</stp>
        <stp>0</stp>
        <stp>0</stp>
        <tr r="O12" s="67"/>
        <tr r="O61" s="67"/>
        <tr r="G61" s="67"/>
        <tr r="B21" s="68"/>
      </tp>
      <tp>
        <v>19.9573</v>
        <stp/>
        <stp>124</stp>
        <stp>SWKS</stp>
        <stp>TDA</stp>
        <stp>0</stp>
        <stp>0</stp>
        <stp>0</stp>
        <stp>0</stp>
        <stp>0</stp>
        <tr r="L21" s="68"/>
      </tp>
      <tp>
        <v>3.49E-2</v>
        <stp/>
        <stp>152</stp>
        <stp>SWKS</stp>
        <stp>TDA</stp>
        <stp>0</stp>
        <stp>0</stp>
        <stp>0</stp>
        <stp>0</stp>
        <stp>0</stp>
        <tr r="N21" s="68"/>
      </tp>
      <tp>
        <v>43801</v>
        <stp/>
        <stp>170</stp>
        <stp>SWKS</stp>
        <stp>TDA</stp>
        <stp>0</stp>
        <stp>0</stp>
        <stp>0</stp>
        <stp>0</stp>
        <stp>0</stp>
        <tr r="P21" s="68"/>
      </tp>
      <tp>
        <v>1.76</v>
        <stp/>
        <stp>167</stp>
        <stp>SWKS</stp>
        <stp>TDA</stp>
        <stp>0</stp>
        <stp>0</stp>
        <stp>0</stp>
        <stp>0</stp>
        <stp>0</stp>
        <tr r="O21" s="68"/>
      </tp>
      <tp t="s">
        <v>#N/A</v>
        <stp/>
        <stp>112</stp>
        <stp>HD_122019C206</stp>
        <stp>TDA</stp>
        <stp>0</stp>
        <stp>0</stp>
        <stp>0</stp>
        <stp>0</stp>
        <stp>0</stp>
        <tr r="F192" s="18"/>
      </tp>
      <tp t="s">
        <v>#N/A</v>
        <stp/>
        <stp>112</stp>
        <stp>HD_122019C216</stp>
        <stp>TDA</stp>
        <stp>0</stp>
        <stp>0</stp>
        <stp>0</stp>
        <stp>0</stp>
        <stp>0</stp>
        <tr r="F204" s="18"/>
      </tp>
      <tp t="s">
        <v>#N/A</v>
        <stp/>
        <stp>112</stp>
        <stp>HD_122019C226</stp>
        <stp>TDA</stp>
        <stp>0</stp>
        <stp>0</stp>
        <stp>0</stp>
        <stp>0</stp>
        <stp>0</stp>
        <tr r="F216" s="18"/>
      </tp>
      <tp t="s">
        <v>#N/A</v>
        <stp/>
        <stp>112</stp>
        <stp>HD_122019C186</stp>
        <stp>TDA</stp>
        <stp>0</stp>
        <stp>0</stp>
        <stp>0</stp>
        <stp>0</stp>
        <stp>0</stp>
        <tr r="F168" s="18"/>
      </tp>
      <tp t="s">
        <v>#N/A</v>
        <stp/>
        <stp>112</stp>
        <stp>HD_122019C196</stp>
        <stp>TDA</stp>
        <stp>0</stp>
        <stp>0</stp>
        <stp>0</stp>
        <stp>0</stp>
        <stp>0</stp>
        <tr r="F180" s="18"/>
      </tp>
      <tp t="s">
        <v>#N/A</v>
        <stp/>
        <stp>112</stp>
        <stp>HD_122019C176</stp>
        <stp>TDA</stp>
        <stp>0</stp>
        <stp>0</stp>
        <stp>0</stp>
        <stp>0</stp>
        <stp>0</stp>
        <tr r="F156" s="18"/>
      </tp>
      <tp t="s">
        <v>#N/A</v>
        <stp/>
        <stp>112</stp>
        <stp>HD_120619C186</stp>
        <stp>TDA</stp>
        <stp>0</stp>
        <stp>0</stp>
        <stp>0</stp>
        <stp>0</stp>
        <stp>0</stp>
        <tr r="F21" s="18"/>
      </tp>
      <tp t="s">
        <v>#N/A</v>
        <stp/>
        <stp>112</stp>
        <stp>HD_120619C196</stp>
        <stp>TDA</stp>
        <stp>0</stp>
        <stp>0</stp>
        <stp>0</stp>
        <stp>0</stp>
        <stp>0</stp>
        <tr r="F33" s="18"/>
      </tp>
      <tp t="s">
        <v>#N/A</v>
        <stp/>
        <stp>112</stp>
        <stp>HD_120619C176</stp>
        <stp>TDA</stp>
        <stp>0</stp>
        <stp>0</stp>
        <stp>0</stp>
        <stp>0</stp>
        <stp>0</stp>
        <tr r="F9" s="18"/>
      </tp>
      <tp t="s">
        <v>#N/A</v>
        <stp/>
        <stp>112</stp>
        <stp>HD_120619C206</stp>
        <stp>TDA</stp>
        <stp>0</stp>
        <stp>0</stp>
        <stp>0</stp>
        <stp>0</stp>
        <stp>0</stp>
        <tr r="F45" s="18"/>
      </tp>
      <tp t="s">
        <v>#N/A</v>
        <stp/>
        <stp>112</stp>
        <stp>HD_120619C216</stp>
        <stp>TDA</stp>
        <stp>0</stp>
        <stp>0</stp>
        <stp>0</stp>
        <stp>0</stp>
        <stp>0</stp>
        <tr r="F57" s="18"/>
      </tp>
      <tp t="s">
        <v>#N/A</v>
        <stp/>
        <stp>112</stp>
        <stp>HD_120619C226</stp>
        <stp>TDA</stp>
        <stp>0</stp>
        <stp>0</stp>
        <stp>0</stp>
        <stp>0</stp>
        <stp>0</stp>
        <tr r="F69" s="18"/>
      </tp>
      <tp t="s">
        <v>#N/A</v>
        <stp/>
        <stp>112</stp>
        <stp>HD_121319C186</stp>
        <stp>TDA</stp>
        <stp>0</stp>
        <stp>0</stp>
        <stp>0</stp>
        <stp>0</stp>
        <stp>0</stp>
        <tr r="F94" s="18"/>
      </tp>
      <tp t="s">
        <v>#N/A</v>
        <stp/>
        <stp>112</stp>
        <stp>HD_121319C196</stp>
        <stp>TDA</stp>
        <stp>0</stp>
        <stp>0</stp>
        <stp>0</stp>
        <stp>0</stp>
        <stp>0</stp>
        <tr r="F106" s="18"/>
      </tp>
      <tp t="s">
        <v>#N/A</v>
        <stp/>
        <stp>112</stp>
        <stp>HD_121319C176</stp>
        <stp>TDA</stp>
        <stp>0</stp>
        <stp>0</stp>
        <stp>0</stp>
        <stp>0</stp>
        <stp>0</stp>
        <tr r="F82" s="18"/>
      </tp>
      <tp t="s">
        <v>#N/A</v>
        <stp/>
        <stp>112</stp>
        <stp>HD_121319C206</stp>
        <stp>TDA</stp>
        <stp>0</stp>
        <stp>0</stp>
        <stp>0</stp>
        <stp>0</stp>
        <stp>0</stp>
        <tr r="F118" s="18"/>
      </tp>
      <tp t="s">
        <v>#N/A</v>
        <stp/>
        <stp>112</stp>
        <stp>HD_121319C216</stp>
        <stp>TDA</stp>
        <stp>0</stp>
        <stp>0</stp>
        <stp>0</stp>
        <stp>0</stp>
        <stp>0</stp>
        <tr r="F130" s="18"/>
      </tp>
      <tp t="s">
        <v>#N/A</v>
        <stp/>
        <stp>112</stp>
        <stp>HD_121319C226</stp>
        <stp>TDA</stp>
        <stp>0</stp>
        <stp>0</stp>
        <stp>0</stp>
        <stp>0</stp>
        <stp>0</stp>
        <tr r="F142" s="18"/>
      </tp>
      <tp t="s">
        <v>#N/A</v>
        <stp/>
        <stp>112</stp>
        <stp>HD_051520C228</stp>
        <stp>TDA</stp>
        <stp>0</stp>
        <stp>0</stp>
        <stp>0</stp>
        <stp>0</stp>
        <stp>0</stp>
        <tr r="F801" s="18"/>
      </tp>
      <tp t="s">
        <v>#N/A</v>
        <stp/>
        <stp>112</stp>
        <stp>HD_051520C208</stp>
        <stp>TDA</stp>
        <stp>0</stp>
        <stp>0</stp>
        <stp>0</stp>
        <stp>0</stp>
        <stp>0</stp>
        <tr r="F777" s="18"/>
      </tp>
      <tp t="s">
        <v>#N/A</v>
        <stp/>
        <stp>112</stp>
        <stp>HD_051520C218</stp>
        <stp>TDA</stp>
        <stp>0</stp>
        <stp>0</stp>
        <stp>0</stp>
        <stp>0</stp>
        <stp>0</stp>
        <tr r="F789" s="18"/>
      </tp>
      <tp t="s">
        <v>#N/A</v>
        <stp/>
        <stp>112</stp>
        <stp>HD_051520C188</stp>
        <stp>TDA</stp>
        <stp>0</stp>
        <stp>0</stp>
        <stp>0</stp>
        <stp>0</stp>
        <stp>0</stp>
        <tr r="F753" s="18"/>
      </tp>
      <tp t="s">
        <v>#N/A</v>
        <stp/>
        <stp>112</stp>
        <stp>HD_051520C198</stp>
        <stp>TDA</stp>
        <stp>0</stp>
        <stp>0</stp>
        <stp>0</stp>
        <stp>0</stp>
        <stp>0</stp>
        <tr r="F765" s="18"/>
      </tp>
      <tp t="s">
        <v>#N/A</v>
        <stp/>
        <stp>112</stp>
        <stp>HD_051520C178</stp>
        <stp>TDA</stp>
        <stp>0</stp>
        <stp>0</stp>
        <stp>0</stp>
        <stp>0</stp>
        <stp>0</stp>
        <tr r="F741" s="18"/>
      </tp>
      <tp>
        <v>49.18</v>
        <stp/>
        <stp>100</stp>
        <stp>ZS</stp>
        <stp>TDA</stp>
        <stp>0</stp>
        <stp>0</stp>
        <stp>0</stp>
        <stp>0</stp>
        <stp>0</stp>
        <tr r="O72" s="67"/>
        <tr r="G72" s="67"/>
        <tr r="B35" s="68"/>
      </tp>
      <tp>
        <v>91.34</v>
        <stp/>
        <stp>110</stp>
        <stp>BR</stp>
        <stp>TDA</stp>
        <stp>0</stp>
        <stp>0</stp>
        <stp>0</stp>
        <stp>0</stp>
        <stp>0</stp>
        <tr r="J19" s="68"/>
      </tp>
      <tp>
        <v>1</v>
        <stp/>
        <stp>210</stp>
        <stp>BR</stp>
        <stp>TDA</stp>
        <stp>0</stp>
        <stp>0</stp>
        <stp>0</stp>
        <stp>0</stp>
        <stp>0</stp>
        <tr r="Q19" s="68"/>
      </tp>
      <tp>
        <v>136.99</v>
        <stp/>
        <stp>111</stp>
        <stp>BR</stp>
        <stp>TDA</stp>
        <stp>0</stp>
        <stp>0</stp>
        <stp>0</stp>
        <stp>0</stp>
        <stp>0</stp>
        <tr r="K19" s="68"/>
      </tp>
      <tp t="s">
        <v>Broadridge Financial Solutions, Inc.Common Stock</v>
        <stp/>
        <stp>112</stp>
        <stp>BR</stp>
        <stp>TDA</stp>
        <stp>0</stp>
        <stp>0</stp>
        <stp>0</stp>
        <stp>0</stp>
        <stp>0</stp>
        <tr r="B76" s="67"/>
      </tp>
      <tp>
        <v>8.0399999999999999E-2</v>
        <stp/>
        <stp>152</stp>
        <stp>BV</stp>
        <stp>TDA</stp>
        <stp>0</stp>
        <stp>0</stp>
        <stp>0</stp>
        <stp>0</stp>
        <stp>0</stp>
        <tr r="N43" s="68"/>
      </tp>
      <tp>
        <v>0</v>
        <stp/>
        <stp>124</stp>
        <stp>SQ</stp>
        <stp>TDA</stp>
        <stp>0</stp>
        <stp>0</stp>
        <stp>0</stp>
        <stp>0</stp>
        <stp>0</stp>
        <tr r="L15" s="68"/>
      </tp>
      <tp>
        <v>4.1165815906433825E-3</v>
        <stp/>
        <stp>115</stp>
        <stp>BR</stp>
        <stp>TDA</stp>
        <stp>0</stp>
        <stp>0</stp>
        <stp>0</stp>
        <stp>0</stp>
        <stp>0</stp>
        <tr r="I19" s="68"/>
      </tp>
      <tp>
        <v>1.78</v>
        <stp/>
        <stp>117</stp>
        <stp>BR</stp>
        <stp>TDA</stp>
        <stp>0</stp>
        <stp>0</stp>
        <stp>0</stp>
        <stp>0</stp>
        <stp>0</stp>
        <tr r="M19" s="68"/>
      </tp>
      <tp>
        <v>42.050000000000004</v>
        <stp/>
        <stp>107</stp>
        <stp>MA_061821C280</stp>
        <stp>TDA</stp>
        <stp>0</stp>
        <stp>0</stp>
        <stp>0</stp>
        <stp>0</stp>
        <stp>0</stp>
        <tr r="G43" s="67"/>
      </tp>
      <tp>
        <v>44.2</v>
        <stp/>
        <stp>108</stp>
        <stp>MA_061821C280</stp>
        <stp>TDA</stp>
        <stp>0</stp>
        <stp>0</stp>
        <stp>0</stp>
        <stp>0</stp>
        <stp>0</stp>
        <tr r="G43" s="67"/>
      </tp>
      <tp t="s">
        <v>HD Feb 21 2020 220 Call</v>
        <stp/>
        <stp>112</stp>
        <stp>HD_022120C220</stp>
        <stp>TDA</stp>
        <stp>0</stp>
        <stp>0</stp>
        <stp>0</stp>
        <stp>0</stp>
        <stp>0</stp>
        <tr r="F573" s="18"/>
      </tp>
      <tp t="s">
        <v>HD Feb 21 2020 230 Call</v>
        <stp/>
        <stp>112</stp>
        <stp>HD_022120C230</stp>
        <stp>TDA</stp>
        <stp>0</stp>
        <stp>0</stp>
        <stp>0</stp>
        <stp>0</stp>
        <stp>0</stp>
        <tr r="F585" s="18"/>
      </tp>
      <tp t="s">
        <v>HD Feb 21 2020 200 Call</v>
        <stp/>
        <stp>112</stp>
        <stp>HD_022120C200</stp>
        <stp>TDA</stp>
        <stp>0</stp>
        <stp>0</stp>
        <stp>0</stp>
        <stp>0</stp>
        <stp>0</stp>
        <tr r="F549" s="18"/>
      </tp>
      <tp t="s">
        <v>HD Feb 21 2020 210 Call</v>
        <stp/>
        <stp>112</stp>
        <stp>HD_022120C210</stp>
        <stp>TDA</stp>
        <stp>0</stp>
        <stp>0</stp>
        <stp>0</stp>
        <stp>0</stp>
        <stp>0</stp>
        <tr r="F561" s="18"/>
      </tp>
      <tp t="s">
        <v>#N/A</v>
        <stp/>
        <stp>112</stp>
        <stp>HD_032020C221</stp>
        <stp>TDA</stp>
        <stp>0</stp>
        <stp>0</stp>
        <stp>0</stp>
        <stp>0</stp>
        <stp>0</stp>
        <tr r="F648" s="18"/>
      </tp>
      <tp t="s">
        <v>#N/A</v>
        <stp/>
        <stp>112</stp>
        <stp>HD_122019C209</stp>
        <stp>TDA</stp>
        <stp>0</stp>
        <stp>0</stp>
        <stp>0</stp>
        <stp>0</stp>
        <stp>0</stp>
        <tr r="F195" s="18"/>
      </tp>
      <tp t="s">
        <v>#N/A</v>
        <stp/>
        <stp>112</stp>
        <stp>HD_122019C219</stp>
        <stp>TDA</stp>
        <stp>0</stp>
        <stp>0</stp>
        <stp>0</stp>
        <stp>0</stp>
        <stp>0</stp>
        <tr r="F207" s="18"/>
      </tp>
      <tp t="s">
        <v>#N/A</v>
        <stp/>
        <stp>112</stp>
        <stp>HD_032020C201</stp>
        <stp>TDA</stp>
        <stp>0</stp>
        <stp>0</stp>
        <stp>0</stp>
        <stp>0</stp>
        <stp>0</stp>
        <tr r="F624" s="18"/>
      </tp>
      <tp t="s">
        <v>#N/A</v>
        <stp/>
        <stp>112</stp>
        <stp>HD_122019C229</stp>
        <stp>TDA</stp>
        <stp>0</stp>
        <stp>0</stp>
        <stp>0</stp>
        <stp>0</stp>
        <stp>0</stp>
        <tr r="F219" s="18"/>
      </tp>
      <tp t="s">
        <v>#N/A</v>
        <stp/>
        <stp>112</stp>
        <stp>HD_032020C211</stp>
        <stp>TDA</stp>
        <stp>0</stp>
        <stp>0</stp>
        <stp>0</stp>
        <stp>0</stp>
        <stp>0</stp>
        <tr r="F636" s="18"/>
      </tp>
      <tp t="s">
        <v>#N/A</v>
        <stp/>
        <stp>112</stp>
        <stp>HD_122019C189</stp>
        <stp>TDA</stp>
        <stp>0</stp>
        <stp>0</stp>
        <stp>0</stp>
        <stp>0</stp>
        <stp>0</stp>
        <tr r="F171" s="18"/>
      </tp>
      <tp t="s">
        <v>#N/A</v>
        <stp/>
        <stp>112</stp>
        <stp>HD_122019C199</stp>
        <stp>TDA</stp>
        <stp>0</stp>
        <stp>0</stp>
        <stp>0</stp>
        <stp>0</stp>
        <stp>0</stp>
        <tr r="F183" s="18"/>
      </tp>
      <tp t="s">
        <v>#N/A</v>
        <stp/>
        <stp>112</stp>
        <stp>HD_032020C181</stp>
        <stp>TDA</stp>
        <stp>0</stp>
        <stp>0</stp>
        <stp>0</stp>
        <stp>0</stp>
        <stp>0</stp>
        <tr r="F600" s="18"/>
      </tp>
      <tp t="s">
        <v>#N/A</v>
        <stp/>
        <stp>112</stp>
        <stp>HD_032020C191</stp>
        <stp>TDA</stp>
        <stp>0</stp>
        <stp>0</stp>
        <stp>0</stp>
        <stp>0</stp>
        <stp>0</stp>
        <tr r="F612" s="18"/>
      </tp>
      <tp t="s">
        <v>#N/A</v>
        <stp/>
        <stp>112</stp>
        <stp>HD_032020C171</stp>
        <stp>TDA</stp>
        <stp>0</stp>
        <stp>0</stp>
        <stp>0</stp>
        <stp>0</stp>
        <stp>0</stp>
        <tr r="F588" s="18"/>
      </tp>
      <tp t="s">
        <v>#N/A</v>
        <stp/>
        <stp>112</stp>
        <stp>HD_122019C179</stp>
        <stp>TDA</stp>
        <stp>0</stp>
        <stp>0</stp>
        <stp>0</stp>
        <stp>0</stp>
        <stp>0</stp>
        <tr r="F159" s="18"/>
      </tp>
      <tp t="s">
        <v>HD Feb 21 2020 180 Call</v>
        <stp/>
        <stp>112</stp>
        <stp>HD_022120C180</stp>
        <stp>TDA</stp>
        <stp>0</stp>
        <stp>0</stp>
        <stp>0</stp>
        <stp>0</stp>
        <stp>0</stp>
        <tr r="F525" s="18"/>
      </tp>
      <tp t="s">
        <v>HD Feb 21 2020 190 Call</v>
        <stp/>
        <stp>112</stp>
        <stp>HD_022120C190</stp>
        <stp>TDA</stp>
        <stp>0</stp>
        <stp>0</stp>
        <stp>0</stp>
        <stp>0</stp>
        <stp>0</stp>
        <tr r="F537" s="18"/>
      </tp>
      <tp t="s">
        <v>HD Feb 21 2020 170 Call</v>
        <stp/>
        <stp>112</stp>
        <stp>HD_022120C170</stp>
        <stp>TDA</stp>
        <stp>0</stp>
        <stp>0</stp>
        <stp>0</stp>
        <stp>0</stp>
        <stp>0</stp>
        <tr r="F513" s="18"/>
      </tp>
      <tp t="s">
        <v>#N/A</v>
        <stp/>
        <stp>112</stp>
        <stp>HD_010320C183</stp>
        <stp>TDA</stp>
        <stp>0</stp>
        <stp>0</stp>
        <stp>0</stp>
        <stp>0</stp>
        <stp>0</stp>
        <tr r="F309" s="18"/>
      </tp>
      <tp t="s">
        <v>#N/A</v>
        <stp/>
        <stp>112</stp>
        <stp>HD_010320C193</stp>
        <stp>TDA</stp>
        <stp>0</stp>
        <stp>0</stp>
        <stp>0</stp>
        <stp>0</stp>
        <stp>0</stp>
        <tr r="F321" s="18"/>
      </tp>
      <tp t="s">
        <v>#N/A</v>
        <stp/>
        <stp>112</stp>
        <stp>HD_010320C173</stp>
        <stp>TDA</stp>
        <stp>0</stp>
        <stp>0</stp>
        <stp>0</stp>
        <stp>0</stp>
        <stp>0</stp>
        <tr r="F297" s="18"/>
      </tp>
      <tp t="s">
        <v>#N/A</v>
        <stp/>
        <stp>112</stp>
        <stp>HD_010320C223</stp>
        <stp>TDA</stp>
        <stp>0</stp>
        <stp>0</stp>
        <stp>0</stp>
        <stp>0</stp>
        <stp>0</stp>
        <tr r="F357" s="18"/>
      </tp>
      <tp t="s">
        <v>#N/A</v>
        <stp/>
        <stp>112</stp>
        <stp>HD_010320C203</stp>
        <stp>TDA</stp>
        <stp>0</stp>
        <stp>0</stp>
        <stp>0</stp>
        <stp>0</stp>
        <stp>0</stp>
        <tr r="F333" s="18"/>
      </tp>
      <tp t="s">
        <v>#N/A</v>
        <stp/>
        <stp>112</stp>
        <stp>HD_010320C213</stp>
        <stp>TDA</stp>
        <stp>0</stp>
        <stp>0</stp>
        <stp>0</stp>
        <stp>0</stp>
        <stp>0</stp>
        <tr r="F345" s="18"/>
      </tp>
      <tp>
        <v>0.88600000000000001</v>
        <stp/>
        <stp>204</stp>
        <stp>HD_011720C110</stp>
        <stp>TDA</stp>
        <stp>0</stp>
        <stp>0</stp>
        <stp>0</stp>
        <stp>0</stp>
        <stp>0</stp>
        <tr r="O74" s="67"/>
      </tp>
      <tp t="s">
        <v>#N/A</v>
        <stp/>
        <stp>112</stp>
        <stp>HD_120619C189</stp>
        <stp>TDA</stp>
        <stp>0</stp>
        <stp>0</stp>
        <stp>0</stp>
        <stp>0</stp>
        <stp>0</stp>
        <tr r="F25" s="18"/>
      </tp>
      <tp t="s">
        <v>#N/A</v>
        <stp/>
        <stp>112</stp>
        <stp>HD_120619C199</stp>
        <stp>TDA</stp>
        <stp>0</stp>
        <stp>0</stp>
        <stp>0</stp>
        <stp>0</stp>
        <stp>0</stp>
        <tr r="F37" s="18"/>
      </tp>
      <tp t="s">
        <v>#N/A</v>
        <stp/>
        <stp>112</stp>
        <stp>HD_120619C179</stp>
        <stp>TDA</stp>
        <stp>0</stp>
        <stp>0</stp>
        <stp>0</stp>
        <stp>0</stp>
        <stp>0</stp>
        <tr r="F13" s="18"/>
      </tp>
      <tp t="s">
        <v>#N/A</v>
        <stp/>
        <stp>112</stp>
        <stp>HD_120619C209</stp>
        <stp>TDA</stp>
        <stp>0</stp>
        <stp>0</stp>
        <stp>0</stp>
        <stp>0</stp>
        <stp>0</stp>
        <tr r="F49" s="18"/>
      </tp>
      <tp t="s">
        <v>#N/A</v>
        <stp/>
        <stp>112</stp>
        <stp>HD_120619C219</stp>
        <stp>TDA</stp>
        <stp>0</stp>
        <stp>0</stp>
        <stp>0</stp>
        <stp>0</stp>
        <stp>0</stp>
        <tr r="F61" s="18"/>
      </tp>
      <tp t="s">
        <v>#N/A</v>
        <stp/>
        <stp>112</stp>
        <stp>HD_120619C229</stp>
        <stp>TDA</stp>
        <stp>0</stp>
        <stp>0</stp>
        <stp>0</stp>
        <stp>0</stp>
        <stp>0</stp>
        <tr r="F73" s="18"/>
      </tp>
      <tp t="s">
        <v>#N/A</v>
        <stp/>
        <stp>112</stp>
        <stp>HD_061920C224</stp>
        <stp>TDA</stp>
        <stp>0</stp>
        <stp>0</stp>
        <stp>0</stp>
        <stp>0</stp>
        <stp>0</stp>
        <tr r="F870" s="18"/>
      </tp>
      <tp t="s">
        <v>#N/A</v>
        <stp/>
        <stp>112</stp>
        <stp>HD_061920C204</stp>
        <stp>TDA</stp>
        <stp>0</stp>
        <stp>0</stp>
        <stp>0</stp>
        <stp>0</stp>
        <stp>0</stp>
        <tr r="F846" s="18"/>
      </tp>
      <tp t="s">
        <v>#N/A</v>
        <stp/>
        <stp>112</stp>
        <stp>HD_061920C214</stp>
        <stp>TDA</stp>
        <stp>0</stp>
        <stp>0</stp>
        <stp>0</stp>
        <stp>0</stp>
        <stp>0</stp>
        <tr r="F858" s="18"/>
      </tp>
      <tp t="s">
        <v>#N/A</v>
        <stp/>
        <stp>112</stp>
        <stp>HD_061920C184</stp>
        <stp>TDA</stp>
        <stp>0</stp>
        <stp>0</stp>
        <stp>0</stp>
        <stp>0</stp>
        <stp>0</stp>
        <tr r="F822" s="18"/>
      </tp>
      <tp t="s">
        <v>#N/A</v>
        <stp/>
        <stp>112</stp>
        <stp>HD_061920C194</stp>
        <stp>TDA</stp>
        <stp>0</stp>
        <stp>0</stp>
        <stp>0</stp>
        <stp>0</stp>
        <stp>0</stp>
        <tr r="F834" s="18"/>
      </tp>
      <tp t="s">
        <v>#N/A</v>
        <stp/>
        <stp>112</stp>
        <stp>HD_061920C174</stp>
        <stp>TDA</stp>
        <stp>0</stp>
        <stp>0</stp>
        <stp>0</stp>
        <stp>0</stp>
        <stp>0</stp>
        <tr r="F810" s="18"/>
      </tp>
      <tp t="s">
        <v>#N/A</v>
        <stp/>
        <stp>112</stp>
        <stp>HD_121319C189</stp>
        <stp>TDA</stp>
        <stp>0</stp>
        <stp>0</stp>
        <stp>0</stp>
        <stp>0</stp>
        <stp>0</stp>
        <tr r="F98" s="18"/>
      </tp>
      <tp t="s">
        <v>#N/A</v>
        <stp/>
        <stp>112</stp>
        <stp>HD_121319C199</stp>
        <stp>TDA</stp>
        <stp>0</stp>
        <stp>0</stp>
        <stp>0</stp>
        <stp>0</stp>
        <stp>0</stp>
        <tr r="F110" s="18"/>
      </tp>
      <tp t="s">
        <v>#N/A</v>
        <stp/>
        <stp>112</stp>
        <stp>HD_011020C223</stp>
        <stp>TDA</stp>
        <stp>0</stp>
        <stp>0</stp>
        <stp>0</stp>
        <stp>0</stp>
        <stp>0</stp>
        <tr r="F430" s="18"/>
      </tp>
      <tp t="s">
        <v>#N/A</v>
        <stp/>
        <stp>112</stp>
        <stp>HD_011020C203</stp>
        <stp>TDA</stp>
        <stp>0</stp>
        <stp>0</stp>
        <stp>0</stp>
        <stp>0</stp>
        <stp>0</stp>
        <tr r="F406" s="18"/>
      </tp>
      <tp t="s">
        <v>#N/A</v>
        <stp/>
        <stp>112</stp>
        <stp>HD_011020C213</stp>
        <stp>TDA</stp>
        <stp>0</stp>
        <stp>0</stp>
        <stp>0</stp>
        <stp>0</stp>
        <stp>0</stp>
        <tr r="F418" s="18"/>
      </tp>
      <tp t="s">
        <v>#N/A</v>
        <stp/>
        <stp>112</stp>
        <stp>HD_121319C179</stp>
        <stp>TDA</stp>
        <stp>0</stp>
        <stp>0</stp>
        <stp>0</stp>
        <stp>0</stp>
        <stp>0</stp>
        <tr r="F86" s="18"/>
      </tp>
      <tp t="s">
        <v>#N/A</v>
        <stp/>
        <stp>112</stp>
        <stp>HD_011020C183</stp>
        <stp>TDA</stp>
        <stp>0</stp>
        <stp>0</stp>
        <stp>0</stp>
        <stp>0</stp>
        <stp>0</stp>
        <tr r="F382" s="18"/>
      </tp>
      <tp t="s">
        <v>#N/A</v>
        <stp/>
        <stp>112</stp>
        <stp>HD_011020C193</stp>
        <stp>TDA</stp>
        <stp>0</stp>
        <stp>0</stp>
        <stp>0</stp>
        <stp>0</stp>
        <stp>0</stp>
        <tr r="F394" s="18"/>
      </tp>
      <tp t="s">
        <v>#N/A</v>
        <stp/>
        <stp>112</stp>
        <stp>HD_121319C209</stp>
        <stp>TDA</stp>
        <stp>0</stp>
        <stp>0</stp>
        <stp>0</stp>
        <stp>0</stp>
        <stp>0</stp>
        <tr r="F122" s="18"/>
      </tp>
      <tp t="s">
        <v>#N/A</v>
        <stp/>
        <stp>112</stp>
        <stp>HD_121319C219</stp>
        <stp>TDA</stp>
        <stp>0</stp>
        <stp>0</stp>
        <stp>0</stp>
        <stp>0</stp>
        <stp>0</stp>
        <tr r="F134" s="18"/>
      </tp>
      <tp t="s">
        <v>#N/A</v>
        <stp/>
        <stp>112</stp>
        <stp>HD_121319C229</stp>
        <stp>TDA</stp>
        <stp>0</stp>
        <stp>0</stp>
        <stp>0</stp>
        <stp>0</stp>
        <stp>0</stp>
        <tr r="F146" s="18"/>
      </tp>
      <tp t="s">
        <v>#N/A</v>
        <stp/>
        <stp>112</stp>
        <stp>HD_011020C173</stp>
        <stp>TDA</stp>
        <stp>0</stp>
        <stp>0</stp>
        <stp>0</stp>
        <stp>0</stp>
        <stp>0</stp>
        <tr r="F370" s="18"/>
      </tp>
      <tp t="s">
        <v>#N/A</v>
        <stp/>
        <stp>112</stp>
        <stp>HD_051520C227</stp>
        <stp>TDA</stp>
        <stp>0</stp>
        <stp>0</stp>
        <stp>0</stp>
        <stp>0</stp>
        <stp>0</stp>
        <tr r="F800" s="18"/>
      </tp>
      <tp t="s">
        <v>#N/A</v>
        <stp/>
        <stp>112</stp>
        <stp>HD_051520C207</stp>
        <stp>TDA</stp>
        <stp>0</stp>
        <stp>0</stp>
        <stp>0</stp>
        <stp>0</stp>
        <stp>0</stp>
        <tr r="F776" s="18"/>
      </tp>
      <tp t="s">
        <v>#N/A</v>
        <stp/>
        <stp>112</stp>
        <stp>HD_051520C217</stp>
        <stp>TDA</stp>
        <stp>0</stp>
        <stp>0</stp>
        <stp>0</stp>
        <stp>0</stp>
        <stp>0</stp>
        <tr r="F788" s="18"/>
      </tp>
      <tp t="s">
        <v>#N/A</v>
        <stp/>
        <stp>112</stp>
        <stp>HD_011720C183</stp>
        <stp>TDA</stp>
        <stp>0</stp>
        <stp>0</stp>
        <stp>0</stp>
        <stp>0</stp>
        <stp>0</stp>
        <tr r="F456" s="18"/>
      </tp>
      <tp t="s">
        <v>#N/A</v>
        <stp/>
        <stp>112</stp>
        <stp>HD_011720C193</stp>
        <stp>TDA</stp>
        <stp>0</stp>
        <stp>0</stp>
        <stp>0</stp>
        <stp>0</stp>
        <stp>0</stp>
        <tr r="F468" s="18"/>
      </tp>
      <tp t="s">
        <v>#N/A</v>
        <stp/>
        <stp>112</stp>
        <stp>HD_011720C173</stp>
        <stp>TDA</stp>
        <stp>0</stp>
        <stp>0</stp>
        <stp>0</stp>
        <stp>0</stp>
        <stp>0</stp>
        <tr r="F444" s="18"/>
      </tp>
      <tp t="s">
        <v>#N/A</v>
        <stp/>
        <stp>112</stp>
        <stp>HD_071720C175</stp>
        <stp>TDA</stp>
        <stp>0</stp>
        <stp>0</stp>
        <stp>0</stp>
        <stp>0</stp>
        <stp>0</stp>
        <tr r="F884" s="18"/>
      </tp>
      <tp t="s">
        <v>#N/A</v>
        <stp/>
        <stp>112</stp>
        <stp>HD_011720C223</stp>
        <stp>TDA</stp>
        <stp>0</stp>
        <stp>0</stp>
        <stp>0</stp>
        <stp>0</stp>
        <stp>0</stp>
        <tr r="F504" s="18"/>
      </tp>
      <tp t="s">
        <v>#N/A</v>
        <stp/>
        <stp>112</stp>
        <stp>HD_011720C203</stp>
        <stp>TDA</stp>
        <stp>0</stp>
        <stp>0</stp>
        <stp>0</stp>
        <stp>0</stp>
        <stp>0</stp>
        <tr r="F480" s="18"/>
      </tp>
      <tp t="s">
        <v>#N/A</v>
        <stp/>
        <stp>112</stp>
        <stp>HD_011720C213</stp>
        <stp>TDA</stp>
        <stp>0</stp>
        <stp>0</stp>
        <stp>0</stp>
        <stp>0</stp>
        <stp>0</stp>
        <tr r="F492" s="18"/>
      </tp>
      <tp t="s">
        <v>#N/A</v>
        <stp/>
        <stp>112</stp>
        <stp>HD_051520C187</stp>
        <stp>TDA</stp>
        <stp>0</stp>
        <stp>0</stp>
        <stp>0</stp>
        <stp>0</stp>
        <stp>0</stp>
        <tr r="F752" s="18"/>
      </tp>
      <tp t="s">
        <v>#N/A</v>
        <stp/>
        <stp>112</stp>
        <stp>HD_051520C197</stp>
        <stp>TDA</stp>
        <stp>0</stp>
        <stp>0</stp>
        <stp>0</stp>
        <stp>0</stp>
        <stp>0</stp>
        <tr r="F764" s="18"/>
      </tp>
      <tp t="s">
        <v>#N/A</v>
        <stp/>
        <stp>112</stp>
        <stp>HD_051520C177</stp>
        <stp>TDA</stp>
        <stp>0</stp>
        <stp>0</stp>
        <stp>0</stp>
        <stp>0</stp>
        <stp>0</stp>
        <tr r="F740" s="18"/>
      </tp>
      <tp>
        <v>29.6</v>
        <stp/>
        <stp>107</stp>
        <stp>MA_061821P280</stp>
        <stp>TDA</stp>
        <stp>0</stp>
        <stp>0</stp>
        <stp>0</stp>
        <stp>0</stp>
        <stp>0</stp>
        <tr r="G7" s="67"/>
      </tp>
      <tp>
        <v>31.1</v>
        <stp/>
        <stp>108</stp>
        <stp>MA_061821P280</stp>
        <stp>TDA</stp>
        <stp>0</stp>
        <stp>0</stp>
        <stp>0</stp>
        <stp>0</stp>
        <stp>0</stp>
        <tr r="G7" s="67"/>
      </tp>
      <tp>
        <v>34.21</v>
        <stp/>
        <stp>110</stp>
        <stp>ZS</stp>
        <stp>TDA</stp>
        <stp>0</stp>
        <stp>0</stp>
        <stp>0</stp>
        <stp>0</stp>
        <stp>0</stp>
        <tr r="J35" s="68"/>
      </tp>
      <tp>
        <v>1</v>
        <stp/>
        <stp>210</stp>
        <stp>ZS</stp>
        <stp>TDA</stp>
        <stp>0</stp>
        <stp>0</stp>
        <stp>0</stp>
        <stp>0</stp>
        <stp>0</stp>
        <tr r="Q35" s="68"/>
      </tp>
      <tp>
        <v>121.465</v>
        <stp/>
        <stp>100</stp>
        <stp>BR</stp>
        <stp>TDA</stp>
        <stp>0</stp>
        <stp>0</stp>
        <stp>0</stp>
        <stp>0</stp>
        <stp>0</stp>
        <tr r="O76" s="67"/>
        <tr r="G76" s="67"/>
        <tr r="B19" s="68"/>
      </tp>
      <tp>
        <v>89.54</v>
        <stp/>
        <stp>111</stp>
        <stp>ZS</stp>
        <stp>TDA</stp>
        <stp>0</stp>
        <stp>0</stp>
        <stp>0</stp>
        <stp>0</stp>
        <stp>0</stp>
        <tr r="K35" s="68"/>
      </tp>
      <tp t="s">
        <v>Zscaler, Inc. - Common Stock</v>
        <stp/>
        <stp>112</stp>
        <stp>ZS</stp>
        <stp>TDA</stp>
        <stp>0</stp>
        <stp>0</stp>
        <stp>0</stp>
        <stp>0</stp>
        <stp>0</stp>
        <tr r="B72" s="67"/>
      </tp>
      <tp>
        <v>-6.8560606060606144</v>
        <stp/>
        <stp>115</stp>
        <stp>ZS</stp>
        <stp>TDA</stp>
        <stp>0</stp>
        <stp>0</stp>
        <stp>0</stp>
        <stp>0</stp>
        <stp>0</stp>
        <tr r="I35" s="68"/>
      </tp>
      <tp>
        <v>0</v>
        <stp/>
        <stp>117</stp>
        <stp>ZS</stp>
        <stp>TDA</stp>
        <stp>0</stp>
        <stp>0</stp>
        <stp>0</stp>
        <stp>0</stp>
        <stp>0</stp>
        <tr r="M35" s="68"/>
      </tp>
      <tp t="s">
        <v>#N/A</v>
        <stp/>
        <stp>112</stp>
        <stp>HD_022120C221</stp>
        <stp>TDA</stp>
        <stp>0</stp>
        <stp>0</stp>
        <stp>0</stp>
        <stp>0</stp>
        <stp>0</stp>
        <tr r="F574" s="18"/>
      </tp>
      <tp t="s">
        <v>#N/A</v>
        <stp/>
        <stp>112</stp>
        <stp>HD_022120C201</stp>
        <stp>TDA</stp>
        <stp>0</stp>
        <stp>0</stp>
        <stp>0</stp>
        <stp>0</stp>
        <stp>0</stp>
        <tr r="F550" s="18"/>
      </tp>
      <tp t="s">
        <v>#N/A</v>
        <stp/>
        <stp>112</stp>
        <stp>HD_022120C211</stp>
        <stp>TDA</stp>
        <stp>0</stp>
        <stp>0</stp>
        <stp>0</stp>
        <stp>0</stp>
        <stp>0</stp>
        <tr r="F562" s="18"/>
      </tp>
      <tp t="s">
        <v>HD Mar 20 2020 220 Call</v>
        <stp/>
        <stp>112</stp>
        <stp>HD_032020C220</stp>
        <stp>TDA</stp>
        <stp>0</stp>
        <stp>0</stp>
        <stp>0</stp>
        <stp>0</stp>
        <stp>0</stp>
        <tr r="F646" s="18"/>
      </tp>
      <tp t="s">
        <v>#N/A</v>
        <stp/>
        <stp>112</stp>
        <stp>HD_122019C208</stp>
        <stp>TDA</stp>
        <stp>0</stp>
        <stp>0</stp>
        <stp>0</stp>
        <stp>0</stp>
        <stp>0</stp>
        <tr r="F194" s="18"/>
      </tp>
      <tp t="s">
        <v>HD Mar 20 2020 230 Call</v>
        <stp/>
        <stp>112</stp>
        <stp>HD_032020C230</stp>
        <stp>TDA</stp>
        <stp>0</stp>
        <stp>0</stp>
        <stp>0</stp>
        <stp>0</stp>
        <stp>0</stp>
        <tr r="F658" s="18"/>
      </tp>
      <tp t="s">
        <v>#N/A</v>
        <stp/>
        <stp>112</stp>
        <stp>HD_122019C218</stp>
        <stp>TDA</stp>
        <stp>0</stp>
        <stp>0</stp>
        <stp>0</stp>
        <stp>0</stp>
        <stp>0</stp>
        <tr r="F206" s="18"/>
      </tp>
      <tp t="s">
        <v>HD Mar 20 2020 200 Call</v>
        <stp/>
        <stp>112</stp>
        <stp>HD_032020C200</stp>
        <stp>TDA</stp>
        <stp>0</stp>
        <stp>0</stp>
        <stp>0</stp>
        <stp>0</stp>
        <stp>0</stp>
        <tr r="F622" s="18"/>
      </tp>
      <tp t="s">
        <v>#N/A</v>
        <stp/>
        <stp>112</stp>
        <stp>HD_122019C228</stp>
        <stp>TDA</stp>
        <stp>0</stp>
        <stp>0</stp>
        <stp>0</stp>
        <stp>0</stp>
        <stp>0</stp>
        <tr r="F218" s="18"/>
      </tp>
      <tp t="s">
        <v>HD Mar 20 2020 210 Call</v>
        <stp/>
        <stp>112</stp>
        <stp>HD_032020C210</stp>
        <stp>TDA</stp>
        <stp>0</stp>
        <stp>0</stp>
        <stp>0</stp>
        <stp>0</stp>
        <stp>0</stp>
        <tr r="F634" s="18"/>
      </tp>
      <tp t="s">
        <v>#N/A</v>
        <stp/>
        <stp>112</stp>
        <stp>HD_122019C188</stp>
        <stp>TDA</stp>
        <stp>0</stp>
        <stp>0</stp>
        <stp>0</stp>
        <stp>0</stp>
        <stp>0</stp>
        <tr r="F170" s="18"/>
      </tp>
      <tp t="s">
        <v>#N/A</v>
        <stp/>
        <stp>112</stp>
        <stp>HD_122019C198</stp>
        <stp>TDA</stp>
        <stp>0</stp>
        <stp>0</stp>
        <stp>0</stp>
        <stp>0</stp>
        <stp>0</stp>
        <tr r="F182" s="18"/>
      </tp>
      <tp t="s">
        <v>HD Mar 20 2020 180 Call</v>
        <stp/>
        <stp>112</stp>
        <stp>HD_032020C180</stp>
        <stp>TDA</stp>
        <stp>0</stp>
        <stp>0</stp>
        <stp>0</stp>
        <stp>0</stp>
        <stp>0</stp>
        <tr r="F598" s="18"/>
      </tp>
      <tp t="s">
        <v>HD Mar 20 2020 190 Call</v>
        <stp/>
        <stp>112</stp>
        <stp>HD_032020C190</stp>
        <stp>TDA</stp>
        <stp>0</stp>
        <stp>0</stp>
        <stp>0</stp>
        <stp>0</stp>
        <stp>0</stp>
        <tr r="F610" s="18"/>
      </tp>
      <tp t="s">
        <v>HD Mar 20 2020 170 Call</v>
        <stp/>
        <stp>112</stp>
        <stp>HD_032020C170</stp>
        <stp>TDA</stp>
        <stp>0</stp>
        <stp>0</stp>
        <stp>0</stp>
        <stp>0</stp>
        <stp>0</stp>
        <tr r="F586" s="18"/>
      </tp>
      <tp t="s">
        <v>#N/A</v>
        <stp/>
        <stp>112</stp>
        <stp>HD_122019C178</stp>
        <stp>TDA</stp>
        <stp>0</stp>
        <stp>0</stp>
        <stp>0</stp>
        <stp>0</stp>
        <stp>0</stp>
        <tr r="F158" s="18"/>
      </tp>
      <tp t="s">
        <v>#N/A</v>
        <stp/>
        <stp>112</stp>
        <stp>HD_022120C181</stp>
        <stp>TDA</stp>
        <stp>0</stp>
        <stp>0</stp>
        <stp>0</stp>
        <stp>0</stp>
        <stp>0</stp>
        <tr r="F526" s="18"/>
      </tp>
      <tp t="s">
        <v>#N/A</v>
        <stp/>
        <stp>112</stp>
        <stp>HD_022120C191</stp>
        <stp>TDA</stp>
        <stp>0</stp>
        <stp>0</stp>
        <stp>0</stp>
        <stp>0</stp>
        <stp>0</stp>
        <tr r="F538" s="18"/>
      </tp>
      <tp t="s">
        <v>#N/A</v>
        <stp/>
        <stp>112</stp>
        <stp>HD_022120C171</stp>
        <stp>TDA</stp>
        <stp>0</stp>
        <stp>0</stp>
        <stp>0</stp>
        <stp>0</stp>
        <stp>0</stp>
        <tr r="F514" s="18"/>
      </tp>
      <tp t="s">
        <v>#N/A</v>
        <stp/>
        <stp>112</stp>
        <stp>HD_010320C182</stp>
        <stp>TDA</stp>
        <stp>0</stp>
        <stp>0</stp>
        <stp>0</stp>
        <stp>0</stp>
        <stp>0</stp>
        <tr r="F308" s="18"/>
      </tp>
      <tp t="s">
        <v>#N/A</v>
        <stp/>
        <stp>112</stp>
        <stp>HD_010320C192</stp>
        <stp>TDA</stp>
        <stp>0</stp>
        <stp>0</stp>
        <stp>0</stp>
        <stp>0</stp>
        <stp>0</stp>
        <tr r="F320" s="18"/>
      </tp>
      <tp t="s">
        <v>#N/A</v>
        <stp/>
        <stp>112</stp>
        <stp>HD_010320C172</stp>
        <stp>TDA</stp>
        <stp>0</stp>
        <stp>0</stp>
        <stp>0</stp>
        <stp>0</stp>
        <stp>0</stp>
        <tr r="F296" s="18"/>
      </tp>
      <tp t="s">
        <v>#N/A</v>
        <stp/>
        <stp>112</stp>
        <stp>HD_010320C222</stp>
        <stp>TDA</stp>
        <stp>0</stp>
        <stp>0</stp>
        <stp>0</stp>
        <stp>0</stp>
        <stp>0</stp>
        <tr r="F356" s="18"/>
      </tp>
      <tp t="s">
        <v>#N/A</v>
        <stp/>
        <stp>112</stp>
        <stp>HD_010320C202</stp>
        <stp>TDA</stp>
        <stp>0</stp>
        <stp>0</stp>
        <stp>0</stp>
        <stp>0</stp>
        <stp>0</stp>
        <tr r="F332" s="18"/>
      </tp>
      <tp t="s">
        <v>#N/A</v>
        <stp/>
        <stp>112</stp>
        <stp>HD_010320C212</stp>
        <stp>TDA</stp>
        <stp>0</stp>
        <stp>0</stp>
        <stp>0</stp>
        <stp>0</stp>
        <stp>0</stp>
        <tr r="F344" s="18"/>
      </tp>
      <tp t="s">
        <v>#N/A</v>
        <stp/>
        <stp>112</stp>
        <stp>HD_120619C188</stp>
        <stp>TDA</stp>
        <stp>0</stp>
        <stp>0</stp>
        <stp>0</stp>
        <stp>0</stp>
        <stp>0</stp>
        <tr r="F24" s="18"/>
      </tp>
      <tp t="s">
        <v>#N/A</v>
        <stp/>
        <stp>112</stp>
        <stp>HD_120619C198</stp>
        <stp>TDA</stp>
        <stp>0</stp>
        <stp>0</stp>
        <stp>0</stp>
        <stp>0</stp>
        <stp>0</stp>
        <tr r="F36" s="18"/>
      </tp>
      <tp t="s">
        <v>#N/A</v>
        <stp/>
        <stp>112</stp>
        <stp>HD_120619C178</stp>
        <stp>TDA</stp>
        <stp>0</stp>
        <stp>0</stp>
        <stp>0</stp>
        <stp>0</stp>
        <stp>0</stp>
        <tr r="F12" s="18"/>
      </tp>
      <tp t="s">
        <v>#N/A</v>
        <stp/>
        <stp>112</stp>
        <stp>HD_120619C208</stp>
        <stp>TDA</stp>
        <stp>0</stp>
        <stp>0</stp>
        <stp>0</stp>
        <stp>0</stp>
        <stp>0</stp>
        <tr r="F48" s="18"/>
      </tp>
      <tp t="s">
        <v>#N/A</v>
        <stp/>
        <stp>112</stp>
        <stp>HD_120619C218</stp>
        <stp>TDA</stp>
        <stp>0</stp>
        <stp>0</stp>
        <stp>0</stp>
        <stp>0</stp>
        <stp>0</stp>
        <tr r="F60" s="18"/>
      </tp>
      <tp t="s">
        <v>#N/A</v>
        <stp/>
        <stp>112</stp>
        <stp>HD_120619C228</stp>
        <stp>TDA</stp>
        <stp>0</stp>
        <stp>0</stp>
        <stp>0</stp>
        <stp>0</stp>
        <stp>0</stp>
        <tr r="F72" s="18"/>
      </tp>
      <tp t="s">
        <v>HD Jun 19 2020 225 Call</v>
        <stp/>
        <stp>112</stp>
        <stp>HD_061920C225</stp>
        <stp>TDA</stp>
        <stp>0</stp>
        <stp>0</stp>
        <stp>0</stp>
        <stp>0</stp>
        <stp>0</stp>
        <tr r="F871" s="18"/>
      </tp>
      <tp t="s">
        <v>HD Jun 19 2020 205 Call</v>
        <stp/>
        <stp>112</stp>
        <stp>HD_061920C205</stp>
        <stp>TDA</stp>
        <stp>0</stp>
        <stp>0</stp>
        <stp>0</stp>
        <stp>0</stp>
        <stp>0</stp>
        <tr r="F847" s="18"/>
      </tp>
      <tp t="s">
        <v>HD Jun 19 2020 215 Call</v>
        <stp/>
        <stp>112</stp>
        <stp>HD_061920C215</stp>
        <stp>TDA</stp>
        <stp>0</stp>
        <stp>0</stp>
        <stp>0</stp>
        <stp>0</stp>
        <stp>0</stp>
        <tr r="F859" s="18"/>
      </tp>
      <tp t="s">
        <v>HD Jun 19 2020 185 Call</v>
        <stp/>
        <stp>112</stp>
        <stp>HD_061920C185</stp>
        <stp>TDA</stp>
        <stp>0</stp>
        <stp>0</stp>
        <stp>0</stp>
        <stp>0</stp>
        <stp>0</stp>
        <tr r="F823" s="18"/>
      </tp>
      <tp t="s">
        <v>HD Jun 19 2020 195 Call</v>
        <stp/>
        <stp>112</stp>
        <stp>HD_061920C195</stp>
        <stp>TDA</stp>
        <stp>0</stp>
        <stp>0</stp>
        <stp>0</stp>
        <stp>0</stp>
        <stp>0</stp>
        <tr r="F835" s="18"/>
      </tp>
      <tp t="s">
        <v>HD Jun 19 2020 175 Call</v>
        <stp/>
        <stp>112</stp>
        <stp>HD_061920C175</stp>
        <stp>TDA</stp>
        <stp>0</stp>
        <stp>0</stp>
        <stp>0</stp>
        <stp>0</stp>
        <stp>0</stp>
        <tr r="F811" s="18"/>
      </tp>
      <tp t="s">
        <v>#N/A</v>
        <stp/>
        <stp>112</stp>
        <stp>HD_121319C188</stp>
        <stp>TDA</stp>
        <stp>0</stp>
        <stp>0</stp>
        <stp>0</stp>
        <stp>0</stp>
        <stp>0</stp>
        <tr r="F97" s="18"/>
      </tp>
      <tp t="s">
        <v>#N/A</v>
        <stp/>
        <stp>112</stp>
        <stp>HD_121319C198</stp>
        <stp>TDA</stp>
        <stp>0</stp>
        <stp>0</stp>
        <stp>0</stp>
        <stp>0</stp>
        <stp>0</stp>
        <tr r="F109" s="18"/>
      </tp>
      <tp t="s">
        <v>#N/A</v>
        <stp/>
        <stp>112</stp>
        <stp>HD_011020C222</stp>
        <stp>TDA</stp>
        <stp>0</stp>
        <stp>0</stp>
        <stp>0</stp>
        <stp>0</stp>
        <stp>0</stp>
        <tr r="F429" s="18"/>
      </tp>
      <tp t="s">
        <v>#N/A</v>
        <stp/>
        <stp>112</stp>
        <stp>HD_011020C202</stp>
        <stp>TDA</stp>
        <stp>0</stp>
        <stp>0</stp>
        <stp>0</stp>
        <stp>0</stp>
        <stp>0</stp>
        <tr r="F405" s="18"/>
      </tp>
      <tp t="s">
        <v>#N/A</v>
        <stp/>
        <stp>112</stp>
        <stp>HD_011020C212</stp>
        <stp>TDA</stp>
        <stp>0</stp>
        <stp>0</stp>
        <stp>0</stp>
        <stp>0</stp>
        <stp>0</stp>
        <tr r="F417" s="18"/>
      </tp>
      <tp t="s">
        <v>#N/A</v>
        <stp/>
        <stp>112</stp>
        <stp>HD_121319C178</stp>
        <stp>TDA</stp>
        <stp>0</stp>
        <stp>0</stp>
        <stp>0</stp>
        <stp>0</stp>
        <stp>0</stp>
        <tr r="F85" s="18"/>
      </tp>
      <tp t="s">
        <v>#N/A</v>
        <stp/>
        <stp>112</stp>
        <stp>HD_011020C182</stp>
        <stp>TDA</stp>
        <stp>0</stp>
        <stp>0</stp>
        <stp>0</stp>
        <stp>0</stp>
        <stp>0</stp>
        <tr r="F381" s="18"/>
      </tp>
      <tp t="s">
        <v>#N/A</v>
        <stp/>
        <stp>112</stp>
        <stp>HD_011020C192</stp>
        <stp>TDA</stp>
        <stp>0</stp>
        <stp>0</stp>
        <stp>0</stp>
        <stp>0</stp>
        <stp>0</stp>
        <tr r="F393" s="18"/>
      </tp>
      <tp t="s">
        <v>#N/A</v>
        <stp/>
        <stp>112</stp>
        <stp>HD_121319C208</stp>
        <stp>TDA</stp>
        <stp>0</stp>
        <stp>0</stp>
        <stp>0</stp>
        <stp>0</stp>
        <stp>0</stp>
        <tr r="F121" s="18"/>
      </tp>
      <tp t="s">
        <v>#N/A</v>
        <stp/>
        <stp>112</stp>
        <stp>HD_121319C218</stp>
        <stp>TDA</stp>
        <stp>0</stp>
        <stp>0</stp>
        <stp>0</stp>
        <stp>0</stp>
        <stp>0</stp>
        <tr r="F133" s="18"/>
      </tp>
      <tp t="s">
        <v>#N/A</v>
        <stp/>
        <stp>112</stp>
        <stp>HD_121319C228</stp>
        <stp>TDA</stp>
        <stp>0</stp>
        <stp>0</stp>
        <stp>0</stp>
        <stp>0</stp>
        <stp>0</stp>
        <tr r="F145" s="18"/>
      </tp>
      <tp t="s">
        <v>#N/A</v>
        <stp/>
        <stp>112</stp>
        <stp>HD_011020C172</stp>
        <stp>TDA</stp>
        <stp>0</stp>
        <stp>0</stp>
        <stp>0</stp>
        <stp>0</stp>
        <stp>0</stp>
        <tr r="F369" s="18"/>
      </tp>
      <tp t="s">
        <v>#N/A</v>
        <stp/>
        <stp>112</stp>
        <stp>HD_051520C226</stp>
        <stp>TDA</stp>
        <stp>0</stp>
        <stp>0</stp>
        <stp>0</stp>
        <stp>0</stp>
        <stp>0</stp>
        <tr r="F799" s="18"/>
      </tp>
      <tp t="s">
        <v>#N/A</v>
        <stp/>
        <stp>112</stp>
        <stp>HD_051520C206</stp>
        <stp>TDA</stp>
        <stp>0</stp>
        <stp>0</stp>
        <stp>0</stp>
        <stp>0</stp>
        <stp>0</stp>
        <tr r="F775" s="18"/>
      </tp>
      <tp t="s">
        <v>#N/A</v>
        <stp/>
        <stp>112</stp>
        <stp>HD_051520C216</stp>
        <stp>TDA</stp>
        <stp>0</stp>
        <stp>0</stp>
        <stp>0</stp>
        <stp>0</stp>
        <stp>0</stp>
        <tr r="F787" s="18"/>
      </tp>
      <tp t="s">
        <v>#N/A</v>
        <stp/>
        <stp>112</stp>
        <stp>HD_011720C182</stp>
        <stp>TDA</stp>
        <stp>0</stp>
        <stp>0</stp>
        <stp>0</stp>
        <stp>0</stp>
        <stp>0</stp>
        <tr r="F454" s="18"/>
      </tp>
      <tp t="s">
        <v>#N/A</v>
        <stp/>
        <stp>112</stp>
        <stp>HD_011720C192</stp>
        <stp>TDA</stp>
        <stp>0</stp>
        <stp>0</stp>
        <stp>0</stp>
        <stp>0</stp>
        <stp>0</stp>
        <tr r="F466" s="18"/>
      </tp>
      <tp t="s">
        <v>#N/A</v>
        <stp/>
        <stp>112</stp>
        <stp>HD_011720C172</stp>
        <stp>TDA</stp>
        <stp>0</stp>
        <stp>0</stp>
        <stp>0</stp>
        <stp>0</stp>
        <stp>0</stp>
        <tr r="F442" s="18"/>
      </tp>
      <tp t="s">
        <v>#N/A</v>
        <stp/>
        <stp>112</stp>
        <stp>HD_071720C174</stp>
        <stp>TDA</stp>
        <stp>0</stp>
        <stp>0</stp>
        <stp>0</stp>
        <stp>0</stp>
        <stp>0</stp>
        <tr r="F883" s="18"/>
      </tp>
      <tp t="s">
        <v>#N/A</v>
        <stp/>
        <stp>112</stp>
        <stp>HD_011720C222</stp>
        <stp>TDA</stp>
        <stp>0</stp>
        <stp>0</stp>
        <stp>0</stp>
        <stp>0</stp>
        <stp>0</stp>
        <tr r="F502" s="18"/>
      </tp>
      <tp t="s">
        <v>#N/A</v>
        <stp/>
        <stp>112</stp>
        <stp>HD_011720C202</stp>
        <stp>TDA</stp>
        <stp>0</stp>
        <stp>0</stp>
        <stp>0</stp>
        <stp>0</stp>
        <stp>0</stp>
        <tr r="F478" s="18"/>
      </tp>
      <tp t="s">
        <v>#N/A</v>
        <stp/>
        <stp>112</stp>
        <stp>HD_011720C212</stp>
        <stp>TDA</stp>
        <stp>0</stp>
        <stp>0</stp>
        <stp>0</stp>
        <stp>0</stp>
        <stp>0</stp>
        <tr r="F490" s="18"/>
      </tp>
      <tp t="s">
        <v>#N/A</v>
        <stp/>
        <stp>112</stp>
        <stp>HD_051520C186</stp>
        <stp>TDA</stp>
        <stp>0</stp>
        <stp>0</stp>
        <stp>0</stp>
        <stp>0</stp>
        <stp>0</stp>
        <tr r="F751" s="18"/>
      </tp>
      <tp t="s">
        <v>#N/A</v>
        <stp/>
        <stp>112</stp>
        <stp>HD_051520C196</stp>
        <stp>TDA</stp>
        <stp>0</stp>
        <stp>0</stp>
        <stp>0</stp>
        <stp>0</stp>
        <stp>0</stp>
        <tr r="F763" s="18"/>
      </tp>
      <tp t="s">
        <v>#N/A</v>
        <stp/>
        <stp>112</stp>
        <stp>HD_051520C176</stp>
        <stp>TDA</stp>
        <stp>0</stp>
        <stp>0</stp>
        <stp>0</stp>
        <stp>0</stp>
        <stp>0</stp>
        <tr r="F739" s="18"/>
      </tp>
      <tp>
        <v>67.83</v>
        <stp/>
        <stp>100</stp>
        <stp>SQ</stp>
        <stp>TDA</stp>
        <stp>0</stp>
        <stp>0</stp>
        <stp>0</stp>
        <stp>0</stp>
        <stp>0</stp>
        <tr r="O11" s="67"/>
        <tr r="O10" s="67"/>
        <tr r="O5" s="67"/>
        <tr r="O63" s="67"/>
        <tr r="O46" s="67"/>
        <tr r="B15" s="68"/>
      </tp>
      <tp>
        <v>0</v>
        <stp/>
        <stp>170</stp>
        <stp>BV</stp>
        <stp>TDA</stp>
        <stp>0</stp>
        <stp>0</stp>
        <stp>0</stp>
        <stp>0</stp>
        <stp>0</stp>
        <tr r="P43" s="68"/>
      </tp>
      <tp>
        <v>0</v>
        <stp/>
        <stp>124</stp>
        <stp>ZS</stp>
        <stp>TDA</stp>
        <stp>0</stp>
        <stp>0</stp>
        <stp>0</stp>
        <stp>0</stp>
        <stp>0</stp>
        <tr r="L35" s="68"/>
      </tp>
      <tp t="s">
        <v>#N/A</v>
        <stp/>
        <stp>112</stp>
        <stp>HD_022120C222</stp>
        <stp>TDA</stp>
        <stp>0</stp>
        <stp>0</stp>
        <stp>0</stp>
        <stp>0</stp>
        <stp>0</stp>
        <tr r="F576" s="18"/>
      </tp>
      <tp t="s">
        <v>#N/A</v>
        <stp/>
        <stp>112</stp>
        <stp>HD_022120C202</stp>
        <stp>TDA</stp>
        <stp>0</stp>
        <stp>0</stp>
        <stp>0</stp>
        <stp>0</stp>
        <stp>0</stp>
        <tr r="F552" s="18"/>
      </tp>
      <tp t="s">
        <v>#N/A</v>
        <stp/>
        <stp>112</stp>
        <stp>HD_022120C212</stp>
        <stp>TDA</stp>
        <stp>0</stp>
        <stp>0</stp>
        <stp>0</stp>
        <stp>0</stp>
        <stp>0</stp>
        <tr r="F564" s="18"/>
      </tp>
      <tp t="s">
        <v>#N/A</v>
        <stp/>
        <stp>112</stp>
        <stp>HD_032020C223</stp>
        <stp>TDA</stp>
        <stp>0</stp>
        <stp>0</stp>
        <stp>0</stp>
        <stp>0</stp>
        <stp>0</stp>
        <tr r="F650" s="18"/>
      </tp>
      <tp t="s">
        <v>#N/A</v>
        <stp/>
        <stp>112</stp>
        <stp>HD_032020C203</stp>
        <stp>TDA</stp>
        <stp>0</stp>
        <stp>0</stp>
        <stp>0</stp>
        <stp>0</stp>
        <stp>0</stp>
        <tr r="F626" s="18"/>
      </tp>
      <tp t="s">
        <v>#N/A</v>
        <stp/>
        <stp>112</stp>
        <stp>HD_032020C213</stp>
        <stp>TDA</stp>
        <stp>0</stp>
        <stp>0</stp>
        <stp>0</stp>
        <stp>0</stp>
        <stp>0</stp>
        <tr r="F638" s="18"/>
      </tp>
      <tp t="s">
        <v>#N/A</v>
        <stp/>
        <stp>112</stp>
        <stp>HD_032020C183</stp>
        <stp>TDA</stp>
        <stp>0</stp>
        <stp>0</stp>
        <stp>0</stp>
        <stp>0</stp>
        <stp>0</stp>
        <tr r="F602" s="18"/>
      </tp>
      <tp t="s">
        <v>#N/A</v>
        <stp/>
        <stp>112</stp>
        <stp>HD_032020C193</stp>
        <stp>TDA</stp>
        <stp>0</stp>
        <stp>0</stp>
        <stp>0</stp>
        <stp>0</stp>
        <stp>0</stp>
        <tr r="F614" s="18"/>
      </tp>
      <tp t="s">
        <v>#N/A</v>
        <stp/>
        <stp>112</stp>
        <stp>HD_032020C173</stp>
        <stp>TDA</stp>
        <stp>0</stp>
        <stp>0</stp>
        <stp>0</stp>
        <stp>0</stp>
        <stp>0</stp>
        <tr r="F590" s="18"/>
      </tp>
      <tp t="s">
        <v>#N/A</v>
        <stp/>
        <stp>112</stp>
        <stp>HD_022120C182</stp>
        <stp>TDA</stp>
        <stp>0</stp>
        <stp>0</stp>
        <stp>0</stp>
        <stp>0</stp>
        <stp>0</stp>
        <tr r="F528" s="18"/>
      </tp>
      <tp t="s">
        <v>#N/A</v>
        <stp/>
        <stp>112</stp>
        <stp>HD_022120C192</stp>
        <stp>TDA</stp>
        <stp>0</stp>
        <stp>0</stp>
        <stp>0</stp>
        <stp>0</stp>
        <stp>0</stp>
        <tr r="F540" s="18"/>
      </tp>
      <tp t="s">
        <v>#N/A</v>
        <stp/>
        <stp>112</stp>
        <stp>HD_022120C172</stp>
        <stp>TDA</stp>
        <stp>0</stp>
        <stp>0</stp>
        <stp>0</stp>
        <stp>0</stp>
        <stp>0</stp>
        <tr r="F516" s="18"/>
      </tp>
      <tp t="s">
        <v>#N/A</v>
        <stp/>
        <stp>112</stp>
        <stp>HD_010320C181</stp>
        <stp>TDA</stp>
        <stp>0</stp>
        <stp>0</stp>
        <stp>0</stp>
        <stp>0</stp>
        <stp>0</stp>
        <tr r="F307" s="18"/>
      </tp>
      <tp t="s">
        <v>#N/A</v>
        <stp/>
        <stp>112</stp>
        <stp>HD_010320C191</stp>
        <stp>TDA</stp>
        <stp>0</stp>
        <stp>0</stp>
        <stp>0</stp>
        <stp>0</stp>
        <stp>0</stp>
        <tr r="F319" s="18"/>
      </tp>
      <tp t="s">
        <v>#N/A</v>
        <stp/>
        <stp>112</stp>
        <stp>HD_010320C171</stp>
        <stp>TDA</stp>
        <stp>0</stp>
        <stp>0</stp>
        <stp>0</stp>
        <stp>0</stp>
        <stp>0</stp>
        <tr r="F295" s="18"/>
      </tp>
      <tp t="s">
        <v>#N/A</v>
        <stp/>
        <stp>112</stp>
        <stp>HD_010320C221</stp>
        <stp>TDA</stp>
        <stp>0</stp>
        <stp>0</stp>
        <stp>0</stp>
        <stp>0</stp>
        <stp>0</stp>
        <tr r="F355" s="18"/>
      </tp>
      <tp t="s">
        <v>#N/A</v>
        <stp/>
        <stp>112</stp>
        <stp>HD_010320C201</stp>
        <stp>TDA</stp>
        <stp>0</stp>
        <stp>0</stp>
        <stp>0</stp>
        <stp>0</stp>
        <stp>0</stp>
        <tr r="F331" s="18"/>
      </tp>
      <tp t="s">
        <v>#N/A</v>
        <stp/>
        <stp>112</stp>
        <stp>HD_010320C211</stp>
        <stp>TDA</stp>
        <stp>0</stp>
        <stp>0</stp>
        <stp>0</stp>
        <stp>0</stp>
        <stp>0</stp>
        <tr r="F343" s="18"/>
      </tp>
      <tp t="s">
        <v>#N/A</v>
        <stp/>
        <stp>112</stp>
        <stp>HD_061920C226</stp>
        <stp>TDA</stp>
        <stp>0</stp>
        <stp>0</stp>
        <stp>0</stp>
        <stp>0</stp>
        <stp>0</stp>
        <tr r="F872" s="18"/>
      </tp>
      <tp t="s">
        <v>#N/A</v>
        <stp/>
        <stp>112</stp>
        <stp>HD_061920C206</stp>
        <stp>TDA</stp>
        <stp>0</stp>
        <stp>0</stp>
        <stp>0</stp>
        <stp>0</stp>
        <stp>0</stp>
        <tr r="F848" s="18"/>
      </tp>
      <tp t="s">
        <v>#N/A</v>
        <stp/>
        <stp>112</stp>
        <stp>HD_061920C216</stp>
        <stp>TDA</stp>
        <stp>0</stp>
        <stp>0</stp>
        <stp>0</stp>
        <stp>0</stp>
        <stp>0</stp>
        <tr r="F860" s="18"/>
      </tp>
      <tp t="s">
        <v>#N/A</v>
        <stp/>
        <stp>112</stp>
        <stp>HD_061920C186</stp>
        <stp>TDA</stp>
        <stp>0</stp>
        <stp>0</stp>
        <stp>0</stp>
        <stp>0</stp>
        <stp>0</stp>
        <tr r="F824" s="18"/>
      </tp>
      <tp t="s">
        <v>#N/A</v>
        <stp/>
        <stp>112</stp>
        <stp>HD_061920C196</stp>
        <stp>TDA</stp>
        <stp>0</stp>
        <stp>0</stp>
        <stp>0</stp>
        <stp>0</stp>
        <stp>0</stp>
        <tr r="F836" s="18"/>
      </tp>
      <tp t="s">
        <v>#N/A</v>
        <stp/>
        <stp>112</stp>
        <stp>HD_061920C176</stp>
        <stp>TDA</stp>
        <stp>0</stp>
        <stp>0</stp>
        <stp>0</stp>
        <stp>0</stp>
        <stp>0</stp>
        <tr r="F812" s="18"/>
      </tp>
      <tp t="s">
        <v>#N/A</v>
        <stp/>
        <stp>112</stp>
        <stp>HD_011020C221</stp>
        <stp>TDA</stp>
        <stp>0</stp>
        <stp>0</stp>
        <stp>0</stp>
        <stp>0</stp>
        <stp>0</stp>
        <tr r="F428" s="18"/>
      </tp>
      <tp t="s">
        <v>#N/A</v>
        <stp/>
        <stp>112</stp>
        <stp>HD_011020C201</stp>
        <stp>TDA</stp>
        <stp>0</stp>
        <stp>0</stp>
        <stp>0</stp>
        <stp>0</stp>
        <stp>0</stp>
        <tr r="F404" s="18"/>
      </tp>
      <tp t="s">
        <v>#N/A</v>
        <stp/>
        <stp>112</stp>
        <stp>HD_011020C211</stp>
        <stp>TDA</stp>
        <stp>0</stp>
        <stp>0</stp>
        <stp>0</stp>
        <stp>0</stp>
        <stp>0</stp>
        <tr r="F416" s="18"/>
      </tp>
      <tp t="s">
        <v>#N/A</v>
        <stp/>
        <stp>112</stp>
        <stp>HD_011020C181</stp>
        <stp>TDA</stp>
        <stp>0</stp>
        <stp>0</stp>
        <stp>0</stp>
        <stp>0</stp>
        <stp>0</stp>
        <tr r="F380" s="18"/>
      </tp>
      <tp t="s">
        <v>#N/A</v>
        <stp/>
        <stp>112</stp>
        <stp>HD_011020C191</stp>
        <stp>TDA</stp>
        <stp>0</stp>
        <stp>0</stp>
        <stp>0</stp>
        <stp>0</stp>
        <stp>0</stp>
        <tr r="F392" s="18"/>
      </tp>
      <tp t="s">
        <v>#N/A</v>
        <stp/>
        <stp>112</stp>
        <stp>HD_011020C171</stp>
        <stp>TDA</stp>
        <stp>0</stp>
        <stp>0</stp>
        <stp>0</stp>
        <stp>0</stp>
        <stp>0</stp>
        <tr r="F368" s="18"/>
      </tp>
      <tp t="s">
        <v>HD May 15 2020 225 Call</v>
        <stp/>
        <stp>112</stp>
        <stp>HD_051520C225</stp>
        <stp>TDA</stp>
        <stp>0</stp>
        <stp>0</stp>
        <stp>0</stp>
        <stp>0</stp>
        <stp>0</stp>
        <tr r="F798" s="18"/>
      </tp>
      <tp t="s">
        <v>HD May 15 2020 205 Call</v>
        <stp/>
        <stp>112</stp>
        <stp>HD_051520C205</stp>
        <stp>TDA</stp>
        <stp>0</stp>
        <stp>0</stp>
        <stp>0</stp>
        <stp>0</stp>
        <stp>0</stp>
        <tr r="F774" s="18"/>
      </tp>
      <tp t="s">
        <v>HD May 15 2020 215 Call</v>
        <stp/>
        <stp>112</stp>
        <stp>HD_051520C215</stp>
        <stp>TDA</stp>
        <stp>0</stp>
        <stp>0</stp>
        <stp>0</stp>
        <stp>0</stp>
        <stp>0</stp>
        <tr r="F786" s="18"/>
      </tp>
      <tp t="s">
        <v>#N/A</v>
        <stp/>
        <stp>112</stp>
        <stp>HD_011720C181</stp>
        <stp>TDA</stp>
        <stp>0</stp>
        <stp>0</stp>
        <stp>0</stp>
        <stp>0</stp>
        <stp>0</stp>
        <tr r="F453" s="18"/>
      </tp>
      <tp t="s">
        <v>#N/A</v>
        <stp/>
        <stp>112</stp>
        <stp>HD_011720C191</stp>
        <stp>TDA</stp>
        <stp>0</stp>
        <stp>0</stp>
        <stp>0</stp>
        <stp>0</stp>
        <stp>0</stp>
        <tr r="F465" s="18"/>
      </tp>
      <tp t="s">
        <v>#N/A</v>
        <stp/>
        <stp>112</stp>
        <stp>HD_011720C171</stp>
        <stp>TDA</stp>
        <stp>0</stp>
        <stp>0</stp>
        <stp>0</stp>
        <stp>0</stp>
        <stp>0</stp>
        <tr r="F441" s="18"/>
      </tp>
      <tp t="s">
        <v>#N/A</v>
        <stp/>
        <stp>112</stp>
        <stp>HD_071720C177</stp>
        <stp>TDA</stp>
        <stp>0</stp>
        <stp>0</stp>
        <stp>0</stp>
        <stp>0</stp>
        <stp>0</stp>
        <tr r="F886" s="18"/>
      </tp>
      <tp t="s">
        <v>#N/A</v>
        <stp/>
        <stp>112</stp>
        <stp>HD_011720C221</stp>
        <stp>TDA</stp>
        <stp>0</stp>
        <stp>0</stp>
        <stp>0</stp>
        <stp>0</stp>
        <stp>0</stp>
        <tr r="F501" s="18"/>
      </tp>
      <tp t="s">
        <v>#N/A</v>
        <stp/>
        <stp>112</stp>
        <stp>HD_011720C201</stp>
        <stp>TDA</stp>
        <stp>0</stp>
        <stp>0</stp>
        <stp>0</stp>
        <stp>0</stp>
        <stp>0</stp>
        <tr r="F477" s="18"/>
      </tp>
      <tp t="s">
        <v>#N/A</v>
        <stp/>
        <stp>112</stp>
        <stp>HD_011720C211</stp>
        <stp>TDA</stp>
        <stp>0</stp>
        <stp>0</stp>
        <stp>0</stp>
        <stp>0</stp>
        <stp>0</stp>
        <tr r="F489" s="18"/>
      </tp>
      <tp t="s">
        <v>HD May 15 2020 185 Call</v>
        <stp/>
        <stp>112</stp>
        <stp>HD_051520C185</stp>
        <stp>TDA</stp>
        <stp>0</stp>
        <stp>0</stp>
        <stp>0</stp>
        <stp>0</stp>
        <stp>0</stp>
        <tr r="F750" s="18"/>
      </tp>
      <tp t="s">
        <v>HD May 15 2020 195 Call</v>
        <stp/>
        <stp>112</stp>
        <stp>HD_051520C195</stp>
        <stp>TDA</stp>
        <stp>0</stp>
        <stp>0</stp>
        <stp>0</stp>
        <stp>0</stp>
        <stp>0</stp>
        <tr r="F762" s="18"/>
      </tp>
      <tp t="s">
        <v>HD May 15 2020 175 Call</v>
        <stp/>
        <stp>112</stp>
        <stp>HD_051520C175</stp>
        <stp>TDA</stp>
        <stp>0</stp>
        <stp>0</stp>
        <stp>0</stp>
        <stp>0</stp>
        <stp>0</stp>
        <tr r="F738" s="18"/>
      </tp>
      <tp>
        <v>49.82</v>
        <stp/>
        <stp>110</stp>
        <stp>SQ</stp>
        <stp>TDA</stp>
        <stp>0</stp>
        <stp>0</stp>
        <stp>0</stp>
        <stp>0</stp>
        <stp>0</stp>
        <tr r="J15" s="68"/>
      </tp>
      <tp>
        <v>1</v>
        <stp/>
        <stp>210</stp>
        <stp>SQ</stp>
        <stp>TDA</stp>
        <stp>0</stp>
        <stp>0</stp>
        <stp>0</stp>
        <stp>0</stp>
        <stp>0</stp>
        <tr r="Q15" s="68"/>
      </tp>
      <tp>
        <v>83.2</v>
        <stp/>
        <stp>111</stp>
        <stp>SQ</stp>
        <stp>TDA</stp>
        <stp>0</stp>
        <stp>0</stp>
        <stp>0</stp>
        <stp>0</stp>
        <stp>0</stp>
        <tr r="K15" s="68"/>
      </tp>
      <tp t="s">
        <v>Square, Inc. Class A Common Stock</v>
        <stp/>
        <stp>112</stp>
        <stp>SQ</stp>
        <stp>TDA</stp>
        <stp>0</stp>
        <stp>0</stp>
        <stp>0</stp>
        <stp>0</stp>
        <stp>0</stp>
        <tr r="B10" s="67"/>
        <tr r="B63" s="67"/>
        <tr r="B46" s="67"/>
        <tr r="B11" s="67"/>
        <tr r="B5" s="67"/>
      </tp>
      <tp>
        <v>31.252600000000001</v>
        <stp/>
        <stp>124</stp>
        <stp>BR</stp>
        <stp>TDA</stp>
        <stp>0</stp>
        <stp>0</stp>
        <stp>0</stp>
        <stp>0</stp>
        <stp>0</stp>
        <tr r="L19" s="68"/>
      </tp>
      <tp>
        <v>1.178400954653926</v>
        <stp/>
        <stp>115</stp>
        <stp>SQ</stp>
        <stp>TDA</stp>
        <stp>0</stp>
        <stp>0</stp>
        <stp>0</stp>
        <stp>0</stp>
        <stp>0</stp>
        <tr r="I15" s="68"/>
      </tp>
      <tp>
        <v>0</v>
        <stp/>
        <stp>117</stp>
        <stp>SQ</stp>
        <stp>TDA</stp>
        <stp>0</stp>
        <stp>0</stp>
        <stp>0</stp>
        <stp>0</stp>
        <stp>0</stp>
        <tr r="M15" s="68"/>
      </tp>
      <tp>
        <v>0</v>
        <stp/>
        <stp>167</stp>
        <stp>BV</stp>
        <stp>TDA</stp>
        <stp>0</stp>
        <stp>0</stp>
        <stp>0</stp>
        <stp>0</stp>
        <stp>0</stp>
        <tr r="O43" s="68"/>
      </tp>
      <tp>
        <v>0.62550000000000006</v>
        <stp/>
        <stp>204</stp>
        <stp>MA_061821C280</stp>
        <stp>TDA</stp>
        <stp>0</stp>
        <stp>0</stp>
        <stp>0</stp>
        <stp>0</stp>
        <stp>0</stp>
        <tr r="O43" s="67"/>
      </tp>
      <tp t="s">
        <v>#N/A</v>
        <stp/>
        <stp>112</stp>
        <stp>HD_022120C223</stp>
        <stp>TDA</stp>
        <stp>0</stp>
        <stp>0</stp>
        <stp>0</stp>
        <stp>0</stp>
        <stp>0</stp>
        <tr r="F577" s="18"/>
      </tp>
      <tp t="s">
        <v>#N/A</v>
        <stp/>
        <stp>112</stp>
        <stp>HD_022120C203</stp>
        <stp>TDA</stp>
        <stp>0</stp>
        <stp>0</stp>
        <stp>0</stp>
        <stp>0</stp>
        <stp>0</stp>
        <tr r="F553" s="18"/>
      </tp>
      <tp t="s">
        <v>#N/A</v>
        <stp/>
        <stp>112</stp>
        <stp>HD_022120C213</stp>
        <stp>TDA</stp>
        <stp>0</stp>
        <stp>0</stp>
        <stp>0</stp>
        <stp>0</stp>
        <stp>0</stp>
        <tr r="F565" s="18"/>
      </tp>
      <tp t="s">
        <v>#N/A</v>
        <stp/>
        <stp>112</stp>
        <stp>HD_032020C222</stp>
        <stp>TDA</stp>
        <stp>0</stp>
        <stp>0</stp>
        <stp>0</stp>
        <stp>0</stp>
        <stp>0</stp>
        <tr r="F649" s="18"/>
      </tp>
      <tp t="s">
        <v>#N/A</v>
        <stp/>
        <stp>112</stp>
        <stp>HD_032020C202</stp>
        <stp>TDA</stp>
        <stp>0</stp>
        <stp>0</stp>
        <stp>0</stp>
        <stp>0</stp>
        <stp>0</stp>
        <tr r="F625" s="18"/>
      </tp>
      <tp t="s">
        <v>#N/A</v>
        <stp/>
        <stp>112</stp>
        <stp>HD_032020C212</stp>
        <stp>TDA</stp>
        <stp>0</stp>
        <stp>0</stp>
        <stp>0</stp>
        <stp>0</stp>
        <stp>0</stp>
        <tr r="F637" s="18"/>
      </tp>
      <tp t="s">
        <v>#N/A</v>
        <stp/>
        <stp>112</stp>
        <stp>HD_032020C182</stp>
        <stp>TDA</stp>
        <stp>0</stp>
        <stp>0</stp>
        <stp>0</stp>
        <stp>0</stp>
        <stp>0</stp>
        <tr r="F601" s="18"/>
      </tp>
      <tp t="s">
        <v>#N/A</v>
        <stp/>
        <stp>112</stp>
        <stp>HD_032020C192</stp>
        <stp>TDA</stp>
        <stp>0</stp>
        <stp>0</stp>
        <stp>0</stp>
        <stp>0</stp>
        <stp>0</stp>
        <tr r="F613" s="18"/>
      </tp>
      <tp t="s">
        <v>#N/A</v>
        <stp/>
        <stp>112</stp>
        <stp>HD_032020C172</stp>
        <stp>TDA</stp>
        <stp>0</stp>
        <stp>0</stp>
        <stp>0</stp>
        <stp>0</stp>
        <stp>0</stp>
        <tr r="F589" s="18"/>
      </tp>
      <tp t="s">
        <v>#N/A</v>
        <stp/>
        <stp>112</stp>
        <stp>HD_022120C183</stp>
        <stp>TDA</stp>
        <stp>0</stp>
        <stp>0</stp>
        <stp>0</stp>
        <stp>0</stp>
        <stp>0</stp>
        <tr r="F529" s="18"/>
      </tp>
      <tp t="s">
        <v>#N/A</v>
        <stp/>
        <stp>112</stp>
        <stp>HD_022120C193</stp>
        <stp>TDA</stp>
        <stp>0</stp>
        <stp>0</stp>
        <stp>0</stp>
        <stp>0</stp>
        <stp>0</stp>
        <tr r="F541" s="18"/>
      </tp>
      <tp t="s">
        <v>#N/A</v>
        <stp/>
        <stp>112</stp>
        <stp>HD_022120C173</stp>
        <stp>TDA</stp>
        <stp>0</stp>
        <stp>0</stp>
        <stp>0</stp>
        <stp>0</stp>
        <stp>0</stp>
        <tr r="F517" s="18"/>
      </tp>
      <tp>
        <v>103.80000000000001</v>
        <stp/>
        <stp>108</stp>
        <stp>HD_011720C110</stp>
        <stp>TDA</stp>
        <stp>0</stp>
        <stp>0</stp>
        <stp>0</stp>
        <stp>0</stp>
        <stp>0</stp>
        <tr r="G74" s="67"/>
      </tp>
      <tp>
        <v>103.55000000000001</v>
        <stp/>
        <stp>107</stp>
        <stp>HD_011720C110</stp>
        <stp>TDA</stp>
        <stp>0</stp>
        <stp>0</stp>
        <stp>0</stp>
        <stp>0</stp>
        <stp>0</stp>
        <tr r="G74" s="67"/>
      </tp>
      <tp t="s">
        <v>#N/A</v>
        <stp/>
        <stp>112</stp>
        <stp>HD_010320C180</stp>
        <stp>TDA</stp>
        <stp>0</stp>
        <stp>0</stp>
        <stp>0</stp>
        <stp>0</stp>
        <stp>0</stp>
        <tr r="F306" s="18"/>
      </tp>
      <tp t="s">
        <v>HD Jan 3 2020 190 Call (Weekly)</v>
        <stp/>
        <stp>112</stp>
        <stp>HD_010320C190</stp>
        <stp>TDA</stp>
        <stp>0</stp>
        <stp>0</stp>
        <stp>0</stp>
        <stp>0</stp>
        <stp>0</stp>
        <tr r="F318" s="18"/>
      </tp>
      <tp t="s">
        <v>#N/A</v>
        <stp/>
        <stp>112</stp>
        <stp>HD_010320C170</stp>
        <stp>TDA</stp>
        <stp>0</stp>
        <stp>0</stp>
        <stp>0</stp>
        <stp>0</stp>
        <stp>0</stp>
        <tr r="F294" s="18"/>
      </tp>
      <tp t="s">
        <v>HD Jan 3 2020 220 Call (Weekly)</v>
        <stp/>
        <stp>112</stp>
        <stp>HD_010320C220</stp>
        <stp>TDA</stp>
        <stp>0</stp>
        <stp>0</stp>
        <stp>0</stp>
        <stp>0</stp>
        <stp>0</stp>
        <tr r="F354" s="18"/>
      </tp>
      <tp t="s">
        <v>HD Jan 3 2020 230 Call (Weekly)</v>
        <stp/>
        <stp>112</stp>
        <stp>HD_010320C230</stp>
        <stp>TDA</stp>
        <stp>0</stp>
        <stp>0</stp>
        <stp>0</stp>
        <stp>0</stp>
        <stp>0</stp>
        <tr r="F366" s="18"/>
      </tp>
      <tp t="s">
        <v>HD Jan 3 2020 200 Call (Weekly)</v>
        <stp/>
        <stp>112</stp>
        <stp>HD_010320C200</stp>
        <stp>TDA</stp>
        <stp>0</stp>
        <stp>0</stp>
        <stp>0</stp>
        <stp>0</stp>
        <stp>0</stp>
        <tr r="F330" s="18"/>
      </tp>
      <tp t="s">
        <v>HD Jan 3 2020 210 Call (Weekly)</v>
        <stp/>
        <stp>112</stp>
        <stp>HD_010320C210</stp>
        <stp>TDA</stp>
        <stp>0</stp>
        <stp>0</stp>
        <stp>0</stp>
        <stp>0</stp>
        <stp>0</stp>
        <tr r="F342" s="18"/>
      </tp>
      <tp t="s">
        <v>#N/A</v>
        <stp/>
        <stp>112</stp>
        <stp>HD_061920C227</stp>
        <stp>TDA</stp>
        <stp>0</stp>
        <stp>0</stp>
        <stp>0</stp>
        <stp>0</stp>
        <stp>0</stp>
        <tr r="F873" s="18"/>
      </tp>
      <tp t="s">
        <v>#N/A</v>
        <stp/>
        <stp>112</stp>
        <stp>HD_061920C207</stp>
        <stp>TDA</stp>
        <stp>0</stp>
        <stp>0</stp>
        <stp>0</stp>
        <stp>0</stp>
        <stp>0</stp>
        <tr r="F849" s="18"/>
      </tp>
      <tp t="s">
        <v>#N/A</v>
        <stp/>
        <stp>112</stp>
        <stp>HD_061920C217</stp>
        <stp>TDA</stp>
        <stp>0</stp>
        <stp>0</stp>
        <stp>0</stp>
        <stp>0</stp>
        <stp>0</stp>
        <tr r="F861" s="18"/>
      </tp>
      <tp t="s">
        <v>#N/A</v>
        <stp/>
        <stp>112</stp>
        <stp>HD_061920C187</stp>
        <stp>TDA</stp>
        <stp>0</stp>
        <stp>0</stp>
        <stp>0</stp>
        <stp>0</stp>
        <stp>0</stp>
        <tr r="F825" s="18"/>
      </tp>
      <tp t="s">
        <v>#N/A</v>
        <stp/>
        <stp>112</stp>
        <stp>HD_061920C197</stp>
        <stp>TDA</stp>
        <stp>0</stp>
        <stp>0</stp>
        <stp>0</stp>
        <stp>0</stp>
        <stp>0</stp>
        <tr r="F837" s="18"/>
      </tp>
      <tp t="s">
        <v>#N/A</v>
        <stp/>
        <stp>112</stp>
        <stp>HD_061920C177</stp>
        <stp>TDA</stp>
        <stp>0</stp>
        <stp>0</stp>
        <stp>0</stp>
        <stp>0</stp>
        <stp>0</stp>
        <tr r="F813" s="18"/>
      </tp>
      <tp t="s">
        <v>HD Jan 10 2020 220 Call (Weekly)</v>
        <stp/>
        <stp>112</stp>
        <stp>HD_011020C220</stp>
        <stp>TDA</stp>
        <stp>0</stp>
        <stp>0</stp>
        <stp>0</stp>
        <stp>0</stp>
        <stp>0</stp>
        <tr r="F427" s="18"/>
      </tp>
      <tp t="s">
        <v>HD Jan 10 2020 230 Call (Weekly)</v>
        <stp/>
        <stp>112</stp>
        <stp>HD_011020C230</stp>
        <stp>TDA</stp>
        <stp>0</stp>
        <stp>0</stp>
        <stp>0</stp>
        <stp>0</stp>
        <stp>0</stp>
        <tr r="F439" s="18"/>
      </tp>
      <tp t="s">
        <v>HD Jan 10 2020 200 Call (Weekly)</v>
        <stp/>
        <stp>112</stp>
        <stp>HD_011020C200</stp>
        <stp>TDA</stp>
        <stp>0</stp>
        <stp>0</stp>
        <stp>0</stp>
        <stp>0</stp>
        <stp>0</stp>
        <tr r="F403" s="18"/>
      </tp>
      <tp t="s">
        <v>HD Jan 10 2020 210 Call (Weekly)</v>
        <stp/>
        <stp>112</stp>
        <stp>HD_011020C210</stp>
        <stp>TDA</stp>
        <stp>0</stp>
        <stp>0</stp>
        <stp>0</stp>
        <stp>0</stp>
        <stp>0</stp>
        <tr r="F415" s="18"/>
      </tp>
      <tp t="s">
        <v>#N/A</v>
        <stp/>
        <stp>112</stp>
        <stp>HD_011020C180</stp>
        <stp>TDA</stp>
        <stp>0</stp>
        <stp>0</stp>
        <stp>0</stp>
        <stp>0</stp>
        <stp>0</stp>
        <tr r="F379" s="18"/>
      </tp>
      <tp t="s">
        <v>HD Jan 10 2020 190 Call (Weekly)</v>
        <stp/>
        <stp>112</stp>
        <stp>HD_011020C190</stp>
        <stp>TDA</stp>
        <stp>0</stp>
        <stp>0</stp>
        <stp>0</stp>
        <stp>0</stp>
        <stp>0</stp>
        <tr r="F391" s="18"/>
      </tp>
      <tp t="s">
        <v>#N/A</v>
        <stp/>
        <stp>112</stp>
        <stp>HD_011020C170</stp>
        <stp>TDA</stp>
        <stp>0</stp>
        <stp>0</stp>
        <stp>0</stp>
        <stp>0</stp>
        <stp>0</stp>
        <tr r="F367" s="18"/>
      </tp>
      <tp t="s">
        <v>#N/A</v>
        <stp/>
        <stp>112</stp>
        <stp>HD_051520C224</stp>
        <stp>TDA</stp>
        <stp>0</stp>
        <stp>0</stp>
        <stp>0</stp>
        <stp>0</stp>
        <stp>0</stp>
        <tr r="F796" s="18"/>
      </tp>
      <tp t="s">
        <v>#N/A</v>
        <stp/>
        <stp>112</stp>
        <stp>HD_051520C204</stp>
        <stp>TDA</stp>
        <stp>0</stp>
        <stp>0</stp>
        <stp>0</stp>
        <stp>0</stp>
        <stp>0</stp>
        <tr r="F772" s="18"/>
      </tp>
      <tp t="s">
        <v>#N/A</v>
        <stp/>
        <stp>112</stp>
        <stp>HD_051520C214</stp>
        <stp>TDA</stp>
        <stp>0</stp>
        <stp>0</stp>
        <stp>0</stp>
        <stp>0</stp>
        <stp>0</stp>
        <tr r="F784" s="18"/>
      </tp>
      <tp t="s">
        <v>HD Jan 17 2020 180 Call</v>
        <stp/>
        <stp>112</stp>
        <stp>HD_011720C180</stp>
        <stp>TDA</stp>
        <stp>0</stp>
        <stp>0</stp>
        <stp>0</stp>
        <stp>0</stp>
        <stp>0</stp>
        <tr r="F452" s="18"/>
      </tp>
      <tp t="s">
        <v>#N/A</v>
        <stp/>
        <stp>112</stp>
        <stp>HD_041720C185</stp>
        <stp>TDA</stp>
        <stp>0</stp>
        <stp>0</stp>
        <stp>0</stp>
        <stp>0</stp>
        <stp>0</stp>
        <tr r="F677" s="18"/>
      </tp>
      <tp t="s">
        <v>HD Jan 17 2020 190 Call</v>
        <stp/>
        <stp>112</stp>
        <stp>HD_011720C190</stp>
        <stp>TDA</stp>
        <stp>0</stp>
        <stp>0</stp>
        <stp>0</stp>
        <stp>0</stp>
        <stp>0</stp>
        <tr r="F464" s="18"/>
      </tp>
      <tp t="s">
        <v>#N/A</v>
        <stp/>
        <stp>112</stp>
        <stp>HD_041720C195</stp>
        <stp>TDA</stp>
        <stp>0</stp>
        <stp>0</stp>
        <stp>0</stp>
        <stp>0</stp>
        <stp>0</stp>
        <tr r="F689" s="18"/>
      </tp>
      <tp t="s">
        <v>HD Jan 17 2020 170 Call</v>
        <stp/>
        <stp>112</stp>
        <stp>HD_011720C170</stp>
        <stp>TDA</stp>
        <stp>0</stp>
        <stp>0</stp>
        <stp>0</stp>
        <stp>0</stp>
        <stp>0</stp>
        <tr r="F440" s="18"/>
      </tp>
      <tp t="s">
        <v>#N/A</v>
        <stp/>
        <stp>112</stp>
        <stp>HD_041720C175</stp>
        <stp>TDA</stp>
        <stp>0</stp>
        <stp>0</stp>
        <stp>0</stp>
        <stp>0</stp>
        <stp>0</stp>
        <tr r="F665" s="18"/>
      </tp>
      <tp t="s">
        <v>#N/A</v>
        <stp/>
        <stp>112</stp>
        <stp>HD_071720C176</stp>
        <stp>TDA</stp>
        <stp>0</stp>
        <stp>0</stp>
        <stp>0</stp>
        <stp>0</stp>
        <stp>0</stp>
        <tr r="F885" s="18"/>
      </tp>
      <tp t="s">
        <v>HD Jan 17 2020 220 Call</v>
        <stp/>
        <stp>112</stp>
        <stp>HD_011720C220</stp>
        <stp>TDA</stp>
        <stp>0</stp>
        <stp>0</stp>
        <stp>0</stp>
        <stp>0</stp>
        <stp>0</stp>
        <tr r="F500" s="18"/>
      </tp>
      <tp t="s">
        <v>#N/A</v>
        <stp/>
        <stp>112</stp>
        <stp>HD_041720C225</stp>
        <stp>TDA</stp>
        <stp>0</stp>
        <stp>0</stp>
        <stp>0</stp>
        <stp>0</stp>
        <stp>0</stp>
        <tr r="F725" s="18"/>
      </tp>
      <tp t="s">
        <v>HD Jan 17 2020 230 Call</v>
        <stp/>
        <stp>112</stp>
        <stp>HD_011720C230</stp>
        <stp>TDA</stp>
        <stp>0</stp>
        <stp>0</stp>
        <stp>0</stp>
        <stp>0</stp>
        <stp>0</stp>
        <tr r="F512" s="18"/>
      </tp>
      <tp t="s">
        <v>HD Jan 17 2020 200 Call</v>
        <stp/>
        <stp>112</stp>
        <stp>HD_011720C200</stp>
        <stp>TDA</stp>
        <stp>0</stp>
        <stp>0</stp>
        <stp>0</stp>
        <stp>0</stp>
        <stp>0</stp>
        <tr r="F476" s="18"/>
      </tp>
      <tp t="s">
        <v>#N/A</v>
        <stp/>
        <stp>112</stp>
        <stp>HD_041720C205</stp>
        <stp>TDA</stp>
        <stp>0</stp>
        <stp>0</stp>
        <stp>0</stp>
        <stp>0</stp>
        <stp>0</stp>
        <tr r="F701" s="18"/>
      </tp>
      <tp t="s">
        <v>HD Jan 17 2020 210 Call</v>
        <stp/>
        <stp>112</stp>
        <stp>HD_011720C210</stp>
        <stp>TDA</stp>
        <stp>0</stp>
        <stp>0</stp>
        <stp>0</stp>
        <stp>0</stp>
        <stp>0</stp>
        <tr r="F488" s="18"/>
      </tp>
      <tp t="s">
        <v>#N/A</v>
        <stp/>
        <stp>112</stp>
        <stp>HD_041720C215</stp>
        <stp>TDA</stp>
        <stp>0</stp>
        <stp>0</stp>
        <stp>0</stp>
        <stp>0</stp>
        <stp>0</stp>
        <tr r="F713" s="18"/>
      </tp>
      <tp t="s">
        <v>#N/A</v>
        <stp/>
        <stp>112</stp>
        <stp>HD_051520C184</stp>
        <stp>TDA</stp>
        <stp>0</stp>
        <stp>0</stp>
        <stp>0</stp>
        <stp>0</stp>
        <stp>0</stp>
        <tr r="F748" s="18"/>
      </tp>
      <tp t="s">
        <v>#N/A</v>
        <stp/>
        <stp>112</stp>
        <stp>HD_051520C194</stp>
        <stp>TDA</stp>
        <stp>0</stp>
        <stp>0</stp>
        <stp>0</stp>
        <stp>0</stp>
        <stp>0</stp>
        <tr r="F760" s="18"/>
      </tp>
      <tp t="s">
        <v>#N/A</v>
        <stp/>
        <stp>112</stp>
        <stp>HD_051520C174</stp>
        <stp>TDA</stp>
        <stp>0</stp>
        <stp>0</stp>
        <stp>0</stp>
        <stp>0</stp>
        <stp>0</stp>
        <tr r="F736" s="18"/>
      </tp>
      <tp>
        <v>-0.37970000000000004</v>
        <stp/>
        <stp>204</stp>
        <stp>MA_061821P280</stp>
        <stp>TDA</stp>
        <stp>0</stp>
        <stp>0</stp>
        <stp>0</stp>
        <stp>0</stp>
        <stp>0</stp>
        <tr r="O7" s="67"/>
      </tp>
      <tp>
        <v>9.0500000000000007</v>
        <stp/>
        <stp>110</stp>
        <stp>BV</stp>
        <stp>TDA</stp>
        <stp>0</stp>
        <stp>0</stp>
        <stp>0</stp>
        <stp>0</stp>
        <stp>0</stp>
        <tr r="J43" s="68"/>
      </tp>
      <tp>
        <v>1</v>
        <stp/>
        <stp>210</stp>
        <stp>BV</stp>
        <stp>TDA</stp>
        <stp>0</stp>
        <stp>0</stp>
        <stp>0</stp>
        <stp>0</stp>
        <stp>0</stp>
        <tr r="Q43" s="68"/>
      </tp>
      <tp>
        <v>20.27</v>
        <stp/>
        <stp>111</stp>
        <stp>BV</stp>
        <stp>TDA</stp>
        <stp>0</stp>
        <stp>0</stp>
        <stp>0</stp>
        <stp>0</stp>
        <stp>0</stp>
        <tr r="K43" s="68"/>
      </tp>
      <tp>
        <v>1</v>
        <stp/>
        <stp>210</stp>
        <stp>SFIX</stp>
        <stp>TDA</stp>
        <stp>0</stp>
        <stp>0</stp>
        <stp>0</stp>
        <stp>0</stp>
        <stp>0</stp>
        <tr r="Q44" s="68"/>
      </tp>
      <tp t="s">
        <v>BrightView Holdings, Inc. Common Stock</v>
        <stp/>
        <stp>112</stp>
        <stp>BV</stp>
        <stp>TDA</stp>
        <stp>0</stp>
        <stp>0</stp>
        <stp>0</stp>
        <stp>0</stp>
        <stp>0</stp>
        <tr r="B66" s="67"/>
      </tp>
      <tp>
        <v>3.9699999999999999E-2</v>
        <stp/>
        <stp>152</stp>
        <stp>BR</stp>
        <stp>TDA</stp>
        <stp>0</stp>
        <stp>0</stp>
        <stp>0</stp>
        <stp>0</stp>
        <stp>0</stp>
        <tr r="N19" s="68"/>
      </tp>
      <tp>
        <v>23.51</v>
        <stp/>
        <stp>100</stp>
        <stp>SFIX</stp>
        <stp>TDA</stp>
        <stp>0</stp>
        <stp>0</stp>
        <stp>0</stp>
        <stp>0</stp>
        <stp>0</stp>
        <tr r="O75" s="67"/>
        <tr r="B44" s="68"/>
      </tp>
      <tp>
        <v>0</v>
        <stp/>
        <stp>117</stp>
        <stp>SFIX</stp>
        <stp>TDA</stp>
        <stp>0</stp>
        <stp>0</stp>
        <stp>0</stp>
        <stp>0</stp>
        <stp>0</stp>
        <tr r="M44" s="68"/>
      </tp>
      <tp>
        <v>-2.6501035196687392</v>
        <stp/>
        <stp>115</stp>
        <stp>SFIX</stp>
        <stp>TDA</stp>
        <stp>0</stp>
        <stp>0</stp>
        <stp>0</stp>
        <stp>0</stp>
        <stp>0</stp>
        <tr r="I44" s="68"/>
      </tp>
      <tp t="s">
        <v>Stitch Fix, Inc. - Class A Common Stock</v>
        <stp/>
        <stp>112</stp>
        <stp>SFIX</stp>
        <stp>TDA</stp>
        <stp>0</stp>
        <stp>0</stp>
        <stp>0</stp>
        <stp>0</stp>
        <stp>0</stp>
        <tr r="B75" s="67"/>
      </tp>
      <tp>
        <v>37.72</v>
        <stp/>
        <stp>111</stp>
        <stp>SFIX</stp>
        <stp>TDA</stp>
        <stp>0</stp>
        <stp>0</stp>
        <stp>0</stp>
        <stp>0</stp>
        <stp>0</stp>
        <tr r="K44" s="68"/>
      </tp>
      <tp>
        <v>16.05</v>
        <stp/>
        <stp>110</stp>
        <stp>SFIX</stp>
        <stp>TDA</stp>
        <stp>0</stp>
        <stp>0</stp>
        <stp>0</stp>
        <stp>0</stp>
        <stp>0</stp>
        <tr r="J44" s="68"/>
      </tp>
      <tp>
        <v>64.19</v>
        <stp/>
        <stp>124</stp>
        <stp>SFIX</stp>
        <stp>TDA</stp>
        <stp>0</stp>
        <stp>0</stp>
        <stp>0</stp>
        <stp>0</stp>
        <stp>0</stp>
        <tr r="L44" s="68"/>
      </tp>
      <tp>
        <v>7.0500000000000007E-2</v>
        <stp/>
        <stp>152</stp>
        <stp>SFIX</stp>
        <stp>TDA</stp>
        <stp>0</stp>
        <stp>0</stp>
        <stp>0</stp>
        <stp>0</stp>
        <stp>0</stp>
        <tr r="N44" s="68"/>
      </tp>
      <tp>
        <v>0</v>
        <stp/>
        <stp>167</stp>
        <stp>SFIX</stp>
        <stp>TDA</stp>
        <stp>0</stp>
        <stp>0</stp>
        <stp>0</stp>
        <stp>0</stp>
        <stp>0</stp>
        <tr r="O44" s="68"/>
      </tp>
      <tp>
        <v>0</v>
        <stp/>
        <stp>170</stp>
        <stp>SFIX</stp>
        <stp>TDA</stp>
        <stp>0</stp>
        <stp>0</stp>
        <stp>0</stp>
        <stp>0</stp>
        <stp>0</stp>
        <tr r="P44" s="68"/>
      </tp>
      <tp>
        <v>0.55624227441285456</v>
        <stp/>
        <stp>115</stp>
        <stp>BV</stp>
        <stp>TDA</stp>
        <stp>0</stp>
        <stp>0</stp>
        <stp>0</stp>
        <stp>0</stp>
        <stp>0</stp>
        <tr r="I43" s="68"/>
      </tp>
      <tp>
        <v>0</v>
        <stp/>
        <stp>167</stp>
        <stp>SQ</stp>
        <stp>TDA</stp>
        <stp>0</stp>
        <stp>0</stp>
        <stp>0</stp>
        <stp>0</stp>
        <stp>0</stp>
        <tr r="O15" s="68"/>
      </tp>
      <tp>
        <v>0</v>
        <stp/>
        <stp>117</stp>
        <stp>BV</stp>
        <stp>TDA</stp>
        <stp>0</stp>
        <stp>0</stp>
        <stp>0</stp>
        <stp>0</stp>
        <stp>0</stp>
        <tr r="M43" s="68"/>
      </tp>
      <tp>
        <v>7.690000000000001E-2</v>
        <stp/>
        <stp>152</stp>
        <stp>MKTX</stp>
        <stp>TDA</stp>
        <stp>0</stp>
        <stp>0</stp>
        <stp>0</stp>
        <stp>0</stp>
        <stp>0</stp>
        <tr r="A13" s="50"/>
        <tr r="N22" s="68"/>
      </tp>
      <tp>
        <v>43774</v>
        <stp/>
        <stp>170</stp>
        <stp>MKTX</stp>
        <stp>TDA</stp>
        <stp>0</stp>
        <stp>0</stp>
        <stp>0</stp>
        <stp>0</stp>
        <stp>0</stp>
        <tr r="P22" s="68"/>
      </tp>
      <tp>
        <v>2.04</v>
        <stp/>
        <stp>167</stp>
        <stp>MKTX</stp>
        <stp>TDA</stp>
        <stp>0</stp>
        <stp>0</stp>
        <stp>0</stp>
        <stp>0</stp>
        <stp>0</stp>
        <tr r="O22" s="68"/>
      </tp>
      <tp t="s">
        <v>MarketAxess Holdings, Inc. - Common Stock</v>
        <stp/>
        <stp>112</stp>
        <stp>MKTX</stp>
        <stp>TDA</stp>
        <stp>0</stp>
        <stp>0</stp>
        <stp>0</stp>
        <stp>0</stp>
        <stp>0</stp>
        <tr r="B20" s="67"/>
        <tr r="B35" s="67"/>
      </tp>
      <tp>
        <v>199.04000000000002</v>
        <stp/>
        <stp>110</stp>
        <stp>MKTX</stp>
        <stp>TDA</stp>
        <stp>0</stp>
        <stp>0</stp>
        <stp>0</stp>
        <stp>0</stp>
        <stp>0</stp>
        <tr r="J22" s="68"/>
      </tp>
      <tp>
        <v>421.45000000000005</v>
        <stp/>
        <stp>111</stp>
        <stp>MKTX</stp>
        <stp>TDA</stp>
        <stp>0</stp>
        <stp>0</stp>
        <stp>0</stp>
        <stp>0</stp>
        <stp>0</stp>
        <tr r="K22" s="68"/>
      </tp>
      <tp>
        <v>0.51</v>
        <stp/>
        <stp>117</stp>
        <stp>MKTX</stp>
        <stp>TDA</stp>
        <stp>0</stp>
        <stp>0</stp>
        <stp>0</stp>
        <stp>0</stp>
        <stp>0</stp>
        <tr r="M22" s="68"/>
      </tp>
      <tp>
        <v>-0.63117660371664719</v>
        <stp/>
        <stp>115</stp>
        <stp>MKTX</stp>
        <stp>TDA</stp>
        <stp>0</stp>
        <stp>0</stp>
        <stp>0</stp>
        <stp>0</stp>
        <stp>0</stp>
        <tr r="I22" s="68"/>
      </tp>
      <tp>
        <v>395.16</v>
        <stp/>
        <stp>100</stp>
        <stp>MKTX</stp>
        <stp>TDA</stp>
        <stp>0</stp>
        <stp>0</stp>
        <stp>0</stp>
        <stp>0</stp>
        <stp>0</stp>
        <tr r="O35" s="67"/>
        <tr r="O20" s="67"/>
        <tr r="A2" s="50"/>
        <tr r="B22" s="68"/>
      </tp>
      <tp>
        <v>75.576400000000007</v>
        <stp/>
        <stp>124</stp>
        <stp>MKTX</stp>
        <stp>TDA</stp>
        <stp>0</stp>
        <stp>0</stp>
        <stp>0</stp>
        <stp>0</stp>
        <stp>0</stp>
        <tr r="L22" s="68"/>
      </tp>
      <tp>
        <v>1</v>
        <stp/>
        <stp>210</stp>
        <stp>NFLX</stp>
        <stp>TDA</stp>
        <stp>0</stp>
        <stp>0</stp>
        <stp>0</stp>
        <stp>0</stp>
        <stp>0</stp>
        <tr r="Q6" s="68"/>
      </tp>
      <tp>
        <v>1</v>
        <stp/>
        <stp>210</stp>
        <stp>OTEX</stp>
        <stp>TDA</stp>
        <stp>0</stp>
        <stp>0</stp>
        <stp>0</stp>
        <stp>0</stp>
        <stp>0</stp>
        <tr r="Q37" s="68"/>
      </tp>
      <tp>
        <v>36.03</v>
        <stp/>
        <stp>124</stp>
        <stp>OTEX</stp>
        <stp>TDA</stp>
        <stp>0</stp>
        <stp>0</stp>
        <stp>0</stp>
        <stp>0</stp>
        <stp>0</stp>
        <tr r="L37" s="68"/>
      </tp>
      <tp>
        <v>42.72</v>
        <stp/>
        <stp>100</stp>
        <stp>OTEX</stp>
        <stp>TDA</stp>
        <stp>0</stp>
        <stp>0</stp>
        <stp>0</stp>
        <stp>0</stp>
        <stp>0</stp>
        <tr r="O59" s="67"/>
        <tr r="G59" s="67"/>
        <tr r="B37" s="68"/>
      </tp>
      <tp t="s">
        <v>Open Text Corporation - Common Shares</v>
        <stp/>
        <stp>112</stp>
        <stp>OTEX</stp>
        <stp>TDA</stp>
        <stp>0</stp>
        <stp>0</stp>
        <stp>0</stp>
        <stp>0</stp>
        <stp>0</stp>
        <tr r="B59" s="67"/>
      </tp>
      <tp>
        <v>44.49</v>
        <stp/>
        <stp>111</stp>
        <stp>OTEX</stp>
        <stp>TDA</stp>
        <stp>0</stp>
        <stp>0</stp>
        <stp>0</stp>
        <stp>0</stp>
        <stp>0</stp>
        <tr r="K37" s="68"/>
      </tp>
      <tp>
        <v>30.990000000000002</v>
        <stp/>
        <stp>110</stp>
        <stp>OTEX</stp>
        <stp>TDA</stp>
        <stp>0</stp>
        <stp>0</stp>
        <stp>0</stp>
        <stp>0</stp>
        <stp>0</stp>
        <tr r="J37" s="68"/>
      </tp>
      <tp>
        <v>1.6300000000000001</v>
        <stp/>
        <stp>117</stp>
        <stp>OTEX</stp>
        <stp>TDA</stp>
        <stp>0</stp>
        <stp>0</stp>
        <stp>0</stp>
        <stp>0</stp>
        <stp>0</stp>
        <tr r="M37" s="68"/>
      </tp>
      <tp>
        <v>-0.18691588785047988</v>
        <stp/>
        <stp>115</stp>
        <stp>OTEX</stp>
        <stp>TDA</stp>
        <stp>0</stp>
        <stp>0</stp>
        <stp>0</stp>
        <stp>0</stp>
        <stp>0</stp>
        <tr r="I37" s="68"/>
      </tp>
      <tp>
        <v>0.69840000000000002</v>
        <stp/>
        <stp>167</stp>
        <stp>OTEX</stp>
        <stp>TDA</stp>
        <stp>0</stp>
        <stp>0</stp>
        <stp>0</stp>
        <stp>0</stp>
        <stp>0</stp>
        <tr r="O37" s="68"/>
      </tp>
      <tp>
        <v>43796</v>
        <stp/>
        <stp>170</stp>
        <stp>OTEX</stp>
        <stp>TDA</stp>
        <stp>0</stp>
        <stp>0</stp>
        <stp>0</stp>
        <stp>0</stp>
        <stp>0</stp>
        <tr r="P37" s="68"/>
      </tp>
      <tp>
        <v>3.4300000000000004E-2</v>
        <stp/>
        <stp>152</stp>
        <stp>OTEX</stp>
        <stp>TDA</stp>
        <stp>0</stp>
        <stp>0</stp>
        <stp>0</stp>
        <stp>0</stp>
        <stp>0</stp>
        <tr r="N37" s="68"/>
      </tp>
      <tp>
        <v>1</v>
        <stp/>
        <stp>210</stp>
        <stp>MKTX</stp>
        <stp>TDA</stp>
        <stp>0</stp>
        <stp>0</stp>
        <stp>0</stp>
        <stp>0</stp>
        <stp>0</stp>
        <tr r="Q22" s="68"/>
      </tp>
      <tp>
        <v>304.88</v>
        <stp/>
        <stp>100</stp>
        <stp>NFLX</stp>
        <stp>TDA</stp>
        <stp>0</stp>
        <stp>0</stp>
        <stp>0</stp>
        <stp>0</stp>
        <stp>0</stp>
        <tr r="O85" s="67"/>
        <tr r="G85" s="67"/>
        <tr r="B6" s="68"/>
      </tp>
      <tp t="s">
        <v>Netflix, Inc. - Common Stock</v>
        <stp/>
        <stp>112</stp>
        <stp>NFLX</stp>
        <stp>TDA</stp>
        <stp>0</stp>
        <stp>0</stp>
        <stp>0</stp>
        <stp>0</stp>
        <stp>0</stp>
        <tr r="B85" s="67"/>
      </tp>
      <tp>
        <v>231.23000000000002</v>
        <stp/>
        <stp>110</stp>
        <stp>NFLX</stp>
        <stp>TDA</stp>
        <stp>0</stp>
        <stp>0</stp>
        <stp>0</stp>
        <stp>0</stp>
        <stp>0</stp>
        <tr r="J6" s="68"/>
      </tp>
      <tp>
        <v>385.99</v>
        <stp/>
        <stp>111</stp>
        <stp>NFLX</stp>
        <stp>TDA</stp>
        <stp>0</stp>
        <stp>0</stp>
        <stp>0</stp>
        <stp>0</stp>
        <stp>0</stp>
        <tr r="K6" s="68"/>
      </tp>
      <tp>
        <v>0</v>
        <stp/>
        <stp>117</stp>
        <stp>NFLX</stp>
        <stp>TDA</stp>
        <stp>0</stp>
        <stp>0</stp>
        <stp>0</stp>
        <stp>0</stp>
        <stp>0</stp>
        <tr r="M6" s="68"/>
      </tp>
      <tp>
        <v>-0.41808204860204773</v>
        <stp/>
        <stp>115</stp>
        <stp>NFLX</stp>
        <stp>TDA</stp>
        <stp>0</stp>
        <stp>0</stp>
        <stp>0</stp>
        <stp>0</stp>
        <stp>0</stp>
        <tr r="I6" s="68"/>
      </tp>
      <tp>
        <v>95.97</v>
        <stp/>
        <stp>124</stp>
        <stp>NFLX</stp>
        <stp>TDA</stp>
        <stp>0</stp>
        <stp>0</stp>
        <stp>0</stp>
        <stp>0</stp>
        <stp>0</stp>
        <tr r="L6" s="68"/>
      </tp>
      <tp>
        <v>2.2700000000000001E-2</v>
        <stp/>
        <stp>152</stp>
        <stp>NFLX</stp>
        <stp>TDA</stp>
        <stp>0</stp>
        <stp>0</stp>
        <stp>0</stp>
        <stp>0</stp>
        <stp>0</stp>
        <tr r="N6" s="68"/>
      </tp>
      <tp>
        <v>0</v>
        <stp/>
        <stp>167</stp>
        <stp>NFLX</stp>
        <stp>TDA</stp>
        <stp>0</stp>
        <stp>0</stp>
        <stp>0</stp>
        <stp>0</stp>
        <stp>0</stp>
        <tr r="O6" s="68"/>
      </tp>
      <tp>
        <v>0</v>
        <stp/>
        <stp>170</stp>
        <stp>NFLX</stp>
        <stp>TDA</stp>
        <stp>0</stp>
        <stp>0</stp>
        <stp>0</stp>
        <stp>0</stp>
        <stp>0</stp>
        <tr r="P6" s="68"/>
      </tp>
      <tp t="s">
        <v>#N/A</v>
        <stp/>
        <stp>112</stp>
        <stp>HD_022120C224</stp>
        <stp>TDA</stp>
        <stp>0</stp>
        <stp>0</stp>
        <stp>0</stp>
        <stp>0</stp>
        <stp>0</stp>
        <tr r="F578" s="18"/>
      </tp>
      <tp t="s">
        <v>#N/A</v>
        <stp/>
        <stp>112</stp>
        <stp>HD_022120C204</stp>
        <stp>TDA</stp>
        <stp>0</stp>
        <stp>0</stp>
        <stp>0</stp>
        <stp>0</stp>
        <stp>0</stp>
        <tr r="F554" s="18"/>
      </tp>
      <tp t="s">
        <v>#N/A</v>
        <stp/>
        <stp>112</stp>
        <stp>HD_022120C214</stp>
        <stp>TDA</stp>
        <stp>0</stp>
        <stp>0</stp>
        <stp>0</stp>
        <stp>0</stp>
        <stp>0</stp>
        <tr r="F566" s="18"/>
      </tp>
      <tp t="s">
        <v>HD Mar 20 2020 225 Call</v>
        <stp/>
        <stp>112</stp>
        <stp>HD_032020C225</stp>
        <stp>TDA</stp>
        <stp>0</stp>
        <stp>0</stp>
        <stp>0</stp>
        <stp>0</stp>
        <stp>0</stp>
        <tr r="F652" s="18"/>
      </tp>
      <tp t="s">
        <v>HD Mar 20 2020 205 Call</v>
        <stp/>
        <stp>112</stp>
        <stp>HD_032020C205</stp>
        <stp>TDA</stp>
        <stp>0</stp>
        <stp>0</stp>
        <stp>0</stp>
        <stp>0</stp>
        <stp>0</stp>
        <tr r="F628" s="18"/>
      </tp>
      <tp t="s">
        <v>HD Mar 20 2020 215 Call</v>
        <stp/>
        <stp>112</stp>
        <stp>HD_032020C215</stp>
        <stp>TDA</stp>
        <stp>0</stp>
        <stp>0</stp>
        <stp>0</stp>
        <stp>0</stp>
        <stp>0</stp>
        <tr r="F640" s="18"/>
      </tp>
      <tp t="s">
        <v>HD Mar 20 2020 185 Call</v>
        <stp/>
        <stp>112</stp>
        <stp>HD_032020C185</stp>
        <stp>TDA</stp>
        <stp>0</stp>
        <stp>0</stp>
        <stp>0</stp>
        <stp>0</stp>
        <stp>0</stp>
        <tr r="F604" s="18"/>
      </tp>
      <tp t="s">
        <v>HD Mar 20 2020 195 Call</v>
        <stp/>
        <stp>112</stp>
        <stp>HD_032020C195</stp>
        <stp>TDA</stp>
        <stp>0</stp>
        <stp>0</stp>
        <stp>0</stp>
        <stp>0</stp>
        <stp>0</stp>
        <tr r="F616" s="18"/>
      </tp>
      <tp t="s">
        <v>HD Mar 20 2020 175 Call</v>
        <stp/>
        <stp>112</stp>
        <stp>HD_032020C175</stp>
        <stp>TDA</stp>
        <stp>0</stp>
        <stp>0</stp>
        <stp>0</stp>
        <stp>0</stp>
        <stp>0</stp>
        <tr r="F592" s="18"/>
      </tp>
      <tp t="s">
        <v>#N/A</v>
        <stp/>
        <stp>112</stp>
        <stp>HD_022120C184</stp>
        <stp>TDA</stp>
        <stp>0</stp>
        <stp>0</stp>
        <stp>0</stp>
        <stp>0</stp>
        <stp>0</stp>
        <tr r="F530" s="18"/>
      </tp>
      <tp t="s">
        <v>#N/A</v>
        <stp/>
        <stp>112</stp>
        <stp>HD_022120C194</stp>
        <stp>TDA</stp>
        <stp>0</stp>
        <stp>0</stp>
        <stp>0</stp>
        <stp>0</stp>
        <stp>0</stp>
        <tr r="F542" s="18"/>
      </tp>
      <tp t="s">
        <v>#N/A</v>
        <stp/>
        <stp>112</stp>
        <stp>HD_022120C174</stp>
        <stp>TDA</stp>
        <stp>0</stp>
        <stp>0</stp>
        <stp>0</stp>
        <stp>0</stp>
        <stp>0</stp>
        <tr r="F518" s="18"/>
      </tp>
      <tp t="s">
        <v>#N/A</v>
        <stp/>
        <stp>112</stp>
        <stp>HD_010320C187</stp>
        <stp>TDA</stp>
        <stp>0</stp>
        <stp>0</stp>
        <stp>0</stp>
        <stp>0</stp>
        <stp>0</stp>
        <tr r="F314" s="18"/>
      </tp>
      <tp t="s">
        <v>#N/A</v>
        <stp/>
        <stp>112</stp>
        <stp>HD_010320C197</stp>
        <stp>TDA</stp>
        <stp>0</stp>
        <stp>0</stp>
        <stp>0</stp>
        <stp>0</stp>
        <stp>0</stp>
        <tr r="F326" s="18"/>
      </tp>
      <tp t="s">
        <v>#N/A</v>
        <stp/>
        <stp>112</stp>
        <stp>HD_010320C177</stp>
        <stp>TDA</stp>
        <stp>0</stp>
        <stp>0</stp>
        <stp>0</stp>
        <stp>0</stp>
        <stp>0</stp>
        <tr r="F302" s="18"/>
      </tp>
      <tp t="s">
        <v>#N/A</v>
        <stp/>
        <stp>112</stp>
        <stp>HD_010320C227</stp>
        <stp>TDA</stp>
        <stp>0</stp>
        <stp>0</stp>
        <stp>0</stp>
        <stp>0</stp>
        <stp>0</stp>
        <tr r="F362" s="18"/>
      </tp>
      <tp t="s">
        <v>#N/A</v>
        <stp/>
        <stp>112</stp>
        <stp>HD_010320C207</stp>
        <stp>TDA</stp>
        <stp>0</stp>
        <stp>0</stp>
        <stp>0</stp>
        <stp>0</stp>
        <stp>0</stp>
        <tr r="F338" s="18"/>
      </tp>
      <tp t="s">
        <v>#N/A</v>
        <stp/>
        <stp>112</stp>
        <stp>HD_010320C217</stp>
        <stp>TDA</stp>
        <stp>0</stp>
        <stp>0</stp>
        <stp>0</stp>
        <stp>0</stp>
        <stp>0</stp>
        <tr r="F350" s="18"/>
      </tp>
      <tp t="s">
        <v>HD Jun 19 2020 220 Call</v>
        <stp/>
        <stp>112</stp>
        <stp>HD_061920C220</stp>
        <stp>TDA</stp>
        <stp>0</stp>
        <stp>0</stp>
        <stp>0</stp>
        <stp>0</stp>
        <stp>0</stp>
        <tr r="F865" s="18"/>
      </tp>
      <tp t="s">
        <v>HD Jun 19 2020 230 Call</v>
        <stp/>
        <stp>112</stp>
        <stp>HD_061920C230</stp>
        <stp>TDA</stp>
        <stp>0</stp>
        <stp>0</stp>
        <stp>0</stp>
        <stp>0</stp>
        <stp>0</stp>
        <tr r="F877" s="18"/>
      </tp>
      <tp t="s">
        <v>HD Jun 19 2020 200 Call</v>
        <stp/>
        <stp>112</stp>
        <stp>HD_061920C200</stp>
        <stp>TDA</stp>
        <stp>0</stp>
        <stp>0</stp>
        <stp>0</stp>
        <stp>0</stp>
        <stp>0</stp>
        <tr r="F841" s="18"/>
      </tp>
      <tp t="s">
        <v>HD Jun 19 2020 210 Call</v>
        <stp/>
        <stp>112</stp>
        <stp>HD_061920C210</stp>
        <stp>TDA</stp>
        <stp>0</stp>
        <stp>0</stp>
        <stp>0</stp>
        <stp>0</stp>
        <stp>0</stp>
        <tr r="F853" s="18"/>
      </tp>
      <tp t="s">
        <v>HD Jun 19 2020 180 Call</v>
        <stp/>
        <stp>112</stp>
        <stp>HD_061920C180</stp>
        <stp>TDA</stp>
        <stp>0</stp>
        <stp>0</stp>
        <stp>0</stp>
        <stp>0</stp>
        <stp>0</stp>
        <tr r="F817" s="18"/>
      </tp>
      <tp t="s">
        <v>HD Jun 19 2020 190 Call</v>
        <stp/>
        <stp>112</stp>
        <stp>HD_061920C190</stp>
        <stp>TDA</stp>
        <stp>0</stp>
        <stp>0</stp>
        <stp>0</stp>
        <stp>0</stp>
        <stp>0</stp>
        <tr r="F829" s="18"/>
      </tp>
      <tp t="s">
        <v>HD Jun 19 2020 170 Call</v>
        <stp/>
        <stp>112</stp>
        <stp>HD_061920C170</stp>
        <stp>TDA</stp>
        <stp>0</stp>
        <stp>0</stp>
        <stp>0</stp>
        <stp>0</stp>
        <stp>0</stp>
        <tr r="F805" s="18"/>
      </tp>
      <tp t="s">
        <v>#N/A</v>
        <stp/>
        <stp>112</stp>
        <stp>HD_011020C227</stp>
        <stp>TDA</stp>
        <stp>0</stp>
        <stp>0</stp>
        <stp>0</stp>
        <stp>0</stp>
        <stp>0</stp>
        <tr r="F435" s="18"/>
      </tp>
      <tp t="s">
        <v>#N/A</v>
        <stp/>
        <stp>112</stp>
        <stp>HD_011020C207</stp>
        <stp>TDA</stp>
        <stp>0</stp>
        <stp>0</stp>
        <stp>0</stp>
        <stp>0</stp>
        <stp>0</stp>
        <tr r="F411" s="18"/>
      </tp>
      <tp t="s">
        <v>#N/A</v>
        <stp/>
        <stp>112</stp>
        <stp>HD_011020C217</stp>
        <stp>TDA</stp>
        <stp>0</stp>
        <stp>0</stp>
        <stp>0</stp>
        <stp>0</stp>
        <stp>0</stp>
        <tr r="F423" s="18"/>
      </tp>
      <tp t="s">
        <v>#N/A</v>
        <stp/>
        <stp>112</stp>
        <stp>HD_011020C187</stp>
        <stp>TDA</stp>
        <stp>0</stp>
        <stp>0</stp>
        <stp>0</stp>
        <stp>0</stp>
        <stp>0</stp>
        <tr r="F387" s="18"/>
      </tp>
      <tp t="s">
        <v>#N/A</v>
        <stp/>
        <stp>112</stp>
        <stp>HD_011020C197</stp>
        <stp>TDA</stp>
        <stp>0</stp>
        <stp>0</stp>
        <stp>0</stp>
        <stp>0</stp>
        <stp>0</stp>
        <tr r="F399" s="18"/>
      </tp>
      <tp t="s">
        <v>#N/A</v>
        <stp/>
        <stp>112</stp>
        <stp>HD_011020C177</stp>
        <stp>TDA</stp>
        <stp>0</stp>
        <stp>0</stp>
        <stp>0</stp>
        <stp>0</stp>
        <stp>0</stp>
        <tr r="F375" s="18"/>
      </tp>
      <tp t="s">
        <v>#N/A</v>
        <stp/>
        <stp>112</stp>
        <stp>HD_051520C223</stp>
        <stp>TDA</stp>
        <stp>0</stp>
        <stp>0</stp>
        <stp>0</stp>
        <stp>0</stp>
        <stp>0</stp>
        <tr r="F795" s="18"/>
      </tp>
      <tp t="s">
        <v>#N/A</v>
        <stp/>
        <stp>112</stp>
        <stp>HD_051520C203</stp>
        <stp>TDA</stp>
        <stp>0</stp>
        <stp>0</stp>
        <stp>0</stp>
        <stp>0</stp>
        <stp>0</stp>
        <tr r="F771" s="18"/>
      </tp>
      <tp t="s">
        <v>#N/A</v>
        <stp/>
        <stp>112</stp>
        <stp>HD_051520C213</stp>
        <stp>TDA</stp>
        <stp>0</stp>
        <stp>0</stp>
        <stp>0</stp>
        <stp>0</stp>
        <stp>0</stp>
        <tr r="F783" s="18"/>
      </tp>
      <tp t="s">
        <v>#N/A</v>
        <stp/>
        <stp>112</stp>
        <stp>HD_011720C187</stp>
        <stp>TDA</stp>
        <stp>0</stp>
        <stp>0</stp>
        <stp>0</stp>
        <stp>0</stp>
        <stp>0</stp>
        <tr r="F460" s="18"/>
      </tp>
      <tp t="s">
        <v>#N/A</v>
        <stp/>
        <stp>112</stp>
        <stp>HD_011720C197</stp>
        <stp>TDA</stp>
        <stp>0</stp>
        <stp>0</stp>
        <stp>0</stp>
        <stp>0</stp>
        <stp>0</stp>
        <tr r="F472" s="18"/>
      </tp>
      <tp t="s">
        <v>#N/A</v>
        <stp/>
        <stp>112</stp>
        <stp>HD_011720C177</stp>
        <stp>TDA</stp>
        <stp>0</stp>
        <stp>0</stp>
        <stp>0</stp>
        <stp>0</stp>
        <stp>0</stp>
        <tr r="F448" s="18"/>
      </tp>
      <tp t="s">
        <v>#N/A</v>
        <stp/>
        <stp>112</stp>
        <stp>HD_071720C171</stp>
        <stp>TDA</stp>
        <stp>0</stp>
        <stp>0</stp>
        <stp>0</stp>
        <stp>0</stp>
        <stp>0</stp>
        <tr r="F879" s="18"/>
      </tp>
      <tp t="s">
        <v>#N/A</v>
        <stp/>
        <stp>112</stp>
        <stp>HD_011720C227</stp>
        <stp>TDA</stp>
        <stp>0</stp>
        <stp>0</stp>
        <stp>0</stp>
        <stp>0</stp>
        <stp>0</stp>
        <tr r="F508" s="18"/>
      </tp>
      <tp t="s">
        <v>#N/A</v>
        <stp/>
        <stp>112</stp>
        <stp>HD_011720C207</stp>
        <stp>TDA</stp>
        <stp>0</stp>
        <stp>0</stp>
        <stp>0</stp>
        <stp>0</stp>
        <stp>0</stp>
        <tr r="F484" s="18"/>
      </tp>
      <tp t="s">
        <v>#N/A</v>
        <stp/>
        <stp>112</stp>
        <stp>HD_011720C217</stp>
        <stp>TDA</stp>
        <stp>0</stp>
        <stp>0</stp>
        <stp>0</stp>
        <stp>0</stp>
        <stp>0</stp>
        <tr r="F496" s="18"/>
      </tp>
      <tp t="s">
        <v>#N/A</v>
        <stp/>
        <stp>112</stp>
        <stp>HD_051520C183</stp>
        <stp>TDA</stp>
        <stp>0</stp>
        <stp>0</stp>
        <stp>0</stp>
        <stp>0</stp>
        <stp>0</stp>
        <tr r="F747" s="18"/>
      </tp>
      <tp t="s">
        <v>#N/A</v>
        <stp/>
        <stp>112</stp>
        <stp>HD_051520C193</stp>
        <stp>TDA</stp>
        <stp>0</stp>
        <stp>0</stp>
        <stp>0</stp>
        <stp>0</stp>
        <stp>0</stp>
        <tr r="F759" s="18"/>
      </tp>
      <tp t="s">
        <v>#N/A</v>
        <stp/>
        <stp>112</stp>
        <stp>HD_051520C173</stp>
        <stp>TDA</stp>
        <stp>0</stp>
        <stp>0</stp>
        <stp>0</stp>
        <stp>0</stp>
        <stp>0</stp>
        <tr r="F735" s="18"/>
      </tp>
      <tp>
        <v>0</v>
        <stp/>
        <stp>170</stp>
        <stp>SQ</stp>
        <stp>TDA</stp>
        <stp>0</stp>
        <stp>0</stp>
        <stp>0</stp>
        <stp>0</stp>
        <stp>0</stp>
        <tr r="P15" s="68"/>
      </tp>
      <tp>
        <v>16.27</v>
        <stp/>
        <stp>100</stp>
        <stp>BV</stp>
        <stp>TDA</stp>
        <stp>0</stp>
        <stp>0</stp>
        <stp>0</stp>
        <stp>0</stp>
        <stp>0</stp>
        <tr r="O66" s="67"/>
        <tr r="G66" s="67"/>
        <tr r="B43" s="68"/>
      </tp>
      <tp>
        <v>5.4100000000000002E-2</v>
        <stp/>
        <stp>152</stp>
        <stp>ZS</stp>
        <stp>TDA</stp>
        <stp>0</stp>
        <stp>0</stp>
        <stp>0</stp>
        <stp>0</stp>
        <stp>0</stp>
        <tr r="N35" s="68"/>
      </tp>
      <tp>
        <v>2.1100000000000001E-2</v>
        <stp/>
        <stp>152</stp>
        <stp>XRAY</stp>
        <stp>TDA</stp>
        <stp>0</stp>
        <stp>0</stp>
        <stp>0</stp>
        <stp>0</stp>
        <stp>0</stp>
        <tr r="N56" s="68"/>
      </tp>
      <tp>
        <v>0.4</v>
        <stp/>
        <stp>167</stp>
        <stp>XRAY</stp>
        <stp>TDA</stp>
        <stp>0</stp>
        <stp>0</stp>
        <stp>0</stp>
        <stp>0</stp>
        <stp>0</stp>
        <tr r="O56" s="68"/>
      </tp>
      <tp>
        <v>43734</v>
        <stp/>
        <stp>170</stp>
        <stp>XRAY</stp>
        <stp>TDA</stp>
        <stp>0</stp>
        <stp>0</stp>
        <stp>0</stp>
        <stp>0</stp>
        <stp>0</stp>
        <tr r="P56" s="68"/>
      </tp>
      <tp>
        <v>57.400000000000006</v>
        <stp/>
        <stp>100</stp>
        <stp>XRAY</stp>
        <stp>TDA</stp>
        <stp>0</stp>
        <stp>0</stp>
        <stp>0</stp>
        <stp>0</stp>
        <stp>0</stp>
        <tr r="O27" s="67"/>
        <tr r="O48" s="67"/>
        <tr r="O47" s="67"/>
        <tr r="B56" s="68"/>
      </tp>
      <tp>
        <v>0.70000000000000007</v>
        <stp/>
        <stp>117</stp>
        <stp>XRAY</stp>
        <stp>TDA</stp>
        <stp>0</stp>
        <stp>0</stp>
        <stp>0</stp>
        <stp>0</stp>
        <stp>0</stp>
        <tr r="M56" s="68"/>
      </tp>
      <tp>
        <v>0.47260633642570127</v>
        <stp/>
        <stp>115</stp>
        <stp>XRAY</stp>
        <stp>TDA</stp>
        <stp>0</stp>
        <stp>0</stp>
        <stp>0</stp>
        <stp>0</stp>
        <stp>0</stp>
        <tr r="I56" s="68"/>
      </tp>
      <tp t="s">
        <v>DENTSPLY SIRONA Inc. - Common Stock</v>
        <stp/>
        <stp>112</stp>
        <stp>XRAY</stp>
        <stp>TDA</stp>
        <stp>0</stp>
        <stp>0</stp>
        <stp>0</stp>
        <stp>0</stp>
        <stp>0</stp>
        <tr r="B27" s="67"/>
        <tr r="B48" s="67"/>
        <tr r="B47" s="67"/>
      </tp>
      <tp>
        <v>60.150000000000006</v>
        <stp/>
        <stp>111</stp>
        <stp>XRAY</stp>
        <stp>TDA</stp>
        <stp>0</stp>
        <stp>0</stp>
        <stp>0</stp>
        <stp>0</stp>
        <stp>0</stp>
        <tr r="K56" s="68"/>
      </tp>
      <tp>
        <v>34.93</v>
        <stp/>
        <stp>110</stp>
        <stp>XRAY</stp>
        <stp>TDA</stp>
        <stp>0</stp>
        <stp>0</stp>
        <stp>0</stp>
        <stp>0</stp>
        <stp>0</stp>
        <tr r="J56" s="68"/>
      </tp>
      <tp>
        <v>79.422899999999998</v>
        <stp/>
        <stp>124</stp>
        <stp>XRAY</stp>
        <stp>TDA</stp>
        <stp>0</stp>
        <stp>0</stp>
        <stp>0</stp>
        <stp>0</stp>
        <stp>0</stp>
        <tr r="L56" s="68"/>
      </tp>
      <tp>
        <v>1</v>
        <stp/>
        <stp>210</stp>
        <stp>XRAY</stp>
        <stp>TDA</stp>
        <stp>0</stp>
        <stp>0</stp>
        <stp>0</stp>
        <stp>0</stp>
        <stp>0</stp>
        <tr r="Q56" s="68"/>
      </tp>
      <tp>
        <v>49</v>
        <stp/>
        <stp>124</stp>
        <stp>ETSY</stp>
        <stp>TDA</stp>
        <stp>0</stp>
        <stp>0</stp>
        <stp>0</stp>
        <stp>0</stp>
        <stp>0</stp>
        <tr r="L36" s="68"/>
      </tp>
      <tp>
        <v>42.57</v>
        <stp/>
        <stp>100</stp>
        <stp>ETSY</stp>
        <stp>TDA</stp>
        <stp>0</stp>
        <stp>0</stp>
        <stp>0</stp>
        <stp>0</stp>
        <stp>0</stp>
        <tr r="O82" s="67"/>
        <tr r="G82" s="67"/>
        <tr r="B36" s="68"/>
      </tp>
      <tp>
        <v>-0.14074595355384065</v>
        <stp/>
        <stp>115</stp>
        <stp>ETSY</stp>
        <stp>TDA</stp>
        <stp>0</stp>
        <stp>0</stp>
        <stp>0</stp>
        <stp>0</stp>
        <stp>0</stp>
        <tr r="I36" s="68"/>
      </tp>
      <tp>
        <v>0</v>
        <stp/>
        <stp>117</stp>
        <stp>ETSY</stp>
        <stp>TDA</stp>
        <stp>0</stp>
        <stp>0</stp>
        <stp>0</stp>
        <stp>0</stp>
        <stp>0</stp>
        <tr r="M36" s="68"/>
      </tp>
      <tp>
        <v>73.344999999999999</v>
        <stp/>
        <stp>111</stp>
        <stp>ETSY</stp>
        <stp>TDA</stp>
        <stp>0</stp>
        <stp>0</stp>
        <stp>0</stp>
        <stp>0</stp>
        <stp>0</stp>
        <tr r="K36" s="68"/>
      </tp>
      <tp>
        <v>39.81</v>
        <stp/>
        <stp>110</stp>
        <stp>ETSY</stp>
        <stp>TDA</stp>
        <stp>0</stp>
        <stp>0</stp>
        <stp>0</stp>
        <stp>0</stp>
        <stp>0</stp>
        <tr r="J36" s="68"/>
      </tp>
      <tp t="s">
        <v>Etsy, Inc. - Common Stock</v>
        <stp/>
        <stp>112</stp>
        <stp>ETSY</stp>
        <stp>TDA</stp>
        <stp>0</stp>
        <stp>0</stp>
        <stp>0</stp>
        <stp>0</stp>
        <stp>0</stp>
        <tr r="B82" s="67"/>
      </tp>
      <tp>
        <v>1</v>
        <stp/>
        <stp>210</stp>
        <stp>FSLY</stp>
        <stp>TDA</stp>
        <stp>0</stp>
        <stp>0</stp>
        <stp>0</stp>
        <stp>0</stp>
        <stp>0</stp>
        <tr r="Q41" s="68"/>
      </tp>
      <tp>
        <v>0</v>
        <stp/>
        <stp>167</stp>
        <stp>ETSY</stp>
        <stp>TDA</stp>
        <stp>0</stp>
        <stp>0</stp>
        <stp>0</stp>
        <stp>0</stp>
        <stp>0</stp>
        <tr r="O36" s="68"/>
      </tp>
      <tp>
        <v>0</v>
        <stp/>
        <stp>170</stp>
        <stp>ETSY</stp>
        <stp>TDA</stp>
        <stp>0</stp>
        <stp>0</stp>
        <stp>0</stp>
        <stp>0</stp>
        <stp>0</stp>
        <tr r="P36" s="68"/>
      </tp>
      <tp>
        <v>3.61E-2</v>
        <stp/>
        <stp>152</stp>
        <stp>ETSY</stp>
        <stp>TDA</stp>
        <stp>0</stp>
        <stp>0</stp>
        <stp>0</stp>
        <stp>0</stp>
        <stp>0</stp>
        <tr r="N36" s="68"/>
      </tp>
      <tp>
        <v>1.2400000000000001E-2</v>
        <stp/>
        <stp>152</stp>
        <stp>EBAY</stp>
        <stp>TDA</stp>
        <stp>0</stp>
        <stp>0</stp>
        <stp>0</stp>
        <stp>0</stp>
        <stp>0</stp>
        <tr r="N40" s="68"/>
      </tp>
      <tp>
        <v>0.56000000000000005</v>
        <stp/>
        <stp>167</stp>
        <stp>EBAY</stp>
        <stp>TDA</stp>
        <stp>0</stp>
        <stp>0</stp>
        <stp>0</stp>
        <stp>0</stp>
        <stp>0</stp>
        <tr r="O40" s="68"/>
      </tp>
      <tp>
        <v>43798</v>
        <stp/>
        <stp>170</stp>
        <stp>EBAY</stp>
        <stp>TDA</stp>
        <stp>0</stp>
        <stp>0</stp>
        <stp>0</stp>
        <stp>0</stp>
        <stp>0</stp>
        <tr r="P40" s="68"/>
      </tp>
      <tp>
        <v>35.094999999999999</v>
        <stp/>
        <stp>100</stp>
        <stp>EBAY</stp>
        <stp>TDA</stp>
        <stp>0</stp>
        <stp>0</stp>
        <stp>0</stp>
        <stp>0</stp>
        <stp>0</stp>
        <tr r="O32" s="67"/>
        <tr r="O31" s="67"/>
        <tr r="O14" s="67"/>
        <tr r="O30" s="67"/>
        <tr r="G32" s="67"/>
        <tr r="B40" s="68"/>
      </tp>
      <tp>
        <v>1.61</v>
        <stp/>
        <stp>117</stp>
        <stp>EBAY</stp>
        <stp>TDA</stp>
        <stp>0</stp>
        <stp>0</stp>
        <stp>0</stp>
        <stp>0</stp>
        <stp>0</stp>
        <tr r="M40" s="68"/>
      </tp>
      <tp>
        <v>0.99280575539568017</v>
        <stp/>
        <stp>115</stp>
        <stp>EBAY</stp>
        <stp>TDA</stp>
        <stp>0</stp>
        <stp>0</stp>
        <stp>0</stp>
        <stp>0</stp>
        <stp>0</stp>
        <tr r="I40" s="68"/>
      </tp>
      <tp t="s">
        <v>eBay Inc. - Common Stock</v>
        <stp/>
        <stp>112</stp>
        <stp>EBAY</stp>
        <stp>TDA</stp>
        <stp>0</stp>
        <stp>0</stp>
        <stp>0</stp>
        <stp>0</stp>
        <stp>0</stp>
        <tr r="B14" s="67"/>
        <tr r="B31" s="67"/>
        <tr r="B30" s="67"/>
        <tr r="B32" s="67"/>
      </tp>
      <tp>
        <v>42</v>
        <stp/>
        <stp>111</stp>
        <stp>EBAY</stp>
        <stp>TDA</stp>
        <stp>0</stp>
        <stp>0</stp>
        <stp>0</stp>
        <stp>0</stp>
        <stp>0</stp>
        <tr r="K40" s="68"/>
      </tp>
      <tp>
        <v>26.01</v>
        <stp/>
        <stp>110</stp>
        <stp>EBAY</stp>
        <stp>TDA</stp>
        <stp>0</stp>
        <stp>0</stp>
        <stp>0</stp>
        <stp>0</stp>
        <stp>0</stp>
        <tr r="J40" s="68"/>
      </tp>
      <tp>
        <v>20.230700000000002</v>
        <stp/>
        <stp>124</stp>
        <stp>EBAY</stp>
        <stp>TDA</stp>
        <stp>0</stp>
        <stp>0</stp>
        <stp>0</stp>
        <stp>0</stp>
        <stp>0</stp>
        <tr r="L40" s="68"/>
      </tp>
      <tp>
        <v>9.1200000000000003E-2</v>
        <stp/>
        <stp>152</stp>
        <stp>FSLY</stp>
        <stp>TDA</stp>
        <stp>0</stp>
        <stp>0</stp>
        <stp>0</stp>
        <stp>0</stp>
        <stp>0</stp>
        <tr r="N41" s="68"/>
      </tp>
      <tp>
        <v>0</v>
        <stp/>
        <stp>170</stp>
        <stp>FSLY</stp>
        <stp>TDA</stp>
        <stp>0</stp>
        <stp>0</stp>
        <stp>0</stp>
        <stp>0</stp>
        <stp>0</stp>
        <tr r="P41" s="68"/>
      </tp>
      <tp>
        <v>0</v>
        <stp/>
        <stp>167</stp>
        <stp>FSLY</stp>
        <stp>TDA</stp>
        <stp>0</stp>
        <stp>0</stp>
        <stp>0</stp>
        <stp>0</stp>
        <stp>0</stp>
        <tr r="O41" s="68"/>
      </tp>
      <tp>
        <v>1</v>
        <stp/>
        <stp>210</stp>
        <stp>ETSY</stp>
        <stp>TDA</stp>
        <stp>0</stp>
        <stp>0</stp>
        <stp>0</stp>
        <stp>0</stp>
        <stp>0</stp>
        <tr r="Q36" s="68"/>
      </tp>
      <tp t="s">
        <v>Fastly, Inc. Class A Common Stock</v>
        <stp/>
        <stp>112</stp>
        <stp>FSLY</stp>
        <stp>TDA</stp>
        <stp>0</stp>
        <stp>0</stp>
        <stp>0</stp>
        <stp>0</stp>
        <stp>0</stp>
        <tr r="B62" s="67"/>
      </tp>
      <tp>
        <v>14.120000000000001</v>
        <stp/>
        <stp>110</stp>
        <stp>FSLY</stp>
        <stp>TDA</stp>
        <stp>0</stp>
        <stp>0</stp>
        <stp>0</stp>
        <stp>0</stp>
        <stp>0</stp>
        <tr r="J41" s="68"/>
      </tp>
      <tp>
        <v>35.248200000000004</v>
        <stp/>
        <stp>111</stp>
        <stp>FSLY</stp>
        <stp>TDA</stp>
        <stp>0</stp>
        <stp>0</stp>
        <stp>0</stp>
        <stp>0</stp>
        <stp>0</stp>
        <tr r="K41" s="68"/>
      </tp>
      <tp>
        <v>0</v>
        <stp/>
        <stp>117</stp>
        <stp>FSLY</stp>
        <stp>TDA</stp>
        <stp>0</stp>
        <stp>0</stp>
        <stp>0</stp>
        <stp>0</stp>
        <stp>0</stp>
        <tr r="M41" s="68"/>
      </tp>
      <tp>
        <v>4.3274244004171107</v>
        <stp/>
        <stp>115</stp>
        <stp>FSLY</stp>
        <stp>TDA</stp>
        <stp>0</stp>
        <stp>0</stp>
        <stp>0</stp>
        <stp>0</stp>
        <stp>0</stp>
        <tr r="I41" s="68"/>
      </tp>
      <tp>
        <v>20.010000000000002</v>
        <stp/>
        <stp>100</stp>
        <stp>FSLY</stp>
        <stp>TDA</stp>
        <stp>0</stp>
        <stp>0</stp>
        <stp>0</stp>
        <stp>0</stp>
        <stp>0</stp>
        <tr r="O62" s="67"/>
        <tr r="G62" s="67"/>
        <tr r="B41" s="68"/>
      </tp>
      <tp>
        <v>0</v>
        <stp/>
        <stp>124</stp>
        <stp>FSLY</stp>
        <stp>TDA</stp>
        <stp>0</stp>
        <stp>0</stp>
        <stp>0</stp>
        <stp>0</stp>
        <stp>0</stp>
        <tr r="L41" s="68"/>
      </tp>
      <tp>
        <v>1</v>
        <stp/>
        <stp>210</stp>
        <stp>EBAY</stp>
        <stp>TDA</stp>
        <stp>0</stp>
        <stp>0</stp>
        <stp>0</stp>
        <stp>0</stp>
        <stp>0</stp>
        <tr r="Q40" s="68"/>
      </tp>
      <tp>
        <v>0.46860000000000002</v>
        <stp/>
        <stp>204</stp>
        <stp>MA_011720C290</stp>
        <stp>TDA</stp>
        <stp>0</stp>
        <stp>0</stp>
        <stp>0</stp>
        <stp>0</stp>
        <stp>0</stp>
        <tr r="O19" s="67"/>
      </tp>
      <tp t="s">
        <v>HD Feb 21 2020 225 Call</v>
        <stp/>
        <stp>112</stp>
        <stp>HD_022120C225</stp>
        <stp>TDA</stp>
        <stp>0</stp>
        <stp>0</stp>
        <stp>0</stp>
        <stp>0</stp>
        <stp>0</stp>
        <tr r="F579" s="18"/>
      </tp>
      <tp t="s">
        <v>HD Feb 21 2020 205 Call</v>
        <stp/>
        <stp>112</stp>
        <stp>HD_022120C205</stp>
        <stp>TDA</stp>
        <stp>0</stp>
        <stp>0</stp>
        <stp>0</stp>
        <stp>0</stp>
        <stp>0</stp>
        <tr r="F555" s="18"/>
      </tp>
      <tp t="s">
        <v>HD Feb 21 2020 215 Call</v>
        <stp/>
        <stp>112</stp>
        <stp>HD_022120C215</stp>
        <stp>TDA</stp>
        <stp>0</stp>
        <stp>0</stp>
        <stp>0</stp>
        <stp>0</stp>
        <stp>0</stp>
        <tr r="F567" s="18"/>
      </tp>
      <tp t="s">
        <v>#N/A</v>
        <stp/>
        <stp>112</stp>
        <stp>HD_032020C224</stp>
        <stp>TDA</stp>
        <stp>0</stp>
        <stp>0</stp>
        <stp>0</stp>
        <stp>0</stp>
        <stp>0</stp>
        <tr r="F651" s="18"/>
      </tp>
      <tp t="s">
        <v>#N/A</v>
        <stp/>
        <stp>112</stp>
        <stp>HD_032020C204</stp>
        <stp>TDA</stp>
        <stp>0</stp>
        <stp>0</stp>
        <stp>0</stp>
        <stp>0</stp>
        <stp>0</stp>
        <tr r="F627" s="18"/>
      </tp>
      <tp t="s">
        <v>#N/A</v>
        <stp/>
        <stp>112</stp>
        <stp>HD_032020C214</stp>
        <stp>TDA</stp>
        <stp>0</stp>
        <stp>0</stp>
        <stp>0</stp>
        <stp>0</stp>
        <stp>0</stp>
        <tr r="F639" s="18"/>
      </tp>
      <tp t="s">
        <v>#N/A</v>
        <stp/>
        <stp>112</stp>
        <stp>HD_032020C184</stp>
        <stp>TDA</stp>
        <stp>0</stp>
        <stp>0</stp>
        <stp>0</stp>
        <stp>0</stp>
        <stp>0</stp>
        <tr r="F603" s="18"/>
      </tp>
      <tp t="s">
        <v>#N/A</v>
        <stp/>
        <stp>112</stp>
        <stp>HD_032020C194</stp>
        <stp>TDA</stp>
        <stp>0</stp>
        <stp>0</stp>
        <stp>0</stp>
        <stp>0</stp>
        <stp>0</stp>
        <tr r="F615" s="18"/>
      </tp>
      <tp t="s">
        <v>#N/A</v>
        <stp/>
        <stp>112</stp>
        <stp>HD_032020C174</stp>
        <stp>TDA</stp>
        <stp>0</stp>
        <stp>0</stp>
        <stp>0</stp>
        <stp>0</stp>
        <stp>0</stp>
        <tr r="F591" s="18"/>
      </tp>
      <tp t="s">
        <v>HD Feb 21 2020 185 Call</v>
        <stp/>
        <stp>112</stp>
        <stp>HD_022120C185</stp>
        <stp>TDA</stp>
        <stp>0</stp>
        <stp>0</stp>
        <stp>0</stp>
        <stp>0</stp>
        <stp>0</stp>
        <tr r="F531" s="18"/>
      </tp>
      <tp t="s">
        <v>HD Feb 21 2020 195 Call</v>
        <stp/>
        <stp>112</stp>
        <stp>HD_022120C195</stp>
        <stp>TDA</stp>
        <stp>0</stp>
        <stp>0</stp>
        <stp>0</stp>
        <stp>0</stp>
        <stp>0</stp>
        <tr r="F543" s="18"/>
      </tp>
      <tp t="s">
        <v>HD Feb 21 2020 175 Call</v>
        <stp/>
        <stp>112</stp>
        <stp>HD_022120C175</stp>
        <stp>TDA</stp>
        <stp>0</stp>
        <stp>0</stp>
        <stp>0</stp>
        <stp>0</stp>
        <stp>0</stp>
        <tr r="F519" s="18"/>
      </tp>
      <tp>
        <v>0.71030000000000004</v>
        <stp/>
        <stp>204</stp>
        <stp>HD_011720C205</stp>
        <stp>TDA</stp>
        <stp>0</stp>
        <stp>0</stp>
        <stp>0</stp>
        <stp>0</stp>
        <stp>0</stp>
        <tr r="O69" s="67"/>
      </tp>
      <tp t="s">
        <v>#N/A</v>
        <stp/>
        <stp>112</stp>
        <stp>HD_010320C186</stp>
        <stp>TDA</stp>
        <stp>0</stp>
        <stp>0</stp>
        <stp>0</stp>
        <stp>0</stp>
        <stp>0</stp>
        <tr r="F313" s="18"/>
      </tp>
      <tp t="s">
        <v>#N/A</v>
        <stp/>
        <stp>112</stp>
        <stp>HD_010320C196</stp>
        <stp>TDA</stp>
        <stp>0</stp>
        <stp>0</stp>
        <stp>0</stp>
        <stp>0</stp>
        <stp>0</stp>
        <tr r="F325" s="18"/>
      </tp>
      <tp t="s">
        <v>#N/A</v>
        <stp/>
        <stp>112</stp>
        <stp>HD_010320C176</stp>
        <stp>TDA</stp>
        <stp>0</stp>
        <stp>0</stp>
        <stp>0</stp>
        <stp>0</stp>
        <stp>0</stp>
        <tr r="F301" s="18"/>
      </tp>
      <tp t="s">
        <v>#N/A</v>
        <stp/>
        <stp>112</stp>
        <stp>HD_010320C226</stp>
        <stp>TDA</stp>
        <stp>0</stp>
        <stp>0</stp>
        <stp>0</stp>
        <stp>0</stp>
        <stp>0</stp>
        <tr r="F361" s="18"/>
      </tp>
      <tp t="s">
        <v>#N/A</v>
        <stp/>
        <stp>112</stp>
        <stp>HD_010320C206</stp>
        <stp>TDA</stp>
        <stp>0</stp>
        <stp>0</stp>
        <stp>0</stp>
        <stp>0</stp>
        <stp>0</stp>
        <tr r="F337" s="18"/>
      </tp>
      <tp t="s">
        <v>#N/A</v>
        <stp/>
        <stp>112</stp>
        <stp>HD_010320C216</stp>
        <stp>TDA</stp>
        <stp>0</stp>
        <stp>0</stp>
        <stp>0</stp>
        <stp>0</stp>
        <stp>0</stp>
        <tr r="F349" s="18"/>
      </tp>
      <tp t="s">
        <v>#N/A</v>
        <stp/>
        <stp>112</stp>
        <stp>HD_061920C221</stp>
        <stp>TDA</stp>
        <stp>0</stp>
        <stp>0</stp>
        <stp>0</stp>
        <stp>0</stp>
        <stp>0</stp>
        <tr r="F866" s="18"/>
      </tp>
      <tp t="s">
        <v>#N/A</v>
        <stp/>
        <stp>112</stp>
        <stp>HD_061920C201</stp>
        <stp>TDA</stp>
        <stp>0</stp>
        <stp>0</stp>
        <stp>0</stp>
        <stp>0</stp>
        <stp>0</stp>
        <tr r="F842" s="18"/>
      </tp>
      <tp t="s">
        <v>#N/A</v>
        <stp/>
        <stp>112</stp>
        <stp>HD_061920C211</stp>
        <stp>TDA</stp>
        <stp>0</stp>
        <stp>0</stp>
        <stp>0</stp>
        <stp>0</stp>
        <stp>0</stp>
        <tr r="F854" s="18"/>
      </tp>
      <tp t="s">
        <v>#N/A</v>
        <stp/>
        <stp>112</stp>
        <stp>HD_061920C181</stp>
        <stp>TDA</stp>
        <stp>0</stp>
        <stp>0</stp>
        <stp>0</stp>
        <stp>0</stp>
        <stp>0</stp>
        <tr r="F818" s="18"/>
      </tp>
      <tp t="s">
        <v>#N/A</v>
        <stp/>
        <stp>112</stp>
        <stp>HD_061920C191</stp>
        <stp>TDA</stp>
        <stp>0</stp>
        <stp>0</stp>
        <stp>0</stp>
        <stp>0</stp>
        <stp>0</stp>
        <tr r="F830" s="18"/>
      </tp>
      <tp t="s">
        <v>#N/A</v>
        <stp/>
        <stp>112</stp>
        <stp>HD_061920C171</stp>
        <stp>TDA</stp>
        <stp>0</stp>
        <stp>0</stp>
        <stp>0</stp>
        <stp>0</stp>
        <stp>0</stp>
        <tr r="F806" s="18"/>
      </tp>
      <tp t="s">
        <v>#N/A</v>
        <stp/>
        <stp>112</stp>
        <stp>HD_011020C226</stp>
        <stp>TDA</stp>
        <stp>0</stp>
        <stp>0</stp>
        <stp>0</stp>
        <stp>0</stp>
        <stp>0</stp>
        <tr r="F434" s="18"/>
      </tp>
      <tp t="s">
        <v>#N/A</v>
        <stp/>
        <stp>112</stp>
        <stp>HD_011020C206</stp>
        <stp>TDA</stp>
        <stp>0</stp>
        <stp>0</stp>
        <stp>0</stp>
        <stp>0</stp>
        <stp>0</stp>
        <tr r="F410" s="18"/>
      </tp>
      <tp t="s">
        <v>#N/A</v>
        <stp/>
        <stp>112</stp>
        <stp>HD_011020C216</stp>
        <stp>TDA</stp>
        <stp>0</stp>
        <stp>0</stp>
        <stp>0</stp>
        <stp>0</stp>
        <stp>0</stp>
        <tr r="F422" s="18"/>
      </tp>
      <tp t="s">
        <v>#N/A</v>
        <stp/>
        <stp>112</stp>
        <stp>HD_011020C186</stp>
        <stp>TDA</stp>
        <stp>0</stp>
        <stp>0</stp>
        <stp>0</stp>
        <stp>0</stp>
        <stp>0</stp>
        <tr r="F386" s="18"/>
      </tp>
      <tp t="s">
        <v>#N/A</v>
        <stp/>
        <stp>112</stp>
        <stp>HD_011020C196</stp>
        <stp>TDA</stp>
        <stp>0</stp>
        <stp>0</stp>
        <stp>0</stp>
        <stp>0</stp>
        <stp>0</stp>
        <tr r="F398" s="18"/>
      </tp>
      <tp t="s">
        <v>#N/A</v>
        <stp/>
        <stp>112</stp>
        <stp>HD_011020C176</stp>
        <stp>TDA</stp>
        <stp>0</stp>
        <stp>0</stp>
        <stp>0</stp>
        <stp>0</stp>
        <stp>0</stp>
        <tr r="F374" s="18"/>
      </tp>
      <tp t="s">
        <v>#N/A</v>
        <stp/>
        <stp>112</stp>
        <stp>HD_051520C222</stp>
        <stp>TDA</stp>
        <stp>0</stp>
        <stp>0</stp>
        <stp>0</stp>
        <stp>0</stp>
        <stp>0</stp>
        <tr r="F794" s="18"/>
      </tp>
      <tp t="s">
        <v>#N/A</v>
        <stp/>
        <stp>112</stp>
        <stp>HD_051520C202</stp>
        <stp>TDA</stp>
        <stp>0</stp>
        <stp>0</stp>
        <stp>0</stp>
        <stp>0</stp>
        <stp>0</stp>
        <tr r="F770" s="18"/>
      </tp>
      <tp t="s">
        <v>#N/A</v>
        <stp/>
        <stp>112</stp>
        <stp>HD_051520C212</stp>
        <stp>TDA</stp>
        <stp>0</stp>
        <stp>0</stp>
        <stp>0</stp>
        <stp>0</stp>
        <stp>0</stp>
        <tr r="F782" s="18"/>
      </tp>
      <tp t="s">
        <v>#N/A</v>
        <stp/>
        <stp>112</stp>
        <stp>HD_011720C186</stp>
        <stp>TDA</stp>
        <stp>0</stp>
        <stp>0</stp>
        <stp>0</stp>
        <stp>0</stp>
        <stp>0</stp>
        <tr r="F459" s="18"/>
      </tp>
      <tp t="s">
        <v>#N/A</v>
        <stp/>
        <stp>112</stp>
        <stp>HD_011720C196</stp>
        <stp>TDA</stp>
        <stp>0</stp>
        <stp>0</stp>
        <stp>0</stp>
        <stp>0</stp>
        <stp>0</stp>
        <tr r="F471" s="18"/>
      </tp>
      <tp t="s">
        <v>#N/A</v>
        <stp/>
        <stp>112</stp>
        <stp>HD_011720C176</stp>
        <stp>TDA</stp>
        <stp>0</stp>
        <stp>0</stp>
        <stp>0</stp>
        <stp>0</stp>
        <stp>0</stp>
        <tr r="F447" s="18"/>
      </tp>
      <tp t="s">
        <v>#N/A</v>
        <stp/>
        <stp>112</stp>
        <stp>HD_071720C170</stp>
        <stp>TDA</stp>
        <stp>0</stp>
        <stp>0</stp>
        <stp>0</stp>
        <stp>0</stp>
        <stp>0</stp>
        <tr r="F878" s="18"/>
      </tp>
      <tp t="s">
        <v>#N/A</v>
        <stp/>
        <stp>112</stp>
        <stp>HD_011720C226</stp>
        <stp>TDA</stp>
        <stp>0</stp>
        <stp>0</stp>
        <stp>0</stp>
        <stp>0</stp>
        <stp>0</stp>
        <tr r="F507" s="18"/>
      </tp>
      <tp t="s">
        <v>#N/A</v>
        <stp/>
        <stp>112</stp>
        <stp>HD_011720C206</stp>
        <stp>TDA</stp>
        <stp>0</stp>
        <stp>0</stp>
        <stp>0</stp>
        <stp>0</stp>
        <stp>0</stp>
        <tr r="F483" s="18"/>
      </tp>
      <tp t="s">
        <v>#N/A</v>
        <stp/>
        <stp>112</stp>
        <stp>HD_011720C216</stp>
        <stp>TDA</stp>
        <stp>0</stp>
        <stp>0</stp>
        <stp>0</stp>
        <stp>0</stp>
        <stp>0</stp>
        <tr r="F495" s="18"/>
      </tp>
      <tp t="s">
        <v>#N/A</v>
        <stp/>
        <stp>112</stp>
        <stp>HD_051520C182</stp>
        <stp>TDA</stp>
        <stp>0</stp>
        <stp>0</stp>
        <stp>0</stp>
        <stp>0</stp>
        <stp>0</stp>
        <tr r="F746" s="18"/>
      </tp>
      <tp t="s">
        <v>#N/A</v>
        <stp/>
        <stp>112</stp>
        <stp>HD_051520C192</stp>
        <stp>TDA</stp>
        <stp>0</stp>
        <stp>0</stp>
        <stp>0</stp>
        <stp>0</stp>
        <stp>0</stp>
        <tr r="F758" s="18"/>
      </tp>
      <tp t="s">
        <v>#N/A</v>
        <stp/>
        <stp>112</stp>
        <stp>HD_051520C172</stp>
        <stp>TDA</stp>
        <stp>0</stp>
        <stp>0</stp>
        <stp>0</stp>
        <stp>0</stp>
        <stp>0</stp>
        <tr r="F734" s="18"/>
      </tp>
      <tp>
        <v>43811</v>
        <stp/>
        <stp>170</stp>
        <stp>BR</stp>
        <stp>TDA</stp>
        <stp>0</stp>
        <stp>0</stp>
        <stp>0</stp>
        <stp>0</stp>
        <stp>0</stp>
        <tr r="P19" s="68"/>
      </tp>
      <tp>
        <v>0</v>
        <stp/>
        <stp>167</stp>
        <stp>ZS</stp>
        <stp>TDA</stp>
        <stp>0</stp>
        <stp>0</stp>
        <stp>0</stp>
        <stp>0</stp>
        <stp>0</stp>
        <tr r="O35" s="68"/>
      </tp>
      <tp>
        <v>7.15</v>
        <stp/>
        <stp>108</stp>
        <stp>MA_011720C290</stp>
        <stp>TDA</stp>
        <stp>0</stp>
        <stp>0</stp>
        <stp>0</stp>
        <stp>0</stp>
        <stp>0</stp>
        <tr r="G19" s="67"/>
      </tp>
      <tp>
        <v>6.95</v>
        <stp/>
        <stp>107</stp>
        <stp>MA_011720C290</stp>
        <stp>TDA</stp>
        <stp>0</stp>
        <stp>0</stp>
        <stp>0</stp>
        <stp>0</stp>
        <stp>0</stp>
        <tr r="G19" s="67"/>
      </tp>
      <tp t="s">
        <v>#N/A</v>
        <stp/>
        <stp>112</stp>
        <stp>HD_022120C226</stp>
        <stp>TDA</stp>
        <stp>0</stp>
        <stp>0</stp>
        <stp>0</stp>
        <stp>0</stp>
        <stp>0</stp>
        <tr r="F580" s="18"/>
      </tp>
      <tp t="s">
        <v>#N/A</v>
        <stp/>
        <stp>112</stp>
        <stp>HD_022120C206</stp>
        <stp>TDA</stp>
        <stp>0</stp>
        <stp>0</stp>
        <stp>0</stp>
        <stp>0</stp>
        <stp>0</stp>
        <tr r="F556" s="18"/>
      </tp>
      <tp t="s">
        <v>#N/A</v>
        <stp/>
        <stp>112</stp>
        <stp>HD_022120C216</stp>
        <stp>TDA</stp>
        <stp>0</stp>
        <stp>0</stp>
        <stp>0</stp>
        <stp>0</stp>
        <stp>0</stp>
        <tr r="F568" s="18"/>
      </tp>
      <tp t="s">
        <v>#N/A</v>
        <stp/>
        <stp>112</stp>
        <stp>HD_032020C227</stp>
        <stp>TDA</stp>
        <stp>0</stp>
        <stp>0</stp>
        <stp>0</stp>
        <stp>0</stp>
        <stp>0</stp>
        <tr r="F655" s="18"/>
      </tp>
      <tp t="s">
        <v>#N/A</v>
        <stp/>
        <stp>112</stp>
        <stp>HD_032020C207</stp>
        <stp>TDA</stp>
        <stp>0</stp>
        <stp>0</stp>
        <stp>0</stp>
        <stp>0</stp>
        <stp>0</stp>
        <tr r="F631" s="18"/>
      </tp>
      <tp t="s">
        <v>#N/A</v>
        <stp/>
        <stp>112</stp>
        <stp>HD_032020C217</stp>
        <stp>TDA</stp>
        <stp>0</stp>
        <stp>0</stp>
        <stp>0</stp>
        <stp>0</stp>
        <stp>0</stp>
        <tr r="F643" s="18"/>
      </tp>
      <tp t="s">
        <v>#N/A</v>
        <stp/>
        <stp>112</stp>
        <stp>HD_032020C187</stp>
        <stp>TDA</stp>
        <stp>0</stp>
        <stp>0</stp>
        <stp>0</stp>
        <stp>0</stp>
        <stp>0</stp>
        <tr r="F607" s="18"/>
      </tp>
      <tp t="s">
        <v>#N/A</v>
        <stp/>
        <stp>112</stp>
        <stp>HD_032020C197</stp>
        <stp>TDA</stp>
        <stp>0</stp>
        <stp>0</stp>
        <stp>0</stp>
        <stp>0</stp>
        <stp>0</stp>
        <tr r="F619" s="18"/>
      </tp>
      <tp t="s">
        <v>#N/A</v>
        <stp/>
        <stp>112</stp>
        <stp>HD_032020C177</stp>
        <stp>TDA</stp>
        <stp>0</stp>
        <stp>0</stp>
        <stp>0</stp>
        <stp>0</stp>
        <stp>0</stp>
        <tr r="F595" s="18"/>
      </tp>
      <tp t="s">
        <v>#N/A</v>
        <stp/>
        <stp>112</stp>
        <stp>HD_022120C186</stp>
        <stp>TDA</stp>
        <stp>0</stp>
        <stp>0</stp>
        <stp>0</stp>
        <stp>0</stp>
        <stp>0</stp>
        <tr r="F532" s="18"/>
      </tp>
      <tp t="s">
        <v>#N/A</v>
        <stp/>
        <stp>112</stp>
        <stp>HD_022120C196</stp>
        <stp>TDA</stp>
        <stp>0</stp>
        <stp>0</stp>
        <stp>0</stp>
        <stp>0</stp>
        <stp>0</stp>
        <tr r="F544" s="18"/>
      </tp>
      <tp t="s">
        <v>#N/A</v>
        <stp/>
        <stp>112</stp>
        <stp>HD_022120C176</stp>
        <stp>TDA</stp>
        <stp>0</stp>
        <stp>0</stp>
        <stp>0</stp>
        <stp>0</stp>
        <stp>0</stp>
        <tr r="F520" s="18"/>
      </tp>
      <tp>
        <v>11.350000000000001</v>
        <stp/>
        <stp>108</stp>
        <stp>HD_011720C205</stp>
        <stp>TDA</stp>
        <stp>0</stp>
        <stp>0</stp>
        <stp>0</stp>
        <stp>0</stp>
        <stp>0</stp>
        <tr r="G69" s="67"/>
      </tp>
      <tp t="s">
        <v>HD Jan 3 2020 185 Call (Weekly)</v>
        <stp/>
        <stp>112</stp>
        <stp>HD_010320C185</stp>
        <stp>TDA</stp>
        <stp>0</stp>
        <stp>0</stp>
        <stp>0</stp>
        <stp>0</stp>
        <stp>0</stp>
        <tr r="F312" s="18"/>
      </tp>
      <tp t="s">
        <v>HD Jan 3 2020 195 Call (Weekly)</v>
        <stp/>
        <stp>112</stp>
        <stp>HD_010320C195</stp>
        <stp>TDA</stp>
        <stp>0</stp>
        <stp>0</stp>
        <stp>0</stp>
        <stp>0</stp>
        <stp>0</stp>
        <tr r="F324" s="18"/>
      </tp>
      <tp t="s">
        <v>#N/A</v>
        <stp/>
        <stp>112</stp>
        <stp>HD_010320C175</stp>
        <stp>TDA</stp>
        <stp>0</stp>
        <stp>0</stp>
        <stp>0</stp>
        <stp>0</stp>
        <stp>0</stp>
        <tr r="F300" s="18"/>
      </tp>
      <tp t="s">
        <v>HD Jan 3 2020 225 Call (Weekly)</v>
        <stp/>
        <stp>112</stp>
        <stp>HD_010320C225</stp>
        <stp>TDA</stp>
        <stp>0</stp>
        <stp>0</stp>
        <stp>0</stp>
        <stp>0</stp>
        <stp>0</stp>
        <tr r="F360" s="18"/>
      </tp>
      <tp t="s">
        <v>HD Jan 3 2020 205 Call (Weekly)</v>
        <stp/>
        <stp>112</stp>
        <stp>HD_010320C205</stp>
        <stp>TDA</stp>
        <stp>0</stp>
        <stp>0</stp>
        <stp>0</stp>
        <stp>0</stp>
        <stp>0</stp>
        <tr r="F336" s="18"/>
      </tp>
      <tp t="s">
        <v>HD Jan 3 2020 215 Call (Weekly)</v>
        <stp/>
        <stp>112</stp>
        <stp>HD_010320C215</stp>
        <stp>TDA</stp>
        <stp>0</stp>
        <stp>0</stp>
        <stp>0</stp>
        <stp>0</stp>
        <stp>0</stp>
        <tr r="F348" s="18"/>
      </tp>
      <tp>
        <v>11.200000000000001</v>
        <stp/>
        <stp>107</stp>
        <stp>HD_011720C205</stp>
        <stp>TDA</stp>
        <stp>0</stp>
        <stp>0</stp>
        <stp>0</stp>
        <stp>0</stp>
        <stp>0</stp>
        <tr r="G69" s="67"/>
      </tp>
      <tp t="s">
        <v>#N/A</v>
        <stp/>
        <stp>112</stp>
        <stp>HD_061920C222</stp>
        <stp>TDA</stp>
        <stp>0</stp>
        <stp>0</stp>
        <stp>0</stp>
        <stp>0</stp>
        <stp>0</stp>
        <tr r="F867" s="18"/>
      </tp>
      <tp t="s">
        <v>#N/A</v>
        <stp/>
        <stp>112</stp>
        <stp>HD_061920C202</stp>
        <stp>TDA</stp>
        <stp>0</stp>
        <stp>0</stp>
        <stp>0</stp>
        <stp>0</stp>
        <stp>0</stp>
        <tr r="F843" s="18"/>
      </tp>
      <tp t="s">
        <v>#N/A</v>
        <stp/>
        <stp>112</stp>
        <stp>HD_061920C212</stp>
        <stp>TDA</stp>
        <stp>0</stp>
        <stp>0</stp>
        <stp>0</stp>
        <stp>0</stp>
        <stp>0</stp>
        <tr r="F855" s="18"/>
      </tp>
      <tp t="s">
        <v>#N/A</v>
        <stp/>
        <stp>112</stp>
        <stp>HD_061920C182</stp>
        <stp>TDA</stp>
        <stp>0</stp>
        <stp>0</stp>
        <stp>0</stp>
        <stp>0</stp>
        <stp>0</stp>
        <tr r="F819" s="18"/>
      </tp>
      <tp t="s">
        <v>#N/A</v>
        <stp/>
        <stp>112</stp>
        <stp>HD_061920C192</stp>
        <stp>TDA</stp>
        <stp>0</stp>
        <stp>0</stp>
        <stp>0</stp>
        <stp>0</stp>
        <stp>0</stp>
        <tr r="F831" s="18"/>
      </tp>
      <tp t="s">
        <v>#N/A</v>
        <stp/>
        <stp>112</stp>
        <stp>HD_061920C172</stp>
        <stp>TDA</stp>
        <stp>0</stp>
        <stp>0</stp>
        <stp>0</stp>
        <stp>0</stp>
        <stp>0</stp>
        <tr r="F807" s="18"/>
      </tp>
      <tp t="s">
        <v>HD Jan 10 2020 225 Call (Weekly)</v>
        <stp/>
        <stp>112</stp>
        <stp>HD_011020C225</stp>
        <stp>TDA</stp>
        <stp>0</stp>
        <stp>0</stp>
        <stp>0</stp>
        <stp>0</stp>
        <stp>0</stp>
        <tr r="F433" s="18"/>
      </tp>
      <tp t="s">
        <v>HD Jan 10 2020 205 Call (Weekly)</v>
        <stp/>
        <stp>112</stp>
        <stp>HD_011020C205</stp>
        <stp>TDA</stp>
        <stp>0</stp>
        <stp>0</stp>
        <stp>0</stp>
        <stp>0</stp>
        <stp>0</stp>
        <tr r="F409" s="18"/>
      </tp>
      <tp t="s">
        <v>HD Jan 10 2020 215 Call (Weekly)</v>
        <stp/>
        <stp>112</stp>
        <stp>HD_011020C215</stp>
        <stp>TDA</stp>
        <stp>0</stp>
        <stp>0</stp>
        <stp>0</stp>
        <stp>0</stp>
        <stp>0</stp>
        <tr r="F421" s="18"/>
      </tp>
      <tp t="s">
        <v>HD Jan 10 2020 185 Call (Weekly)</v>
        <stp/>
        <stp>112</stp>
        <stp>HD_011020C185</stp>
        <stp>TDA</stp>
        <stp>0</stp>
        <stp>0</stp>
        <stp>0</stp>
        <stp>0</stp>
        <stp>0</stp>
        <tr r="F385" s="18"/>
      </tp>
      <tp t="s">
        <v>HD Jan 10 2020 195 Call (Weekly)</v>
        <stp/>
        <stp>112</stp>
        <stp>HD_011020C195</stp>
        <stp>TDA</stp>
        <stp>0</stp>
        <stp>0</stp>
        <stp>0</stp>
        <stp>0</stp>
        <stp>0</stp>
        <tr r="F397" s="18"/>
      </tp>
      <tp t="s">
        <v>#N/A</v>
        <stp/>
        <stp>112</stp>
        <stp>HD_011020C175</stp>
        <stp>TDA</stp>
        <stp>0</stp>
        <stp>0</stp>
        <stp>0</stp>
        <stp>0</stp>
        <stp>0</stp>
        <tr r="F373" s="18"/>
      </tp>
      <tp t="s">
        <v>#N/A</v>
        <stp/>
        <stp>112</stp>
        <stp>HD_051520C221</stp>
        <stp>TDA</stp>
        <stp>0</stp>
        <stp>0</stp>
        <stp>0</stp>
        <stp>0</stp>
        <stp>0</stp>
        <tr r="F793" s="18"/>
      </tp>
      <tp t="s">
        <v>#N/A</v>
        <stp/>
        <stp>112</stp>
        <stp>HD_051520C201</stp>
        <stp>TDA</stp>
        <stp>0</stp>
        <stp>0</stp>
        <stp>0</stp>
        <stp>0</stp>
        <stp>0</stp>
        <tr r="F769" s="18"/>
      </tp>
      <tp t="s">
        <v>#N/A</v>
        <stp/>
        <stp>112</stp>
        <stp>HD_051520C211</stp>
        <stp>TDA</stp>
        <stp>0</stp>
        <stp>0</stp>
        <stp>0</stp>
        <stp>0</stp>
        <stp>0</stp>
        <tr r="F781" s="18"/>
      </tp>
      <tp t="s">
        <v>HD Jan 17 2020 185 Call</v>
        <stp/>
        <stp>112</stp>
        <stp>HD_011720C185</stp>
        <stp>TDA</stp>
        <stp>0</stp>
        <stp>0</stp>
        <stp>0</stp>
        <stp>0</stp>
        <stp>0</stp>
        <tr r="F458" s="18"/>
      </tp>
      <tp t="s">
        <v>#N/A</v>
        <stp/>
        <stp>112</stp>
        <stp>HD_041720C180</stp>
        <stp>TDA</stp>
        <stp>0</stp>
        <stp>0</stp>
        <stp>0</stp>
        <stp>0</stp>
        <stp>0</stp>
        <tr r="F671" s="18"/>
      </tp>
      <tp t="s">
        <v>HD Jan 17 2020 195 Call</v>
        <stp/>
        <stp>112</stp>
        <stp>HD_011720C195</stp>
        <stp>TDA</stp>
        <stp>0</stp>
        <stp>0</stp>
        <stp>0</stp>
        <stp>0</stp>
        <stp>0</stp>
        <tr r="F470" s="18"/>
      </tp>
      <tp t="s">
        <v>#N/A</v>
        <stp/>
        <stp>112</stp>
        <stp>HD_041720C190</stp>
        <stp>TDA</stp>
        <stp>0</stp>
        <stp>0</stp>
        <stp>0</stp>
        <stp>0</stp>
        <stp>0</stp>
        <tr r="F683" s="18"/>
      </tp>
      <tp t="s">
        <v>HD Jan 17 2020 175 Call</v>
        <stp/>
        <stp>112</stp>
        <stp>HD_011720C175</stp>
        <stp>TDA</stp>
        <stp>0</stp>
        <stp>0</stp>
        <stp>0</stp>
        <stp>0</stp>
        <stp>0</stp>
        <tr r="F446" s="18"/>
      </tp>
      <tp t="s">
        <v>#N/A</v>
        <stp/>
        <stp>112</stp>
        <stp>HD_041720C170</stp>
        <stp>TDA</stp>
        <stp>0</stp>
        <stp>0</stp>
        <stp>0</stp>
        <stp>0</stp>
        <stp>0</stp>
        <tr r="F659" s="18"/>
      </tp>
      <tp t="s">
        <v>#N/A</v>
        <stp/>
        <stp>112</stp>
        <stp>HD_071720C173</stp>
        <stp>TDA</stp>
        <stp>0</stp>
        <stp>0</stp>
        <stp>0</stp>
        <stp>0</stp>
        <stp>0</stp>
        <tr r="F882" s="18"/>
      </tp>
      <tp t="s">
        <v>HD Jan 17 2020 225 Call</v>
        <stp/>
        <stp>112</stp>
        <stp>HD_011720C225</stp>
        <stp>TDA</stp>
        <stp>0</stp>
        <stp>0</stp>
        <stp>0</stp>
        <stp>0</stp>
        <stp>0</stp>
        <tr r="F506" s="18"/>
      </tp>
      <tp t="s">
        <v>#N/A</v>
        <stp/>
        <stp>112</stp>
        <stp>HD_041720C220</stp>
        <stp>TDA</stp>
        <stp>0</stp>
        <stp>0</stp>
        <stp>0</stp>
        <stp>0</stp>
        <stp>0</stp>
        <tr r="F719" s="18"/>
      </tp>
      <tp t="s">
        <v>#N/A</v>
        <stp/>
        <stp>112</stp>
        <stp>HD_041720C230</stp>
        <stp>TDA</stp>
        <stp>0</stp>
        <stp>0</stp>
        <stp>0</stp>
        <stp>0</stp>
        <stp>0</stp>
        <tr r="F731" s="18"/>
      </tp>
      <tp t="s">
        <v>HD Jan 17 2020 205 Call</v>
        <stp/>
        <stp>112</stp>
        <stp>HD_011720C205</stp>
        <stp>TDA</stp>
        <stp>0</stp>
        <stp>0</stp>
        <stp>0</stp>
        <stp>0</stp>
        <stp>0</stp>
        <tr r="F482" s="18"/>
      </tp>
      <tp t="s">
        <v>#N/A</v>
        <stp/>
        <stp>112</stp>
        <stp>HD_041720C200</stp>
        <stp>TDA</stp>
        <stp>0</stp>
        <stp>0</stp>
        <stp>0</stp>
        <stp>0</stp>
        <stp>0</stp>
        <tr r="F695" s="18"/>
      </tp>
      <tp t="s">
        <v>HD Jan 17 2020 215 Call</v>
        <stp/>
        <stp>112</stp>
        <stp>HD_011720C215</stp>
        <stp>TDA</stp>
        <stp>0</stp>
        <stp>0</stp>
        <stp>0</stp>
        <stp>0</stp>
        <stp>0</stp>
        <tr r="F494" s="18"/>
      </tp>
      <tp t="s">
        <v>#N/A</v>
        <stp/>
        <stp>112</stp>
        <stp>HD_041720C210</stp>
        <stp>TDA</stp>
        <stp>0</stp>
        <stp>0</stp>
        <stp>0</stp>
        <stp>0</stp>
        <stp>0</stp>
        <tr r="F707" s="18"/>
      </tp>
      <tp t="s">
        <v>#N/A</v>
        <stp/>
        <stp>112</stp>
        <stp>HD_051520C181</stp>
        <stp>TDA</stp>
        <stp>0</stp>
        <stp>0</stp>
        <stp>0</stp>
        <stp>0</stp>
        <stp>0</stp>
        <tr r="F745" s="18"/>
      </tp>
      <tp t="s">
        <v>#N/A</v>
        <stp/>
        <stp>112</stp>
        <stp>HD_051520C191</stp>
        <stp>TDA</stp>
        <stp>0</stp>
        <stp>0</stp>
        <stp>0</stp>
        <stp>0</stp>
        <stp>0</stp>
        <tr r="F757" s="18"/>
      </tp>
      <tp t="s">
        <v>#N/A</v>
        <stp/>
        <stp>112</stp>
        <stp>HD_051520C171</stp>
        <stp>TDA</stp>
        <stp>0</stp>
        <stp>0</stp>
        <stp>0</stp>
        <stp>0</stp>
        <stp>0</stp>
        <tr r="F733" s="18"/>
      </tp>
      <tp>
        <v>0</v>
        <stp/>
        <stp>170</stp>
        <stp>ZS</stp>
        <stp>TDA</stp>
        <stp>0</stp>
        <stp>0</stp>
        <stp>0</stp>
        <stp>0</stp>
        <stp>0</stp>
        <tr r="P35" s="68"/>
      </tp>
      <tp>
        <v>2.4300000000000002E-2</v>
        <stp/>
        <stp>152</stp>
        <stp>SQ</stp>
        <stp>TDA</stp>
        <stp>0</stp>
        <stp>0</stp>
        <stp>0</stp>
        <stp>0</stp>
        <stp>0</stp>
        <tr r="N15" s="68"/>
      </tp>
      <tp>
        <v>38.090000000000003</v>
        <stp/>
        <stp>124</stp>
        <stp>BV</stp>
        <stp>TDA</stp>
        <stp>0</stp>
        <stp>0</stp>
        <stp>0</stp>
        <stp>0</stp>
        <stp>0</stp>
        <tr r="L43" s="68"/>
      </tp>
      <tp>
        <v>2.16</v>
        <stp/>
        <stp>167</stp>
        <stp>BR</stp>
        <stp>TDA</stp>
        <stp>0</stp>
        <stp>0</stp>
        <stp>0</stp>
        <stp>0</stp>
        <stp>0</stp>
        <tr r="O19" s="68"/>
      </tp>
      <tp t="s">
        <v>#N/A</v>
        <stp/>
        <stp>112</stp>
        <stp>HD_022120C227</stp>
        <stp>TDA</stp>
        <stp>0</stp>
        <stp>0</stp>
        <stp>0</stp>
        <stp>0</stp>
        <stp>0</stp>
        <tr r="F582" s="18"/>
      </tp>
      <tp t="s">
        <v>#N/A</v>
        <stp/>
        <stp>112</stp>
        <stp>HD_022120C207</stp>
        <stp>TDA</stp>
        <stp>0</stp>
        <stp>0</stp>
        <stp>0</stp>
        <stp>0</stp>
        <stp>0</stp>
        <tr r="F558" s="18"/>
      </tp>
      <tp t="s">
        <v>#N/A</v>
        <stp/>
        <stp>112</stp>
        <stp>HD_022120C217</stp>
        <stp>TDA</stp>
        <stp>0</stp>
        <stp>0</stp>
        <stp>0</stp>
        <stp>0</stp>
        <stp>0</stp>
        <tr r="F570" s="18"/>
      </tp>
      <tp t="s">
        <v>#N/A</v>
        <stp/>
        <stp>112</stp>
        <stp>HD_032020C226</stp>
        <stp>TDA</stp>
        <stp>0</stp>
        <stp>0</stp>
        <stp>0</stp>
        <stp>0</stp>
        <stp>0</stp>
        <tr r="F654" s="18"/>
      </tp>
      <tp t="s">
        <v>#N/A</v>
        <stp/>
        <stp>112</stp>
        <stp>HD_032020C206</stp>
        <stp>TDA</stp>
        <stp>0</stp>
        <stp>0</stp>
        <stp>0</stp>
        <stp>0</stp>
        <stp>0</stp>
        <tr r="F630" s="18"/>
      </tp>
      <tp t="s">
        <v>#N/A</v>
        <stp/>
        <stp>112</stp>
        <stp>HD_032020C216</stp>
        <stp>TDA</stp>
        <stp>0</stp>
        <stp>0</stp>
        <stp>0</stp>
        <stp>0</stp>
        <stp>0</stp>
        <tr r="F642" s="18"/>
      </tp>
      <tp t="s">
        <v>#N/A</v>
        <stp/>
        <stp>112</stp>
        <stp>HD_032020C186</stp>
        <stp>TDA</stp>
        <stp>0</stp>
        <stp>0</stp>
        <stp>0</stp>
        <stp>0</stp>
        <stp>0</stp>
        <tr r="F606" s="18"/>
      </tp>
      <tp t="s">
        <v>#N/A</v>
        <stp/>
        <stp>112</stp>
        <stp>HD_032020C196</stp>
        <stp>TDA</stp>
        <stp>0</stp>
        <stp>0</stp>
        <stp>0</stp>
        <stp>0</stp>
        <stp>0</stp>
        <tr r="F618" s="18"/>
      </tp>
      <tp t="s">
        <v>#N/A</v>
        <stp/>
        <stp>112</stp>
        <stp>HD_032020C176</stp>
        <stp>TDA</stp>
        <stp>0</stp>
        <stp>0</stp>
        <stp>0</stp>
        <stp>0</stp>
        <stp>0</stp>
        <tr r="F594" s="18"/>
      </tp>
      <tp t="s">
        <v>#N/A</v>
        <stp/>
        <stp>112</stp>
        <stp>HD_022120C187</stp>
        <stp>TDA</stp>
        <stp>0</stp>
        <stp>0</stp>
        <stp>0</stp>
        <stp>0</stp>
        <stp>0</stp>
        <tr r="F534" s="18"/>
      </tp>
      <tp t="s">
        <v>#N/A</v>
        <stp/>
        <stp>112</stp>
        <stp>HD_022120C197</stp>
        <stp>TDA</stp>
        <stp>0</stp>
        <stp>0</stp>
        <stp>0</stp>
        <stp>0</stp>
        <stp>0</stp>
        <tr r="F546" s="18"/>
      </tp>
      <tp t="s">
        <v>#N/A</v>
        <stp/>
        <stp>112</stp>
        <stp>HD_022120C177</stp>
        <stp>TDA</stp>
        <stp>0</stp>
        <stp>0</stp>
        <stp>0</stp>
        <stp>0</stp>
        <stp>0</stp>
        <tr r="F522" s="18"/>
      </tp>
      <tp t="s">
        <v>#N/A</v>
        <stp/>
        <stp>112</stp>
        <stp>HD_010320C184</stp>
        <stp>TDA</stp>
        <stp>0</stp>
        <stp>0</stp>
        <stp>0</stp>
        <stp>0</stp>
        <stp>0</stp>
        <tr r="F310" s="18"/>
      </tp>
      <tp t="s">
        <v>#N/A</v>
        <stp/>
        <stp>112</stp>
        <stp>HD_010320C194</stp>
        <stp>TDA</stp>
        <stp>0</stp>
        <stp>0</stp>
        <stp>0</stp>
        <stp>0</stp>
        <stp>0</stp>
        <tr r="F322" s="18"/>
      </tp>
      <tp t="s">
        <v>#N/A</v>
        <stp/>
        <stp>112</stp>
        <stp>HD_010320C174</stp>
        <stp>TDA</stp>
        <stp>0</stp>
        <stp>0</stp>
        <stp>0</stp>
        <stp>0</stp>
        <stp>0</stp>
        <tr r="F298" s="18"/>
      </tp>
      <tp t="s">
        <v>#N/A</v>
        <stp/>
        <stp>112</stp>
        <stp>HD_010320C224</stp>
        <stp>TDA</stp>
        <stp>0</stp>
        <stp>0</stp>
        <stp>0</stp>
        <stp>0</stp>
        <stp>0</stp>
        <tr r="F358" s="18"/>
      </tp>
      <tp t="s">
        <v>#N/A</v>
        <stp/>
        <stp>112</stp>
        <stp>HD_010320C204</stp>
        <stp>TDA</stp>
        <stp>0</stp>
        <stp>0</stp>
        <stp>0</stp>
        <stp>0</stp>
        <stp>0</stp>
        <tr r="F334" s="18"/>
      </tp>
      <tp t="s">
        <v>#N/A</v>
        <stp/>
        <stp>112</stp>
        <stp>HD_010320C214</stp>
        <stp>TDA</stp>
        <stp>0</stp>
        <stp>0</stp>
        <stp>0</stp>
        <stp>0</stp>
        <stp>0</stp>
        <tr r="F346" s="18"/>
      </tp>
      <tp t="s">
        <v>#N/A</v>
        <stp/>
        <stp>112</stp>
        <stp>HD_061920C223</stp>
        <stp>TDA</stp>
        <stp>0</stp>
        <stp>0</stp>
        <stp>0</stp>
        <stp>0</stp>
        <stp>0</stp>
        <tr r="F868" s="18"/>
      </tp>
      <tp t="s">
        <v>#N/A</v>
        <stp/>
        <stp>112</stp>
        <stp>HD_061920C203</stp>
        <stp>TDA</stp>
        <stp>0</stp>
        <stp>0</stp>
        <stp>0</stp>
        <stp>0</stp>
        <stp>0</stp>
        <tr r="F844" s="18"/>
      </tp>
      <tp t="s">
        <v>#N/A</v>
        <stp/>
        <stp>112</stp>
        <stp>HD_061920C213</stp>
        <stp>TDA</stp>
        <stp>0</stp>
        <stp>0</stp>
        <stp>0</stp>
        <stp>0</stp>
        <stp>0</stp>
        <tr r="F856" s="18"/>
      </tp>
      <tp t="s">
        <v>#N/A</v>
        <stp/>
        <stp>112</stp>
        <stp>HD_061920C183</stp>
        <stp>TDA</stp>
        <stp>0</stp>
        <stp>0</stp>
        <stp>0</stp>
        <stp>0</stp>
        <stp>0</stp>
        <tr r="F820" s="18"/>
      </tp>
      <tp t="s">
        <v>#N/A</v>
        <stp/>
        <stp>112</stp>
        <stp>HD_061920C193</stp>
        <stp>TDA</stp>
        <stp>0</stp>
        <stp>0</stp>
        <stp>0</stp>
        <stp>0</stp>
        <stp>0</stp>
        <tr r="F832" s="18"/>
      </tp>
      <tp t="s">
        <v>#N/A</v>
        <stp/>
        <stp>112</stp>
        <stp>HD_061920C173</stp>
        <stp>TDA</stp>
        <stp>0</stp>
        <stp>0</stp>
        <stp>0</stp>
        <stp>0</stp>
        <stp>0</stp>
        <tr r="F808" s="18"/>
      </tp>
      <tp t="s">
        <v>#N/A</v>
        <stp/>
        <stp>112</stp>
        <stp>HD_011020C224</stp>
        <stp>TDA</stp>
        <stp>0</stp>
        <stp>0</stp>
        <stp>0</stp>
        <stp>0</stp>
        <stp>0</stp>
        <tr r="F432" s="18"/>
      </tp>
      <tp t="s">
        <v>#N/A</v>
        <stp/>
        <stp>112</stp>
        <stp>HD_011020C204</stp>
        <stp>TDA</stp>
        <stp>0</stp>
        <stp>0</stp>
        <stp>0</stp>
        <stp>0</stp>
        <stp>0</stp>
        <tr r="F408" s="18"/>
      </tp>
      <tp t="s">
        <v>#N/A</v>
        <stp/>
        <stp>112</stp>
        <stp>HD_011020C214</stp>
        <stp>TDA</stp>
        <stp>0</stp>
        <stp>0</stp>
        <stp>0</stp>
        <stp>0</stp>
        <stp>0</stp>
        <tr r="F420" s="18"/>
      </tp>
      <tp t="s">
        <v>#N/A</v>
        <stp/>
        <stp>112</stp>
        <stp>HD_011020C184</stp>
        <stp>TDA</stp>
        <stp>0</stp>
        <stp>0</stp>
        <stp>0</stp>
        <stp>0</stp>
        <stp>0</stp>
        <tr r="F384" s="18"/>
      </tp>
      <tp t="s">
        <v>#N/A</v>
        <stp/>
        <stp>112</stp>
        <stp>HD_011020C194</stp>
        <stp>TDA</stp>
        <stp>0</stp>
        <stp>0</stp>
        <stp>0</stp>
        <stp>0</stp>
        <stp>0</stp>
        <tr r="F396" s="18"/>
      </tp>
      <tp t="s">
        <v>#N/A</v>
        <stp/>
        <stp>112</stp>
        <stp>HD_011020C174</stp>
        <stp>TDA</stp>
        <stp>0</stp>
        <stp>0</stp>
        <stp>0</stp>
        <stp>0</stp>
        <stp>0</stp>
        <tr r="F372" s="18"/>
      </tp>
      <tp t="s">
        <v>HD May 15 2020 220 Call</v>
        <stp/>
        <stp>112</stp>
        <stp>HD_051520C220</stp>
        <stp>TDA</stp>
        <stp>0</stp>
        <stp>0</stp>
        <stp>0</stp>
        <stp>0</stp>
        <stp>0</stp>
        <tr r="F792" s="18"/>
      </tp>
      <tp t="s">
        <v>HD May 15 2020 230 Call</v>
        <stp/>
        <stp>112</stp>
        <stp>HD_051520C230</stp>
        <stp>TDA</stp>
        <stp>0</stp>
        <stp>0</stp>
        <stp>0</stp>
        <stp>0</stp>
        <stp>0</stp>
        <tr r="F804" s="18"/>
      </tp>
      <tp t="s">
        <v>HD May 15 2020 200 Call</v>
        <stp/>
        <stp>112</stp>
        <stp>HD_051520C200</stp>
        <stp>TDA</stp>
        <stp>0</stp>
        <stp>0</stp>
        <stp>0</stp>
        <stp>0</stp>
        <stp>0</stp>
        <tr r="F768" s="18"/>
      </tp>
      <tp t="s">
        <v>HD May 15 2020 210 Call</v>
        <stp/>
        <stp>112</stp>
        <stp>HD_051520C210</stp>
        <stp>TDA</stp>
        <stp>0</stp>
        <stp>0</stp>
        <stp>0</stp>
        <stp>0</stp>
        <stp>0</stp>
        <tr r="F780" s="18"/>
      </tp>
      <tp t="s">
        <v>#N/A</v>
        <stp/>
        <stp>112</stp>
        <stp>HD_011720C184</stp>
        <stp>TDA</stp>
        <stp>0</stp>
        <stp>0</stp>
        <stp>0</stp>
        <stp>0</stp>
        <stp>0</stp>
        <tr r="F457" s="18"/>
      </tp>
      <tp t="s">
        <v>#N/A</v>
        <stp/>
        <stp>112</stp>
        <stp>HD_011720C194</stp>
        <stp>TDA</stp>
        <stp>0</stp>
        <stp>0</stp>
        <stp>0</stp>
        <stp>0</stp>
        <stp>0</stp>
        <tr r="F469" s="18"/>
      </tp>
      <tp t="s">
        <v>#N/A</v>
        <stp/>
        <stp>112</stp>
        <stp>HD_011720C174</stp>
        <stp>TDA</stp>
        <stp>0</stp>
        <stp>0</stp>
        <stp>0</stp>
        <stp>0</stp>
        <stp>0</stp>
        <tr r="F445" s="18"/>
      </tp>
      <tp t="s">
        <v>#N/A</v>
        <stp/>
        <stp>112</stp>
        <stp>HD_071720C172</stp>
        <stp>TDA</stp>
        <stp>0</stp>
        <stp>0</stp>
        <stp>0</stp>
        <stp>0</stp>
        <stp>0</stp>
        <tr r="F880" s="18"/>
      </tp>
      <tp t="s">
        <v>#N/A</v>
        <stp/>
        <stp>112</stp>
        <stp>HD_011720C224</stp>
        <stp>TDA</stp>
        <stp>0</stp>
        <stp>0</stp>
        <stp>0</stp>
        <stp>0</stp>
        <stp>0</stp>
        <tr r="F505" s="18"/>
      </tp>
      <tp t="s">
        <v>#N/A</v>
        <stp/>
        <stp>112</stp>
        <stp>HD_011720C204</stp>
        <stp>TDA</stp>
        <stp>0</stp>
        <stp>0</stp>
        <stp>0</stp>
        <stp>0</stp>
        <stp>0</stp>
        <tr r="F481" s="18"/>
      </tp>
      <tp t="s">
        <v>#N/A</v>
        <stp/>
        <stp>112</stp>
        <stp>HD_011720C214</stp>
        <stp>TDA</stp>
        <stp>0</stp>
        <stp>0</stp>
        <stp>0</stp>
        <stp>0</stp>
        <stp>0</stp>
        <tr r="F493" s="18"/>
      </tp>
      <tp t="s">
        <v>HD May 15 2020 180 Call</v>
        <stp/>
        <stp>112</stp>
        <stp>HD_051520C180</stp>
        <stp>TDA</stp>
        <stp>0</stp>
        <stp>0</stp>
        <stp>0</stp>
        <stp>0</stp>
        <stp>0</stp>
        <tr r="F744" s="18"/>
      </tp>
      <tp t="s">
        <v>HD May 15 2020 190 Call</v>
        <stp/>
        <stp>112</stp>
        <stp>HD_051520C190</stp>
        <stp>TDA</stp>
        <stp>0</stp>
        <stp>0</stp>
        <stp>0</stp>
        <stp>0</stp>
        <stp>0</stp>
        <tr r="F756" s="18"/>
      </tp>
      <tp t="s">
        <v>HD May 15 2020 170 Call</v>
        <stp/>
        <stp>112</stp>
        <stp>HD_051520C170</stp>
        <stp>TDA</stp>
        <stp>0</stp>
        <stp>0</stp>
        <stp>0</stp>
        <stp>0</stp>
        <stp>0</stp>
        <tr r="F732" s="18"/>
      </tp>
      <tp>
        <v>0</v>
        <stp/>
        <stp>167</stp>
        <stp>ZM</stp>
        <stp>TDA</stp>
        <stp>0</stp>
        <stp>0</stp>
        <stp>0</stp>
        <stp>0</stp>
        <stp>0</stp>
        <tr r="O32" s="68"/>
      </tp>
      <tp>
        <v>0</v>
        <stp/>
        <stp>170</stp>
        <stp>ZM</stp>
        <stp>TDA</stp>
        <stp>0</stp>
        <stp>0</stp>
        <stp>0</stp>
        <stp>0</stp>
        <stp>0</stp>
        <tr r="P32" s="68"/>
      </tp>
      <tp>
        <v>53.11</v>
        <stp/>
        <stp>124</stp>
        <stp>ADBE</stp>
        <stp>TDA</stp>
        <stp>0</stp>
        <stp>0</stp>
        <stp>0</stp>
        <stp>0</stp>
        <stp>0</stp>
        <tr r="L7" s="68"/>
      </tp>
      <tp>
        <v>301.815</v>
        <stp/>
        <stp>100</stp>
        <stp>ADBE</stp>
        <stp>TDA</stp>
        <stp>0</stp>
        <stp>0</stp>
        <stp>0</stp>
        <stp>0</stp>
        <stp>0</stp>
        <tr r="O77" s="67"/>
        <tr r="G77" s="67"/>
        <tr r="B7" s="68"/>
      </tp>
      <tp>
        <v>-0.68934882037446188</v>
        <stp/>
        <stp>115</stp>
        <stp>ADBE</stp>
        <stp>TDA</stp>
        <stp>0</stp>
        <stp>0</stp>
        <stp>0</stp>
        <stp>0</stp>
        <stp>0</stp>
        <tr r="I7" s="68"/>
      </tp>
      <tp>
        <v>0</v>
        <stp/>
        <stp>117</stp>
        <stp>ADBE</stp>
        <stp>TDA</stp>
        <stp>0</stp>
        <stp>0</stp>
        <stp>0</stp>
        <stp>0</stp>
        <stp>0</stp>
        <tr r="M7" s="68"/>
      </tp>
      <tp>
        <v>204.95000000000002</v>
        <stp/>
        <stp>110</stp>
        <stp>ADBE</stp>
        <stp>TDA</stp>
        <stp>0</stp>
        <stp>0</stp>
        <stp>0</stp>
        <stp>0</stp>
        <stp>0</stp>
        <tr r="J7" s="68"/>
      </tp>
      <tp>
        <v>313.11</v>
        <stp/>
        <stp>111</stp>
        <stp>ADBE</stp>
        <stp>TDA</stp>
        <stp>0</stp>
        <stp>0</stp>
        <stp>0</stp>
        <stp>0</stp>
        <stp>0</stp>
        <tr r="K7" s="68"/>
      </tp>
      <tp t="s">
        <v>Adobe Inc. - Common Stock</v>
        <stp/>
        <stp>112</stp>
        <stp>ADBE</stp>
        <stp>TDA</stp>
        <stp>0</stp>
        <stp>0</stp>
        <stp>0</stp>
        <stp>0</stp>
        <stp>0</stp>
        <tr r="B77" s="67"/>
      </tp>
      <tp>
        <v>0</v>
        <stp/>
        <stp>167</stp>
        <stp>ADBE</stp>
        <stp>TDA</stp>
        <stp>0</stp>
        <stp>0</stp>
        <stp>0</stp>
        <stp>0</stp>
        <stp>0</stp>
        <tr r="O7" s="68"/>
      </tp>
      <tp>
        <v>0</v>
        <stp/>
        <stp>170</stp>
        <stp>ADBE</stp>
        <stp>TDA</stp>
        <stp>0</stp>
        <stp>0</stp>
        <stp>0</stp>
        <stp>0</stp>
        <stp>0</stp>
        <tr r="P7" s="68"/>
      </tp>
      <tp>
        <v>2.75E-2</v>
        <stp/>
        <stp>152</stp>
        <stp>ADBE</stp>
        <stp>TDA</stp>
        <stp>0</stp>
        <stp>0</stp>
        <stp>0</stp>
        <stp>0</stp>
        <stp>0</stp>
        <tr r="N7" s="68"/>
      </tp>
      <tp>
        <v>1</v>
        <stp/>
        <stp>210</stp>
        <stp>CBOE</stp>
        <stp>TDA</stp>
        <stp>0</stp>
        <stp>0</stp>
        <stp>0</stp>
        <stp>0</stp>
        <stp>0</stp>
        <tr r="Q39" s="68"/>
      </tp>
      <tp>
        <v>5.2000000000000005E-2</v>
        <stp/>
        <stp>152</stp>
        <stp>CBOE</stp>
        <stp>TDA</stp>
        <stp>0</stp>
        <stp>0</stp>
        <stp>0</stp>
        <stp>0</stp>
        <stp>0</stp>
        <tr r="N39" s="68"/>
      </tp>
      <tp>
        <v>1.4400000000000002</v>
        <stp/>
        <stp>167</stp>
        <stp>CBOE</stp>
        <stp>TDA</stp>
        <stp>0</stp>
        <stp>0</stp>
        <stp>0</stp>
        <stp>0</stp>
        <stp>0</stp>
        <tr r="O39" s="68"/>
      </tp>
      <tp>
        <v>43795</v>
        <stp/>
        <stp>170</stp>
        <stp>CBOE</stp>
        <stp>TDA</stp>
        <stp>0</stp>
        <stp>0</stp>
        <stp>0</stp>
        <stp>0</stp>
        <stp>0</stp>
        <tr r="P39" s="68"/>
      </tp>
      <tp>
        <v>120.18</v>
        <stp/>
        <stp>100</stp>
        <stp>CBOE</stp>
        <stp>TDA</stp>
        <stp>0</stp>
        <stp>0</stp>
        <stp>0</stp>
        <stp>0</stp>
        <stp>0</stp>
        <tr r="O13" s="67"/>
        <tr r="O29" s="67"/>
        <tr r="B39" s="68"/>
      </tp>
      <tp>
        <v>124.88000000000001</v>
        <stp/>
        <stp>111</stp>
        <stp>CBOE</stp>
        <stp>TDA</stp>
        <stp>0</stp>
        <stp>0</stp>
        <stp>0</stp>
        <stp>0</stp>
        <stp>0</stp>
        <tr r="K39" s="68"/>
      </tp>
      <tp>
        <v>87.867800000000003</v>
        <stp/>
        <stp>110</stp>
        <stp>CBOE</stp>
        <stp>TDA</stp>
        <stp>0</stp>
        <stp>0</stp>
        <stp>0</stp>
        <stp>0</stp>
        <stp>0</stp>
        <tr r="J39" s="68"/>
      </tp>
      <tp t="s">
        <v>Cboe Global Markets, Inc. Common Stock</v>
        <stp/>
        <stp>112</stp>
        <stp>CBOE</stp>
        <stp>TDA</stp>
        <stp>0</stp>
        <stp>0</stp>
        <stp>0</stp>
        <stp>0</stp>
        <stp>0</stp>
        <tr r="B29" s="67"/>
        <tr r="B13" s="67"/>
      </tp>
      <tp>
        <v>9.1613225618388791E-2</v>
        <stp/>
        <stp>115</stp>
        <stp>CBOE</stp>
        <stp>TDA</stp>
        <stp>0</stp>
        <stp>0</stp>
        <stp>0</stp>
        <stp>0</stp>
        <stp>0</stp>
        <tr r="I39" s="68"/>
      </tp>
      <tp>
        <v>1.2</v>
        <stp/>
        <stp>117</stp>
        <stp>CBOE</stp>
        <stp>TDA</stp>
        <stp>0</stp>
        <stp>0</stp>
        <stp>0</stp>
        <stp>0</stp>
        <stp>0</stp>
        <tr r="M39" s="68"/>
      </tp>
      <tp>
        <v>31.341200000000001</v>
        <stp/>
        <stp>124</stp>
        <stp>CBOE</stp>
        <stp>TDA</stp>
        <stp>0</stp>
        <stp>0</stp>
        <stp>0</stp>
        <stp>0</stp>
        <stp>0</stp>
        <tr r="L39" s="68"/>
      </tp>
      <tp>
        <v>1</v>
        <stp/>
        <stp>210</stp>
        <stp>ADBE</stp>
        <stp>TDA</stp>
        <stp>0</stp>
        <stp>0</stp>
        <stp>0</stp>
        <stp>0</stp>
        <stp>0</stp>
        <tr r="Q7" s="68"/>
      </tp>
      <tp t="s">
        <v>The Trade Desk, Inc.</v>
        <stp/>
        <stp>112</stp>
        <stp>TTD</stp>
        <stp/>
        <stp>0</stp>
        <stp>0</stp>
        <stp>0</stp>
        <stp>0</stp>
        <stp>0</stp>
        <tr r="H9" s="68"/>
      </tp>
      <tp t="s">
        <v>Zendesk, Inc.</v>
        <stp/>
        <stp>112</stp>
        <stp>ZEN</stp>
        <stp/>
        <stp>0</stp>
        <stp>0</stp>
        <stp>0</stp>
        <stp>0</stp>
        <stp>0</stp>
        <tr r="H29" s="68"/>
      </tp>
      <tp t="s">
        <v>Zuora, Inc.</v>
        <stp/>
        <stp>112</stp>
        <stp>ZUO</stp>
        <stp/>
        <stp>0</stp>
        <stp>0</stp>
        <stp>0</stp>
        <stp>0</stp>
        <stp>0</stp>
        <tr r="H45" s="68"/>
      </tp>
      <tp t="s">
        <v>Brookfield Asset Management Inc</v>
        <stp/>
        <stp>112</stp>
        <stp>BAM</stp>
        <stp/>
        <stp>0</stp>
        <stp>0</stp>
        <stp>0</stp>
        <stp>0</stp>
        <stp>0</stp>
        <tr r="H34" s="68"/>
      </tp>
      <tp t="s">
        <v>CME Group Inc.</v>
        <stp/>
        <stp>112</stp>
        <stp>CME</stp>
        <stp/>
        <stp>0</stp>
        <stp>0</stp>
        <stp>0</stp>
        <stp>0</stp>
        <stp>0</stp>
        <tr r="H10" s="68"/>
      </tp>
      <tp t="s">
        <v>ConAgra Brands, Inc.</v>
        <stp/>
        <stp>112</stp>
        <stp>CAG</stp>
        <stp/>
        <stp>0</stp>
        <stp>0</stp>
        <stp>0</stp>
        <stp>0</stp>
        <stp>0</stp>
        <tr r="H53" s="68"/>
      </tp>
      <tp t="s">
        <v>Salesforce.com Inc</v>
        <stp/>
        <stp>112</stp>
        <stp>CRM</stp>
        <stp/>
        <stp>0</stp>
        <stp>0</stp>
        <stp>0</stp>
        <stp>0</stp>
        <stp>0</stp>
        <tr r="H13" s="68"/>
      </tp>
      <tp t="s">
        <v>American Tower Corporation (REI</v>
        <stp/>
        <stp>112</stp>
        <stp>AMT</stp>
        <stp/>
        <stp>0</stp>
        <stp>0</stp>
        <stp>0</stp>
        <stp>0</stp>
        <stp>0</stp>
        <tr r="H17" s="68"/>
      </tp>
      <tp t="s">
        <v>FactSet Research Systems Inc.</v>
        <stp/>
        <stp>112</stp>
        <stp>FDS</stp>
        <stp/>
        <stp>0</stp>
        <stp>0</stp>
        <stp>0</stp>
        <stp>0</stp>
        <stp>0</stp>
        <tr r="H8" s="68"/>
      </tp>
      <tp t="s">
        <v>Walt Disney Company (The)</v>
        <stp/>
        <stp>112</stp>
        <stp>DIS</stp>
        <stp/>
        <stp>0</stp>
        <stp>0</stp>
        <stp>0</stp>
        <stp>0</stp>
        <stp>0</stp>
        <tr r="H54" s="68"/>
      </tp>
      <tp t="s">
        <v>Equifax, Inc.</v>
        <stp/>
        <stp>112</stp>
        <stp>EFX</stp>
        <stp/>
        <stp>0</stp>
        <stp>0</stp>
        <stp>0</stp>
        <stp>0</stp>
        <stp>0</stp>
        <tr r="H57" s="68"/>
      </tp>
      <tp t="s">
        <v>Johnson &amp; Johnson</v>
        <stp/>
        <stp>112</stp>
        <stp>JNJ</stp>
        <stp/>
        <stp>0</stp>
        <stp>0</stp>
        <stp>0</stp>
        <stp>0</stp>
        <stp>0</stp>
        <tr r="H30" s="68"/>
      </tp>
      <tp t="s">
        <v>Kinder Morgan, Inc.</v>
        <stp/>
        <stp>112</stp>
        <stp>KMI</stp>
        <stp/>
        <stp>0</stp>
        <stp>0</stp>
        <stp>0</stp>
        <stp>0</stp>
        <stp>0</stp>
        <tr r="H42" s="68"/>
      </tp>
      <tp t="s">
        <v>NVR, Inc.</v>
        <stp/>
        <stp>112</stp>
        <stp>NVR</stp>
        <stp/>
        <stp>0</stp>
        <stp>0</stp>
        <stp>0</stp>
        <stp>0</stp>
        <stp>0</stp>
        <tr r="H2" s="68"/>
      </tp>
      <tp t="s">
        <v>Marriott International</v>
        <stp/>
        <stp>112</stp>
        <stp>MAR</stp>
        <stp/>
        <stp>0</stp>
        <stp>0</stp>
        <stp>0</stp>
        <stp>0</stp>
        <stp>0</stp>
        <tr r="H16" s="68"/>
      </tp>
      <tp t="s">
        <v>Medtronic plc.</v>
        <stp/>
        <stp>112</stp>
        <stp>MDT</stp>
        <stp/>
        <stp>0</stp>
        <stp>0</stp>
        <stp>0</stp>
        <stp>0</stp>
        <stp>0</stp>
        <tr r="H20" s="68"/>
      </tp>
      <tp>
        <v>6.9500000000000006E-2</v>
        <stp/>
        <stp>152</stp>
        <stp>ZM</stp>
        <stp>TDA</stp>
        <stp>0</stp>
        <stp>0</stp>
        <stp>0</stp>
        <stp>0</stp>
        <stp>0</stp>
        <tr r="N32" s="68"/>
      </tp>
      <tp>
        <v>1577.13</v>
        <stp/>
        <stp>124</stp>
        <stp>ZM</stp>
        <stp>TDA</stp>
        <stp>0</stp>
        <stp>0</stp>
        <stp>0</stp>
        <stp>0</stp>
        <stp>0</stp>
        <tr r="L32" s="68"/>
      </tp>
      <tp>
        <v>1</v>
        <stp/>
        <stp>210</stp>
        <stp>NVDA</stp>
        <stp>TDA</stp>
        <stp>0</stp>
        <stp>0</stp>
        <stp>0</stp>
        <stp>0</stp>
        <stp>0</stp>
        <tr r="Q50" s="68"/>
      </tp>
      <tp>
        <v>208.79000000000002</v>
        <stp/>
        <stp>100</stp>
        <stp>NVDA</stp>
        <stp>TDA</stp>
        <stp>0</stp>
        <stp>0</stp>
        <stp>0</stp>
        <stp>0</stp>
        <stp>0</stp>
        <tr r="O45" s="67"/>
        <tr r="O21" s="67"/>
        <tr r="A2" s="58"/>
        <tr r="A51" s="61"/>
        <tr r="A3" s="61"/>
        <tr r="A27" s="61"/>
        <tr r="A99" s="61"/>
        <tr r="A75" s="61"/>
        <tr r="B50" s="68"/>
      </tp>
      <tp t="s">
        <v>NVIDIA Corporation - Common Stock</v>
        <stp/>
        <stp>112</stp>
        <stp>NVDA</stp>
        <stp>TDA</stp>
        <stp>0</stp>
        <stp>0</stp>
        <stp>0</stp>
        <stp>0</stp>
        <stp>0</stp>
        <tr r="B21" s="67"/>
        <tr r="B45" s="67"/>
      </tp>
      <tp>
        <v>124.46000000000001</v>
        <stp/>
        <stp>110</stp>
        <stp>NVDA</stp>
        <stp>TDA</stp>
        <stp>0</stp>
        <stp>0</stp>
        <stp>0</stp>
        <stp>0</stp>
        <stp>0</stp>
        <tr r="J50" s="68"/>
      </tp>
      <tp>
        <v>221.41</v>
        <stp/>
        <stp>111</stp>
        <stp>NVDA</stp>
        <stp>TDA</stp>
        <stp>0</stp>
        <stp>0</stp>
        <stp>0</stp>
        <stp>0</stp>
        <stp>0</stp>
        <tr r="K50" s="68"/>
      </tp>
      <tp>
        <v>0.31</v>
        <stp/>
        <stp>117</stp>
        <stp>NVDA</stp>
        <stp>TDA</stp>
        <stp>0</stp>
        <stp>0</stp>
        <stp>0</stp>
        <stp>0</stp>
        <stp>0</stp>
        <tr r="M50" s="68"/>
      </tp>
      <tp>
        <v>0.54415872098623896</v>
        <stp/>
        <stp>115</stp>
        <stp>NVDA</stp>
        <stp>TDA</stp>
        <stp>0</stp>
        <stp>0</stp>
        <stp>0</stp>
        <stp>0</stp>
        <stp>0</stp>
        <tr r="I50" s="68"/>
      </tp>
      <tp>
        <v>59.267700000000005</v>
        <stp/>
        <stp>124</stp>
        <stp>NVDA</stp>
        <stp>TDA</stp>
        <stp>0</stp>
        <stp>0</stp>
        <stp>0</stp>
        <stp>0</stp>
        <stp>0</stp>
        <tr r="L50" s="68"/>
      </tp>
      <tp>
        <v>1.9800000000000002E-2</v>
        <stp/>
        <stp>152</stp>
        <stp>NVDA</stp>
        <stp>TDA</stp>
        <stp>0</stp>
        <stp>0</stp>
        <stp>0</stp>
        <stp>0</stp>
        <stp>0</stp>
        <tr r="A20" s="61"/>
        <tr r="N50" s="68"/>
      </tp>
      <tp>
        <v>0.64</v>
        <stp/>
        <stp>167</stp>
        <stp>NVDA</stp>
        <stp>TDA</stp>
        <stp>0</stp>
        <stp>0</stp>
        <stp>0</stp>
        <stp>0</stp>
        <stp>0</stp>
        <tr r="O50" s="68"/>
      </tp>
      <tp>
        <v>43796</v>
        <stp/>
        <stp>170</stp>
        <stp>NVDA</stp>
        <stp>TDA</stp>
        <stp>0</stp>
        <stp>0</stp>
        <stp>0</stp>
        <stp>0</stp>
        <stp>0</stp>
        <tr r="P50" s="68"/>
      </tp>
      <tp>
        <v>70.05</v>
        <stp/>
        <stp>100</stp>
        <stp>ZM</stp>
        <stp>TDA</stp>
        <stp>0</stp>
        <stp>0</stp>
        <stp>0</stp>
        <stp>0</stp>
        <stp>0</stp>
        <tr r="O28" s="67"/>
        <tr r="O40" s="67"/>
        <tr r="B32" s="68"/>
      </tp>
      <tp>
        <v>9.9299999999999999E-2</v>
        <stp/>
        <stp>152</stp>
        <stp>PRLB</stp>
        <stp>TDA</stp>
        <stp>0</stp>
        <stp>0</stp>
        <stp>0</stp>
        <stp>0</stp>
        <stp>0</stp>
        <tr r="N25" s="68"/>
      </tp>
      <tp>
        <v>0</v>
        <stp/>
        <stp>167</stp>
        <stp>PRLB</stp>
        <stp>TDA</stp>
        <stp>0</stp>
        <stp>0</stp>
        <stp>0</stp>
        <stp>0</stp>
        <stp>0</stp>
        <tr r="O25" s="68"/>
      </tp>
      <tp>
        <v>0</v>
        <stp/>
        <stp>170</stp>
        <stp>PRLB</stp>
        <stp>TDA</stp>
        <stp>0</stp>
        <stp>0</stp>
        <stp>0</stp>
        <stp>0</stp>
        <stp>0</stp>
        <tr r="P25" s="68"/>
      </tp>
      <tp>
        <v>94.75</v>
        <stp/>
        <stp>100</stp>
        <stp>PRLB</stp>
        <stp>TDA</stp>
        <stp>0</stp>
        <stp>0</stp>
        <stp>0</stp>
        <stp>0</stp>
        <stp>0</stp>
        <tr r="O56" s="67"/>
        <tr r="G56" s="67"/>
        <tr r="B25" s="68"/>
      </tp>
      <tp t="s">
        <v>Proto Labs, Inc. Common stock</v>
        <stp/>
        <stp>112</stp>
        <stp>PRLB</stp>
        <stp>TDA</stp>
        <stp>0</stp>
        <stp>0</stp>
        <stp>0</stp>
        <stp>0</stp>
        <stp>0</stp>
        <tr r="B56" s="67"/>
      </tp>
      <tp>
        <v>88.75</v>
        <stp/>
        <stp>110</stp>
        <stp>PRLB</stp>
        <stp>TDA</stp>
        <stp>0</stp>
        <stp>0</stp>
        <stp>0</stp>
        <stp>0</stp>
        <stp>0</stp>
        <tr r="J25" s="68"/>
      </tp>
      <tp>
        <v>131.85330000000002</v>
        <stp/>
        <stp>111</stp>
        <stp>PRLB</stp>
        <stp>TDA</stp>
        <stp>0</stp>
        <stp>0</stp>
        <stp>0</stp>
        <stp>0</stp>
        <stp>0</stp>
        <tr r="K25" s="68"/>
      </tp>
      <tp>
        <v>0</v>
        <stp/>
        <stp>117</stp>
        <stp>PRLB</stp>
        <stp>TDA</stp>
        <stp>0</stp>
        <stp>0</stp>
        <stp>0</stp>
        <stp>0</stp>
        <stp>0</stp>
        <tr r="M25" s="68"/>
      </tp>
      <tp>
        <v>1.4345359169253711</v>
        <stp/>
        <stp>115</stp>
        <stp>PRLB</stp>
        <stp>TDA</stp>
        <stp>0</stp>
        <stp>0</stp>
        <stp>0</stp>
        <stp>0</stp>
        <stp>0</stp>
        <tr r="I25" s="68"/>
      </tp>
      <tp>
        <v>38.18</v>
        <stp/>
        <stp>124</stp>
        <stp>PRLB</stp>
        <stp>TDA</stp>
        <stp>0</stp>
        <stp>0</stp>
        <stp>0</stp>
        <stp>0</stp>
        <stp>0</stp>
        <tr r="L25" s="68"/>
      </tp>
      <tp>
        <v>1</v>
        <stp/>
        <stp>210</stp>
        <stp>PRLB</stp>
        <stp>TDA</stp>
        <stp>0</stp>
        <stp>0</stp>
        <stp>0</stp>
        <stp>0</stp>
        <stp>0</stp>
        <tr r="Q25" s="68"/>
      </tp>
      <tp>
        <v>59.940000000000005</v>
        <stp/>
        <stp>110</stp>
        <stp>ZM</stp>
        <stp>TDA</stp>
        <stp>0</stp>
        <stp>0</stp>
        <stp>0</stp>
        <stp>0</stp>
        <stp>0</stp>
        <tr r="J32" s="68"/>
      </tp>
      <tp>
        <v>1</v>
        <stp/>
        <stp>210</stp>
        <stp>ZM</stp>
        <stp>TDA</stp>
        <stp>0</stp>
        <stp>0</stp>
        <stp>0</stp>
        <stp>0</stp>
        <stp>0</stp>
        <tr r="Q32" s="68"/>
      </tp>
      <tp>
        <v>107.34</v>
        <stp/>
        <stp>111</stp>
        <stp>ZM</stp>
        <stp>TDA</stp>
        <stp>0</stp>
        <stp>0</stp>
        <stp>0</stp>
        <stp>0</stp>
        <stp>0</stp>
        <tr r="K32" s="68"/>
      </tp>
      <tp>
        <v>0</v>
        <stp/>
        <stp>170</stp>
        <stp>PAYC</stp>
        <stp>TDA</stp>
        <stp>0</stp>
        <stp>0</stp>
        <stp>0</stp>
        <stp>0</stp>
        <stp>0</stp>
        <tr r="P5" s="68"/>
      </tp>
      <tp>
        <v>0</v>
        <stp/>
        <stp>167</stp>
        <stp>PAYC</stp>
        <stp>TDA</stp>
        <stp>0</stp>
        <stp>0</stp>
        <stp>0</stp>
        <stp>0</stp>
        <stp>0</stp>
        <tr r="O5" s="68"/>
      </tp>
      <tp>
        <v>7.1099999999999997E-2</v>
        <stp/>
        <stp>152</stp>
        <stp>PAYC</stp>
        <stp>TDA</stp>
        <stp>0</stp>
        <stp>0</stp>
        <stp>0</stp>
        <stp>0</stp>
        <stp>0</stp>
        <tr r="N5" s="68"/>
      </tp>
      <tp>
        <v>93.09</v>
        <stp/>
        <stp>124</stp>
        <stp>PAYC</stp>
        <stp>TDA</stp>
        <stp>0</stp>
        <stp>0</stp>
        <stp>0</stp>
        <stp>0</stp>
        <stp>0</stp>
        <tr r="L5" s="68"/>
      </tp>
      <tp>
        <v>0</v>
        <stp/>
        <stp>117</stp>
        <stp>PAYC</stp>
        <stp>TDA</stp>
        <stp>0</stp>
        <stp>0</stp>
        <stp>0</stp>
        <stp>0</stp>
        <stp>0</stp>
        <tr r="M5" s="68"/>
      </tp>
      <tp>
        <v>-2.9582516732605139E-2</v>
        <stp/>
        <stp>115</stp>
        <stp>PAYC</stp>
        <stp>TDA</stp>
        <stp>0</stp>
        <stp>0</stp>
        <stp>0</stp>
        <stp>0</stp>
        <stp>0</stp>
        <tr r="I5" s="68"/>
      </tp>
      <tp t="s">
        <v>Paycom Software, Inc. Common Stock</v>
        <stp/>
        <stp>112</stp>
        <stp>PAYC</stp>
        <stp>TDA</stp>
        <stp>0</stp>
        <stp>0</stp>
        <stp>0</stp>
        <stp>0</stp>
        <stp>0</stp>
        <tr r="B39" s="67"/>
        <tr r="B38" s="67"/>
        <tr r="B22" s="67"/>
      </tp>
      <tp>
        <v>279.95</v>
        <stp/>
        <stp>111</stp>
        <stp>PAYC</stp>
        <stp>TDA</stp>
        <stp>0</stp>
        <stp>0</stp>
        <stp>0</stp>
        <stp>0</stp>
        <stp>0</stp>
        <tr r="K5" s="68"/>
      </tp>
      <tp>
        <v>111.48</v>
        <stp/>
        <stp>110</stp>
        <stp>PAYC</stp>
        <stp>TDA</stp>
        <stp>0</stp>
        <stp>0</stp>
        <stp>0</stp>
        <stp>0</stp>
        <stp>0</stp>
        <tr r="J5" s="68"/>
      </tp>
      <tp>
        <v>270.35000000000002</v>
        <stp/>
        <stp>100</stp>
        <stp>PAYC</stp>
        <stp>TDA</stp>
        <stp>0</stp>
        <stp>0</stp>
        <stp>0</stp>
        <stp>0</stp>
        <stp>0</stp>
        <tr r="O38" s="67"/>
        <tr r="O39" s="67"/>
        <tr r="O22" s="67"/>
        <tr r="B5" s="68"/>
      </tp>
      <tp t="s">
        <v>Zoom Video Communications, Inc. - Class A Common Stock</v>
        <stp/>
        <stp>112</stp>
        <stp>ZM</stp>
        <stp>TDA</stp>
        <stp>0</stp>
        <stp>0</stp>
        <stp>0</stp>
        <stp>0</stp>
        <stp>0</stp>
        <tr r="B28" s="67"/>
        <tr r="B40" s="67"/>
      </tp>
      <tp>
        <v>1</v>
        <stp/>
        <stp>210</stp>
        <stp>PAYC</stp>
        <stp>TDA</stp>
        <stp>0</stp>
        <stp>0</stp>
        <stp>0</stp>
        <stp>0</stp>
        <stp>0</stp>
        <tr r="Q5" s="68"/>
      </tp>
      <tp>
        <v>4.2844901456707968E-2</v>
        <stp/>
        <stp>115</stp>
        <stp>ZM</stp>
        <stp>TDA</stp>
        <stp>0</stp>
        <stp>0</stp>
        <stp>0</stp>
        <stp>0</stp>
        <stp>0</stp>
        <tr r="I32" s="68"/>
      </tp>
      <tp>
        <v>0</v>
        <stp/>
        <stp>124</stp>
        <stp>TDOC</stp>
        <stp>TDA</stp>
        <stp>0</stp>
        <stp>0</stp>
        <stp>0</stp>
        <stp>0</stp>
        <stp>0</stp>
        <tr r="L27" s="68"/>
      </tp>
      <tp>
        <v>79.855000000000004</v>
        <stp/>
        <stp>100</stp>
        <stp>TDOC</stp>
        <stp>TDA</stp>
        <stp>0</stp>
        <stp>0</stp>
        <stp>0</stp>
        <stp>0</stp>
        <stp>0</stp>
        <tr r="O89" s="67"/>
        <tr r="G89" s="67"/>
        <tr r="B27" s="68"/>
      </tp>
      <tp>
        <v>86.3</v>
        <stp/>
        <stp>111</stp>
        <stp>TDOC</stp>
        <stp>TDA</stp>
        <stp>0</stp>
        <stp>0</stp>
        <stp>0</stp>
        <stp>0</stp>
        <stp>0</stp>
        <tr r="K27" s="68"/>
      </tp>
      <tp>
        <v>42.080000000000005</v>
        <stp/>
        <stp>110</stp>
        <stp>TDOC</stp>
        <stp>TDA</stp>
        <stp>0</stp>
        <stp>0</stp>
        <stp>0</stp>
        <stp>0</stp>
        <stp>0</stp>
        <tr r="J27" s="68"/>
      </tp>
      <tp t="s">
        <v>Teladoc Health, Inc. Common Stock</v>
        <stp/>
        <stp>112</stp>
        <stp>TDOC</stp>
        <stp>TDA</stp>
        <stp>0</stp>
        <stp>0</stp>
        <stp>0</stp>
        <stp>0</stp>
        <stp>0</stp>
        <tr r="B89" s="67"/>
      </tp>
      <tp>
        <v>1.2360547667342725</v>
        <stp/>
        <stp>115</stp>
        <stp>TDOC</stp>
        <stp>TDA</stp>
        <stp>0</stp>
        <stp>0</stp>
        <stp>0</stp>
        <stp>0</stp>
        <stp>0</stp>
        <tr r="I27" s="68"/>
      </tp>
      <tp>
        <v>0</v>
        <stp/>
        <stp>117</stp>
        <stp>TDOC</stp>
        <stp>TDA</stp>
        <stp>0</stp>
        <stp>0</stp>
        <stp>0</stp>
        <stp>0</stp>
        <stp>0</stp>
        <tr r="M27" s="68"/>
      </tp>
      <tp>
        <v>0</v>
        <stp/>
        <stp>167</stp>
        <stp>TDOC</stp>
        <stp>TDA</stp>
        <stp>0</stp>
        <stp>0</stp>
        <stp>0</stp>
        <stp>0</stp>
        <stp>0</stp>
        <tr r="O27" s="68"/>
      </tp>
      <tp>
        <v>0</v>
        <stp/>
        <stp>170</stp>
        <stp>TDOC</stp>
        <stp>TDA</stp>
        <stp>0</stp>
        <stp>0</stp>
        <stp>0</stp>
        <stp>0</stp>
        <stp>0</stp>
        <tr r="P27" s="68"/>
      </tp>
      <tp>
        <v>5.1800000000000006E-2</v>
        <stp/>
        <stp>152</stp>
        <stp>TDOC</stp>
        <stp>TDA</stp>
        <stp>0</stp>
        <stp>0</stp>
        <stp>0</stp>
        <stp>0</stp>
        <stp>0</stp>
        <tr r="N27" s="68"/>
      </tp>
      <tp>
        <v>1</v>
        <stp/>
        <stp>210</stp>
        <stp>TDOC</stp>
        <stp>TDA</stp>
        <stp>0</stp>
        <stp>0</stp>
        <stp>0</stp>
        <stp>0</stp>
        <stp>0</stp>
        <tr r="Q27" s="68"/>
      </tp>
      <tp>
        <v>0</v>
        <stp/>
        <stp>117</stp>
        <stp>ZM</stp>
        <stp>TDA</stp>
        <stp>0</stp>
        <stp>0</stp>
        <stp>0</stp>
        <stp>0</stp>
        <stp>0</stp>
        <tr r="M32" s="68"/>
      </tp>
      <tp>
        <v>123.02000000000001</v>
        <stp/>
        <stp>110</stp>
        <stp>FB</stp>
        <stp>TDA</stp>
        <stp>0</stp>
        <stp>0</stp>
        <stp>0</stp>
        <stp>0</stp>
        <stp>0</stp>
        <tr r="J55" s="68"/>
      </tp>
      <tp>
        <v>1</v>
        <stp/>
        <stp>210</stp>
        <stp>FB</stp>
        <stp>TDA</stp>
        <stp>0</stp>
        <stp>0</stp>
        <stp>0</stp>
        <stp>0</stp>
        <stp>0</stp>
        <tr r="Q55" s="68"/>
      </tp>
      <tp>
        <v>0</v>
        <stp/>
        <stp>170</stp>
        <stp>JD</stp>
        <stp>TDA</stp>
        <stp>0</stp>
        <stp>0</stp>
        <stp>0</stp>
        <stp>0</stp>
        <stp>0</stp>
        <tr r="P46" s="68"/>
      </tp>
      <tp>
        <v>43803</v>
        <stp/>
        <stp>170</stp>
        <stp>HD</stp>
        <stp>TDA</stp>
        <stp>0</stp>
        <stp>0</stp>
        <stp>0</stp>
        <stp>0</stp>
        <stp>0</stp>
        <tr r="P38" s="68"/>
      </tp>
      <tp>
        <v>208.66</v>
        <stp/>
        <stp>111</stp>
        <stp>FB</stp>
        <stp>TDA</stp>
        <stp>0</stp>
        <stp>0</stp>
        <stp>0</stp>
        <stp>0</stp>
        <stp>0</stp>
        <tr r="K55" s="68"/>
      </tp>
      <tp>
        <v>0</v>
        <stp/>
        <stp>170</stp>
        <stp>PYPL</stp>
        <stp>TDA</stp>
        <stp>0</stp>
        <stp>0</stp>
        <stp>0</stp>
        <stp>0</stp>
        <stp>0</stp>
        <tr r="P18" s="68"/>
      </tp>
      <tp>
        <v>0</v>
        <stp/>
        <stp>167</stp>
        <stp>PYPL</stp>
        <stp>TDA</stp>
        <stp>0</stp>
        <stp>0</stp>
        <stp>0</stp>
        <stp>0</stp>
        <stp>0</stp>
        <tr r="O18" s="68"/>
      </tp>
      <tp>
        <v>1.1900000000000001E-2</v>
        <stp/>
        <stp>152</stp>
        <stp>PYPL</stp>
        <stp>TDA</stp>
        <stp>0</stp>
        <stp>0</stp>
        <stp>0</stp>
        <stp>0</stp>
        <stp>0</stp>
        <tr r="N18" s="68"/>
      </tp>
      <tp>
        <v>49.17</v>
        <stp/>
        <stp>124</stp>
        <stp>PYPL</stp>
        <stp>TDA</stp>
        <stp>0</stp>
        <stp>0</stp>
        <stp>0</stp>
        <stp>0</stp>
        <stp>0</stp>
        <tr r="L18" s="68"/>
      </tp>
      <tp>
        <v>0</v>
        <stp/>
        <stp>117</stp>
        <stp>PYPL</stp>
        <stp>TDA</stp>
        <stp>0</stp>
        <stp>0</stp>
        <stp>0</stp>
        <stp>0</stp>
        <stp>0</stp>
        <tr r="M18" s="68"/>
      </tp>
      <tp>
        <v>-0.57770622218013012</v>
        <stp/>
        <stp>115</stp>
        <stp>PYPL</stp>
        <stp>TDA</stp>
        <stp>0</stp>
        <stp>0</stp>
        <stp>0</stp>
        <stp>0</stp>
        <stp>0</stp>
        <tr r="I18" s="68"/>
      </tp>
      <tp t="s">
        <v>PayPal Holdings, Inc. - Common Stock</v>
        <stp/>
        <stp>112</stp>
        <stp>PYPL</stp>
        <stp>TDA</stp>
        <stp>0</stp>
        <stp>0</stp>
        <stp>0</stp>
        <stp>0</stp>
        <stp>0</stp>
        <tr r="B51" s="67"/>
        <tr r="B9" s="67"/>
        <tr r="B87" s="67"/>
      </tp>
      <tp>
        <v>76.7</v>
        <stp/>
        <stp>110</stp>
        <stp>PYPL</stp>
        <stp>TDA</stp>
        <stp>0</stp>
        <stp>0</stp>
        <stp>0</stp>
        <stp>0</stp>
        <stp>0</stp>
        <tr r="J18" s="68"/>
      </tp>
      <tp>
        <v>121.48</v>
        <stp/>
        <stp>111</stp>
        <stp>PYPL</stp>
        <stp>TDA</stp>
        <stp>0</stp>
        <stp>0</stp>
        <stp>0</stp>
        <stp>0</stp>
        <stp>0</stp>
        <tr r="K18" s="68"/>
      </tp>
      <tp>
        <v>104.98</v>
        <stp/>
        <stp>100</stp>
        <stp>PYPL</stp>
        <stp>TDA</stp>
        <stp>0</stp>
        <stp>0</stp>
        <stp>0</stp>
        <stp>0</stp>
        <stp>0</stp>
        <tr r="O9" s="67"/>
        <tr r="O51" s="67"/>
        <tr r="O87" s="67"/>
        <tr r="G87" s="67"/>
        <tr r="B18" s="68"/>
      </tp>
      <tp t="s">
        <v>Facebook, Inc. - Class A Common Stock</v>
        <stp/>
        <stp>112</stp>
        <stp>FB</stp>
        <stp>TDA</stp>
        <stp>0</stp>
        <stp>0</stp>
        <stp>0</stp>
        <stp>0</stp>
        <stp>0</stp>
        <tr r="B41" s="67"/>
        <tr r="B16" s="67"/>
        <tr r="B17" s="67"/>
      </tp>
      <tp>
        <v>1</v>
        <stp/>
        <stp>210</stp>
        <stp>PYPL</stp>
        <stp>TDA</stp>
        <stp>0</stp>
        <stp>0</stp>
        <stp>0</stp>
        <stp>0</stp>
        <stp>0</stp>
        <tr r="Q18" s="68"/>
      </tp>
      <tp>
        <v>42.982300000000002</v>
        <stp/>
        <stp>124</stp>
        <stp>MA</stp>
        <stp>TDA</stp>
        <stp>0</stp>
        <stp>0</stp>
        <stp>0</stp>
        <stp>0</stp>
        <stp>0</stp>
        <tr r="L14" s="68"/>
      </tp>
      <tp>
        <v>0.16094960265566499</v>
        <stp/>
        <stp>115</stp>
        <stp>FB</stp>
        <stp>TDA</stp>
        <stp>0</stp>
        <stp>0</stp>
        <stp>0</stp>
        <stp>0</stp>
        <stp>0</stp>
        <tr r="I55" s="68"/>
      </tp>
      <tp>
        <v>0</v>
        <stp/>
        <stp>117</stp>
        <stp>FB</stp>
        <stp>TDA</stp>
        <stp>0</stp>
        <stp>0</stp>
        <stp>0</stp>
        <stp>0</stp>
        <stp>0</stp>
        <tr r="M55" s="68"/>
      </tp>
      <tp>
        <v>43776</v>
        <stp/>
        <stp>170</stp>
        <stp>AAPL</stp>
        <stp>TDA</stp>
        <stp>0</stp>
        <stp>0</stp>
        <stp>0</stp>
        <stp>0</stp>
        <stp>0</stp>
        <tr r="P48" s="68"/>
      </tp>
      <tp>
        <v>3.08</v>
        <stp/>
        <stp>167</stp>
        <stp>AAPL</stp>
        <stp>TDA</stp>
        <stp>0</stp>
        <stp>0</stp>
        <stp>0</stp>
        <stp>0</stp>
        <stp>0</stp>
        <tr r="O48" s="68"/>
      </tp>
      <tp>
        <v>1.4500000000000001E-2</v>
        <stp/>
        <stp>152</stp>
        <stp>AAPL</stp>
        <stp>TDA</stp>
        <stp>0</stp>
        <stp>0</stp>
        <stp>0</stp>
        <stp>0</stp>
        <stp>0</stp>
        <tr r="N48" s="68"/>
      </tp>
      <tp>
        <v>22.287100000000002</v>
        <stp/>
        <stp>124</stp>
        <stp>AAPL</stp>
        <stp>TDA</stp>
        <stp>0</stp>
        <stp>0</stp>
        <stp>0</stp>
        <stp>0</stp>
        <stp>0</stp>
        <tr r="L48" s="68"/>
      </tp>
      <tp>
        <v>1.19</v>
        <stp/>
        <stp>117</stp>
        <stp>AAPL</stp>
        <stp>TDA</stp>
        <stp>0</stp>
        <stp>0</stp>
        <stp>0</stp>
        <stp>0</stp>
        <stp>0</stp>
        <tr r="M48" s="68"/>
      </tp>
      <tp>
        <v>1.1163615340142719</v>
        <stp/>
        <stp>115</stp>
        <stp>AAPL</stp>
        <stp>TDA</stp>
        <stp>0</stp>
        <stp>0</stp>
        <stp>0</stp>
        <stp>0</stp>
        <stp>0</stp>
        <tr r="I48" s="68"/>
      </tp>
      <tp t="s">
        <v>Apple Inc. - Common Stock</v>
        <stp/>
        <stp>112</stp>
        <stp>AAPL</stp>
        <stp>TDA</stp>
        <stp>0</stp>
        <stp>0</stp>
        <stp>0</stp>
        <stp>0</stp>
        <stp>0</stp>
        <tr r="B70" s="67"/>
        <tr r="B73" s="67"/>
      </tp>
      <tp>
        <v>142</v>
        <stp/>
        <stp>110</stp>
        <stp>AAPL</stp>
        <stp>TDA</stp>
        <stp>0</stp>
        <stp>0</stp>
        <stp>0</stp>
        <stp>0</stp>
        <stp>0</stp>
        <tr r="J48" s="68"/>
      </tp>
      <tp>
        <v>268.25</v>
        <stp/>
        <stp>111</stp>
        <stp>AAPL</stp>
        <stp>TDA</stp>
        <stp>0</stp>
        <stp>0</stp>
        <stp>0</stp>
        <stp>0</stp>
        <stp>0</stp>
        <tr r="K48" s="68"/>
      </tp>
      <tp>
        <v>262.34640000000002</v>
        <stp/>
        <stp>100</stp>
        <stp>AAPL</stp>
        <stp>TDA</stp>
        <stp>0</stp>
        <stp>0</stp>
        <stp>0</stp>
        <stp>0</stp>
        <stp>0</stp>
        <tr r="O70" s="67"/>
        <tr r="O73" s="67"/>
        <tr r="G73" s="67"/>
        <tr r="B48" s="68"/>
      </tp>
      <tp>
        <v>1</v>
        <stp/>
        <stp>210</stp>
        <stp>AAPL</stp>
        <stp>TDA</stp>
        <stp>0</stp>
        <stp>0</stp>
        <stp>0</stp>
        <stp>0</stp>
        <stp>0</stp>
        <tr r="Q48" s="68"/>
      </tp>
      <tp>
        <v>1</v>
        <stp/>
        <stp>210</stp>
        <stp>KNSL</stp>
        <stp>TDA</stp>
        <stp>0</stp>
        <stp>0</stp>
        <stp>0</stp>
        <stp>0</stp>
        <stp>0</stp>
        <tr r="Q23" s="68"/>
      </tp>
      <tp>
        <v>100.80000000000001</v>
        <stp/>
        <stp>100</stp>
        <stp>KNSL</stp>
        <stp>TDA</stp>
        <stp>0</stp>
        <stp>0</stp>
        <stp>0</stp>
        <stp>0</stp>
        <stp>0</stp>
        <tr r="O71" s="67"/>
        <tr r="G71" s="67"/>
        <tr r="B23" s="68"/>
      </tp>
      <tp>
        <v>-1.2635909491624959</v>
        <stp/>
        <stp>115</stp>
        <stp>KNSL</stp>
        <stp>TDA</stp>
        <stp>0</stp>
        <stp>0</stp>
        <stp>0</stp>
        <stp>0</stp>
        <stp>0</stp>
        <tr r="I23" s="68"/>
      </tp>
      <tp>
        <v>0.31</v>
        <stp/>
        <stp>117</stp>
        <stp>KNSL</stp>
        <stp>TDA</stp>
        <stp>0</stp>
        <stp>0</stp>
        <stp>0</stp>
        <stp>0</stp>
        <stp>0</stp>
        <tr r="M23" s="68"/>
      </tp>
      <tp>
        <v>108.27590000000001</v>
        <stp/>
        <stp>111</stp>
        <stp>KNSL</stp>
        <stp>TDA</stp>
        <stp>0</stp>
        <stp>0</stp>
        <stp>0</stp>
        <stp>0</stp>
        <stp>0</stp>
        <tr r="K23" s="68"/>
      </tp>
      <tp>
        <v>50.34</v>
        <stp/>
        <stp>110</stp>
        <stp>KNSL</stp>
        <stp>TDA</stp>
        <stp>0</stp>
        <stp>0</stp>
        <stp>0</stp>
        <stp>0</stp>
        <stp>0</stp>
        <tr r="J23" s="68"/>
      </tp>
      <tp t="s">
        <v>Kinsale Capital Group, Inc. - Common Stock</v>
        <stp/>
        <stp>112</stp>
        <stp>KNSL</stp>
        <stp>TDA</stp>
        <stp>0</stp>
        <stp>0</stp>
        <stp>0</stp>
        <stp>0</stp>
        <stp>0</stp>
        <tr r="B71" s="67"/>
      </tp>
      <tp>
        <v>44.8294</v>
        <stp/>
        <stp>124</stp>
        <stp>KNSL</stp>
        <stp>TDA</stp>
        <stp>0</stp>
        <stp>0</stp>
        <stp>0</stp>
        <stp>0</stp>
        <stp>0</stp>
        <tr r="L23" s="68"/>
      </tp>
      <tp>
        <v>0.10100000000000001</v>
        <stp/>
        <stp>152</stp>
        <stp>KNSL</stp>
        <stp>TDA</stp>
        <stp>0</stp>
        <stp>0</stp>
        <stp>0</stp>
        <stp>0</stp>
        <stp>0</stp>
        <tr r="N23" s="68"/>
      </tp>
      <tp>
        <v>0.32</v>
        <stp/>
        <stp>167</stp>
        <stp>KNSL</stp>
        <stp>TDA</stp>
        <stp>0</stp>
        <stp>0</stp>
        <stp>0</stp>
        <stp>0</stp>
        <stp>0</stp>
        <tr r="O23" s="68"/>
      </tp>
      <tp>
        <v>43796</v>
        <stp/>
        <stp>170</stp>
        <stp>KNSL</stp>
        <stp>TDA</stp>
        <stp>0</stp>
        <stp>0</stp>
        <stp>0</stp>
        <stp>0</stp>
        <stp>0</stp>
        <tr r="P23" s="68"/>
      </tp>
      <tp>
        <v>1</v>
        <stp/>
        <stp>210</stp>
        <stp>ORCL</stp>
        <stp>TDA</stp>
        <stp>0</stp>
        <stp>0</stp>
        <stp>0</stp>
        <stp>0</stp>
        <stp>0</stp>
        <tr r="Q31" s="68"/>
      </tp>
      <tp>
        <v>9.300000000000001E-3</v>
        <stp/>
        <stp>152</stp>
        <stp>ORCL</stp>
        <stp>TDA</stp>
        <stp>0</stp>
        <stp>0</stp>
        <stp>0</stp>
        <stp>0</stp>
        <stp>0</stp>
        <tr r="N31" s="68"/>
      </tp>
      <tp>
        <v>0.96000000000000008</v>
        <stp/>
        <stp>167</stp>
        <stp>ORCL</stp>
        <stp>TDA</stp>
        <stp>0</stp>
        <stp>0</stp>
        <stp>0</stp>
        <stp>0</stp>
        <stp>0</stp>
        <tr r="O31" s="68"/>
      </tp>
      <tp>
        <v>43747</v>
        <stp/>
        <stp>170</stp>
        <stp>ORCL</stp>
        <stp>TDA</stp>
        <stp>0</stp>
        <stp>0</stp>
        <stp>0</stp>
        <stp>0</stp>
        <stp>0</stp>
        <tr r="P31" s="68"/>
      </tp>
      <tp>
        <v>54.375</v>
        <stp/>
        <stp>100</stp>
        <stp>ORCL</stp>
        <stp>TDA</stp>
        <stp>0</stp>
        <stp>0</stp>
        <stp>0</stp>
        <stp>0</stp>
        <stp>0</stp>
        <tr r="O8" s="67"/>
        <tr r="O36" s="67"/>
        <tr r="O37" s="67"/>
        <tr r="G37" s="67"/>
        <tr r="B31" s="68"/>
      </tp>
      <tp>
        <v>-0.39384502656164755</v>
        <stp/>
        <stp>115</stp>
        <stp>ORCL</stp>
        <stp>TDA</stp>
        <stp>0</stp>
        <stp>0</stp>
        <stp>0</stp>
        <stp>0</stp>
        <stp>0</stp>
        <tr r="I31" s="68"/>
      </tp>
      <tp>
        <v>1.76</v>
        <stp/>
        <stp>117</stp>
        <stp>ORCL</stp>
        <stp>TDA</stp>
        <stp>0</stp>
        <stp>0</stp>
        <stp>0</stp>
        <stp>0</stp>
        <stp>0</stp>
        <tr r="M31" s="68"/>
      </tp>
      <tp>
        <v>60.5</v>
        <stp/>
        <stp>111</stp>
        <stp>ORCL</stp>
        <stp>TDA</stp>
        <stp>0</stp>
        <stp>0</stp>
        <stp>0</stp>
        <stp>0</stp>
        <stp>0</stp>
        <tr r="K31" s="68"/>
      </tp>
      <tp>
        <v>42.4</v>
        <stp/>
        <stp>110</stp>
        <stp>ORCL</stp>
        <stp>TDA</stp>
        <stp>0</stp>
        <stp>0</stp>
        <stp>0</stp>
        <stp>0</stp>
        <stp>0</stp>
        <tr r="J31" s="68"/>
      </tp>
      <tp t="s">
        <v>Oracle Corporation Common Stock</v>
        <stp/>
        <stp>112</stp>
        <stp>ORCL</stp>
        <stp>TDA</stp>
        <stp>0</stp>
        <stp>0</stp>
        <stp>0</stp>
        <stp>0</stp>
        <stp>0</stp>
        <tr r="B36" s="67"/>
        <tr r="B8" s="67"/>
        <tr r="B37" s="67"/>
      </tp>
      <tp>
        <v>18.4664</v>
        <stp/>
        <stp>124</stp>
        <stp>ORCL</stp>
        <stp>TDA</stp>
        <stp>0</stp>
        <stp>0</stp>
        <stp>0</stp>
        <stp>0</stp>
        <stp>0</stp>
        <tr r="L31" s="68"/>
      </tp>
      <tp>
        <v>199.14000000000001</v>
        <stp/>
        <stp>100</stp>
        <stp>FB</stp>
        <stp>TDA</stp>
        <stp>0</stp>
        <stp>0</stp>
        <stp>0</stp>
        <stp>0</stp>
        <stp>0</stp>
        <tr r="O16" s="67"/>
        <tr r="O17" s="67"/>
        <tr r="O41" s="67"/>
        <tr r="G41" s="67"/>
        <tr r="B55" s="68"/>
      </tp>
      <tp>
        <v>1.29E-2</v>
        <stp/>
        <stp>152</stp>
        <stp>QCOM</stp>
        <stp>TDA</stp>
        <stp>0</stp>
        <stp>0</stp>
        <stp>0</stp>
        <stp>0</stp>
        <stp>0</stp>
        <tr r="N26" s="68"/>
      </tp>
      <tp>
        <v>43803</v>
        <stp/>
        <stp>170</stp>
        <stp>QCOM</stp>
        <stp>TDA</stp>
        <stp>0</stp>
        <stp>0</stp>
        <stp>0</stp>
        <stp>0</stp>
        <stp>0</stp>
        <tr r="P26" s="68"/>
      </tp>
      <tp>
        <v>2.48</v>
        <stp/>
        <stp>167</stp>
        <stp>QCOM</stp>
        <stp>TDA</stp>
        <stp>0</stp>
        <stp>0</stp>
        <stp>0</stp>
        <stp>0</stp>
        <stp>0</stp>
        <tr r="O26" s="68"/>
      </tp>
      <tp>
        <v>94.11</v>
        <stp/>
        <stp>111</stp>
        <stp>QCOM</stp>
        <stp>TDA</stp>
        <stp>0</stp>
        <stp>0</stp>
        <stp>0</stp>
        <stp>0</stp>
        <stp>0</stp>
        <tr r="K26" s="68"/>
      </tp>
      <tp>
        <v>49.1</v>
        <stp/>
        <stp>110</stp>
        <stp>QCOM</stp>
        <stp>TDA</stp>
        <stp>0</stp>
        <stp>0</stp>
        <stp>0</stp>
        <stp>0</stp>
        <stp>0</stp>
        <tr r="J26" s="68"/>
      </tp>
      <tp t="s">
        <v>QUALCOMM Incorporated - Common Stock</v>
        <stp/>
        <stp>112</stp>
        <stp>QCOM</stp>
        <stp>TDA</stp>
        <stp>0</stp>
        <stp>0</stp>
        <stp>0</stp>
        <stp>0</stp>
        <stp>0</stp>
        <tr r="B2" s="67"/>
      </tp>
      <tp>
        <v>1.9634817408704264</v>
        <stp/>
        <stp>115</stp>
        <stp>QCOM</stp>
        <stp>TDA</stp>
        <stp>0</stp>
        <stp>0</stp>
        <stp>0</stp>
        <stp>0</stp>
        <stp>0</stp>
        <tr r="I26" s="68"/>
      </tp>
      <tp>
        <v>3.1</v>
        <stp/>
        <stp>117</stp>
        <stp>QCOM</stp>
        <stp>TDA</stp>
        <stp>0</stp>
        <stp>0</stp>
        <stp>0</stp>
        <stp>0</stp>
        <stp>0</stp>
        <tr r="M26" s="68"/>
      </tp>
      <tp>
        <v>81.53</v>
        <stp/>
        <stp>100</stp>
        <stp>QCOM</stp>
        <stp>TDA</stp>
        <stp>0</stp>
        <stp>0</stp>
        <stp>0</stp>
        <stp>0</stp>
        <stp>0</stp>
        <tr r="O2" s="67"/>
        <tr r="G2" s="67"/>
        <tr r="B26" s="68"/>
      </tp>
      <tp>
        <v>23.0137</v>
        <stp/>
        <stp>124</stp>
        <stp>QCOM</stp>
        <stp>TDA</stp>
        <stp>0</stp>
        <stp>0</stp>
        <stp>0</stp>
        <stp>0</stp>
        <stp>0</stp>
        <tr r="L26" s="68"/>
      </tp>
      <tp>
        <v>1</v>
        <stp/>
        <stp>210</stp>
        <stp>QCOM</stp>
        <stp>TDA</stp>
        <stp>0</stp>
        <stp>0</stp>
        <stp>0</stp>
        <stp>0</stp>
        <stp>0</stp>
        <tr r="Q26" s="68"/>
      </tp>
      <tp>
        <v>0</v>
        <stp/>
        <stp>124</stp>
        <stp>TEAM</stp>
        <stp>TDA</stp>
        <stp>0</stp>
        <stp>0</stp>
        <stp>0</stp>
        <stp>0</stp>
        <stp>0</stp>
        <tr r="L12" s="68"/>
      </tp>
      <tp>
        <v>0</v>
        <stp/>
        <stp>117</stp>
        <stp>TEAM</stp>
        <stp>TDA</stp>
        <stp>0</stp>
        <stp>0</stp>
        <stp>0</stp>
        <stp>0</stp>
        <stp>0</stp>
        <tr r="M12" s="68"/>
      </tp>
      <tp>
        <v>0</v>
        <stp/>
        <stp>115</stp>
        <stp>TEAM</stp>
        <stp>TDA</stp>
        <stp>0</stp>
        <stp>0</stp>
        <stp>0</stp>
        <stp>0</stp>
        <stp>0</stp>
        <tr r="I12" s="68"/>
      </tp>
      <tp t="s">
        <v>Atlassian Corporation Plc - Class A Ordinary Shares</v>
        <stp/>
        <stp>112</stp>
        <stp>TEAM</stp>
        <stp>TDA</stp>
        <stp>0</stp>
        <stp>0</stp>
        <stp>0</stp>
        <stp>0</stp>
        <stp>0</stp>
        <tr r="B26" s="67"/>
        <tr r="B25" s="67"/>
        <tr r="B24" s="67"/>
        <tr r="B23" s="67"/>
      </tp>
      <tp>
        <v>149.80000000000001</v>
        <stp/>
        <stp>111</stp>
        <stp>TEAM</stp>
        <stp>TDA</stp>
        <stp>0</stp>
        <stp>0</stp>
        <stp>0</stp>
        <stp>0</stp>
        <stp>0</stp>
        <tr r="K12" s="68"/>
      </tp>
      <tp>
        <v>75.55</v>
        <stp/>
        <stp>110</stp>
        <stp>TEAM</stp>
        <stp>TDA</stp>
        <stp>0</stp>
        <stp>0</stp>
        <stp>0</stp>
        <stp>0</stp>
        <stp>0</stp>
        <tr r="J12" s="68"/>
      </tp>
      <tp>
        <v>123.55000000000001</v>
        <stp/>
        <stp>100</stp>
        <stp>TEAM</stp>
        <stp>TDA</stp>
        <stp>0</stp>
        <stp>0</stp>
        <stp>0</stp>
        <stp>0</stp>
        <stp>0</stp>
        <tr r="O23" s="67"/>
        <tr r="O25" s="67"/>
        <tr r="O24" s="67"/>
        <tr r="O26" s="67"/>
        <tr r="W3" s="33"/>
        <tr r="B12" s="68"/>
      </tp>
      <tp>
        <v>0</v>
        <stp/>
        <stp>170</stp>
        <stp>TEAM</stp>
        <stp>TDA</stp>
        <stp>0</stp>
        <stp>0</stp>
        <stp>0</stp>
        <stp>0</stp>
        <stp>0</stp>
        <tr r="P12" s="68"/>
      </tp>
      <tp>
        <v>0</v>
        <stp/>
        <stp>167</stp>
        <stp>TEAM</stp>
        <stp>TDA</stp>
        <stp>0</stp>
        <stp>0</stp>
        <stp>0</stp>
        <stp>0</stp>
        <stp>0</stp>
        <tr r="O12" s="68"/>
      </tp>
      <tp>
        <v>5.5500000000000001E-2</v>
        <stp/>
        <stp>152</stp>
        <stp>TEAM</stp>
        <stp>TDA</stp>
        <stp>0</stp>
        <stp>0</stp>
        <stp>0</stp>
        <stp>0</stp>
        <stp>0</stp>
        <tr r="N12" s="68"/>
      </tp>
      <tp>
        <v>1</v>
        <stp/>
        <stp>210</stp>
        <stp>TEAM</stp>
        <stp>TDA</stp>
        <stp>0</stp>
        <stp>0</stp>
        <stp>0</stp>
        <stp>0</stp>
        <stp>0</stp>
        <tr r="Q12" s="68"/>
      </tp>
      <tp>
        <v>0</v>
        <stp/>
        <stp>167</stp>
        <stp>JD</stp>
        <stp>TDA</stp>
        <stp>0</stp>
        <stp>0</stp>
        <stp>0</stp>
        <stp>0</stp>
        <stp>0</stp>
        <tr r="O46" s="68"/>
      </tp>
      <tp>
        <v>5.44</v>
        <stp/>
        <stp>167</stp>
        <stp>HD</stp>
        <stp>TDA</stp>
        <stp>0</stp>
        <stp>0</stp>
        <stp>0</stp>
        <stp>0</stp>
        <stp>0</stp>
        <tr r="O38" s="68"/>
      </tp>
      <tp>
        <v>286.97000000000003</v>
        <stp/>
        <stp>100</stp>
        <stp>MA</stp>
        <stp>TDA</stp>
        <stp>0</stp>
        <stp>0</stp>
        <stp>0</stp>
        <stp>0</stp>
        <stp>0</stp>
        <tr r="O19" s="67"/>
        <tr r="O7" s="67"/>
        <tr r="O43" s="67"/>
        <tr r="B14" s="68"/>
      </tp>
      <tp>
        <v>1.4100000000000001E-2</v>
        <stp/>
        <stp>152</stp>
        <stp>JD</stp>
        <stp>TDA</stp>
        <stp>0</stp>
        <stp>0</stp>
        <stp>0</stp>
        <stp>0</stp>
        <stp>0</stp>
        <tr r="N46" s="68"/>
      </tp>
      <tp>
        <v>1.2200000000000001E-2</v>
        <stp/>
        <stp>152</stp>
        <stp>HD</stp>
        <stp>TDA</stp>
        <stp>0</stp>
        <stp>0</stp>
        <stp>0</stp>
        <stp>0</stp>
        <stp>0</stp>
        <tr r="N38" s="68"/>
      </tp>
      <tp>
        <v>77.260000000000005</v>
        <stp/>
        <stp>124</stp>
        <stp>AMZN</stp>
        <stp>TDA</stp>
        <stp>0</stp>
        <stp>0</stp>
        <stp>0</stp>
        <stp>0</stp>
        <stp>0</stp>
        <tr r="L3" s="68"/>
      </tp>
      <tp>
        <v>-0.39435919455807011</v>
        <stp/>
        <stp>115</stp>
        <stp>AMZN</stp>
        <stp>TDA</stp>
        <stp>0</stp>
        <stp>0</stp>
        <stp>0</stp>
        <stp>0</stp>
        <stp>0</stp>
        <tr r="I3" s="68"/>
      </tp>
      <tp>
        <v>0</v>
        <stp/>
        <stp>117</stp>
        <stp>AMZN</stp>
        <stp>TDA</stp>
        <stp>0</stp>
        <stp>0</stp>
        <stp>0</stp>
        <stp>0</stp>
        <stp>0</stp>
        <tr r="M3" s="68"/>
      </tp>
      <tp>
        <v>1307</v>
        <stp/>
        <stp>110</stp>
        <stp>AMZN</stp>
        <stp>TDA</stp>
        <stp>0</stp>
        <stp>0</stp>
        <stp>0</stp>
        <stp>0</stp>
        <stp>0</stp>
        <tr r="J3" s="68"/>
      </tp>
      <tp>
        <v>2035.8000000000002</v>
        <stp/>
        <stp>111</stp>
        <stp>AMZN</stp>
        <stp>TDA</stp>
        <stp>0</stp>
        <stp>0</stp>
        <stp>0</stp>
        <stp>0</stp>
        <stp>0</stp>
        <tr r="K3" s="68"/>
      </tp>
      <tp t="s">
        <v>Amazon.com, Inc. - Common Stock</v>
        <stp/>
        <stp>112</stp>
        <stp>AMZN</stp>
        <stp>TDA</stp>
        <stp>0</stp>
        <stp>0</stp>
        <stp>0</stp>
        <stp>0</stp>
        <stp>0</stp>
        <tr r="B78" s="67"/>
      </tp>
      <tp>
        <v>1762.98</v>
        <stp/>
        <stp>100</stp>
        <stp>AMZN</stp>
        <stp>TDA</stp>
        <stp>0</stp>
        <stp>0</stp>
        <stp>0</stp>
        <stp>0</stp>
        <stp>0</stp>
        <tr r="O78" s="67"/>
        <tr r="G78" s="67"/>
        <tr r="B3" s="68"/>
      </tp>
      <tp>
        <v>0</v>
        <stp/>
        <stp>170</stp>
        <stp>AMZN</stp>
        <stp>TDA</stp>
        <stp>0</stp>
        <stp>0</stp>
        <stp>0</stp>
        <stp>0</stp>
        <stp>0</stp>
        <tr r="P3" s="68"/>
      </tp>
      <tp>
        <v>0</v>
        <stp/>
        <stp>167</stp>
        <stp>AMZN</stp>
        <stp>TDA</stp>
        <stp>0</stp>
        <stp>0</stp>
        <stp>0</stp>
        <stp>0</stp>
        <stp>0</stp>
        <tr r="O3" s="68"/>
      </tp>
      <tp>
        <v>1.5900000000000001E-2</v>
        <stp/>
        <stp>152</stp>
        <stp>AMZN</stp>
        <stp>TDA</stp>
        <stp>0</stp>
        <stp>0</stp>
        <stp>0</stp>
        <stp>0</stp>
        <stp>0</stp>
        <tr r="N3" s="68"/>
      </tp>
      <tp>
        <v>1</v>
        <stp/>
        <stp>210</stp>
        <stp>AMZN</stp>
        <stp>TDA</stp>
        <stp>0</stp>
        <stp>0</stp>
        <stp>0</stp>
        <stp>0</stp>
        <stp>0</stp>
        <tr r="Q3" s="68"/>
      </tp>
      <tp>
        <v>1</v>
        <stp/>
        <stp>210</stp>
        <stp>MA</stp>
        <stp>TDA</stp>
        <stp>0</stp>
        <stp>0</stp>
        <stp>0</stp>
        <stp>0</stp>
        <stp>0</stp>
        <tr r="Q14" s="68"/>
      </tp>
      <tp>
        <v>171.89000000000001</v>
        <stp/>
        <stp>110</stp>
        <stp>MA</stp>
        <stp>TDA</stp>
        <stp>0</stp>
        <stp>0</stp>
        <stp>0</stp>
        <stp>0</stp>
        <stp>0</stp>
        <tr r="J14" s="68"/>
      </tp>
      <tp>
        <v>293.69</v>
        <stp/>
        <stp>111</stp>
        <stp>MA</stp>
        <stp>TDA</stp>
        <stp>0</stp>
        <stp>0</stp>
        <stp>0</stp>
        <stp>0</stp>
        <stp>0</stp>
        <tr r="K14" s="68"/>
      </tp>
      <tp t="s">
        <v>Visa Inc.</v>
        <stp/>
        <stp>112</stp>
        <stp>V</stp>
        <stp/>
        <stp>0</stp>
        <stp>0</stp>
        <stp>0</stp>
        <stp>0</stp>
        <stp>0</stp>
        <tr r="H11" s="68"/>
      </tp>
      <tp t="s">
        <v>Mastercard Incorporated Common Stock</v>
        <stp/>
        <stp>112</stp>
        <stp>MA</stp>
        <stp>TDA</stp>
        <stp>0</stp>
        <stp>0</stp>
        <stp>0</stp>
        <stp>0</stp>
        <stp>0</stp>
        <tr r="B19" s="67"/>
        <tr r="B43" s="67"/>
        <tr r="B7" s="67"/>
      </tp>
      <tp>
        <v>31.75</v>
        <stp/>
        <stp>124</stp>
        <stp>FB</stp>
        <stp>TDA</stp>
        <stp>0</stp>
        <stp>0</stp>
        <stp>0</stp>
        <stp>0</stp>
        <stp>0</stp>
        <tr r="L55" s="68"/>
      </tp>
      <tp>
        <v>-4.1798739071372923E-2</v>
        <stp/>
        <stp>115</stp>
        <stp>MA</stp>
        <stp>TDA</stp>
        <stp>0</stp>
        <stp>0</stp>
        <stp>0</stp>
        <stp>0</stp>
        <stp>0</stp>
        <tr r="I14" s="68"/>
      </tp>
      <tp t="s">
        <v>Twilio Inc. Class A Common Stock (CV EM)</v>
        <stp/>
        <stp>112</stp>
        <stp>TWLO</stp>
        <stp>TDA</stp>
        <stp>0</stp>
        <stp>0</stp>
        <stp>0</stp>
        <stp>0</stp>
        <stp>0</stp>
        <tr r="B90" s="67"/>
      </tp>
      <tp>
        <v>73.150000000000006</v>
        <stp/>
        <stp>110</stp>
        <stp>TWLO</stp>
        <stp>TDA</stp>
        <stp>0</stp>
        <stp>0</stp>
        <stp>0</stp>
        <stp>0</stp>
        <stp>0</stp>
        <tr r="J24" s="68"/>
      </tp>
      <tp>
        <v>151</v>
        <stp/>
        <stp>111</stp>
        <stp>TWLO</stp>
        <stp>TDA</stp>
        <stp>0</stp>
        <stp>0</stp>
        <stp>0</stp>
        <stp>0</stp>
        <stp>0</stp>
        <tr r="K24" s="68"/>
      </tp>
      <tp>
        <v>0</v>
        <stp/>
        <stp>117</stp>
        <stp>TWLO</stp>
        <stp>TDA</stp>
        <stp>0</stp>
        <stp>0</stp>
        <stp>0</stp>
        <stp>0</stp>
        <stp>0</stp>
        <tr r="M24" s="68"/>
      </tp>
      <tp>
        <v>-1.0475423045930621</v>
        <stp/>
        <stp>115</stp>
        <stp>TWLO</stp>
        <stp>TDA</stp>
        <stp>0</stp>
        <stp>0</stp>
        <stp>0</stp>
        <stp>0</stp>
        <stp>0</stp>
        <tr r="I24" s="68"/>
      </tp>
      <tp>
        <v>98.240000000000009</v>
        <stp/>
        <stp>100</stp>
        <stp>TWLO</stp>
        <stp>TDA</stp>
        <stp>0</stp>
        <stp>0</stp>
        <stp>0</stp>
        <stp>0</stp>
        <stp>0</stp>
        <tr r="O90" s="67"/>
        <tr r="G90" s="67"/>
        <tr r="B24" s="68"/>
      </tp>
      <tp>
        <v>0</v>
        <stp/>
        <stp>124</stp>
        <stp>TWLO</stp>
        <stp>TDA</stp>
        <stp>0</stp>
        <stp>0</stp>
        <stp>0</stp>
        <stp>0</stp>
        <stp>0</stp>
        <tr r="L24" s="68"/>
      </tp>
      <tp>
        <v>4.1300000000000003E-2</v>
        <stp/>
        <stp>152</stp>
        <stp>TWLO</stp>
        <stp>TDA</stp>
        <stp>0</stp>
        <stp>0</stp>
        <stp>0</stp>
        <stp>0</stp>
        <stp>0</stp>
        <tr r="N24" s="68"/>
      </tp>
      <tp>
        <v>0</v>
        <stp/>
        <stp>170</stp>
        <stp>TWLO</stp>
        <stp>TDA</stp>
        <stp>0</stp>
        <stp>0</stp>
        <stp>0</stp>
        <stp>0</stp>
        <stp>0</stp>
        <tr r="P24" s="68"/>
      </tp>
      <tp>
        <v>0</v>
        <stp/>
        <stp>167</stp>
        <stp>TWLO</stp>
        <stp>TDA</stp>
        <stp>0</stp>
        <stp>0</stp>
        <stp>0</stp>
        <stp>0</stp>
        <stp>0</stp>
        <tr r="O24" s="68"/>
      </tp>
      <tp>
        <v>1</v>
        <stp/>
        <stp>210</stp>
        <stp>TWLO</stp>
        <stp>TDA</stp>
        <stp>0</stp>
        <stp>0</stp>
        <stp>0</stp>
        <stp>0</stp>
        <stp>0</stp>
        <tr r="Q24" s="68"/>
      </tp>
      <tp>
        <v>0.46</v>
        <stp/>
        <stp>117</stp>
        <stp>MA</stp>
        <stp>TDA</stp>
        <stp>0</stp>
        <stp>0</stp>
        <stp>0</stp>
        <stp>0</stp>
        <stp>0</stp>
        <tr r="M14" s="68"/>
      </tp>
      <tp>
        <v>0.01</v>
        <stp/>
        <stp>152</stp>
        <stp>FB</stp>
        <stp>TDA</stp>
        <stp>0</stp>
        <stp>0</stp>
        <stp>0</stp>
        <stp>0</stp>
        <stp>0</stp>
        <tr r="N55" s="68"/>
      </tp>
      <tp>
        <v>1.32</v>
        <stp/>
        <stp>167</stp>
        <stp>MA</stp>
        <stp>TDA</stp>
        <stp>0</stp>
        <stp>0</stp>
        <stp>0</stp>
        <stp>0</stp>
        <stp>0</stp>
        <tr r="O14" s="68"/>
      </tp>
      <tp>
        <v>43746</v>
        <stp/>
        <stp>170</stp>
        <stp>MA</stp>
        <stp>TDA</stp>
        <stp>0</stp>
        <stp>0</stp>
        <stp>0</stp>
        <stp>0</stp>
        <stp>0</stp>
        <tr r="P14" s="68"/>
      </tp>
      <tp>
        <v>90.240000000000009</v>
        <stp/>
        <stp>124</stp>
        <stp>JD</stp>
        <stp>TDA</stp>
        <stp>0</stp>
        <stp>0</stp>
        <stp>0</stp>
        <stp>0</stp>
        <stp>0</stp>
        <tr r="L46" s="68"/>
      </tp>
      <tp>
        <v>21.5792</v>
        <stp/>
        <stp>124</stp>
        <stp>HD</stp>
        <stp>TDA</stp>
        <stp>0</stp>
        <stp>0</stp>
        <stp>0</stp>
        <stp>0</stp>
        <stp>0</stp>
        <tr r="L38" s="68"/>
      </tp>
      <tp>
        <v>0</v>
        <stp/>
        <stp>170</stp>
        <stp>FB</stp>
        <stp>TDA</stp>
        <stp>0</stp>
        <stp>0</stp>
        <stp>0</stp>
        <stp>0</stp>
        <stp>0</stp>
        <tr r="P55" s="68"/>
      </tp>
      <tp>
        <v>1</v>
        <stp/>
        <stp>210</stp>
        <stp>HD</stp>
        <stp>TDA</stp>
        <stp>0</stp>
        <stp>0</stp>
        <stp>0</stp>
        <stp>0</stp>
        <stp>0</stp>
        <tr r="Q38" s="68"/>
      </tp>
      <tp>
        <v>19.260000000000002</v>
        <stp/>
        <stp>110</stp>
        <stp>JD</stp>
        <stp>TDA</stp>
        <stp>0</stp>
        <stp>0</stp>
        <stp>0</stp>
        <stp>0</stp>
        <stp>0</stp>
        <tr r="J46" s="68"/>
      </tp>
      <tp>
        <v>1</v>
        <stp/>
        <stp>210</stp>
        <stp>JD</stp>
        <stp>TDA</stp>
        <stp>0</stp>
        <stp>0</stp>
        <stp>0</stp>
        <stp>0</stp>
        <stp>0</stp>
        <tr r="Q46" s="68"/>
      </tp>
      <tp>
        <v>158.09</v>
        <stp/>
        <stp>110</stp>
        <stp>HD</stp>
        <stp>TDA</stp>
        <stp>0</stp>
        <stp>0</stp>
        <stp>0</stp>
        <stp>0</stp>
        <stp>0</stp>
        <tr r="J38" s="68"/>
      </tp>
      <tp>
        <v>35.43</v>
        <stp/>
        <stp>111</stp>
        <stp>JD</stp>
        <stp>TDA</stp>
        <stp>0</stp>
        <stp>0</stp>
        <stp>0</stp>
        <stp>0</stp>
        <stp>0</stp>
        <tr r="K46" s="68"/>
      </tp>
      <tp>
        <v>239.3091</v>
        <stp/>
        <stp>111</stp>
        <stp>HD</stp>
        <stp>TDA</stp>
        <stp>0</stp>
        <stp>0</stp>
        <stp>0</stp>
        <stp>0</stp>
        <stp>0</stp>
        <tr r="K38" s="68"/>
      </tp>
      <tp t="s">
        <v>JD.com, Inc. - American Depositary Shares</v>
        <stp/>
        <stp>112</stp>
        <stp>JD</stp>
        <stp>TDA</stp>
        <stp>0</stp>
        <stp>0</stp>
        <stp>0</stp>
        <stp>0</stp>
        <stp>0</stp>
        <tr r="B42" s="67"/>
        <tr r="B6" s="67"/>
      </tp>
      <tp t="s">
        <v>Home Depot, Inc. (The) Common Stock</v>
        <stp/>
        <stp>112</stp>
        <stp>HD</stp>
        <stp>TDA</stp>
        <stp>0</stp>
        <stp>0</stp>
        <stp>0</stp>
        <stp>0</stp>
        <stp>0</stp>
        <tr r="B69" s="67"/>
        <tr r="B74" s="67"/>
      </tp>
      <tp>
        <v>-0.79612862940992501</v>
        <stp/>
        <stp>115</stp>
        <stp>JD</stp>
        <stp>TDA</stp>
        <stp>0</stp>
        <stp>0</stp>
        <stp>0</stp>
        <stp>0</stp>
        <stp>0</stp>
        <tr r="I46" s="68"/>
      </tp>
      <tp>
        <v>0.31978931527464577</v>
        <stp/>
        <stp>115</stp>
        <stp>HD</stp>
        <stp>TDA</stp>
        <stp>0</stp>
        <stp>0</stp>
        <stp>0</stp>
        <stp>0</stp>
        <stp>0</stp>
        <tr r="I38" s="68"/>
      </tp>
      <tp>
        <v>0</v>
        <stp/>
        <stp>117</stp>
        <stp>JD</stp>
        <stp>TDA</stp>
        <stp>0</stp>
        <stp>0</stp>
        <stp>0</stp>
        <stp>0</stp>
        <stp>0</stp>
        <tr r="M46" s="68"/>
      </tp>
      <tp>
        <v>2.56</v>
        <stp/>
        <stp>117</stp>
        <stp>HD</stp>
        <stp>TDA</stp>
        <stp>0</stp>
        <stp>0</stp>
        <stp>0</stp>
        <stp>0</stp>
        <stp>0</stp>
        <tr r="M38" s="68"/>
      </tp>
      <tp>
        <v>31.775000000000002</v>
        <stp/>
        <stp>100</stp>
        <stp>JD</stp>
        <stp>TDA</stp>
        <stp>0</stp>
        <stp>0</stp>
        <stp>0</stp>
        <stp>0</stp>
        <stp>0</stp>
        <tr r="O6" s="67"/>
        <tr r="O42" s="67"/>
        <tr r="G42" s="67"/>
        <tr r="B46" s="68"/>
      </tp>
      <tp>
        <v>213.32000000000002</v>
        <stp/>
        <stp>100</stp>
        <stp>HD</stp>
        <stp>TDA</stp>
        <stp>0</stp>
        <stp>0</stp>
        <stp>0</stp>
        <stp>0</stp>
        <stp>0</stp>
        <tr r="O69" s="67"/>
        <tr r="O74" s="67"/>
        <tr r="Q4" s="18"/>
        <tr r="B38" s="68"/>
      </tp>
      <tp>
        <v>1</v>
        <stp/>
        <stp>210</stp>
        <stp>SSTK</stp>
        <stp>TDA</stp>
        <stp>0</stp>
        <stp>0</stp>
        <stp>0</stp>
        <stp>0</stp>
        <stp>0</stp>
        <tr r="Q47" s="68"/>
      </tp>
      <tp>
        <v>2.2600000000000002E-2</v>
        <stp/>
        <stp>152</stp>
        <stp>MA</stp>
        <stp>TDA</stp>
        <stp>0</stp>
        <stp>0</stp>
        <stp>0</stp>
        <stp>0</stp>
        <stp>0</stp>
        <tr r="N14" s="68"/>
      </tp>
      <tp>
        <v>7.8800000000000009E-2</v>
        <stp/>
        <stp>152</stp>
        <stp>SSTK</stp>
        <stp>TDA</stp>
        <stp>0</stp>
        <stp>0</stp>
        <stp>0</stp>
        <stp>0</stp>
        <stp>0</stp>
        <tr r="N47" s="68"/>
      </tp>
      <tp>
        <v>0</v>
        <stp/>
        <stp>170</stp>
        <stp>SSTK</stp>
        <stp>TDA</stp>
        <stp>0</stp>
        <stp>0</stp>
        <stp>0</stp>
        <stp>0</stp>
        <stp>0</stp>
        <tr r="P47" s="68"/>
      </tp>
      <tp>
        <v>0</v>
        <stp/>
        <stp>167</stp>
        <stp>SSTK</stp>
        <stp>TDA</stp>
        <stp>0</stp>
        <stp>0</stp>
        <stp>0</stp>
        <stp>0</stp>
        <stp>0</stp>
        <tr r="O47" s="68"/>
      </tp>
      <tp t="s">
        <v>Shutterstock, Inc. Common Stock</v>
        <stp/>
        <stp>112</stp>
        <stp>SSTK</stp>
        <stp>TDA</stp>
        <stp>0</stp>
        <stp>0</stp>
        <stp>0</stp>
        <stp>0</stp>
        <stp>0</stp>
        <tr r="B60" s="67"/>
        <tr r="B54" s="67"/>
      </tp>
      <tp>
        <v>31.770000000000003</v>
        <stp/>
        <stp>110</stp>
        <stp>SSTK</stp>
        <stp>TDA</stp>
        <stp>0</stp>
        <stp>0</stp>
        <stp>0</stp>
        <stp>0</stp>
        <stp>0</stp>
        <tr r="J47" s="68"/>
      </tp>
      <tp>
        <v>50.09</v>
        <stp/>
        <stp>111</stp>
        <stp>SSTK</stp>
        <stp>TDA</stp>
        <stp>0</stp>
        <stp>0</stp>
        <stp>0</stp>
        <stp>0</stp>
        <stp>0</stp>
        <tr r="K47" s="68"/>
      </tp>
      <tp>
        <v>0</v>
        <stp/>
        <stp>117</stp>
        <stp>SSTK</stp>
        <stp>TDA</stp>
        <stp>0</stp>
        <stp>0</stp>
        <stp>0</stp>
        <stp>0</stp>
        <stp>0</stp>
        <tr r="M47" s="68"/>
      </tp>
      <tp>
        <v>2.5497076023391894</v>
        <stp/>
        <stp>115</stp>
        <stp>SSTK</stp>
        <stp>TDA</stp>
        <stp>0</stp>
        <stp>0</stp>
        <stp>0</stp>
        <stp>0</stp>
        <stp>0</stp>
        <tr r="I47" s="68"/>
      </tp>
      <tp>
        <v>43.84</v>
        <stp/>
        <stp>100</stp>
        <stp>SSTK</stp>
        <stp>TDA</stp>
        <stp>0</stp>
        <stp>0</stp>
        <stp>0</stp>
        <stp>0</stp>
        <stp>0</stp>
        <tr r="O60" s="67"/>
        <tr r="O54" s="67"/>
        <tr r="Y4" s="62"/>
        <tr r="G60" s="67"/>
        <tr r="B47" s="68"/>
      </tp>
      <tp>
        <v>47.7</v>
        <stp/>
        <stp>124</stp>
        <stp>SSTK</stp>
        <stp>TDA</stp>
        <stp>0</stp>
        <stp>0</stp>
        <stp>0</stp>
        <stp>0</stp>
        <stp>0</stp>
        <tr r="L47" s="68"/>
      </tp>
      <tp>
        <v>0</v>
        <stp/>
        <stp>167</stp>
        <stp>FB</stp>
        <stp>TDA</stp>
        <stp>0</stp>
        <stp>0</stp>
        <stp>0</stp>
        <stp>0</stp>
        <stp>0</stp>
        <tr r="O55" s="68"/>
      </tp>
      <tp>
        <v>0.88700000000000001</v>
        <stp/>
        <stp>204</stp>
        <stp>DIS_061821C105</stp>
        <stp>TDA</stp>
        <stp>0</stp>
        <stp>0</stp>
        <stp>0</stp>
        <stp>0</stp>
        <stp>0</stp>
        <tr r="O65" s="67"/>
      </tp>
      <tp>
        <v>46.400000000000006</v>
        <stp/>
        <stp>107</stp>
        <stp>DIS_061821C105</stp>
        <stp>TDA</stp>
        <stp>0</stp>
        <stp>0</stp>
        <stp>0</stp>
        <stp>0</stp>
        <stp>0</stp>
        <tr r="G65" s="67"/>
      </tp>
      <tp>
        <v>47.85</v>
        <stp/>
        <stp>108</stp>
        <stp>DIS_061821C105</stp>
        <stp>TDA</stp>
        <stp>0</stp>
        <stp>0</stp>
        <stp>0</stp>
        <stp>0</stp>
        <stp>0</stp>
        <tr r="G65" s="67"/>
      </tp>
      <tp>
        <v>66.400000000000006</v>
        <stp/>
        <stp>107</stp>
        <stp>AMT_011521C145</stp>
        <stp>TDA</stp>
        <stp>0</stp>
        <stp>0</stp>
        <stp>0</stp>
        <stp>0</stp>
        <stp>0</stp>
        <tr r="G64" s="67"/>
      </tp>
      <tp>
        <v>0.91550000000000009</v>
        <stp/>
        <stp>204</stp>
        <stp>AMT_011521C145</stp>
        <stp>TDA</stp>
        <stp>0</stp>
        <stp>0</stp>
        <stp>0</stp>
        <stp>0</stp>
        <stp>0</stp>
        <tr r="O64" s="67"/>
      </tp>
      <tp>
        <v>69.900000000000006</v>
        <stp/>
        <stp>108</stp>
        <stp>AMT_011521C145</stp>
        <stp>TDA</stp>
        <stp>0</stp>
        <stp>0</stp>
        <stp>0</stp>
        <stp>0</stp>
        <stp>0</stp>
        <tr r="G64" s="67"/>
      </tp>
      <tp>
        <v>0.1419</v>
        <stp/>
        <stp>204</stp>
        <stp>EBAY_011720C38</stp>
        <stp>TDA</stp>
        <stp>0</stp>
        <stp>0</stp>
        <stp>0</stp>
        <stp>0</stp>
        <stp>0</stp>
        <tr r="O14" s="67"/>
      </tp>
      <tp>
        <v>0.17</v>
        <stp/>
        <stp>107</stp>
        <stp>EBAY_011720C38</stp>
        <stp>TDA</stp>
        <stp>0</stp>
        <stp>0</stp>
        <stp>0</stp>
        <stp>0</stp>
        <stp>0</stp>
        <tr r="G14" s="67"/>
      </tp>
      <tp>
        <v>0.18000000000000002</v>
        <stp/>
        <stp>108</stp>
        <stp>EBAY_011720C38</stp>
        <stp>TDA</stp>
        <stp>0</stp>
        <stp>0</stp>
        <stp>0</stp>
        <stp>0</stp>
        <stp>0</stp>
        <tr r="G14" s="67"/>
      </tp>
      <tp>
        <v>2.83</v>
        <stp/>
        <stp>108</stp>
        <stp>JNJ_011720C140</stp>
        <stp>TDA</stp>
        <stp>0</stp>
        <stp>0</stp>
        <stp>0</stp>
        <stp>0</stp>
        <stp>0</stp>
        <tr r="G18" s="67"/>
      </tp>
      <tp>
        <v>0.45080000000000003</v>
        <stp/>
        <stp>204</stp>
        <stp>JNJ_011720C140</stp>
        <stp>TDA</stp>
        <stp>0</stp>
        <stp>0</stp>
        <stp>0</stp>
        <stp>0</stp>
        <stp>0</stp>
        <tr r="O18" s="67"/>
      </tp>
      <tp>
        <v>2.66</v>
        <stp/>
        <stp>107</stp>
        <stp>JNJ_011720C140</stp>
        <stp>TDA</stp>
        <stp>0</stp>
        <stp>0</stp>
        <stp>0</stp>
        <stp>0</stp>
        <stp>0</stp>
        <tr r="G18" s="67"/>
      </tp>
      <tp>
        <v>180.77</v>
        <stp/>
        <stp>100</stp>
        <stp>V</stp>
        <stp>TDA</stp>
        <stp>0</stp>
        <stp>0</stp>
        <stp>0</stp>
        <stp>0</stp>
        <stp>0</stp>
        <tr r="O91" s="67"/>
        <tr r="G91" s="67"/>
        <tr r="B11" s="68"/>
      </tp>
      <tp>
        <v>0.66</v>
        <stp/>
        <stp>117</stp>
        <stp>V</stp>
        <stp>TDA</stp>
        <stp>0</stp>
        <stp>0</stp>
        <stp>0</stp>
        <stp>0</stp>
        <stp>0</stp>
        <tr r="M11" s="68"/>
      </tp>
      <tp>
        <v>-0.62122045079713883</v>
        <stp/>
        <stp>115</stp>
        <stp>V</stp>
        <stp>TDA</stp>
        <stp>0</stp>
        <stp>0</stp>
        <stp>0</stp>
        <stp>0</stp>
        <stp>0</stp>
        <tr r="I11" s="68"/>
      </tp>
      <tp t="s">
        <v>Visa Inc.</v>
        <stp/>
        <stp>112</stp>
        <stp>V</stp>
        <stp>TDA</stp>
        <stp>0</stp>
        <stp>0</stp>
        <stp>0</stp>
        <stp>0</stp>
        <stp>0</stp>
        <tr r="B91" s="67"/>
      </tp>
      <tp>
        <v>121.60000000000001</v>
        <stp/>
        <stp>110</stp>
        <stp>V</stp>
        <stp>TDA</stp>
        <stp>0</stp>
        <stp>0</stp>
        <stp>0</stp>
        <stp>0</stp>
        <stp>0</stp>
        <tr r="J11" s="68"/>
      </tp>
      <tp>
        <v>187.05</v>
        <stp/>
        <stp>111</stp>
        <stp>V</stp>
        <stp>TDA</stp>
        <stp>0</stp>
        <stp>0</stp>
        <stp>0</stp>
        <stp>0</stp>
        <stp>0</stp>
        <tr r="K11" s="68"/>
      </tp>
      <tp>
        <v>35.627299999999998</v>
        <stp/>
        <stp>124</stp>
        <stp>V</stp>
        <stp>TDA</stp>
        <stp>0</stp>
        <stp>0</stp>
        <stp>0</stp>
        <stp>0</stp>
        <stp>0</stp>
        <tr r="L11" s="68"/>
      </tp>
      <tp>
        <v>1.15E-2</v>
        <stp/>
        <stp>152</stp>
        <stp>V</stp>
        <stp>TDA</stp>
        <stp>0</stp>
        <stp>0</stp>
        <stp>0</stp>
        <stp>0</stp>
        <stp>0</stp>
        <tr r="N11" s="68"/>
      </tp>
      <tp>
        <v>1.2</v>
        <stp/>
        <stp>167</stp>
        <stp>V</stp>
        <stp>TDA</stp>
        <stp>0</stp>
        <stp>0</stp>
        <stp>0</stp>
        <stp>0</stp>
        <stp>0</stp>
        <tr r="O11" s="68"/>
      </tp>
      <tp>
        <v>43692</v>
        <stp/>
        <stp>170</stp>
        <stp>V</stp>
        <stp>TDA</stp>
        <stp>0</stp>
        <stp>0</stp>
        <stp>0</stp>
        <stp>0</stp>
        <stp>0</stp>
        <tr r="P11" s="68"/>
      </tp>
      <tp>
        <v>0.96690000000000009</v>
        <stp/>
        <stp>204</stp>
        <stp>DIS_011720C135</stp>
        <stp>TDA</stp>
        <stp>0</stp>
        <stp>0</stp>
        <stp>0</stp>
        <stp>0</stp>
        <stp>0</stp>
        <tr r="O53" s="67"/>
      </tp>
      <tp>
        <v>13.65</v>
        <stp/>
        <stp>107</stp>
        <stp>DIS_011720C135</stp>
        <stp>TDA</stp>
        <stp>0</stp>
        <stp>0</stp>
        <stp>0</stp>
        <stp>0</stp>
        <stp>0</stp>
        <tr r="G53" s="67"/>
      </tp>
      <tp>
        <v>13.850000000000001</v>
        <stp/>
        <stp>108</stp>
        <stp>DIS_011720C135</stp>
        <stp>TDA</stp>
        <stp>0</stp>
        <stp>0</stp>
        <stp>0</stp>
        <stp>0</stp>
        <stp>0</stp>
        <tr r="G53" s="67"/>
      </tp>
      <tp>
        <v>2.2000000000000002</v>
        <stp/>
        <stp>107</stp>
        <stp>AMT_011720C220</stp>
        <stp>TDA</stp>
        <stp>0</stp>
        <stp>0</stp>
        <stp>0</stp>
        <stp>0</stp>
        <stp>0</stp>
        <tr r="G52" s="67"/>
      </tp>
      <tp>
        <v>0.27690000000000003</v>
        <stp/>
        <stp>204</stp>
        <stp>AMT_011720C220</stp>
        <stp>TDA</stp>
        <stp>0</stp>
        <stp>0</stp>
        <stp>0</stp>
        <stp>0</stp>
        <stp>0</stp>
        <tr r="O52" s="67"/>
      </tp>
      <tp>
        <v>2.4</v>
        <stp/>
        <stp>108</stp>
        <stp>AMT_011720C220</stp>
        <stp>TDA</stp>
        <stp>0</stp>
        <stp>0</stp>
        <stp>0</stp>
        <stp>0</stp>
        <stp>0</stp>
        <tr r="G52" s="67"/>
      </tp>
      <tp>
        <v>1</v>
        <stp/>
        <stp>210</stp>
        <stp>V</stp>
        <stp>TDA</stp>
        <stp>0</stp>
        <stp>0</stp>
        <stp>0</stp>
        <stp>0</stp>
        <stp>0</stp>
        <tr r="Q11" s="68"/>
      </tp>
      <tp t="s">
        <v>TEAM Feb 21 2020 95 Put</v>
        <stp/>
        <stp>112</stp>
        <stp>TEAM_022120P95</stp>
        <stp>TDA</stp>
        <stp>0</stp>
        <stp>0</stp>
        <stp>0</stp>
        <stp>0</stp>
        <stp>0</stp>
        <tr r="S38" s="33"/>
      </tp>
      <tp t="s">
        <v>TEAM Jan 17 2020 95 Put</v>
        <stp/>
        <stp>112</stp>
        <stp>TEAM_011720P95</stp>
        <stp>TDA</stp>
        <stp>0</stp>
        <stp>0</stp>
        <stp>0</stp>
        <stp>0</stp>
        <stp>0</stp>
        <tr r="S30" s="33"/>
      </tp>
      <tp t="s">
        <v>TEAM Jan 15 2021 95 Put</v>
        <stp/>
        <stp>112</stp>
        <stp>TEAM_011521P95</stp>
        <stp>TDA</stp>
        <stp>0</stp>
        <stp>0</stp>
        <stp>0</stp>
        <stp>0</stp>
        <stp>0</stp>
        <tr r="S79" s="33"/>
      </tp>
      <tp>
        <v>1.6500000000000001</v>
        <stp/>
        <stp>107</stp>
        <stp>TEAM_022120P95</stp>
        <stp>TDA</stp>
        <stp>0</stp>
        <stp>0</stp>
        <stp>0</stp>
        <stp>0</stp>
        <stp>0</stp>
        <tr r="D38" s="33"/>
      </tp>
      <tp>
        <v>9.3000000000000007</v>
        <stp/>
        <stp>107</stp>
        <stp>TEAM_011521P95</stp>
        <stp>TDA</stp>
        <stp>0</stp>
        <stp>0</stp>
        <stp>0</stp>
        <stp>0</stp>
        <stp>0</stp>
        <tr r="D79" s="33"/>
      </tp>
      <tp>
        <v>0.65</v>
        <stp/>
        <stp>107</stp>
        <stp>TEAM_011720P95</stp>
        <stp>TDA</stp>
        <stp>0</stp>
        <stp>0</stp>
        <stp>0</stp>
        <stp>0</stp>
        <stp>0</stp>
        <tr r="D30" s="33"/>
      </tp>
      <tp>
        <v>0.8</v>
        <stp/>
        <stp>108</stp>
        <stp>TEAM_011720P95</stp>
        <stp>TDA</stp>
        <stp>0</stp>
        <stp>0</stp>
        <stp>0</stp>
        <stp>0</stp>
        <stp>0</stp>
        <tr r="E30" s="33"/>
      </tp>
      <tp>
        <v>9.7000000000000011</v>
        <stp/>
        <stp>108</stp>
        <stp>TEAM_011521P95</stp>
        <stp>TDA</stp>
        <stp>0</stp>
        <stp>0</stp>
        <stp>0</stp>
        <stp>0</stp>
        <stp>0</stp>
        <tr r="E79" s="33"/>
      </tp>
      <tp>
        <v>1.8</v>
        <stp/>
        <stp>108</stp>
        <stp>TEAM_022120P95</stp>
        <stp>TDA</stp>
        <stp>0</stp>
        <stp>0</stp>
        <stp>0</stp>
        <stp>0</stp>
        <stp>0</stp>
        <tr r="E38" s="33"/>
      </tp>
      <tp>
        <v>41.1</v>
        <stp/>
        <stp>108</stp>
        <stp>CBOE_011720C80</stp>
        <stp>TDA</stp>
        <stp>0</stp>
        <stp>0</stp>
        <stp>0</stp>
        <stp>0</stp>
        <stp>0</stp>
        <tr r="G29" s="67"/>
      </tp>
      <tp>
        <v>39.700000000000003</v>
        <stp/>
        <stp>107</stp>
        <stp>CBOE_011720C80</stp>
        <stp>TDA</stp>
        <stp>0</stp>
        <stp>0</stp>
        <stp>0</stp>
        <stp>0</stp>
        <stp>0</stp>
        <tr r="G29" s="67"/>
      </tp>
      <tp>
        <v>0.98170000000000002</v>
        <stp/>
        <stp>204</stp>
        <stp>CBOE_011720C80</stp>
        <stp>TDA</stp>
        <stp>0</stp>
        <stp>0</stp>
        <stp>0</stp>
        <stp>0</stp>
        <stp>0</stp>
        <tr r="O29" s="67"/>
      </tp>
      <tp>
        <v>27.6</v>
        <stp/>
        <stp>108</stp>
        <stp>EFX_011720C110</stp>
        <stp>TDA</stp>
        <stp>0</stp>
        <stp>0</stp>
        <stp>0</stp>
        <stp>0</stp>
        <stp>0</stp>
        <tr r="G15" s="67"/>
      </tp>
      <tp>
        <v>26.700000000000003</v>
        <stp/>
        <stp>107</stp>
        <stp>EFX_011720C110</stp>
        <stp>TDA</stp>
        <stp>0</stp>
        <stp>0</stp>
        <stp>0</stp>
        <stp>0</stp>
        <stp>0</stp>
        <tr r="G15" s="67"/>
      </tp>
      <tp>
        <v>0.95300000000000007</v>
        <stp/>
        <stp>204</stp>
        <stp>EFX_011720C110</stp>
        <stp>TDA</stp>
        <stp>0</stp>
        <stp>0</stp>
        <stp>0</stp>
        <stp>0</stp>
        <stp>0</stp>
        <tr r="O15" s="67"/>
      </tp>
      <tp>
        <v>0.4</v>
        <stp/>
        <stp>108</stp>
        <stp>EFX_011720P110</stp>
        <stp>TDA</stp>
        <stp>0</stp>
        <stp>0</stp>
        <stp>0</stp>
        <stp>0</stp>
        <stp>0</stp>
        <tr r="G33" s="67"/>
      </tp>
      <tp>
        <v>-3.3000000000000002E-2</v>
        <stp/>
        <stp>204</stp>
        <stp>EFX_011720P110</stp>
        <stp>TDA</stp>
        <stp>0</stp>
        <stp>0</stp>
        <stp>0</stp>
        <stp>0</stp>
        <stp>0</stp>
        <tr r="O33" s="67"/>
      </tp>
      <tp>
        <v>0.05</v>
        <stp/>
        <stp>107</stp>
        <stp>EFX_011720P110</stp>
        <stp>TDA</stp>
        <stp>0</stp>
        <stp>0</stp>
        <stp>0</stp>
        <stp>0</stp>
        <stp>0</stp>
        <tr r="G33" s="67"/>
      </tp>
      <tp>
        <v>-0.50140000000000007</v>
        <stp/>
        <stp>204</stp>
        <stp>EBAY_011521P37</stp>
        <stp>TDA</stp>
        <stp>0</stp>
        <stp>0</stp>
        <stp>0</stp>
        <stp>0</stp>
        <stp>0</stp>
        <tr r="O31" s="67"/>
      </tp>
      <tp>
        <v>0.48370000000000002</v>
        <stp/>
        <stp>204</stp>
        <stp>EBAY_011521C37</stp>
        <stp>TDA</stp>
        <stp>0</stp>
        <stp>0</stp>
        <stp>0</stp>
        <stp>0</stp>
        <stp>0</stp>
        <tr r="O30" s="67"/>
      </tp>
      <tp>
        <v>4.8500000000000005</v>
        <stp/>
        <stp>107</stp>
        <stp>EBAY_011521P37</stp>
        <stp>TDA</stp>
        <stp>0</stp>
        <stp>0</stp>
        <stp>0</stp>
        <stp>0</stp>
        <stp>0</stp>
        <tr r="G31" s="67"/>
      </tp>
      <tp>
        <v>3.1</v>
        <stp/>
        <stp>107</stp>
        <stp>EBAY_011521C37</stp>
        <stp>TDA</stp>
        <stp>0</stp>
        <stp>0</stp>
        <stp>0</stp>
        <stp>0</stp>
        <stp>0</stp>
        <tr r="G30" s="67"/>
      </tp>
      <tp>
        <v>7.8000000000000007</v>
        <stp/>
        <stp>107</stp>
        <stp>TEAM_011521P90</stp>
        <stp>TDA</stp>
        <stp>0</stp>
        <stp>0</stp>
        <stp>0</stp>
        <stp>0</stp>
        <stp>0</stp>
        <tr r="D78" s="33"/>
      </tp>
      <tp>
        <v>5</v>
        <stp/>
        <stp>108</stp>
        <stp>EBAY_011521P37</stp>
        <stp>TDA</stp>
        <stp>0</stp>
        <stp>0</stp>
        <stp>0</stp>
        <stp>0</stp>
        <stp>0</stp>
        <tr r="G31" s="67"/>
      </tp>
      <tp>
        <v>3.2</v>
        <stp/>
        <stp>108</stp>
        <stp>EBAY_011521C37</stp>
        <stp>TDA</stp>
        <stp>0</stp>
        <stp>0</stp>
        <stp>0</stp>
        <stp>0</stp>
        <stp>0</stp>
        <tr r="G30" s="67"/>
      </tp>
      <tp>
        <v>8.2000000000000011</v>
        <stp/>
        <stp>108</stp>
        <stp>TEAM_011521P90</stp>
        <stp>TDA</stp>
        <stp>0</stp>
        <stp>0</stp>
        <stp>0</stp>
        <stp>0</stp>
        <stp>0</stp>
        <tr r="E78" s="33"/>
      </tp>
      <tp>
        <v>8.1</v>
        <stp/>
        <stp>108</stp>
        <stp>SFIX_011521C22</stp>
        <stp>TDA</stp>
        <stp>0</stp>
        <stp>0</stp>
        <stp>0</stp>
        <stp>0</stp>
        <stp>0</stp>
        <tr r="G75" s="67"/>
      </tp>
      <tp t="s">
        <v>TEAM Jan 15 2021 90 Put</v>
        <stp/>
        <stp>112</stp>
        <stp>TEAM_011521P90</stp>
        <stp>TDA</stp>
        <stp>0</stp>
        <stp>0</stp>
        <stp>0</stp>
        <stp>0</stp>
        <stp>0</stp>
        <tr r="S78" s="33"/>
      </tp>
      <tp>
        <v>0.68310000000000004</v>
        <stp/>
        <stp>204</stp>
        <stp>SFIX_011521C22</stp>
        <stp>TDA</stp>
        <stp>0</stp>
        <stp>0</stp>
        <stp>0</stp>
        <stp>0</stp>
        <stp>0</stp>
        <tr r="O75" s="67"/>
      </tp>
      <tp>
        <v>6</v>
        <stp/>
        <stp>107</stp>
        <stp>SFIX_011521C22</stp>
        <stp>TDA</stp>
        <stp>0</stp>
        <stp>0</stp>
        <stp>0</stp>
        <stp>0</stp>
        <stp>0</stp>
        <tr r="G75" s="67"/>
      </tp>
      <tp>
        <v>21.150000000000002</v>
        <stp/>
        <stp>107</stp>
        <stp>ORCL_011720C33</stp>
        <stp>TDA</stp>
        <stp>0</stp>
        <stp>0</stp>
        <stp>0</stp>
        <stp>0</stp>
        <stp>0</stp>
        <tr r="G36" s="67"/>
      </tp>
      <tp>
        <v>0.98510000000000009</v>
        <stp/>
        <stp>204</stp>
        <stp>ORCL_011720C33</stp>
        <stp>TDA</stp>
        <stp>0</stp>
        <stp>0</stp>
        <stp>0</stp>
        <stp>0</stp>
        <stp>0</stp>
        <tr r="O36" s="67"/>
      </tp>
      <tp>
        <v>21.7</v>
        <stp/>
        <stp>108</stp>
        <stp>ORCL_011720C33</stp>
        <stp>TDA</stp>
        <stp>0</stp>
        <stp>0</stp>
        <stp>0</stp>
        <stp>0</stp>
        <stp>0</stp>
        <tr r="G36" s="67"/>
      </tp>
      <tp>
        <v>14.8</v>
        <stp/>
        <stp>108</stp>
        <stp>SSTK_122019C30</stp>
        <stp>TDA</stp>
        <stp>0</stp>
        <stp>0</stp>
        <stp>0</stp>
        <stp>0</stp>
        <stp>0</stp>
        <tr r="E48" s="62"/>
        <tr r="E41" s="62"/>
        <tr r="E33" s="62"/>
        <tr r="E21" s="62"/>
        <tr r="E20" s="62"/>
        <tr r="E51" s="62"/>
        <tr r="E57" s="62"/>
        <tr r="E35" s="62"/>
        <tr r="E44" s="62"/>
        <tr r="E18" s="62"/>
        <tr r="E50" s="62"/>
        <tr r="E67" s="62"/>
        <tr r="E54" s="62"/>
        <tr r="E61" s="62"/>
        <tr r="E29" s="62"/>
        <tr r="E30" s="62"/>
        <tr r="E19" s="62"/>
        <tr r="E22" s="62"/>
        <tr r="E63" s="62"/>
        <tr r="E13" s="62"/>
        <tr r="E31" s="62"/>
        <tr r="E16" s="62"/>
        <tr r="E52" s="62"/>
        <tr r="E58" s="62"/>
        <tr r="E43" s="62"/>
        <tr r="E28" s="62"/>
        <tr r="E64" s="62"/>
        <tr r="E15" s="62"/>
        <tr r="E23" s="62"/>
        <tr r="E34" s="62"/>
        <tr r="E55" s="62"/>
        <tr r="E37" s="62"/>
        <tr r="E59" s="62"/>
        <tr r="E32" s="62"/>
        <tr r="E60" s="62"/>
        <tr r="E27" s="62"/>
        <tr r="E45" s="62"/>
        <tr r="E47" s="62"/>
        <tr r="E25" s="62"/>
        <tr r="E46" s="62"/>
        <tr r="E40" s="62"/>
        <tr r="E38" s="62"/>
        <tr r="E66" s="62"/>
        <tr r="E42" s="62"/>
        <tr r="E53" s="62"/>
        <tr r="E65" s="62"/>
        <tr r="E39" s="62"/>
        <tr r="E62" s="62"/>
        <tr r="E49" s="62"/>
        <tr r="E14" s="62"/>
        <tr r="E17" s="62"/>
        <tr r="E56" s="62"/>
        <tr r="E26" s="62"/>
        <tr r="E24" s="62"/>
        <tr r="E36" s="62"/>
      </tp>
      <tp>
        <v>0.4</v>
        <stp/>
        <stp>108</stp>
        <stp>SSTK_122019C50</stp>
        <stp>TDA</stp>
        <stp>0</stp>
        <stp>0</stp>
        <stp>0</stp>
        <stp>0</stp>
        <stp>0</stp>
        <tr r="E75" s="62"/>
      </tp>
      <tp>
        <v>4.2</v>
        <stp/>
        <stp>108</stp>
        <stp>SSTK_122019C40</stp>
        <stp>TDA</stp>
        <stp>0</stp>
        <stp>0</stp>
        <stp>0</stp>
        <stp>0</stp>
        <stp>0</stp>
        <tr r="E71" s="62"/>
      </tp>
      <tp>
        <v>12.9</v>
        <stp/>
        <stp>107</stp>
        <stp>SSTK_122019C30</stp>
        <stp>TDA</stp>
        <stp>0</stp>
        <stp>0</stp>
        <stp>0</stp>
        <stp>0</stp>
        <stp>0</stp>
        <tr r="D22" s="62"/>
        <tr r="D26" s="62"/>
        <tr r="D16" s="62"/>
        <tr r="D33" s="62"/>
        <tr r="D65" s="62"/>
        <tr r="D32" s="62"/>
        <tr r="D58" s="62"/>
        <tr r="D51" s="62"/>
        <tr r="D36" s="62"/>
        <tr r="D31" s="62"/>
        <tr r="D42" s="62"/>
        <tr r="D35" s="62"/>
        <tr r="D50" s="62"/>
        <tr r="D20" s="62"/>
        <tr r="D37" s="62"/>
        <tr r="D14" s="62"/>
        <tr r="D62" s="62"/>
        <tr r="D30" s="62"/>
        <tr r="D19" s="62"/>
        <tr r="D52" s="62"/>
        <tr r="D49" s="62"/>
        <tr r="D45" s="62"/>
        <tr r="D24" s="62"/>
        <tr r="D23" s="62"/>
        <tr r="D44" s="62"/>
        <tr r="D17" s="62"/>
        <tr r="D15" s="62"/>
        <tr r="D28" s="62"/>
        <tr r="D66" s="62"/>
        <tr r="D56" s="62"/>
        <tr r="D55" s="62"/>
        <tr r="D61" s="62"/>
        <tr r="D67" s="62"/>
        <tr r="D34" s="62"/>
        <tr r="D27" s="62"/>
        <tr r="D21" s="62"/>
        <tr r="D48" s="62"/>
        <tr r="D13" s="62"/>
        <tr r="D64" s="62"/>
        <tr r="D39" s="62"/>
        <tr r="D18" s="62"/>
        <tr r="D47" s="62"/>
        <tr r="D43" s="62"/>
        <tr r="D59" s="62"/>
        <tr r="D41" s="62"/>
        <tr r="D38" s="62"/>
        <tr r="D46" s="62"/>
        <tr r="D29" s="62"/>
        <tr r="D60" s="62"/>
        <tr r="D53" s="62"/>
        <tr r="D25" s="62"/>
        <tr r="D57" s="62"/>
        <tr r="D63" s="62"/>
        <tr r="D54" s="62"/>
        <tr r="D40" s="62"/>
      </tp>
      <tp>
        <v>0</v>
        <stp/>
        <stp>107</stp>
        <stp>SSTK_122019C50</stp>
        <stp>TDA</stp>
        <stp>0</stp>
        <stp>0</stp>
        <stp>0</stp>
        <stp>0</stp>
        <stp>0</stp>
        <tr r="D75" s="62"/>
      </tp>
      <tp>
        <v>3.9000000000000004</v>
        <stp/>
        <stp>107</stp>
        <stp>SSTK_122019C40</stp>
        <stp>TDA</stp>
        <stp>0</stp>
        <stp>0</stp>
        <stp>0</stp>
        <stp>0</stp>
        <stp>0</stp>
        <tr r="D71" s="62"/>
      </tp>
      <tp>
        <v>-0.127</v>
        <stp/>
        <stp>204</stp>
        <stp>XRAY_011521P42</stp>
        <stp>TDA</stp>
        <stp>0</stp>
        <stp>0</stp>
        <stp>0</stp>
        <stp>0</stp>
        <stp>0</stp>
        <tr r="O48" s="67"/>
      </tp>
      <tp>
        <v>0.88970000000000005</v>
        <stp/>
        <stp>204</stp>
        <stp>XRAY_011521C42</stp>
        <stp>TDA</stp>
        <stp>0</stp>
        <stp>0</stp>
        <stp>0</stp>
        <stp>0</stp>
        <stp>0</stp>
        <tr r="O27" s="67"/>
      </tp>
      <tp>
        <v>1.3</v>
        <stp/>
        <stp>107</stp>
        <stp>XRAY_011521P42</stp>
        <stp>TDA</stp>
        <stp>0</stp>
        <stp>0</stp>
        <stp>0</stp>
        <stp>0</stp>
        <stp>0</stp>
        <tr r="G48" s="67"/>
      </tp>
      <tp>
        <v>16.2</v>
        <stp/>
        <stp>107</stp>
        <stp>XRAY_011521C42</stp>
        <stp>TDA</stp>
        <stp>0</stp>
        <stp>0</stp>
        <stp>0</stp>
        <stp>0</stp>
        <stp>0</stp>
        <tr r="G27" s="67"/>
      </tp>
      <tp>
        <v>1.6</v>
        <stp/>
        <stp>108</stp>
        <stp>XRAY_011521P42</stp>
        <stp>TDA</stp>
        <stp>0</stp>
        <stp>0</stp>
        <stp>0</stp>
        <stp>0</stp>
        <stp>0</stp>
        <tr r="G48" s="67"/>
      </tp>
      <tp>
        <v>17.8</v>
        <stp/>
        <stp>108</stp>
        <stp>XRAY_011521C42</stp>
        <stp>TDA</stp>
        <stp>0</stp>
        <stp>0</stp>
        <stp>0</stp>
        <stp>0</stp>
        <stp>0</stp>
        <tr r="G27" s="67"/>
      </tp>
      <tp t="s">
        <v>SSTK Dec 20 2019 30 Call</v>
        <stp/>
        <stp>112</stp>
        <stp>SSTK_122019C30</stp>
        <stp>TDA</stp>
        <stp>0</stp>
        <stp>0</stp>
        <stp>0</stp>
        <stp>0</stp>
        <stp>0</stp>
        <tr r="U22" s="62"/>
        <tr r="U54" s="62"/>
        <tr r="U58" s="62"/>
        <tr r="U26" s="62"/>
        <tr r="U25" s="62"/>
        <tr r="U30" s="62"/>
        <tr r="U41" s="62"/>
        <tr r="U67" s="62"/>
        <tr r="U35" s="62"/>
        <tr r="U14" s="62"/>
        <tr r="U39" s="62"/>
        <tr r="U24" s="62"/>
        <tr r="U40" s="62"/>
        <tr r="U36" s="62"/>
        <tr r="U62" s="62"/>
        <tr r="U64" s="62"/>
        <tr r="U59" s="62"/>
        <tr r="U31" s="62"/>
        <tr r="U65" s="62"/>
        <tr r="U17" s="62"/>
        <tr r="U55" s="62"/>
        <tr r="U27" s="62"/>
        <tr r="U44" s="62"/>
        <tr r="U38" s="62"/>
        <tr r="U23" s="62"/>
        <tr r="U37" s="62"/>
        <tr r="U29" s="62"/>
        <tr r="U34" s="62"/>
        <tr r="U32" s="62"/>
        <tr r="U56" s="62"/>
        <tr r="U42" s="62"/>
        <tr r="U43" s="62"/>
        <tr r="U28" s="62"/>
        <tr r="U47" s="62"/>
        <tr r="U50" s="62"/>
        <tr r="U52" s="62"/>
        <tr r="U53" s="62"/>
        <tr r="U18" s="62"/>
        <tr r="U15" s="62"/>
        <tr r="U45" s="62"/>
        <tr r="U51" s="62"/>
        <tr r="U33" s="62"/>
        <tr r="U66" s="62"/>
        <tr r="U48" s="62"/>
        <tr r="U57" s="62"/>
        <tr r="U16" s="62"/>
        <tr r="U19" s="62"/>
        <tr r="U61" s="62"/>
        <tr r="U21" s="62"/>
        <tr r="U13" s="62"/>
        <tr r="U46" s="62"/>
        <tr r="U60" s="62"/>
        <tr r="U63" s="62"/>
        <tr r="U20" s="62"/>
        <tr r="U49" s="62"/>
      </tp>
      <tp t="s">
        <v>SSTK Dec 20 2019 50 Call</v>
        <stp/>
        <stp>112</stp>
        <stp>SSTK_122019C50</stp>
        <stp>TDA</stp>
        <stp>0</stp>
        <stp>0</stp>
        <stp>0</stp>
        <stp>0</stp>
        <stp>0</stp>
        <tr r="U75" s="62"/>
      </tp>
      <tp t="s">
        <v>SSTK Dec 20 2019 40 Call</v>
        <stp/>
        <stp>112</stp>
        <stp>SSTK_122019C40</stp>
        <stp>TDA</stp>
        <stp>0</stp>
        <stp>0</stp>
        <stp>0</stp>
        <stp>0</stp>
        <stp>0</stp>
        <tr r="U71" s="62"/>
      </tp>
      <tp>
        <v>5</v>
        <stp/>
        <stp>107</stp>
        <stp>SSTK_022120C40</stp>
        <stp>TDA</stp>
        <stp>0</stp>
        <stp>0</stp>
        <stp>0</stp>
        <stp>0</stp>
        <stp>0</stp>
        <tr r="D90" s="62"/>
        <tr r="D91" s="62"/>
        <tr r="D4" s="62"/>
        <tr r="G54" s="67"/>
      </tp>
      <tp>
        <v>0.6</v>
        <stp/>
        <stp>107</stp>
        <stp>SSTK_022120C50</stp>
        <stp>TDA</stp>
        <stp>0</stp>
        <stp>0</stp>
        <stp>0</stp>
        <stp>0</stp>
        <stp>0</stp>
        <tr r="D11" s="62"/>
        <tr r="D99" s="62"/>
        <tr r="D98" s="62"/>
        <tr r="D12" s="62"/>
        <tr r="D8" s="62"/>
      </tp>
      <tp>
        <v>0.75880000000000003</v>
        <stp/>
        <stp>204</stp>
        <stp>SSTK_022120C40</stp>
        <stp>TDA</stp>
        <stp>0</stp>
        <stp>0</stp>
        <stp>0</stp>
        <stp>0</stp>
        <stp>0</stp>
        <tr r="O54" s="67"/>
      </tp>
      <tp>
        <v>5.2</v>
        <stp/>
        <stp>108</stp>
        <stp>SSTK_022120C40</stp>
        <stp>TDA</stp>
        <stp>0</stp>
        <stp>0</stp>
        <stp>0</stp>
        <stp>0</stp>
        <stp>0</stp>
        <tr r="E4" s="62"/>
        <tr r="E90" s="62"/>
        <tr r="E91" s="62"/>
        <tr r="G54" s="67"/>
      </tp>
      <tp>
        <v>0.75</v>
        <stp/>
        <stp>108</stp>
        <stp>SSTK_022120C50</stp>
        <stp>TDA</stp>
        <stp>0</stp>
        <stp>0</stp>
        <stp>0</stp>
        <stp>0</stp>
        <stp>0</stp>
        <tr r="E98" s="62"/>
        <tr r="E11" s="62"/>
        <tr r="E12" s="62"/>
        <tr r="E99" s="62"/>
        <tr r="E8" s="62"/>
      </tp>
      <tp>
        <v>0.6</v>
        <stp/>
        <stp>108</stp>
        <stp>SWKS_022120P75</stp>
        <stp>TDA</stp>
        <stp>0</stp>
        <stp>0</stp>
        <stp>0</stp>
        <stp>0</stp>
        <stp>0</stp>
        <tr r="G12" s="67"/>
      </tp>
      <tp>
        <v>-0.1008</v>
        <stp/>
        <stp>204</stp>
        <stp>XRAY_011521P40</stp>
        <stp>TDA</stp>
        <stp>0</stp>
        <stp>0</stp>
        <stp>0</stp>
        <stp>0</stp>
        <stp>0</stp>
        <tr r="O47" s="67"/>
      </tp>
      <tp>
        <v>1</v>
        <stp/>
        <stp>107</stp>
        <stp>XRAY_011521P40</stp>
        <stp>TDA</stp>
        <stp>0</stp>
        <stp>0</stp>
        <stp>0</stp>
        <stp>0</stp>
        <stp>0</stp>
        <tr r="G47" s="67"/>
      </tp>
      <tp>
        <v>1.2</v>
        <stp/>
        <stp>108</stp>
        <stp>XRAY_011521P40</stp>
        <stp>TDA</stp>
        <stp>0</stp>
        <stp>0</stp>
        <stp>0</stp>
        <stp>0</stp>
        <stp>0</stp>
        <tr r="G47" s="67"/>
      </tp>
      <tp>
        <v>-6.1600000000000002E-2</v>
        <stp/>
        <stp>204</stp>
        <stp>SWKS_022120P75</stp>
        <stp>TDA</stp>
        <stp>0</stp>
        <stp>0</stp>
        <stp>0</stp>
        <stp>0</stp>
        <stp>0</stp>
        <tr r="O12" s="67"/>
      </tp>
      <tp>
        <v>0.5</v>
        <stp/>
        <stp>107</stp>
        <stp>SWKS_022120P75</stp>
        <stp>TDA</stp>
        <stp>0</stp>
        <stp>0</stp>
        <stp>0</stp>
        <stp>0</stp>
        <stp>0</stp>
        <tr r="G12" s="67"/>
      </tp>
      <tp t="s">
        <v>SSTK Feb 21 2020 40 Call</v>
        <stp/>
        <stp>112</stp>
        <stp>SSTK_022120C40</stp>
        <stp>TDA</stp>
        <stp>0</stp>
        <stp>0</stp>
        <stp>0</stp>
        <stp>0</stp>
        <stp>0</stp>
        <tr r="U4" s="62"/>
        <tr r="U91" s="62"/>
        <tr r="U90" s="62"/>
      </tp>
      <tp t="s">
        <v>SSTK Feb 21 2020 50 Call</v>
        <stp/>
        <stp>112</stp>
        <stp>SSTK_022120C50</stp>
        <stp>TDA</stp>
        <stp>0</stp>
        <stp>0</stp>
        <stp>0</stp>
        <stp>0</stp>
        <stp>0</stp>
        <tr r="U11" s="62"/>
        <tr r="U99" s="62"/>
        <tr r="U8" s="62"/>
        <tr r="U98" s="62"/>
        <tr r="U12" s="62"/>
      </tp>
      <tp t="s">
        <v>SSTK Dec 20 2019 35 Call</v>
        <stp/>
        <stp>112</stp>
        <stp>SSTK_122019C35</stp>
        <stp>TDA</stp>
        <stp>0</stp>
        <stp>0</stp>
        <stp>0</stp>
        <stp>0</stp>
        <stp>0</stp>
        <tr r="U69" s="62"/>
      </tp>
      <tp t="s">
        <v>SSTK Dec 20 2019 55 Call</v>
        <stp/>
        <stp>112</stp>
        <stp>SSTK_122019C55</stp>
        <stp>TDA</stp>
        <stp>0</stp>
        <stp>0</stp>
        <stp>0</stp>
        <stp>0</stp>
        <stp>0</stp>
        <tr r="U79" s="62"/>
        <tr r="U78" s="62"/>
        <tr r="U80" s="62"/>
        <tr r="U82" s="62"/>
        <tr r="U81" s="62"/>
        <tr r="U83" s="62"/>
        <tr r="U86" s="62"/>
        <tr r="U84" s="62"/>
        <tr r="U77" s="62"/>
        <tr r="U85" s="62"/>
      </tp>
      <tp t="s">
        <v>SSTK Dec 20 2019 45 Call</v>
        <stp/>
        <stp>112</stp>
        <stp>SSTK_122019C45</stp>
        <stp>TDA</stp>
        <stp>0</stp>
        <stp>0</stp>
        <stp>0</stp>
        <stp>0</stp>
        <stp>0</stp>
        <tr r="U73" s="62"/>
      </tp>
      <tp>
        <v>9.4</v>
        <stp/>
        <stp>108</stp>
        <stp>SSTK_122019C35</stp>
        <stp>TDA</stp>
        <stp>0</stp>
        <stp>0</stp>
        <stp>0</stp>
        <stp>0</stp>
        <stp>0</stp>
        <tr r="E69" s="62"/>
      </tp>
      <tp>
        <v>0.9</v>
        <stp/>
        <stp>108</stp>
        <stp>SSTK_122019C55</stp>
        <stp>TDA</stp>
        <stp>0</stp>
        <stp>0</stp>
        <stp>0</stp>
        <stp>0</stp>
        <stp>0</stp>
        <tr r="E84" s="62"/>
        <tr r="E80" s="62"/>
        <tr r="E81" s="62"/>
        <tr r="E85" s="62"/>
        <tr r="E77" s="62"/>
        <tr r="E83" s="62"/>
        <tr r="E86" s="62"/>
        <tr r="E78" s="62"/>
        <tr r="E79" s="62"/>
        <tr r="E82" s="62"/>
      </tp>
      <tp>
        <v>0.70000000000000007</v>
        <stp/>
        <stp>108</stp>
        <stp>SSTK_122019C45</stp>
        <stp>TDA</stp>
        <stp>0</stp>
        <stp>0</stp>
        <stp>0</stp>
        <stp>0</stp>
        <stp>0</stp>
        <tr r="E73" s="62"/>
      </tp>
      <tp>
        <v>8.7000000000000011</v>
        <stp/>
        <stp>107</stp>
        <stp>SSTK_122019C35</stp>
        <stp>TDA</stp>
        <stp>0</stp>
        <stp>0</stp>
        <stp>0</stp>
        <stp>0</stp>
        <stp>0</stp>
        <tr r="D69" s="62"/>
      </tp>
      <tp>
        <v>0</v>
        <stp/>
        <stp>107</stp>
        <stp>SSTK_122019C55</stp>
        <stp>TDA</stp>
        <stp>0</stp>
        <stp>0</stp>
        <stp>0</stp>
        <stp>0</stp>
        <stp>0</stp>
        <tr r="D86" s="62"/>
        <tr r="D77" s="62"/>
        <tr r="D79" s="62"/>
        <tr r="D85" s="62"/>
        <tr r="D82" s="62"/>
        <tr r="D78" s="62"/>
        <tr r="D81" s="62"/>
        <tr r="D80" s="62"/>
        <tr r="D83" s="62"/>
        <tr r="D84" s="62"/>
      </tp>
      <tp>
        <v>0.6</v>
        <stp/>
        <stp>107</stp>
        <stp>SSTK_122019C45</stp>
        <stp>TDA</stp>
        <stp>0</stp>
        <stp>0</stp>
        <stp>0</stp>
        <stp>0</stp>
        <stp>0</stp>
        <tr r="D73" s="62"/>
      </tp>
      <tp t="s">
        <v>SSTK Feb 21 2020 35 Call</v>
        <stp/>
        <stp>112</stp>
        <stp>SSTK_022120C35</stp>
        <stp>TDA</stp>
        <stp>0</stp>
        <stp>0</stp>
        <stp>0</stp>
        <stp>0</stp>
        <stp>0</stp>
        <tr r="U87" s="62"/>
        <tr r="U2" s="62"/>
      </tp>
      <tp t="s">
        <v>SSTK Feb 21 2020 45 Call</v>
        <stp/>
        <stp>112</stp>
        <stp>SSTK_022120C45</stp>
        <stp>TDA</stp>
        <stp>0</stp>
        <stp>0</stp>
        <stp>0</stp>
        <stp>0</stp>
        <stp>0</stp>
        <tr r="U6" s="62"/>
        <tr r="U94" s="62"/>
        <tr r="U95" s="62"/>
      </tp>
      <tp t="s">
        <v>SSTK Feb 21 2020 55 Call</v>
        <stp/>
        <stp>112</stp>
        <stp>SSTK_022120C55</stp>
        <stp>TDA</stp>
        <stp>0</stp>
        <stp>0</stp>
        <stp>0</stp>
        <stp>0</stp>
        <stp>0</stp>
        <tr r="U10" s="62"/>
        <tr r="U100" s="62"/>
      </tp>
      <tp>
        <v>8.9</v>
        <stp/>
        <stp>107</stp>
        <stp>SSTK_022120C35</stp>
        <stp>TDA</stp>
        <stp>0</stp>
        <stp>0</stp>
        <stp>0</stp>
        <stp>0</stp>
        <stp>0</stp>
        <tr r="D87" s="62"/>
        <tr r="D2" s="62"/>
      </tp>
      <tp>
        <v>2.0500000000000003</v>
        <stp/>
        <stp>107</stp>
        <stp>SSTK_022120C45</stp>
        <stp>TDA</stp>
        <stp>0</stp>
        <stp>0</stp>
        <stp>0</stp>
        <stp>0</stp>
        <stp>0</stp>
        <tr r="D6" s="62"/>
        <tr r="D94" s="62"/>
        <tr r="D95" s="62"/>
      </tp>
      <tp>
        <v>0.1</v>
        <stp/>
        <stp>107</stp>
        <stp>SSTK_022120C55</stp>
        <stp>TDA</stp>
        <stp>0</stp>
        <stp>0</stp>
        <stp>0</stp>
        <stp>0</stp>
        <stp>0</stp>
        <tr r="D10" s="62"/>
        <tr r="D100" s="62"/>
      </tp>
      <tp>
        <v>9.7000000000000011</v>
        <stp/>
        <stp>108</stp>
        <stp>SSTK_022120C35</stp>
        <stp>TDA</stp>
        <stp>0</stp>
        <stp>0</stp>
        <stp>0</stp>
        <stp>0</stp>
        <stp>0</stp>
        <tr r="E87" s="62"/>
        <tr r="E2" s="62"/>
      </tp>
      <tp>
        <v>2.25</v>
        <stp/>
        <stp>108</stp>
        <stp>SSTK_022120C45</stp>
        <stp>TDA</stp>
        <stp>0</stp>
        <stp>0</stp>
        <stp>0</stp>
        <stp>0</stp>
        <stp>0</stp>
        <tr r="E6" s="62"/>
        <tr r="E95" s="62"/>
        <tr r="E94" s="62"/>
      </tp>
      <tp>
        <v>0.25</v>
        <stp/>
        <stp>108</stp>
        <stp>SSTK_022120C55</stp>
        <stp>TDA</stp>
        <stp>0</stp>
        <stp>0</stp>
        <stp>0</stp>
        <stp>0</stp>
        <stp>0</stp>
        <tr r="E100" s="62"/>
        <tr r="E10" s="62"/>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volatileDependencies" Target="volatileDependenci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at Expiration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'Multileg MKTX'!$K$8</c:f>
              <c:strCache>
                <c:ptCount val="1"/>
                <c:pt idx="0">
                  <c:v>Gain</c:v>
                </c:pt>
              </c:strCache>
            </c:strRef>
          </c:tx>
          <c:spPr>
            <a:ln w="76200" cap="rnd">
              <a:solidFill>
                <a:schemeClr val="accent6"/>
              </a:solidFill>
              <a:round/>
            </a:ln>
            <a:effectLst/>
          </c:spPr>
          <c:marker>
            <c:symbol val="none"/>
          </c:marker>
          <c:cat>
            <c:numRef>
              <c:f>'Multileg MKTX'!$J$9:$J$78</c:f>
              <c:numCache>
                <c:formatCode>_("$"* #,##0.00_);_("$"* \(#,##0.00\);_("$"* "-"??_);_(@_)</c:formatCode>
                <c:ptCount val="70"/>
                <c:pt idx="0">
                  <c:v>250</c:v>
                </c:pt>
                <c:pt idx="1">
                  <c:v>253</c:v>
                </c:pt>
                <c:pt idx="2">
                  <c:v>256</c:v>
                </c:pt>
                <c:pt idx="3">
                  <c:v>259</c:v>
                </c:pt>
                <c:pt idx="4">
                  <c:v>262</c:v>
                </c:pt>
                <c:pt idx="5">
                  <c:v>265</c:v>
                </c:pt>
                <c:pt idx="6">
                  <c:v>268</c:v>
                </c:pt>
                <c:pt idx="7">
                  <c:v>271</c:v>
                </c:pt>
                <c:pt idx="8">
                  <c:v>274</c:v>
                </c:pt>
                <c:pt idx="9">
                  <c:v>277</c:v>
                </c:pt>
                <c:pt idx="10">
                  <c:v>280</c:v>
                </c:pt>
                <c:pt idx="11">
                  <c:v>283</c:v>
                </c:pt>
                <c:pt idx="12">
                  <c:v>286</c:v>
                </c:pt>
                <c:pt idx="13">
                  <c:v>289</c:v>
                </c:pt>
                <c:pt idx="14">
                  <c:v>292</c:v>
                </c:pt>
                <c:pt idx="15">
                  <c:v>295</c:v>
                </c:pt>
                <c:pt idx="16">
                  <c:v>298</c:v>
                </c:pt>
                <c:pt idx="17">
                  <c:v>301</c:v>
                </c:pt>
                <c:pt idx="18">
                  <c:v>304</c:v>
                </c:pt>
                <c:pt idx="19">
                  <c:v>307</c:v>
                </c:pt>
                <c:pt idx="20">
                  <c:v>310</c:v>
                </c:pt>
                <c:pt idx="21">
                  <c:v>313</c:v>
                </c:pt>
                <c:pt idx="22">
                  <c:v>316</c:v>
                </c:pt>
                <c:pt idx="23">
                  <c:v>319</c:v>
                </c:pt>
                <c:pt idx="24">
                  <c:v>322</c:v>
                </c:pt>
                <c:pt idx="25">
                  <c:v>325</c:v>
                </c:pt>
                <c:pt idx="26">
                  <c:v>328</c:v>
                </c:pt>
                <c:pt idx="27">
                  <c:v>331</c:v>
                </c:pt>
                <c:pt idx="28">
                  <c:v>334</c:v>
                </c:pt>
                <c:pt idx="29">
                  <c:v>337</c:v>
                </c:pt>
                <c:pt idx="30">
                  <c:v>340</c:v>
                </c:pt>
                <c:pt idx="31">
                  <c:v>343</c:v>
                </c:pt>
                <c:pt idx="32">
                  <c:v>346</c:v>
                </c:pt>
                <c:pt idx="33">
                  <c:v>349</c:v>
                </c:pt>
                <c:pt idx="34">
                  <c:v>352</c:v>
                </c:pt>
                <c:pt idx="35">
                  <c:v>355</c:v>
                </c:pt>
                <c:pt idx="36">
                  <c:v>358</c:v>
                </c:pt>
                <c:pt idx="37">
                  <c:v>361</c:v>
                </c:pt>
                <c:pt idx="38">
                  <c:v>364</c:v>
                </c:pt>
                <c:pt idx="39">
                  <c:v>367</c:v>
                </c:pt>
                <c:pt idx="40">
                  <c:v>370</c:v>
                </c:pt>
                <c:pt idx="41">
                  <c:v>373</c:v>
                </c:pt>
                <c:pt idx="42">
                  <c:v>376</c:v>
                </c:pt>
                <c:pt idx="43">
                  <c:v>379</c:v>
                </c:pt>
                <c:pt idx="44">
                  <c:v>382</c:v>
                </c:pt>
                <c:pt idx="45">
                  <c:v>385</c:v>
                </c:pt>
                <c:pt idx="46">
                  <c:v>388</c:v>
                </c:pt>
                <c:pt idx="47">
                  <c:v>391</c:v>
                </c:pt>
                <c:pt idx="48">
                  <c:v>394</c:v>
                </c:pt>
                <c:pt idx="49">
                  <c:v>397</c:v>
                </c:pt>
                <c:pt idx="50">
                  <c:v>400</c:v>
                </c:pt>
                <c:pt idx="51">
                  <c:v>403</c:v>
                </c:pt>
                <c:pt idx="52">
                  <c:v>406</c:v>
                </c:pt>
                <c:pt idx="53">
                  <c:v>409</c:v>
                </c:pt>
                <c:pt idx="54">
                  <c:v>412</c:v>
                </c:pt>
                <c:pt idx="55">
                  <c:v>415</c:v>
                </c:pt>
                <c:pt idx="56">
                  <c:v>418</c:v>
                </c:pt>
                <c:pt idx="57">
                  <c:v>421</c:v>
                </c:pt>
                <c:pt idx="58">
                  <c:v>424</c:v>
                </c:pt>
                <c:pt idx="59">
                  <c:v>427</c:v>
                </c:pt>
                <c:pt idx="60">
                  <c:v>430</c:v>
                </c:pt>
                <c:pt idx="61">
                  <c:v>433</c:v>
                </c:pt>
                <c:pt idx="62">
                  <c:v>436</c:v>
                </c:pt>
                <c:pt idx="63">
                  <c:v>439</c:v>
                </c:pt>
                <c:pt idx="64">
                  <c:v>442</c:v>
                </c:pt>
                <c:pt idx="65">
                  <c:v>445</c:v>
                </c:pt>
                <c:pt idx="66">
                  <c:v>448</c:v>
                </c:pt>
                <c:pt idx="67">
                  <c:v>451</c:v>
                </c:pt>
                <c:pt idx="68">
                  <c:v>454</c:v>
                </c:pt>
                <c:pt idx="69">
                  <c:v>457</c:v>
                </c:pt>
              </c:numCache>
            </c:numRef>
          </c:cat>
          <c:val>
            <c:numRef>
              <c:f>'Multileg MKTX'!$K$9:$K$78</c:f>
              <c:numCache>
                <c:formatCode>_("$"* #,##0.00_);_("$"* \(#,##0.00\);_("$"* "-"??_);_(@_)</c:formatCode>
                <c:ptCount val="70"/>
                <c:pt idx="0">
                  <c:v>-146.19999999999999</c:v>
                </c:pt>
                <c:pt idx="1">
                  <c:v>-143.19999999999999</c:v>
                </c:pt>
                <c:pt idx="2">
                  <c:v>-140.19999999999999</c:v>
                </c:pt>
                <c:pt idx="3">
                  <c:v>-137.19999999999999</c:v>
                </c:pt>
                <c:pt idx="4">
                  <c:v>-134.19999999999999</c:v>
                </c:pt>
                <c:pt idx="5">
                  <c:v>-131.19999999999999</c:v>
                </c:pt>
                <c:pt idx="6">
                  <c:v>-128.19999999999999</c:v>
                </c:pt>
                <c:pt idx="7">
                  <c:v>-125.19999999999999</c:v>
                </c:pt>
                <c:pt idx="8">
                  <c:v>-122.19999999999999</c:v>
                </c:pt>
                <c:pt idx="9">
                  <c:v>-119.19999999999999</c:v>
                </c:pt>
                <c:pt idx="10">
                  <c:v>-116.19999999999999</c:v>
                </c:pt>
                <c:pt idx="11">
                  <c:v>-113.19999999999999</c:v>
                </c:pt>
                <c:pt idx="12">
                  <c:v>-110.19999999999999</c:v>
                </c:pt>
                <c:pt idx="13">
                  <c:v>-107.19999999999999</c:v>
                </c:pt>
                <c:pt idx="14">
                  <c:v>-104.19999999999999</c:v>
                </c:pt>
                <c:pt idx="15">
                  <c:v>-101.19999999999999</c:v>
                </c:pt>
                <c:pt idx="16">
                  <c:v>-98.199999999999989</c:v>
                </c:pt>
                <c:pt idx="17">
                  <c:v>-95.199999999999989</c:v>
                </c:pt>
                <c:pt idx="18">
                  <c:v>-92.199999999999989</c:v>
                </c:pt>
                <c:pt idx="19">
                  <c:v>-89.199999999999989</c:v>
                </c:pt>
                <c:pt idx="20">
                  <c:v>-86.199999999999989</c:v>
                </c:pt>
                <c:pt idx="21">
                  <c:v>-83.199999999999989</c:v>
                </c:pt>
                <c:pt idx="22">
                  <c:v>-80.199999999999989</c:v>
                </c:pt>
                <c:pt idx="23">
                  <c:v>-77.199999999999989</c:v>
                </c:pt>
                <c:pt idx="24">
                  <c:v>-74.199999999999989</c:v>
                </c:pt>
                <c:pt idx="25">
                  <c:v>-71.199999999999989</c:v>
                </c:pt>
                <c:pt idx="26">
                  <c:v>-68.2</c:v>
                </c:pt>
                <c:pt idx="27">
                  <c:v>-65.2</c:v>
                </c:pt>
                <c:pt idx="28">
                  <c:v>-62.2</c:v>
                </c:pt>
                <c:pt idx="29">
                  <c:v>-59.2</c:v>
                </c:pt>
                <c:pt idx="30">
                  <c:v>-56.2</c:v>
                </c:pt>
                <c:pt idx="31">
                  <c:v>-53.2</c:v>
                </c:pt>
                <c:pt idx="32">
                  <c:v>-50.2</c:v>
                </c:pt>
                <c:pt idx="33">
                  <c:v>-47.2</c:v>
                </c:pt>
                <c:pt idx="34">
                  <c:v>-44.2</c:v>
                </c:pt>
                <c:pt idx="35">
                  <c:v>-41.2</c:v>
                </c:pt>
                <c:pt idx="36">
                  <c:v>-38.200000000000003</c:v>
                </c:pt>
                <c:pt idx="37">
                  <c:v>-35.200000000000003</c:v>
                </c:pt>
                <c:pt idx="38">
                  <c:v>-32.200000000000003</c:v>
                </c:pt>
                <c:pt idx="39">
                  <c:v>-29.2</c:v>
                </c:pt>
                <c:pt idx="40">
                  <c:v>-26.2</c:v>
                </c:pt>
                <c:pt idx="41">
                  <c:v>-23.2</c:v>
                </c:pt>
                <c:pt idx="42">
                  <c:v>-20.2</c:v>
                </c:pt>
                <c:pt idx="43">
                  <c:v>-17.2</c:v>
                </c:pt>
                <c:pt idx="44">
                  <c:v>-14.2</c:v>
                </c:pt>
                <c:pt idx="45">
                  <c:v>-11.2</c:v>
                </c:pt>
                <c:pt idx="46">
                  <c:v>-8.1999999999999993</c:v>
                </c:pt>
                <c:pt idx="47">
                  <c:v>-5.1999999999999993</c:v>
                </c:pt>
                <c:pt idx="48">
                  <c:v>-2.1999999999999993</c:v>
                </c:pt>
                <c:pt idx="49">
                  <c:v>0.80000000000000071</c:v>
                </c:pt>
                <c:pt idx="50">
                  <c:v>3.8000000000000007</c:v>
                </c:pt>
                <c:pt idx="51">
                  <c:v>6.8000000000000007</c:v>
                </c:pt>
                <c:pt idx="52">
                  <c:v>9.8000000000000007</c:v>
                </c:pt>
                <c:pt idx="53">
                  <c:v>12.8</c:v>
                </c:pt>
                <c:pt idx="54">
                  <c:v>15.8</c:v>
                </c:pt>
                <c:pt idx="55">
                  <c:v>18.8</c:v>
                </c:pt>
                <c:pt idx="56">
                  <c:v>21.8</c:v>
                </c:pt>
                <c:pt idx="57">
                  <c:v>24.8</c:v>
                </c:pt>
                <c:pt idx="58">
                  <c:v>27.8</c:v>
                </c:pt>
                <c:pt idx="59">
                  <c:v>30.8</c:v>
                </c:pt>
                <c:pt idx="60">
                  <c:v>33.799999999999997</c:v>
                </c:pt>
                <c:pt idx="61">
                  <c:v>36.799999999999997</c:v>
                </c:pt>
                <c:pt idx="62">
                  <c:v>39.799999999999997</c:v>
                </c:pt>
                <c:pt idx="63">
                  <c:v>42.8</c:v>
                </c:pt>
                <c:pt idx="64">
                  <c:v>45.8</c:v>
                </c:pt>
                <c:pt idx="65">
                  <c:v>48.8</c:v>
                </c:pt>
                <c:pt idx="66">
                  <c:v>51.8</c:v>
                </c:pt>
                <c:pt idx="67">
                  <c:v>54.8</c:v>
                </c:pt>
                <c:pt idx="68">
                  <c:v>57.8</c:v>
                </c:pt>
                <c:pt idx="69">
                  <c:v>60.8</c:v>
                </c:pt>
              </c:numCache>
            </c:numRef>
          </c:val>
          <c:smooth val="0"/>
          <c:extLst>
            <c:ext xmlns:c16="http://schemas.microsoft.com/office/drawing/2014/chart" uri="{C3380CC4-5D6E-409C-BE32-E72D297353CC}">
              <c16:uniqueId val="{00000000-9B71-4AA8-9640-E67F468FDEB6}"/>
            </c:ext>
          </c:extLst>
        </c:ser>
        <c:ser>
          <c:idx val="2"/>
          <c:order val="1"/>
          <c:tx>
            <c:strRef>
              <c:f>'Multileg MKTX'!$L$8</c:f>
              <c:strCache>
                <c:ptCount val="1"/>
                <c:pt idx="0">
                  <c:v>---</c:v>
                </c:pt>
              </c:strCache>
            </c:strRef>
          </c:tx>
          <c:spPr>
            <a:ln w="28575" cap="rnd">
              <a:solidFill>
                <a:srgbClr val="7030A0"/>
              </a:solidFill>
              <a:round/>
            </a:ln>
            <a:effectLst/>
          </c:spPr>
          <c:marker>
            <c:symbol val="none"/>
          </c:marker>
          <c:cat>
            <c:numRef>
              <c:f>'Multileg MKTX'!$J$9:$J$78</c:f>
              <c:numCache>
                <c:formatCode>_("$"* #,##0.00_);_("$"* \(#,##0.00\);_("$"* "-"??_);_(@_)</c:formatCode>
                <c:ptCount val="70"/>
                <c:pt idx="0">
                  <c:v>250</c:v>
                </c:pt>
                <c:pt idx="1">
                  <c:v>253</c:v>
                </c:pt>
                <c:pt idx="2">
                  <c:v>256</c:v>
                </c:pt>
                <c:pt idx="3">
                  <c:v>259</c:v>
                </c:pt>
                <c:pt idx="4">
                  <c:v>262</c:v>
                </c:pt>
                <c:pt idx="5">
                  <c:v>265</c:v>
                </c:pt>
                <c:pt idx="6">
                  <c:v>268</c:v>
                </c:pt>
                <c:pt idx="7">
                  <c:v>271</c:v>
                </c:pt>
                <c:pt idx="8">
                  <c:v>274</c:v>
                </c:pt>
                <c:pt idx="9">
                  <c:v>277</c:v>
                </c:pt>
                <c:pt idx="10">
                  <c:v>280</c:v>
                </c:pt>
                <c:pt idx="11">
                  <c:v>283</c:v>
                </c:pt>
                <c:pt idx="12">
                  <c:v>286</c:v>
                </c:pt>
                <c:pt idx="13">
                  <c:v>289</c:v>
                </c:pt>
                <c:pt idx="14">
                  <c:v>292</c:v>
                </c:pt>
                <c:pt idx="15">
                  <c:v>295</c:v>
                </c:pt>
                <c:pt idx="16">
                  <c:v>298</c:v>
                </c:pt>
                <c:pt idx="17">
                  <c:v>301</c:v>
                </c:pt>
                <c:pt idx="18">
                  <c:v>304</c:v>
                </c:pt>
                <c:pt idx="19">
                  <c:v>307</c:v>
                </c:pt>
                <c:pt idx="20">
                  <c:v>310</c:v>
                </c:pt>
                <c:pt idx="21">
                  <c:v>313</c:v>
                </c:pt>
                <c:pt idx="22">
                  <c:v>316</c:v>
                </c:pt>
                <c:pt idx="23">
                  <c:v>319</c:v>
                </c:pt>
                <c:pt idx="24">
                  <c:v>322</c:v>
                </c:pt>
                <c:pt idx="25">
                  <c:v>325</c:v>
                </c:pt>
                <c:pt idx="26">
                  <c:v>328</c:v>
                </c:pt>
                <c:pt idx="27">
                  <c:v>331</c:v>
                </c:pt>
                <c:pt idx="28">
                  <c:v>334</c:v>
                </c:pt>
                <c:pt idx="29">
                  <c:v>337</c:v>
                </c:pt>
                <c:pt idx="30">
                  <c:v>340</c:v>
                </c:pt>
                <c:pt idx="31">
                  <c:v>343</c:v>
                </c:pt>
                <c:pt idx="32">
                  <c:v>346</c:v>
                </c:pt>
                <c:pt idx="33">
                  <c:v>349</c:v>
                </c:pt>
                <c:pt idx="34">
                  <c:v>352</c:v>
                </c:pt>
                <c:pt idx="35">
                  <c:v>355</c:v>
                </c:pt>
                <c:pt idx="36">
                  <c:v>358</c:v>
                </c:pt>
                <c:pt idx="37">
                  <c:v>361</c:v>
                </c:pt>
                <c:pt idx="38">
                  <c:v>364</c:v>
                </c:pt>
                <c:pt idx="39">
                  <c:v>367</c:v>
                </c:pt>
                <c:pt idx="40">
                  <c:v>370</c:v>
                </c:pt>
                <c:pt idx="41">
                  <c:v>373</c:v>
                </c:pt>
                <c:pt idx="42">
                  <c:v>376</c:v>
                </c:pt>
                <c:pt idx="43">
                  <c:v>379</c:v>
                </c:pt>
                <c:pt idx="44">
                  <c:v>382</c:v>
                </c:pt>
                <c:pt idx="45">
                  <c:v>385</c:v>
                </c:pt>
                <c:pt idx="46">
                  <c:v>388</c:v>
                </c:pt>
                <c:pt idx="47">
                  <c:v>391</c:v>
                </c:pt>
                <c:pt idx="48">
                  <c:v>394</c:v>
                </c:pt>
                <c:pt idx="49">
                  <c:v>397</c:v>
                </c:pt>
                <c:pt idx="50">
                  <c:v>400</c:v>
                </c:pt>
                <c:pt idx="51">
                  <c:v>403</c:v>
                </c:pt>
                <c:pt idx="52">
                  <c:v>406</c:v>
                </c:pt>
                <c:pt idx="53">
                  <c:v>409</c:v>
                </c:pt>
                <c:pt idx="54">
                  <c:v>412</c:v>
                </c:pt>
                <c:pt idx="55">
                  <c:v>415</c:v>
                </c:pt>
                <c:pt idx="56">
                  <c:v>418</c:v>
                </c:pt>
                <c:pt idx="57">
                  <c:v>421</c:v>
                </c:pt>
                <c:pt idx="58">
                  <c:v>424</c:v>
                </c:pt>
                <c:pt idx="59">
                  <c:v>427</c:v>
                </c:pt>
                <c:pt idx="60">
                  <c:v>430</c:v>
                </c:pt>
                <c:pt idx="61">
                  <c:v>433</c:v>
                </c:pt>
                <c:pt idx="62">
                  <c:v>436</c:v>
                </c:pt>
                <c:pt idx="63">
                  <c:v>439</c:v>
                </c:pt>
                <c:pt idx="64">
                  <c:v>442</c:v>
                </c:pt>
                <c:pt idx="65">
                  <c:v>445</c:v>
                </c:pt>
                <c:pt idx="66">
                  <c:v>448</c:v>
                </c:pt>
                <c:pt idx="67">
                  <c:v>451</c:v>
                </c:pt>
                <c:pt idx="68">
                  <c:v>454</c:v>
                </c:pt>
                <c:pt idx="69">
                  <c:v>457</c:v>
                </c:pt>
              </c:numCache>
            </c:numRef>
          </c:cat>
          <c:val>
            <c:numRef>
              <c:f>'Multileg MKTX'!$L$9:$L$78</c:f>
              <c:numCache>
                <c:formatCode>_("$"* #,##0.00_);_("$"* \(#,##0.00\);_("$"* "-"??_);_(@_)</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9B71-4AA8-9640-E67F468FDEB6}"/>
            </c:ext>
          </c:extLst>
        </c:ser>
        <c:ser>
          <c:idx val="0"/>
          <c:order val="2"/>
          <c:tx>
            <c:strRef>
              <c:f>'Multileg MKTX'!$M$8</c:f>
              <c:strCache>
                <c:ptCount val="1"/>
                <c:pt idx="0">
                  <c:v>Buy $370.0 Call</c:v>
                </c:pt>
              </c:strCache>
            </c:strRef>
          </c:tx>
          <c:spPr>
            <a:ln w="28575" cap="rnd">
              <a:solidFill>
                <a:schemeClr val="accent4">
                  <a:lumMod val="50000"/>
                </a:schemeClr>
              </a:solidFill>
              <a:round/>
            </a:ln>
            <a:effectLst/>
          </c:spPr>
          <c:marker>
            <c:symbol val="none"/>
          </c:marker>
          <c:val>
            <c:numRef>
              <c:f>'Multileg MKTX'!$M$9:$M$78</c:f>
              <c:numCache>
                <c:formatCode>_("$"* #,##0.00_);_("$"* \(#,##0.00\);_("$"* "-"??_);_(@_)</c:formatCode>
                <c:ptCount val="70"/>
                <c:pt idx="0">
                  <c:v>-39.1</c:v>
                </c:pt>
                <c:pt idx="1">
                  <c:v>-39.1</c:v>
                </c:pt>
                <c:pt idx="2">
                  <c:v>-39.1</c:v>
                </c:pt>
                <c:pt idx="3">
                  <c:v>-39.1</c:v>
                </c:pt>
                <c:pt idx="4">
                  <c:v>-39.1</c:v>
                </c:pt>
                <c:pt idx="5">
                  <c:v>-39.1</c:v>
                </c:pt>
                <c:pt idx="6">
                  <c:v>-39.1</c:v>
                </c:pt>
                <c:pt idx="7">
                  <c:v>-39.1</c:v>
                </c:pt>
                <c:pt idx="8">
                  <c:v>-39.1</c:v>
                </c:pt>
                <c:pt idx="9">
                  <c:v>-39.1</c:v>
                </c:pt>
                <c:pt idx="10">
                  <c:v>-39.1</c:v>
                </c:pt>
                <c:pt idx="11">
                  <c:v>-39.1</c:v>
                </c:pt>
                <c:pt idx="12">
                  <c:v>-39.1</c:v>
                </c:pt>
                <c:pt idx="13">
                  <c:v>-39.1</c:v>
                </c:pt>
                <c:pt idx="14">
                  <c:v>-39.1</c:v>
                </c:pt>
                <c:pt idx="15">
                  <c:v>-39.1</c:v>
                </c:pt>
                <c:pt idx="16">
                  <c:v>-39.1</c:v>
                </c:pt>
                <c:pt idx="17">
                  <c:v>-39.1</c:v>
                </c:pt>
                <c:pt idx="18">
                  <c:v>-39.1</c:v>
                </c:pt>
                <c:pt idx="19">
                  <c:v>-39.1</c:v>
                </c:pt>
                <c:pt idx="20">
                  <c:v>-39.1</c:v>
                </c:pt>
                <c:pt idx="21">
                  <c:v>-39.1</c:v>
                </c:pt>
                <c:pt idx="22">
                  <c:v>-39.1</c:v>
                </c:pt>
                <c:pt idx="23">
                  <c:v>-39.1</c:v>
                </c:pt>
                <c:pt idx="24">
                  <c:v>-39.1</c:v>
                </c:pt>
                <c:pt idx="25">
                  <c:v>-39.1</c:v>
                </c:pt>
                <c:pt idx="26">
                  <c:v>-39.1</c:v>
                </c:pt>
                <c:pt idx="27">
                  <c:v>-39.1</c:v>
                </c:pt>
                <c:pt idx="28">
                  <c:v>-39.1</c:v>
                </c:pt>
                <c:pt idx="29">
                  <c:v>-39.1</c:v>
                </c:pt>
                <c:pt idx="30">
                  <c:v>-39.1</c:v>
                </c:pt>
                <c:pt idx="31">
                  <c:v>-39.1</c:v>
                </c:pt>
                <c:pt idx="32">
                  <c:v>-39.1</c:v>
                </c:pt>
                <c:pt idx="33">
                  <c:v>-39.1</c:v>
                </c:pt>
                <c:pt idx="34">
                  <c:v>-39.1</c:v>
                </c:pt>
                <c:pt idx="35">
                  <c:v>-39.1</c:v>
                </c:pt>
                <c:pt idx="36">
                  <c:v>-39.1</c:v>
                </c:pt>
                <c:pt idx="37">
                  <c:v>-39.1</c:v>
                </c:pt>
                <c:pt idx="38">
                  <c:v>-39.1</c:v>
                </c:pt>
                <c:pt idx="39">
                  <c:v>-39.1</c:v>
                </c:pt>
                <c:pt idx="40">
                  <c:v>-39.1</c:v>
                </c:pt>
                <c:pt idx="41">
                  <c:v>-36.1</c:v>
                </c:pt>
                <c:pt idx="42">
                  <c:v>-33.1</c:v>
                </c:pt>
                <c:pt idx="43">
                  <c:v>-30.1</c:v>
                </c:pt>
                <c:pt idx="44">
                  <c:v>-27.1</c:v>
                </c:pt>
                <c:pt idx="45">
                  <c:v>-24.1</c:v>
                </c:pt>
                <c:pt idx="46">
                  <c:v>-21.1</c:v>
                </c:pt>
                <c:pt idx="47">
                  <c:v>-18.100000000000001</c:v>
                </c:pt>
                <c:pt idx="48">
                  <c:v>-15.100000000000001</c:v>
                </c:pt>
                <c:pt idx="49">
                  <c:v>-12.100000000000001</c:v>
                </c:pt>
                <c:pt idx="50">
                  <c:v>-9.1000000000000014</c:v>
                </c:pt>
                <c:pt idx="51">
                  <c:v>-6.1000000000000014</c:v>
                </c:pt>
                <c:pt idx="52">
                  <c:v>-3.1000000000000014</c:v>
                </c:pt>
                <c:pt idx="53">
                  <c:v>-0.10000000000000142</c:v>
                </c:pt>
                <c:pt idx="54">
                  <c:v>2.8999999999999986</c:v>
                </c:pt>
                <c:pt idx="55">
                  <c:v>5.8999999999999986</c:v>
                </c:pt>
                <c:pt idx="56">
                  <c:v>8.8999999999999986</c:v>
                </c:pt>
                <c:pt idx="57">
                  <c:v>11.899999999999999</c:v>
                </c:pt>
                <c:pt idx="58">
                  <c:v>14.899999999999999</c:v>
                </c:pt>
                <c:pt idx="59">
                  <c:v>17.899999999999999</c:v>
                </c:pt>
                <c:pt idx="60">
                  <c:v>20.9</c:v>
                </c:pt>
                <c:pt idx="61">
                  <c:v>23.9</c:v>
                </c:pt>
                <c:pt idx="62">
                  <c:v>26.9</c:v>
                </c:pt>
                <c:pt idx="63">
                  <c:v>29.9</c:v>
                </c:pt>
                <c:pt idx="64">
                  <c:v>32.9</c:v>
                </c:pt>
                <c:pt idx="65">
                  <c:v>35.9</c:v>
                </c:pt>
                <c:pt idx="66">
                  <c:v>38.9</c:v>
                </c:pt>
                <c:pt idx="67">
                  <c:v>41.9</c:v>
                </c:pt>
                <c:pt idx="68">
                  <c:v>44.9</c:v>
                </c:pt>
                <c:pt idx="69">
                  <c:v>47.9</c:v>
                </c:pt>
              </c:numCache>
            </c:numRef>
          </c:val>
          <c:smooth val="0"/>
          <c:extLst>
            <c:ext xmlns:c16="http://schemas.microsoft.com/office/drawing/2014/chart" uri="{C3380CC4-5D6E-409C-BE32-E72D297353CC}">
              <c16:uniqueId val="{00000002-9B71-4AA8-9640-E67F468FDEB6}"/>
            </c:ext>
          </c:extLst>
        </c:ser>
        <c:ser>
          <c:idx val="3"/>
          <c:order val="3"/>
          <c:tx>
            <c:strRef>
              <c:f>'Multileg MKTX'!$N$8</c:f>
              <c:strCache>
                <c:ptCount val="1"/>
                <c:pt idx="0">
                  <c:v>Sell $370.0 Put</c:v>
                </c:pt>
              </c:strCache>
            </c:strRef>
          </c:tx>
          <c:spPr>
            <a:ln w="28575" cap="rnd">
              <a:solidFill>
                <a:srgbClr val="FF0000"/>
              </a:solidFill>
              <a:round/>
            </a:ln>
            <a:effectLst/>
          </c:spPr>
          <c:marker>
            <c:symbol val="none"/>
          </c:marker>
          <c:cat>
            <c:numRef>
              <c:f>'Multileg MKTX'!$J$9:$J$78</c:f>
              <c:numCache>
                <c:formatCode>_("$"* #,##0.00_);_("$"* \(#,##0.00\);_("$"* "-"??_);_(@_)</c:formatCode>
                <c:ptCount val="70"/>
                <c:pt idx="0">
                  <c:v>250</c:v>
                </c:pt>
                <c:pt idx="1">
                  <c:v>253</c:v>
                </c:pt>
                <c:pt idx="2">
                  <c:v>256</c:v>
                </c:pt>
                <c:pt idx="3">
                  <c:v>259</c:v>
                </c:pt>
                <c:pt idx="4">
                  <c:v>262</c:v>
                </c:pt>
                <c:pt idx="5">
                  <c:v>265</c:v>
                </c:pt>
                <c:pt idx="6">
                  <c:v>268</c:v>
                </c:pt>
                <c:pt idx="7">
                  <c:v>271</c:v>
                </c:pt>
                <c:pt idx="8">
                  <c:v>274</c:v>
                </c:pt>
                <c:pt idx="9">
                  <c:v>277</c:v>
                </c:pt>
                <c:pt idx="10">
                  <c:v>280</c:v>
                </c:pt>
                <c:pt idx="11">
                  <c:v>283</c:v>
                </c:pt>
                <c:pt idx="12">
                  <c:v>286</c:v>
                </c:pt>
                <c:pt idx="13">
                  <c:v>289</c:v>
                </c:pt>
                <c:pt idx="14">
                  <c:v>292</c:v>
                </c:pt>
                <c:pt idx="15">
                  <c:v>295</c:v>
                </c:pt>
                <c:pt idx="16">
                  <c:v>298</c:v>
                </c:pt>
                <c:pt idx="17">
                  <c:v>301</c:v>
                </c:pt>
                <c:pt idx="18">
                  <c:v>304</c:v>
                </c:pt>
                <c:pt idx="19">
                  <c:v>307</c:v>
                </c:pt>
                <c:pt idx="20">
                  <c:v>310</c:v>
                </c:pt>
                <c:pt idx="21">
                  <c:v>313</c:v>
                </c:pt>
                <c:pt idx="22">
                  <c:v>316</c:v>
                </c:pt>
                <c:pt idx="23">
                  <c:v>319</c:v>
                </c:pt>
                <c:pt idx="24">
                  <c:v>322</c:v>
                </c:pt>
                <c:pt idx="25">
                  <c:v>325</c:v>
                </c:pt>
                <c:pt idx="26">
                  <c:v>328</c:v>
                </c:pt>
                <c:pt idx="27">
                  <c:v>331</c:v>
                </c:pt>
                <c:pt idx="28">
                  <c:v>334</c:v>
                </c:pt>
                <c:pt idx="29">
                  <c:v>337</c:v>
                </c:pt>
                <c:pt idx="30">
                  <c:v>340</c:v>
                </c:pt>
                <c:pt idx="31">
                  <c:v>343</c:v>
                </c:pt>
                <c:pt idx="32">
                  <c:v>346</c:v>
                </c:pt>
                <c:pt idx="33">
                  <c:v>349</c:v>
                </c:pt>
                <c:pt idx="34">
                  <c:v>352</c:v>
                </c:pt>
                <c:pt idx="35">
                  <c:v>355</c:v>
                </c:pt>
                <c:pt idx="36">
                  <c:v>358</c:v>
                </c:pt>
                <c:pt idx="37">
                  <c:v>361</c:v>
                </c:pt>
                <c:pt idx="38">
                  <c:v>364</c:v>
                </c:pt>
                <c:pt idx="39">
                  <c:v>367</c:v>
                </c:pt>
                <c:pt idx="40">
                  <c:v>370</c:v>
                </c:pt>
                <c:pt idx="41">
                  <c:v>373</c:v>
                </c:pt>
                <c:pt idx="42">
                  <c:v>376</c:v>
                </c:pt>
                <c:pt idx="43">
                  <c:v>379</c:v>
                </c:pt>
                <c:pt idx="44">
                  <c:v>382</c:v>
                </c:pt>
                <c:pt idx="45">
                  <c:v>385</c:v>
                </c:pt>
                <c:pt idx="46">
                  <c:v>388</c:v>
                </c:pt>
                <c:pt idx="47">
                  <c:v>391</c:v>
                </c:pt>
                <c:pt idx="48">
                  <c:v>394</c:v>
                </c:pt>
                <c:pt idx="49">
                  <c:v>397</c:v>
                </c:pt>
                <c:pt idx="50">
                  <c:v>400</c:v>
                </c:pt>
                <c:pt idx="51">
                  <c:v>403</c:v>
                </c:pt>
                <c:pt idx="52">
                  <c:v>406</c:v>
                </c:pt>
                <c:pt idx="53">
                  <c:v>409</c:v>
                </c:pt>
                <c:pt idx="54">
                  <c:v>412</c:v>
                </c:pt>
                <c:pt idx="55">
                  <c:v>415</c:v>
                </c:pt>
                <c:pt idx="56">
                  <c:v>418</c:v>
                </c:pt>
                <c:pt idx="57">
                  <c:v>421</c:v>
                </c:pt>
                <c:pt idx="58">
                  <c:v>424</c:v>
                </c:pt>
                <c:pt idx="59">
                  <c:v>427</c:v>
                </c:pt>
                <c:pt idx="60">
                  <c:v>430</c:v>
                </c:pt>
                <c:pt idx="61">
                  <c:v>433</c:v>
                </c:pt>
                <c:pt idx="62">
                  <c:v>436</c:v>
                </c:pt>
                <c:pt idx="63">
                  <c:v>439</c:v>
                </c:pt>
                <c:pt idx="64">
                  <c:v>442</c:v>
                </c:pt>
                <c:pt idx="65">
                  <c:v>445</c:v>
                </c:pt>
                <c:pt idx="66">
                  <c:v>448</c:v>
                </c:pt>
                <c:pt idx="67">
                  <c:v>451</c:v>
                </c:pt>
                <c:pt idx="68">
                  <c:v>454</c:v>
                </c:pt>
                <c:pt idx="69">
                  <c:v>457</c:v>
                </c:pt>
              </c:numCache>
            </c:numRef>
          </c:cat>
          <c:val>
            <c:numRef>
              <c:f>'Multileg MKTX'!$N$9:$N$78</c:f>
              <c:numCache>
                <c:formatCode>_("$"* #,##0.00_);_("$"* \(#,##0.00\);_("$"* "-"??_);_(@_)</c:formatCode>
                <c:ptCount val="70"/>
                <c:pt idx="0">
                  <c:v>-107.1</c:v>
                </c:pt>
                <c:pt idx="1">
                  <c:v>-104.1</c:v>
                </c:pt>
                <c:pt idx="2">
                  <c:v>-101.1</c:v>
                </c:pt>
                <c:pt idx="3">
                  <c:v>-98.1</c:v>
                </c:pt>
                <c:pt idx="4">
                  <c:v>-95.1</c:v>
                </c:pt>
                <c:pt idx="5">
                  <c:v>-92.1</c:v>
                </c:pt>
                <c:pt idx="6">
                  <c:v>-89.1</c:v>
                </c:pt>
                <c:pt idx="7">
                  <c:v>-86.1</c:v>
                </c:pt>
                <c:pt idx="8">
                  <c:v>-83.1</c:v>
                </c:pt>
                <c:pt idx="9">
                  <c:v>-80.099999999999994</c:v>
                </c:pt>
                <c:pt idx="10">
                  <c:v>-77.099999999999994</c:v>
                </c:pt>
                <c:pt idx="11">
                  <c:v>-74.099999999999994</c:v>
                </c:pt>
                <c:pt idx="12">
                  <c:v>-71.099999999999994</c:v>
                </c:pt>
                <c:pt idx="13">
                  <c:v>-68.099999999999994</c:v>
                </c:pt>
                <c:pt idx="14">
                  <c:v>-65.099999999999994</c:v>
                </c:pt>
                <c:pt idx="15">
                  <c:v>-62.099999999999994</c:v>
                </c:pt>
                <c:pt idx="16">
                  <c:v>-59.099999999999994</c:v>
                </c:pt>
                <c:pt idx="17">
                  <c:v>-56.099999999999994</c:v>
                </c:pt>
                <c:pt idx="18">
                  <c:v>-53.099999999999994</c:v>
                </c:pt>
                <c:pt idx="19">
                  <c:v>-50.099999999999994</c:v>
                </c:pt>
                <c:pt idx="20">
                  <c:v>-47.099999999999994</c:v>
                </c:pt>
                <c:pt idx="21">
                  <c:v>-44.099999999999994</c:v>
                </c:pt>
                <c:pt idx="22">
                  <c:v>-41.099999999999994</c:v>
                </c:pt>
                <c:pt idx="23">
                  <c:v>-38.099999999999994</c:v>
                </c:pt>
                <c:pt idx="24">
                  <c:v>-35.099999999999994</c:v>
                </c:pt>
                <c:pt idx="25">
                  <c:v>-32.099999999999994</c:v>
                </c:pt>
                <c:pt idx="26">
                  <c:v>-29.099999999999998</c:v>
                </c:pt>
                <c:pt idx="27">
                  <c:v>-26.099999999999998</c:v>
                </c:pt>
                <c:pt idx="28">
                  <c:v>-23.099999999999998</c:v>
                </c:pt>
                <c:pt idx="29">
                  <c:v>-20.099999999999998</c:v>
                </c:pt>
                <c:pt idx="30">
                  <c:v>-17.099999999999998</c:v>
                </c:pt>
                <c:pt idx="31">
                  <c:v>-14.099999999999998</c:v>
                </c:pt>
                <c:pt idx="32">
                  <c:v>-11.099999999999998</c:v>
                </c:pt>
                <c:pt idx="33">
                  <c:v>-8.0999999999999979</c:v>
                </c:pt>
                <c:pt idx="34">
                  <c:v>-5.0999999999999979</c:v>
                </c:pt>
                <c:pt idx="35">
                  <c:v>-2.0999999999999979</c:v>
                </c:pt>
                <c:pt idx="36">
                  <c:v>0.90000000000000213</c:v>
                </c:pt>
                <c:pt idx="37">
                  <c:v>3.9000000000000021</c:v>
                </c:pt>
                <c:pt idx="38">
                  <c:v>6.9000000000000021</c:v>
                </c:pt>
                <c:pt idx="39">
                  <c:v>9.9000000000000021</c:v>
                </c:pt>
                <c:pt idx="40">
                  <c:v>12.900000000000002</c:v>
                </c:pt>
                <c:pt idx="41">
                  <c:v>12.900000000000002</c:v>
                </c:pt>
                <c:pt idx="42">
                  <c:v>12.900000000000002</c:v>
                </c:pt>
                <c:pt idx="43">
                  <c:v>12.900000000000002</c:v>
                </c:pt>
                <c:pt idx="44">
                  <c:v>12.900000000000002</c:v>
                </c:pt>
                <c:pt idx="45">
                  <c:v>12.900000000000002</c:v>
                </c:pt>
                <c:pt idx="46">
                  <c:v>12.900000000000002</c:v>
                </c:pt>
                <c:pt idx="47">
                  <c:v>12.900000000000002</c:v>
                </c:pt>
                <c:pt idx="48">
                  <c:v>12.900000000000002</c:v>
                </c:pt>
                <c:pt idx="49">
                  <c:v>12.900000000000002</c:v>
                </c:pt>
                <c:pt idx="50">
                  <c:v>12.900000000000002</c:v>
                </c:pt>
                <c:pt idx="51">
                  <c:v>12.900000000000002</c:v>
                </c:pt>
                <c:pt idx="52">
                  <c:v>12.900000000000002</c:v>
                </c:pt>
                <c:pt idx="53">
                  <c:v>12.900000000000002</c:v>
                </c:pt>
                <c:pt idx="54">
                  <c:v>12.900000000000002</c:v>
                </c:pt>
                <c:pt idx="55">
                  <c:v>12.900000000000002</c:v>
                </c:pt>
                <c:pt idx="56">
                  <c:v>12.900000000000002</c:v>
                </c:pt>
                <c:pt idx="57">
                  <c:v>12.900000000000002</c:v>
                </c:pt>
                <c:pt idx="58">
                  <c:v>12.900000000000002</c:v>
                </c:pt>
                <c:pt idx="59">
                  <c:v>12.900000000000002</c:v>
                </c:pt>
                <c:pt idx="60">
                  <c:v>12.900000000000002</c:v>
                </c:pt>
                <c:pt idx="61">
                  <c:v>12.900000000000002</c:v>
                </c:pt>
                <c:pt idx="62">
                  <c:v>12.900000000000002</c:v>
                </c:pt>
                <c:pt idx="63">
                  <c:v>12.900000000000002</c:v>
                </c:pt>
                <c:pt idx="64">
                  <c:v>12.900000000000002</c:v>
                </c:pt>
                <c:pt idx="65">
                  <c:v>12.900000000000002</c:v>
                </c:pt>
                <c:pt idx="66">
                  <c:v>12.900000000000002</c:v>
                </c:pt>
                <c:pt idx="67">
                  <c:v>12.900000000000002</c:v>
                </c:pt>
                <c:pt idx="68">
                  <c:v>12.900000000000002</c:v>
                </c:pt>
                <c:pt idx="69">
                  <c:v>12.900000000000002</c:v>
                </c:pt>
              </c:numCache>
            </c:numRef>
          </c:val>
          <c:smooth val="0"/>
          <c:extLst>
            <c:ext xmlns:c16="http://schemas.microsoft.com/office/drawing/2014/chart" uri="{C3380CC4-5D6E-409C-BE32-E72D297353CC}">
              <c16:uniqueId val="{00000003-9B71-4AA8-9640-E67F468FDEB6}"/>
            </c:ext>
          </c:extLst>
        </c:ser>
        <c:ser>
          <c:idx val="4"/>
          <c:order val="4"/>
          <c:tx>
            <c:strRef>
              <c:f>'Multileg MKTX'!$O$8</c:f>
              <c:strCache>
                <c:ptCount val="1"/>
                <c:pt idx="0">
                  <c:v>---</c:v>
                </c:pt>
              </c:strCache>
            </c:strRef>
          </c:tx>
          <c:spPr>
            <a:ln w="28575" cap="rnd">
              <a:solidFill>
                <a:schemeClr val="accent5"/>
              </a:solidFill>
              <a:round/>
            </a:ln>
            <a:effectLst/>
          </c:spPr>
          <c:marker>
            <c:symbol val="none"/>
          </c:marker>
          <c:val>
            <c:numRef>
              <c:f>'Multileg MKTX'!$O$9:$O$78</c:f>
              <c:numCache>
                <c:formatCode>_("$"* #,##0.00_);_("$"* \(#,##0.00\);_("$"* "-"??_);_(@_)</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0-2287-436B-AC7F-8099EEF6144B}"/>
            </c:ext>
          </c:extLst>
        </c:ser>
        <c:dLbls>
          <c:showLegendKey val="0"/>
          <c:showVal val="0"/>
          <c:showCatName val="0"/>
          <c:showSerName val="0"/>
          <c:showPercent val="0"/>
          <c:showBubbleSize val="0"/>
        </c:dLbls>
        <c:smooth val="0"/>
        <c:axId val="311106720"/>
        <c:axId val="1950608400"/>
      </c:lineChart>
      <c:catAx>
        <c:axId val="311106720"/>
        <c:scaling>
          <c:orientation val="minMax"/>
        </c:scaling>
        <c:delete val="0"/>
        <c:axPos val="b"/>
        <c:numFmt formatCode="_(&quot;$&quot;* #,##0.00_);_(&quot;$&quot;* \(#,##0.00\);_(&quot;$&quot;*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08400"/>
        <c:crosses val="autoZero"/>
        <c:auto val="1"/>
        <c:lblAlgn val="ctr"/>
        <c:lblOffset val="100"/>
        <c:noMultiLvlLbl val="0"/>
      </c:catAx>
      <c:valAx>
        <c:axId val="19506084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0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Option Price</a:t>
            </a:r>
          </a:p>
        </c:rich>
      </c:tx>
      <c:layout>
        <c:manualLayout>
          <c:xMode val="edge"/>
          <c:yMode val="edge"/>
          <c:x val="0.38170832528138005"/>
          <c:y val="2.7678966128864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'Buy Calls NVDA'!$B$2:$B$22</c:f>
              <c:numCache>
                <c:formatCode>_("$"* #,##0_);_("$"* \(#,##0\);_("$"* "-"??_);_(@_)</c:formatCode>
                <c:ptCount val="21"/>
                <c:pt idx="0">
                  <c:v>200</c:v>
                </c:pt>
                <c:pt idx="1">
                  <c:v>205</c:v>
                </c:pt>
                <c:pt idx="2">
                  <c:v>210</c:v>
                </c:pt>
                <c:pt idx="3">
                  <c:v>215</c:v>
                </c:pt>
                <c:pt idx="4">
                  <c:v>220</c:v>
                </c:pt>
                <c:pt idx="5">
                  <c:v>225</c:v>
                </c:pt>
                <c:pt idx="6">
                  <c:v>230</c:v>
                </c:pt>
                <c:pt idx="7">
                  <c:v>235</c:v>
                </c:pt>
                <c:pt idx="8">
                  <c:v>240</c:v>
                </c:pt>
                <c:pt idx="9">
                  <c:v>245</c:v>
                </c:pt>
                <c:pt idx="10">
                  <c:v>250</c:v>
                </c:pt>
                <c:pt idx="11">
                  <c:v>255</c:v>
                </c:pt>
                <c:pt idx="12">
                  <c:v>260</c:v>
                </c:pt>
                <c:pt idx="13">
                  <c:v>265</c:v>
                </c:pt>
                <c:pt idx="14">
                  <c:v>270</c:v>
                </c:pt>
                <c:pt idx="15">
                  <c:v>275</c:v>
                </c:pt>
                <c:pt idx="16">
                  <c:v>280</c:v>
                </c:pt>
                <c:pt idx="17">
                  <c:v>285</c:v>
                </c:pt>
                <c:pt idx="18">
                  <c:v>290</c:v>
                </c:pt>
                <c:pt idx="19">
                  <c:v>295</c:v>
                </c:pt>
                <c:pt idx="20">
                  <c:v>300</c:v>
                </c:pt>
              </c:numCache>
            </c:numRef>
          </c:cat>
          <c:val>
            <c:numRef>
              <c:f>'Buy Calls NVDA'!$D$2:$D$22</c:f>
              <c:numCache>
                <c:formatCode>_("$"* #,##0.00_);_("$"* \(#,##0.00\);_("$"* "-"??_);_(@_)</c:formatCode>
                <c:ptCount val="21"/>
                <c:pt idx="0">
                  <c:v>15.675000000000001</c:v>
                </c:pt>
                <c:pt idx="1">
                  <c:v>12.55</c:v>
                </c:pt>
                <c:pt idx="2">
                  <c:v>9.7750000000000004</c:v>
                </c:pt>
                <c:pt idx="3">
                  <c:v>7.45</c:v>
                </c:pt>
                <c:pt idx="4">
                  <c:v>5.5</c:v>
                </c:pt>
                <c:pt idx="5">
                  <c:v>3.95</c:v>
                </c:pt>
                <c:pt idx="6">
                  <c:v>2.7650000000000001</c:v>
                </c:pt>
                <c:pt idx="7">
                  <c:v>1.8900000000000001</c:v>
                </c:pt>
                <c:pt idx="8">
                  <c:v>1.27</c:v>
                </c:pt>
                <c:pt idx="9">
                  <c:v>0.84499999999999997</c:v>
                </c:pt>
                <c:pt idx="10">
                  <c:v>0.56000000000000005</c:v>
                </c:pt>
                <c:pt idx="11">
                  <c:v>0.37</c:v>
                </c:pt>
                <c:pt idx="12">
                  <c:v>0.255</c:v>
                </c:pt>
                <c:pt idx="13">
                  <c:v>0.18</c:v>
                </c:pt>
                <c:pt idx="14">
                  <c:v>0.12</c:v>
                </c:pt>
                <c:pt idx="15">
                  <c:v>0.09</c:v>
                </c:pt>
                <c:pt idx="16">
                  <c:v>6.5000000000000002E-2</c:v>
                </c:pt>
                <c:pt idx="17">
                  <c:v>0.05</c:v>
                </c:pt>
                <c:pt idx="18">
                  <c:v>3.5000000000000003E-2</c:v>
                </c:pt>
                <c:pt idx="19">
                  <c:v>0.03</c:v>
                </c:pt>
                <c:pt idx="20">
                  <c:v>2.5000000000000001E-2</c:v>
                </c:pt>
              </c:numCache>
            </c:numRef>
          </c:val>
          <c:smooth val="0"/>
          <c:extLst>
            <c:ext xmlns:c16="http://schemas.microsoft.com/office/drawing/2014/chart" uri="{C3380CC4-5D6E-409C-BE32-E72D297353CC}">
              <c16:uniqueId val="{00000000-FA47-4DF3-B1D6-1B198AB50FA0}"/>
            </c:ext>
          </c:extLst>
        </c:ser>
        <c:dLbls>
          <c:showLegendKey val="0"/>
          <c:showVal val="0"/>
          <c:showCatName val="0"/>
          <c:showSerName val="0"/>
          <c:showPercent val="0"/>
          <c:showBubbleSize val="0"/>
        </c:dLbls>
        <c:marker val="1"/>
        <c:smooth val="0"/>
        <c:axId val="-1105449680"/>
        <c:axId val="-1105457840"/>
      </c:lineChart>
      <c:catAx>
        <c:axId val="-1105449680"/>
        <c:scaling>
          <c:orientation val="minMax"/>
        </c:scaling>
        <c:delete val="0"/>
        <c:axPos val="b"/>
        <c:numFmt formatCode="_(&quot;$&quot;* #,##0_);_(&quot;$&quot;* \(#,##0\);_(&quot;$&quot;*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57840"/>
        <c:crosses val="autoZero"/>
        <c:auto val="1"/>
        <c:lblAlgn val="ctr"/>
        <c:lblOffset val="100"/>
        <c:noMultiLvlLbl val="0"/>
      </c:catAx>
      <c:valAx>
        <c:axId val="-11054578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4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16</xdr:col>
      <xdr:colOff>479424</xdr:colOff>
      <xdr:row>0</xdr:row>
      <xdr:rowOff>152400</xdr:rowOff>
    </xdr:from>
    <xdr:to>
      <xdr:col>36</xdr:col>
      <xdr:colOff>457199</xdr:colOff>
      <xdr:row>41</xdr:row>
      <xdr:rowOff>101600</xdr:rowOff>
    </xdr:to>
    <xdr:graphicFrame macro="">
      <xdr:nvGraphicFramePr>
        <xdr:cNvPr id="2" name="Chart 1">
          <a:extLst>
            <a:ext uri="{FF2B5EF4-FFF2-40B4-BE49-F238E27FC236}">
              <a16:creationId xmlns:a16="http://schemas.microsoft.com/office/drawing/2014/main" id="{98553497-7D4B-4787-8464-A1B6DFE1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61118</xdr:colOff>
      <xdr:row>11</xdr:row>
      <xdr:rowOff>20735</xdr:rowOff>
    </xdr:from>
    <xdr:to>
      <xdr:col>13</xdr:col>
      <xdr:colOff>31102</xdr:colOff>
      <xdr:row>21</xdr:row>
      <xdr:rowOff>143000</xdr:rowOff>
    </xdr:to>
    <xdr:graphicFrame macro="">
      <xdr:nvGraphicFramePr>
        <xdr:cNvPr id="2" name="Chart 1">
          <a:extLst>
            <a:ext uri="{FF2B5EF4-FFF2-40B4-BE49-F238E27FC236}">
              <a16:creationId xmlns:a16="http://schemas.microsoft.com/office/drawing/2014/main" id="{63BA7935-69EA-4A23-88A9-DDF0BD9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qmatix.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6"/>
  <sheetViews>
    <sheetView tabSelected="1" zoomScaleNormal="100" workbookViewId="0"/>
  </sheetViews>
  <sheetFormatPr defaultColWidth="14.42578125" defaultRowHeight="15" customHeight="1" x14ac:dyDescent="0.25"/>
  <cols>
    <col min="1" max="1" width="14.140625" style="49" customWidth="1"/>
    <col min="2" max="2" width="56.28515625" style="49" customWidth="1"/>
    <col min="3" max="16384" width="14.42578125" style="49"/>
  </cols>
  <sheetData>
    <row r="1" spans="1:2" ht="14.25" customHeight="1" x14ac:dyDescent="0.25">
      <c r="A1" s="49" t="s">
        <v>1267</v>
      </c>
    </row>
    <row r="2" spans="1:2" ht="14.25" customHeight="1" x14ac:dyDescent="0.25">
      <c r="A2" s="227" t="s">
        <v>174</v>
      </c>
    </row>
    <row r="3" spans="1:2" ht="14.25" customHeight="1" x14ac:dyDescent="0.25">
      <c r="A3" s="52" t="s">
        <v>1268</v>
      </c>
    </row>
    <row r="4" spans="1:2" ht="14.25" customHeight="1" x14ac:dyDescent="0.25">
      <c r="A4" s="52"/>
    </row>
    <row r="5" spans="1:2" ht="14.25" customHeight="1" x14ac:dyDescent="0.25">
      <c r="A5" s="253" t="s">
        <v>31</v>
      </c>
      <c r="B5" s="49" t="s">
        <v>1266</v>
      </c>
    </row>
    <row r="6" spans="1:2" ht="14.25" customHeight="1" x14ac:dyDescent="0.25"/>
    <row r="7" spans="1:2" ht="14.25" customHeight="1" x14ac:dyDescent="0.25">
      <c r="A7" s="228" t="s">
        <v>178</v>
      </c>
    </row>
    <row r="8" spans="1:2" ht="14.25" customHeight="1" x14ac:dyDescent="0.25"/>
    <row r="9" spans="1:2" ht="14.25" customHeight="1" x14ac:dyDescent="0.25">
      <c r="A9" s="228" t="s">
        <v>179</v>
      </c>
      <c r="B9" s="62" t="s">
        <v>181</v>
      </c>
    </row>
    <row r="10" spans="1:2" ht="14.25" customHeight="1" x14ac:dyDescent="0.25">
      <c r="B10" s="49" t="s">
        <v>182</v>
      </c>
    </row>
    <row r="11" spans="1:2" ht="14.25" customHeight="1" x14ac:dyDescent="0.25">
      <c r="A11" s="59"/>
      <c r="B11" s="62" t="s">
        <v>183</v>
      </c>
    </row>
    <row r="12" spans="1:2" ht="14.25" customHeight="1" x14ac:dyDescent="0.25">
      <c r="A12" s="59"/>
      <c r="B12" s="62"/>
    </row>
    <row r="13" spans="1:2" ht="14.25" customHeight="1" x14ac:dyDescent="0.25">
      <c r="A13" s="233" t="s">
        <v>180</v>
      </c>
      <c r="B13" s="62" t="s">
        <v>184</v>
      </c>
    </row>
    <row r="14" spans="1:2" ht="14.25" customHeight="1" x14ac:dyDescent="0.25">
      <c r="B14" s="62" t="s">
        <v>185</v>
      </c>
    </row>
    <row r="15" spans="1:2" ht="14.25" customHeight="1" x14ac:dyDescent="0.25">
      <c r="B15" s="62"/>
    </row>
    <row r="16" spans="1:2" ht="15" customHeight="1" x14ac:dyDescent="0.25">
      <c r="A16" s="58" t="s">
        <v>186</v>
      </c>
      <c r="B16" s="49" t="s">
        <v>187</v>
      </c>
    </row>
    <row r="17" spans="1:2" ht="15" customHeight="1" x14ac:dyDescent="0.25">
      <c r="B17" s="49" t="s">
        <v>188</v>
      </c>
    </row>
    <row r="18" spans="1:2" ht="15" customHeight="1" x14ac:dyDescent="0.25">
      <c r="B18" s="49" t="s">
        <v>1224</v>
      </c>
    </row>
    <row r="19" spans="1:2" ht="15" customHeight="1" x14ac:dyDescent="0.25">
      <c r="B19" s="49" t="s">
        <v>1225</v>
      </c>
    </row>
    <row r="20" spans="1:2" ht="15" customHeight="1" x14ac:dyDescent="0.25">
      <c r="B20" s="49" t="s">
        <v>1226</v>
      </c>
    </row>
    <row r="22" spans="1:2" ht="15" customHeight="1" x14ac:dyDescent="0.25">
      <c r="A22" s="58" t="s">
        <v>1227</v>
      </c>
      <c r="B22" s="49" t="s">
        <v>1228</v>
      </c>
    </row>
    <row r="23" spans="1:2" ht="15" customHeight="1" x14ac:dyDescent="0.25">
      <c r="B23" s="49" t="s">
        <v>1229</v>
      </c>
    </row>
    <row r="24" spans="1:2" ht="15" customHeight="1" x14ac:dyDescent="0.25">
      <c r="B24" s="49" t="s">
        <v>1230</v>
      </c>
    </row>
    <row r="25" spans="1:2" ht="15" customHeight="1" x14ac:dyDescent="0.25">
      <c r="B25" s="49" t="s">
        <v>1231</v>
      </c>
    </row>
    <row r="26" spans="1:2" ht="15" customHeight="1" x14ac:dyDescent="0.25">
      <c r="B26" s="49" t="s">
        <v>1232</v>
      </c>
    </row>
    <row r="27" spans="1:2" ht="15" customHeight="1" x14ac:dyDescent="0.25">
      <c r="B27" s="49" t="s">
        <v>1233</v>
      </c>
    </row>
    <row r="28" spans="1:2" ht="15" customHeight="1" x14ac:dyDescent="0.25">
      <c r="B28" s="49" t="s">
        <v>1234</v>
      </c>
    </row>
    <row r="29" spans="1:2" ht="15" customHeight="1" x14ac:dyDescent="0.25">
      <c r="B29" s="49" t="s">
        <v>1235</v>
      </c>
    </row>
    <row r="30" spans="1:2" ht="15" customHeight="1" x14ac:dyDescent="0.25">
      <c r="B30" s="49" t="s">
        <v>1236</v>
      </c>
    </row>
    <row r="31" spans="1:2" ht="15" customHeight="1" x14ac:dyDescent="0.25">
      <c r="B31" s="49" t="s">
        <v>1237</v>
      </c>
    </row>
    <row r="33" spans="1:2" ht="15" customHeight="1" x14ac:dyDescent="0.25">
      <c r="A33" s="58" t="s">
        <v>1238</v>
      </c>
      <c r="B33" s="49" t="s">
        <v>1239</v>
      </c>
    </row>
    <row r="34" spans="1:2" ht="15" customHeight="1" x14ac:dyDescent="0.25">
      <c r="B34" s="49" t="s">
        <v>1240</v>
      </c>
    </row>
    <row r="36" spans="1:2" ht="15" customHeight="1" x14ac:dyDescent="0.25">
      <c r="A36" s="58" t="s">
        <v>1241</v>
      </c>
      <c r="B36" s="62" t="s">
        <v>1242</v>
      </c>
    </row>
    <row r="37" spans="1:2" ht="15" customHeight="1" x14ac:dyDescent="0.25">
      <c r="B37" s="62" t="s">
        <v>1243</v>
      </c>
    </row>
    <row r="38" spans="1:2" ht="15" customHeight="1" x14ac:dyDescent="0.25">
      <c r="B38" s="62" t="s">
        <v>1244</v>
      </c>
    </row>
    <row r="39" spans="1:2" ht="15" customHeight="1" x14ac:dyDescent="0.25">
      <c r="B39" s="62" t="s">
        <v>1245</v>
      </c>
    </row>
    <row r="40" spans="1:2" ht="15" customHeight="1" x14ac:dyDescent="0.25">
      <c r="B40" s="62" t="s">
        <v>1246</v>
      </c>
    </row>
    <row r="41" spans="1:2" ht="15" customHeight="1" x14ac:dyDescent="0.25">
      <c r="B41" s="62" t="s">
        <v>1247</v>
      </c>
    </row>
    <row r="42" spans="1:2" ht="15" customHeight="1" x14ac:dyDescent="0.25">
      <c r="B42" s="62" t="s">
        <v>1248</v>
      </c>
    </row>
    <row r="43" spans="1:2" ht="15" customHeight="1" x14ac:dyDescent="0.25">
      <c r="B43" s="62" t="s">
        <v>1249</v>
      </c>
    </row>
    <row r="44" spans="1:2" ht="15" customHeight="1" x14ac:dyDescent="0.25">
      <c r="B44" s="62"/>
    </row>
    <row r="45" spans="1:2" ht="15" customHeight="1" x14ac:dyDescent="0.25">
      <c r="A45" s="58" t="s">
        <v>1250</v>
      </c>
      <c r="B45" s="62" t="s">
        <v>1251</v>
      </c>
    </row>
    <row r="46" spans="1:2" ht="15" customHeight="1" x14ac:dyDescent="0.25">
      <c r="B46" s="62" t="s">
        <v>1255</v>
      </c>
    </row>
    <row r="47" spans="1:2" ht="15" customHeight="1" x14ac:dyDescent="0.25">
      <c r="B47" s="62" t="s">
        <v>1256</v>
      </c>
    </row>
    <row r="48" spans="1:2" ht="15" customHeight="1" x14ac:dyDescent="0.25">
      <c r="B48" s="62" t="s">
        <v>1257</v>
      </c>
    </row>
    <row r="49" spans="1:2" ht="15" customHeight="1" x14ac:dyDescent="0.25">
      <c r="B49" s="62" t="s">
        <v>1258</v>
      </c>
    </row>
    <row r="51" spans="1:2" ht="15" customHeight="1" x14ac:dyDescent="0.25">
      <c r="A51" s="58" t="s">
        <v>1259</v>
      </c>
      <c r="B51" s="62" t="s">
        <v>1260</v>
      </c>
    </row>
    <row r="52" spans="1:2" ht="15" customHeight="1" x14ac:dyDescent="0.25">
      <c r="B52" s="62" t="s">
        <v>1261</v>
      </c>
    </row>
    <row r="53" spans="1:2" ht="15" customHeight="1" x14ac:dyDescent="0.25">
      <c r="B53" s="62" t="s">
        <v>1262</v>
      </c>
    </row>
    <row r="54" spans="1:2" ht="15" customHeight="1" x14ac:dyDescent="0.25">
      <c r="B54" s="62" t="s">
        <v>1263</v>
      </c>
    </row>
    <row r="55" spans="1:2" ht="15" customHeight="1" x14ac:dyDescent="0.25">
      <c r="B55" s="62" t="s">
        <v>1264</v>
      </c>
    </row>
    <row r="56" spans="1:2" ht="15" customHeight="1" x14ac:dyDescent="0.25">
      <c r="B56" s="62" t="s">
        <v>1265</v>
      </c>
    </row>
  </sheetData>
  <hyperlinks>
    <hyperlink ref="A2" r:id="rId1" xr:uid="{6E0F9B3C-1B1E-4157-A23F-5A1F21E4B09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39B2-40AD-4138-AA23-64842847C72E}">
  <dimension ref="A1:AE96"/>
  <sheetViews>
    <sheetView zoomScale="99" zoomScaleNormal="113" workbookViewId="0">
      <pane ySplit="1" topLeftCell="A2" activePane="bottomLeft" state="frozen"/>
      <selection pane="bottomLeft" activeCell="B30" sqref="B30"/>
    </sheetView>
  </sheetViews>
  <sheetFormatPr defaultRowHeight="15" x14ac:dyDescent="0.25"/>
  <cols>
    <col min="1" max="1" width="6.7109375" style="137" bestFit="1" customWidth="1"/>
    <col min="2" max="2" width="40.7109375" style="137" customWidth="1"/>
    <col min="3" max="3" width="12" style="137" bestFit="1" customWidth="1"/>
    <col min="4" max="4" width="9" style="137" customWidth="1"/>
    <col min="5" max="5" width="4.28515625" style="137" customWidth="1"/>
    <col min="6" max="6" width="0.5703125" style="137" customWidth="1"/>
    <col min="7" max="7" width="11.42578125" style="137" bestFit="1" customWidth="1"/>
    <col min="8" max="8" width="8.42578125" style="192" bestFit="1" customWidth="1"/>
    <col min="9" max="9" width="6.7109375" style="75" customWidth="1"/>
    <col min="10" max="10" width="11.42578125" style="179" bestFit="1" customWidth="1"/>
    <col min="11" max="11" width="11.42578125" style="179" customWidth="1"/>
    <col min="12" max="12" width="10.42578125" style="215" bestFit="1" customWidth="1"/>
    <col min="13" max="13" width="10.42578125" style="181" customWidth="1"/>
    <col min="14" max="14" width="12.140625" style="181" bestFit="1" customWidth="1"/>
    <col min="15" max="15" width="11.85546875" style="202" bestFit="1" customWidth="1"/>
    <col min="16" max="16" width="11.5703125" style="219" customWidth="1"/>
    <col min="17" max="23" width="9.140625" style="219"/>
    <col min="24" max="31" width="9.140625" style="198"/>
  </cols>
  <sheetData>
    <row r="1" spans="1:31" s="168" customFormat="1" x14ac:dyDescent="0.25">
      <c r="A1" s="216" t="s">
        <v>0</v>
      </c>
      <c r="B1" s="216" t="s">
        <v>37</v>
      </c>
      <c r="C1" s="216" t="s">
        <v>52</v>
      </c>
      <c r="D1" s="216" t="s">
        <v>173</v>
      </c>
      <c r="E1" s="216" t="s">
        <v>30</v>
      </c>
      <c r="F1" s="216" t="s">
        <v>32</v>
      </c>
      <c r="G1" s="216" t="s">
        <v>11</v>
      </c>
      <c r="H1" s="169" t="s">
        <v>152</v>
      </c>
      <c r="I1" s="216" t="s">
        <v>9</v>
      </c>
      <c r="J1" s="217" t="s">
        <v>172</v>
      </c>
      <c r="K1" s="217" t="s">
        <v>149</v>
      </c>
      <c r="L1" s="218" t="s">
        <v>171</v>
      </c>
      <c r="M1" s="218" t="s">
        <v>169</v>
      </c>
      <c r="N1" s="169" t="s">
        <v>170</v>
      </c>
      <c r="O1" s="261">
        <v>-0.01</v>
      </c>
      <c r="P1" s="219"/>
      <c r="Q1" s="219"/>
      <c r="R1" s="219"/>
      <c r="S1" s="219"/>
      <c r="T1" s="219"/>
      <c r="U1" s="219"/>
      <c r="V1" s="219"/>
      <c r="W1" s="219"/>
      <c r="X1" s="198"/>
      <c r="Y1" s="198"/>
      <c r="Z1" s="198"/>
      <c r="AA1" s="198"/>
      <c r="AB1" s="198"/>
      <c r="AC1" s="198"/>
      <c r="AD1" s="198"/>
      <c r="AE1" s="198"/>
    </row>
    <row r="2" spans="1:31" s="168" customFormat="1" x14ac:dyDescent="0.25">
      <c r="A2" s="183" t="s">
        <v>168</v>
      </c>
      <c r="B2" s="137" t="str">
        <f>_xll.xlqName(A2, tda)</f>
        <v>QUALCOMM Incorporated - Common Stock</v>
      </c>
      <c r="C2" s="137"/>
      <c r="D2" s="204"/>
      <c r="E2" s="137" t="s">
        <v>155</v>
      </c>
      <c r="F2" s="137"/>
      <c r="G2" s="184">
        <f>_xll.xlqPrice(A2,tda)</f>
        <v>81.53</v>
      </c>
      <c r="H2" s="191" t="s">
        <v>175</v>
      </c>
      <c r="I2" s="187">
        <v>100</v>
      </c>
      <c r="J2" s="179">
        <v>81.400000000000006</v>
      </c>
      <c r="K2" s="181">
        <f t="shared" ref="K2:K33" si="0">J2*I2</f>
        <v>8140.0000000000009</v>
      </c>
      <c r="L2" s="214">
        <f t="shared" ref="L2:L33" si="1">I2*G2</f>
        <v>8153</v>
      </c>
      <c r="M2" s="188">
        <f t="shared" ref="M2:M33" si="2">L2-K2</f>
        <v>12.999999999999091</v>
      </c>
      <c r="N2" s="180">
        <f t="shared" ref="N2:N33" si="3">SIGN(I2)*M2/K2</f>
        <v>1.5970515970514852E-3</v>
      </c>
      <c r="O2" s="201">
        <f>_xll.xlqPrice(A2,tda)*$O$1*I2</f>
        <v>-81.53</v>
      </c>
      <c r="P2" s="219"/>
      <c r="Q2" s="219"/>
      <c r="R2" s="219"/>
      <c r="S2" s="219"/>
      <c r="T2" s="219"/>
      <c r="U2" s="219"/>
      <c r="V2" s="219"/>
      <c r="W2" s="219"/>
      <c r="X2" s="198"/>
      <c r="Y2" s="198"/>
      <c r="Z2" s="198"/>
      <c r="AA2" s="198"/>
      <c r="AB2" s="198"/>
      <c r="AC2" s="198"/>
      <c r="AD2" s="198"/>
      <c r="AE2" s="198"/>
    </row>
    <row r="3" spans="1:31" x14ac:dyDescent="0.25">
      <c r="A3" s="183" t="s">
        <v>68</v>
      </c>
      <c r="B3" s="137" t="str">
        <f>_xll.xlqName(A3, tda)</f>
        <v>Berkshire Hathaway Inc. New Common Stock</v>
      </c>
      <c r="C3" s="182">
        <v>43847</v>
      </c>
      <c r="D3" s="204">
        <v>215</v>
      </c>
      <c r="E3" s="137" t="s">
        <v>29</v>
      </c>
      <c r="F3" s="137" t="s">
        <v>162</v>
      </c>
      <c r="G3" s="184">
        <f>(_xll.xlqBid(F3,tda)+_xll.xlqAsk(F3,tda))*0.5</f>
        <v>6.4750000000000005</v>
      </c>
      <c r="H3" s="191" t="s">
        <v>175</v>
      </c>
      <c r="I3" s="187">
        <v>-100</v>
      </c>
      <c r="J3" s="179">
        <v>6.8250000000000002</v>
      </c>
      <c r="K3" s="181">
        <f t="shared" si="0"/>
        <v>-682.5</v>
      </c>
      <c r="L3" s="214">
        <f t="shared" si="1"/>
        <v>-647.5</v>
      </c>
      <c r="M3" s="188">
        <f t="shared" si="2"/>
        <v>35</v>
      </c>
      <c r="N3" s="180">
        <f t="shared" si="3"/>
        <v>5.128205128205128E-2</v>
      </c>
      <c r="O3" s="201">
        <f>_xll.xlqPrice(A3,tda)*$O$1*_xll.xlqDelta(F3,tda)*I3</f>
        <v>141.38064</v>
      </c>
    </row>
    <row r="4" spans="1:31" x14ac:dyDescent="0.25">
      <c r="A4" s="183" t="s">
        <v>68</v>
      </c>
      <c r="B4" s="137" t="str">
        <f>_xll.xlqName(A4, tda)</f>
        <v>Berkshire Hathaway Inc. New Common Stock</v>
      </c>
      <c r="C4" s="182">
        <v>44211</v>
      </c>
      <c r="D4" s="204">
        <v>210</v>
      </c>
      <c r="E4" s="137" t="s">
        <v>36</v>
      </c>
      <c r="F4" s="137" t="s">
        <v>161</v>
      </c>
      <c r="G4" s="184">
        <f>(_xll.xlqBid(F4,tda)+_xll.xlqAsk(F4,tda))*0.5</f>
        <v>12.575000000000001</v>
      </c>
      <c r="H4" s="191" t="s">
        <v>175</v>
      </c>
      <c r="I4" s="187">
        <v>-100</v>
      </c>
      <c r="J4" s="179">
        <v>12.375</v>
      </c>
      <c r="K4" s="181">
        <f t="shared" si="0"/>
        <v>-1237.5</v>
      </c>
      <c r="L4" s="214">
        <f t="shared" si="1"/>
        <v>-1257.5</v>
      </c>
      <c r="M4" s="188">
        <f t="shared" si="2"/>
        <v>-20</v>
      </c>
      <c r="N4" s="180">
        <f t="shared" si="3"/>
        <v>-1.6161616161616162E-2</v>
      </c>
      <c r="O4" s="201">
        <f>_xll.xlqPrice(A4,tda)*$O$1*_xll.xlqDelta(F4,tda)*I4</f>
        <v>-77.061176000000003</v>
      </c>
    </row>
    <row r="5" spans="1:31" x14ac:dyDescent="0.25">
      <c r="A5" s="183" t="s">
        <v>74</v>
      </c>
      <c r="B5" s="137" t="str">
        <f>_xll.xlqName(A5, tda)</f>
        <v>Square, Inc. Class A Common Stock</v>
      </c>
      <c r="C5" s="182">
        <v>43847</v>
      </c>
      <c r="D5" s="204">
        <v>70</v>
      </c>
      <c r="E5" s="137" t="s">
        <v>36</v>
      </c>
      <c r="F5" s="137" t="str">
        <f t="shared" ref="F5:F31" si="4">CONCATENATE(A5,"_",TEXT(MONTH(C5),"00"),TEXT(DAY(C5),"00"),TEXT(MOD(YEAR(C5),100),"00"),E5,D5&amp;"")</f>
        <v>SQ_011720P70</v>
      </c>
      <c r="G5" s="184">
        <f>(_xll.xlqBid(F5,tda)+_xll.xlqAsk(F5,tda))*0.5</f>
        <v>4.375</v>
      </c>
      <c r="H5" s="191" t="s">
        <v>175</v>
      </c>
      <c r="I5" s="187">
        <v>-100</v>
      </c>
      <c r="J5" s="179">
        <v>4.4000000000000004</v>
      </c>
      <c r="K5" s="181">
        <f t="shared" si="0"/>
        <v>-440.00000000000006</v>
      </c>
      <c r="L5" s="214">
        <f t="shared" si="1"/>
        <v>-437.5</v>
      </c>
      <c r="M5" s="188">
        <f t="shared" si="2"/>
        <v>2.5000000000000568</v>
      </c>
      <c r="N5" s="180">
        <f t="shared" si="3"/>
        <v>5.6818181818183103E-3</v>
      </c>
      <c r="O5" s="201">
        <f>_xll.xlqPrice(A5,tda)*$O$1*_xll.xlqDelta(F5,tda)*I5</f>
        <v>-38.785194000000004</v>
      </c>
    </row>
    <row r="6" spans="1:31" x14ac:dyDescent="0.25">
      <c r="A6" s="183" t="s">
        <v>86</v>
      </c>
      <c r="B6" s="137" t="str">
        <f>_xll.xlqName(A6, tda)</f>
        <v>JD.com, Inc. - American Depositary Shares</v>
      </c>
      <c r="C6" s="182">
        <v>43819</v>
      </c>
      <c r="D6" s="204">
        <v>31</v>
      </c>
      <c r="E6" s="137" t="s">
        <v>29</v>
      </c>
      <c r="F6" s="137" t="str">
        <f t="shared" si="4"/>
        <v>JD_122019C31</v>
      </c>
      <c r="G6" s="184">
        <f>(_xll.xlqBid(F6,tda)+_xll.xlqAsk(F6,tda))*0.5</f>
        <v>1.3900000000000001</v>
      </c>
      <c r="H6" s="191" t="s">
        <v>175</v>
      </c>
      <c r="I6" s="187">
        <v>-100</v>
      </c>
      <c r="J6" s="179">
        <v>1.4849999999999999</v>
      </c>
      <c r="K6" s="181">
        <f t="shared" si="0"/>
        <v>-148.5</v>
      </c>
      <c r="L6" s="214">
        <f t="shared" si="1"/>
        <v>-139</v>
      </c>
      <c r="M6" s="188">
        <f t="shared" si="2"/>
        <v>9.5</v>
      </c>
      <c r="N6" s="180">
        <f t="shared" si="3"/>
        <v>6.3973063973063973E-2</v>
      </c>
      <c r="O6" s="201">
        <f>_xll.xlqPrice(A6,tda)*$O$1*_xll.xlqDelta(F6,tda)*I6</f>
        <v>20.647395000000003</v>
      </c>
    </row>
    <row r="7" spans="1:31" s="17" customFormat="1" x14ac:dyDescent="0.25">
      <c r="A7" s="183" t="s">
        <v>82</v>
      </c>
      <c r="B7" s="137" t="str">
        <f>_xll.xlqName(A7, tda)</f>
        <v>Mastercard Incorporated Common Stock</v>
      </c>
      <c r="C7" s="182">
        <v>44365</v>
      </c>
      <c r="D7" s="204">
        <v>280</v>
      </c>
      <c r="E7" s="137" t="s">
        <v>36</v>
      </c>
      <c r="F7" s="137" t="str">
        <f t="shared" si="4"/>
        <v>MA_061821P280</v>
      </c>
      <c r="G7" s="184">
        <f>(_xll.xlqBid(F7,tda)+_xll.xlqAsk(F7,tda))*0.5</f>
        <v>30.35</v>
      </c>
      <c r="H7" s="191" t="s">
        <v>175</v>
      </c>
      <c r="I7" s="187">
        <v>-100</v>
      </c>
      <c r="J7" s="179">
        <v>29.825000000000003</v>
      </c>
      <c r="K7" s="181">
        <f t="shared" si="0"/>
        <v>-2982.5000000000005</v>
      </c>
      <c r="L7" s="214">
        <f t="shared" si="1"/>
        <v>-3035</v>
      </c>
      <c r="M7" s="188">
        <f t="shared" si="2"/>
        <v>-52.499999999999545</v>
      </c>
      <c r="N7" s="180">
        <f t="shared" si="3"/>
        <v>-1.7602682313495235E-2</v>
      </c>
      <c r="O7" s="201">
        <f>_xll.xlqPrice(A7,tda)*$O$1*_xll.xlqDelta(F7,tda)*I7</f>
        <v>-108.96250900000001</v>
      </c>
      <c r="P7" s="220"/>
      <c r="Q7" s="220"/>
      <c r="R7" s="220"/>
      <c r="S7" s="220"/>
      <c r="T7" s="220"/>
      <c r="U7" s="220"/>
      <c r="V7" s="220"/>
      <c r="W7" s="220"/>
      <c r="X7" s="199"/>
      <c r="Y7" s="199"/>
      <c r="Z7" s="199"/>
      <c r="AA7" s="199"/>
      <c r="AB7" s="199"/>
      <c r="AC7" s="199"/>
      <c r="AD7" s="199"/>
      <c r="AE7" s="199"/>
    </row>
    <row r="8" spans="1:31" s="17" customFormat="1" x14ac:dyDescent="0.25">
      <c r="A8" s="183" t="s">
        <v>79</v>
      </c>
      <c r="B8" s="137" t="str">
        <f>_xll.xlqName(A8, tda)</f>
        <v>Oracle Corporation Common Stock</v>
      </c>
      <c r="C8" s="182">
        <v>43847</v>
      </c>
      <c r="D8" s="204">
        <v>52.5</v>
      </c>
      <c r="E8" s="137" t="s">
        <v>29</v>
      </c>
      <c r="F8" s="137" t="str">
        <f t="shared" si="4"/>
        <v>ORCL_011720C52.5</v>
      </c>
      <c r="G8" s="184">
        <f>(_xll.xlqBid(F8,tda)+_xll.xlqAsk(F8,tda))*0.5</f>
        <v>3.0100000000000002</v>
      </c>
      <c r="H8" s="191" t="s">
        <v>175</v>
      </c>
      <c r="I8" s="187">
        <v>-100</v>
      </c>
      <c r="J8" s="179">
        <v>3.1000000000000005</v>
      </c>
      <c r="K8" s="181">
        <f t="shared" si="0"/>
        <v>-310.00000000000006</v>
      </c>
      <c r="L8" s="214">
        <f t="shared" si="1"/>
        <v>-301</v>
      </c>
      <c r="M8" s="188">
        <f t="shared" si="2"/>
        <v>9.0000000000000568</v>
      </c>
      <c r="N8" s="180">
        <f t="shared" si="3"/>
        <v>2.9032258064516307E-2</v>
      </c>
      <c r="O8" s="201">
        <f>_xll.xlqPrice(A8,tda)*$O$1*_xll.xlqDelta(F8,tda)*I8</f>
        <v>36.436687500000005</v>
      </c>
      <c r="P8" s="220"/>
      <c r="Q8" s="220"/>
      <c r="R8" s="220"/>
      <c r="S8" s="220"/>
      <c r="T8" s="220"/>
      <c r="U8" s="220"/>
      <c r="V8" s="220"/>
      <c r="W8" s="220"/>
      <c r="X8" s="199"/>
      <c r="Y8" s="199"/>
      <c r="Z8" s="199"/>
      <c r="AA8" s="199"/>
      <c r="AB8" s="199"/>
      <c r="AC8" s="199"/>
      <c r="AD8" s="199"/>
      <c r="AE8" s="199"/>
    </row>
    <row r="9" spans="1:31" s="17" customFormat="1" x14ac:dyDescent="0.25">
      <c r="A9" s="183" t="s">
        <v>89</v>
      </c>
      <c r="B9" s="137" t="str">
        <f>_xll.xlqName(A9, tda)</f>
        <v>PayPal Holdings, Inc. - Common Stock</v>
      </c>
      <c r="C9" s="182">
        <v>43847</v>
      </c>
      <c r="D9" s="204">
        <v>100</v>
      </c>
      <c r="E9" s="137" t="s">
        <v>29</v>
      </c>
      <c r="F9" s="137" t="str">
        <f t="shared" si="4"/>
        <v>PYPL_011720C100</v>
      </c>
      <c r="G9" s="184">
        <f>(_xll.xlqBid(F9,tda)+_xll.xlqAsk(F9,tda))*0.5</f>
        <v>6.8000000000000007</v>
      </c>
      <c r="H9" s="191" t="s">
        <v>175</v>
      </c>
      <c r="I9" s="187">
        <v>-100</v>
      </c>
      <c r="J9" s="179">
        <v>6.8500000000000005</v>
      </c>
      <c r="K9" s="181">
        <f t="shared" si="0"/>
        <v>-685</v>
      </c>
      <c r="L9" s="214">
        <f t="shared" si="1"/>
        <v>-680.00000000000011</v>
      </c>
      <c r="M9" s="188">
        <f t="shared" si="2"/>
        <v>4.9999999999998863</v>
      </c>
      <c r="N9" s="180">
        <f t="shared" si="3"/>
        <v>7.2992700729925348E-3</v>
      </c>
      <c r="O9" s="201">
        <f>_xll.xlqPrice(A9,tda)*$O$1*_xll.xlqDelta(F9,tda)*I9</f>
        <v>77.433248000000006</v>
      </c>
      <c r="P9" s="220"/>
      <c r="Q9" s="220"/>
      <c r="R9" s="220"/>
      <c r="S9" s="220"/>
      <c r="T9" s="220"/>
      <c r="U9" s="220"/>
      <c r="V9" s="220"/>
      <c r="W9" s="220"/>
      <c r="X9" s="199"/>
      <c r="Y9" s="199"/>
      <c r="Z9" s="199"/>
      <c r="AA9" s="199"/>
      <c r="AB9" s="199"/>
      <c r="AC9" s="199"/>
      <c r="AD9" s="199"/>
      <c r="AE9" s="199"/>
    </row>
    <row r="10" spans="1:31" s="17" customFormat="1" x14ac:dyDescent="0.25">
      <c r="A10" s="183" t="s">
        <v>74</v>
      </c>
      <c r="B10" s="137" t="str">
        <f>_xll.xlqName(A10, tda)</f>
        <v>Square, Inc. Class A Common Stock</v>
      </c>
      <c r="C10" s="182">
        <v>43805</v>
      </c>
      <c r="D10" s="204">
        <v>70</v>
      </c>
      <c r="E10" s="137" t="s">
        <v>29</v>
      </c>
      <c r="F10" s="137" t="str">
        <f t="shared" si="4"/>
        <v>SQ_120619C70</v>
      </c>
      <c r="G10" s="184">
        <f>(_xll.xlqBid(F10,tda)+_xll.xlqAsk(F10,tda))*0.5</f>
        <v>0.10500000000000001</v>
      </c>
      <c r="H10" s="191" t="s">
        <v>175</v>
      </c>
      <c r="I10" s="187">
        <v>-100</v>
      </c>
      <c r="J10" s="179">
        <v>0.13</v>
      </c>
      <c r="K10" s="181">
        <f t="shared" si="0"/>
        <v>-13</v>
      </c>
      <c r="L10" s="214">
        <f t="shared" si="1"/>
        <v>-10.500000000000002</v>
      </c>
      <c r="M10" s="188">
        <f t="shared" si="2"/>
        <v>2.4999999999999982</v>
      </c>
      <c r="N10" s="180">
        <f t="shared" si="3"/>
        <v>0.19230769230769218</v>
      </c>
      <c r="O10" s="201">
        <f>_xll.xlqPrice(A10,tda)*$O$1*_xll.xlqDelta(F10,tda)*I10</f>
        <v>8.1735150000000001</v>
      </c>
      <c r="P10" s="220"/>
      <c r="Q10" s="220"/>
      <c r="R10" s="220"/>
      <c r="S10" s="220"/>
      <c r="T10" s="220"/>
      <c r="U10" s="220"/>
      <c r="V10" s="220"/>
      <c r="W10" s="220"/>
      <c r="X10" s="199"/>
      <c r="Y10" s="199"/>
      <c r="Z10" s="199"/>
      <c r="AA10" s="199"/>
      <c r="AB10" s="199"/>
      <c r="AC10" s="199"/>
      <c r="AD10" s="199"/>
      <c r="AE10" s="199"/>
    </row>
    <row r="11" spans="1:31" x14ac:dyDescent="0.25">
      <c r="A11" s="183" t="s">
        <v>74</v>
      </c>
      <c r="B11" s="137" t="str">
        <f>_xll.xlqName(A11, tda)</f>
        <v>Square, Inc. Class A Common Stock</v>
      </c>
      <c r="C11" s="182">
        <v>44211</v>
      </c>
      <c r="D11" s="204">
        <v>80</v>
      </c>
      <c r="E11" s="137" t="s">
        <v>36</v>
      </c>
      <c r="F11" s="137" t="str">
        <f t="shared" si="4"/>
        <v>SQ_011521P80</v>
      </c>
      <c r="G11" s="184">
        <f>(_xll.xlqBid(F11,tda)+_xll.xlqAsk(F11,tda))*0.5</f>
        <v>18.350000000000001</v>
      </c>
      <c r="H11" s="191" t="s">
        <v>175</v>
      </c>
      <c r="I11" s="187">
        <v>-100</v>
      </c>
      <c r="J11" s="179">
        <v>18.425000000000001</v>
      </c>
      <c r="K11" s="181">
        <f t="shared" si="0"/>
        <v>-1842.5</v>
      </c>
      <c r="L11" s="214">
        <f t="shared" si="1"/>
        <v>-1835.0000000000002</v>
      </c>
      <c r="M11" s="188">
        <f t="shared" si="2"/>
        <v>7.4999999999997726</v>
      </c>
      <c r="N11" s="180">
        <f t="shared" si="3"/>
        <v>4.070556309362156E-3</v>
      </c>
      <c r="O11" s="201">
        <f>_xll.xlqPrice(A11,tda)*$O$1*_xll.xlqDelta(F11,tda)*I11</f>
        <v>-37.808442000000007</v>
      </c>
    </row>
    <row r="12" spans="1:31" x14ac:dyDescent="0.25">
      <c r="A12" s="183" t="s">
        <v>5</v>
      </c>
      <c r="B12" s="137" t="str">
        <f>_xll.xlqName(A12, tda)</f>
        <v>Skyworks Solutions, Inc. - Common Stock</v>
      </c>
      <c r="C12" s="182">
        <v>43882</v>
      </c>
      <c r="D12" s="204">
        <v>75</v>
      </c>
      <c r="E12" s="137" t="s">
        <v>36</v>
      </c>
      <c r="F12" s="137" t="str">
        <f t="shared" si="4"/>
        <v>SWKS_022120P75</v>
      </c>
      <c r="G12" s="184">
        <f>(_xll.xlqBid(F12,tda)+_xll.xlqAsk(F12,tda))*0.5</f>
        <v>0.55000000000000004</v>
      </c>
      <c r="H12" s="191" t="s">
        <v>175</v>
      </c>
      <c r="I12" s="187">
        <v>-100</v>
      </c>
      <c r="J12" s="179">
        <v>0.60000000000000009</v>
      </c>
      <c r="K12" s="181">
        <f t="shared" si="0"/>
        <v>-60.000000000000007</v>
      </c>
      <c r="L12" s="214">
        <f t="shared" si="1"/>
        <v>-55.000000000000007</v>
      </c>
      <c r="M12" s="188">
        <f t="shared" si="2"/>
        <v>5</v>
      </c>
      <c r="N12" s="180">
        <f t="shared" si="3"/>
        <v>8.3333333333333329E-2</v>
      </c>
      <c r="O12" s="201">
        <f>_xll.xlqPrice(A12,tda)*$O$1*_xll.xlqDelta(F12,tda)*I12</f>
        <v>-6.0996320000000006</v>
      </c>
    </row>
    <row r="13" spans="1:31" x14ac:dyDescent="0.25">
      <c r="A13" s="183" t="s">
        <v>84</v>
      </c>
      <c r="B13" s="137" t="str">
        <f>_xll.xlqName(A13, tda)</f>
        <v>Cboe Global Markets, Inc. Common Stock</v>
      </c>
      <c r="C13" s="182">
        <v>43847</v>
      </c>
      <c r="D13" s="204">
        <v>115</v>
      </c>
      <c r="E13" s="137" t="s">
        <v>29</v>
      </c>
      <c r="F13" s="137" t="str">
        <f t="shared" si="4"/>
        <v>CBOE_011720C115</v>
      </c>
      <c r="G13" s="184">
        <f>(_xll.xlqBid(F13,tda)+_xll.xlqAsk(F13,tda))*0.5</f>
        <v>7.25</v>
      </c>
      <c r="H13" s="191" t="s">
        <v>175</v>
      </c>
      <c r="I13" s="187">
        <v>-100</v>
      </c>
      <c r="J13" s="179">
        <v>7.4</v>
      </c>
      <c r="K13" s="181">
        <f t="shared" si="0"/>
        <v>-740</v>
      </c>
      <c r="L13" s="214">
        <f t="shared" si="1"/>
        <v>-725</v>
      </c>
      <c r="M13" s="188">
        <f t="shared" si="2"/>
        <v>15</v>
      </c>
      <c r="N13" s="180">
        <f t="shared" si="3"/>
        <v>2.0270270270270271E-2</v>
      </c>
      <c r="O13" s="201">
        <f>_xll.xlqPrice(A13,tda)*$O$1*_xll.xlqDelta(F13,tda)*I13</f>
        <v>85.988790000000009</v>
      </c>
    </row>
    <row r="14" spans="1:31" x14ac:dyDescent="0.25">
      <c r="A14" s="183" t="s">
        <v>27</v>
      </c>
      <c r="B14" s="185" t="str">
        <f>_xll.xlqName(A14, tda)</f>
        <v>eBay Inc. - Common Stock</v>
      </c>
      <c r="C14" s="186">
        <v>43847</v>
      </c>
      <c r="D14" s="205">
        <v>38</v>
      </c>
      <c r="E14" s="185" t="s">
        <v>29</v>
      </c>
      <c r="F14" s="185" t="str">
        <f t="shared" si="4"/>
        <v>EBAY_011720C38</v>
      </c>
      <c r="G14" s="193">
        <f>(_xll.xlqBid(F14,tda)+_xll.xlqAsk(F14,tda))*0.5</f>
        <v>0.17500000000000002</v>
      </c>
      <c r="H14" s="191" t="s">
        <v>175</v>
      </c>
      <c r="I14" s="187">
        <v>-100</v>
      </c>
      <c r="J14" s="194">
        <v>0.16500000000000001</v>
      </c>
      <c r="K14" s="181">
        <f t="shared" si="0"/>
        <v>-16.5</v>
      </c>
      <c r="L14" s="214">
        <f t="shared" si="1"/>
        <v>-17.5</v>
      </c>
      <c r="M14" s="188">
        <f t="shared" si="2"/>
        <v>-1</v>
      </c>
      <c r="N14" s="180">
        <f t="shared" si="3"/>
        <v>-6.0606060606060608E-2</v>
      </c>
      <c r="O14" s="201">
        <f>_xll.xlqPrice(A14,tda)*$O$1*_xll.xlqDelta(F14,tda)*I14</f>
        <v>4.9799804999999999</v>
      </c>
    </row>
    <row r="15" spans="1:31" x14ac:dyDescent="0.25">
      <c r="A15" s="183" t="s">
        <v>128</v>
      </c>
      <c r="B15" s="137" t="str">
        <f>_xll.xlqName(A15, tda)</f>
        <v>Equifax, Inc. Common Stock</v>
      </c>
      <c r="C15" s="182">
        <v>43847</v>
      </c>
      <c r="D15" s="204">
        <v>110</v>
      </c>
      <c r="E15" s="137" t="s">
        <v>29</v>
      </c>
      <c r="F15" s="137" t="str">
        <f t="shared" si="4"/>
        <v>EFX_011720C110</v>
      </c>
      <c r="G15" s="184">
        <f>(_xll.xlqBid(F15,tda)+_xll.xlqAsk(F15,tda))*0.5</f>
        <v>27.150000000000002</v>
      </c>
      <c r="H15" s="191" t="s">
        <v>175</v>
      </c>
      <c r="I15" s="187">
        <v>-100</v>
      </c>
      <c r="J15" s="179">
        <v>27.1</v>
      </c>
      <c r="K15" s="181">
        <f t="shared" si="0"/>
        <v>-2710</v>
      </c>
      <c r="L15" s="214">
        <f t="shared" si="1"/>
        <v>-2715</v>
      </c>
      <c r="M15" s="188">
        <f t="shared" si="2"/>
        <v>-5</v>
      </c>
      <c r="N15" s="180">
        <f t="shared" si="3"/>
        <v>-1.8450184501845018E-3</v>
      </c>
      <c r="O15" s="201">
        <f>_xll.xlqPrice(A15,tda)*$O$1*_xll.xlqDelta(F15,tda)*I15</f>
        <v>130.22745000000003</v>
      </c>
    </row>
    <row r="16" spans="1:31" x14ac:dyDescent="0.25">
      <c r="A16" s="183" t="s">
        <v>4</v>
      </c>
      <c r="B16" s="137" t="str">
        <f>_xll.xlqName(A16, tda)</f>
        <v>Facebook, Inc. - Class A Common Stock</v>
      </c>
      <c r="C16" s="182">
        <v>43847</v>
      </c>
      <c r="D16" s="204">
        <v>190</v>
      </c>
      <c r="E16" s="137" t="s">
        <v>29</v>
      </c>
      <c r="F16" s="137" t="str">
        <f t="shared" si="4"/>
        <v>FB_011720C190</v>
      </c>
      <c r="G16" s="184">
        <f>(_xll.xlqBid(F16,tda)+_xll.xlqAsk(F16,tda))*0.5</f>
        <v>12.725000000000001</v>
      </c>
      <c r="H16" s="191" t="s">
        <v>175</v>
      </c>
      <c r="I16" s="187">
        <v>-100</v>
      </c>
      <c r="J16" s="179">
        <v>12.275000000000002</v>
      </c>
      <c r="K16" s="181">
        <f t="shared" si="0"/>
        <v>-1227.5000000000002</v>
      </c>
      <c r="L16" s="214">
        <f t="shared" si="1"/>
        <v>-1272.5000000000002</v>
      </c>
      <c r="M16" s="188">
        <f t="shared" si="2"/>
        <v>-45</v>
      </c>
      <c r="N16" s="180">
        <f t="shared" si="3"/>
        <v>-3.6659877800407324E-2</v>
      </c>
      <c r="O16" s="201">
        <f>_xll.xlqPrice(A16,tda)*$O$1*_xll.xlqDelta(F16,tda)*I16</f>
        <v>145.41202800000005</v>
      </c>
    </row>
    <row r="17" spans="1:15" x14ac:dyDescent="0.25">
      <c r="A17" s="183" t="s">
        <v>4</v>
      </c>
      <c r="B17" s="137" t="str">
        <f>_xll.xlqName(A17, tda)</f>
        <v>Facebook, Inc. - Class A Common Stock</v>
      </c>
      <c r="C17" s="182">
        <v>43847</v>
      </c>
      <c r="D17" s="204">
        <v>200</v>
      </c>
      <c r="E17" s="137" t="s">
        <v>29</v>
      </c>
      <c r="F17" s="137" t="str">
        <f t="shared" si="4"/>
        <v>FB_011720C200</v>
      </c>
      <c r="G17" s="184">
        <f>(_xll.xlqBid(F17,tda)+_xll.xlqAsk(F17,tda))*0.5</f>
        <v>6.3500000000000005</v>
      </c>
      <c r="H17" s="191" t="s">
        <v>175</v>
      </c>
      <c r="I17" s="187">
        <v>-100</v>
      </c>
      <c r="J17" s="179">
        <v>6</v>
      </c>
      <c r="K17" s="181">
        <f t="shared" si="0"/>
        <v>-600</v>
      </c>
      <c r="L17" s="214">
        <f t="shared" si="1"/>
        <v>-635</v>
      </c>
      <c r="M17" s="188">
        <f t="shared" si="2"/>
        <v>-35</v>
      </c>
      <c r="N17" s="180">
        <f t="shared" si="3"/>
        <v>-5.8333333333333334E-2</v>
      </c>
      <c r="O17" s="201">
        <f>_xll.xlqPrice(A17,tda)*$O$1*_xll.xlqDelta(F17,tda)*I17</f>
        <v>101.52157200000002</v>
      </c>
    </row>
    <row r="18" spans="1:15" x14ac:dyDescent="0.25">
      <c r="A18" s="183" t="s">
        <v>24</v>
      </c>
      <c r="B18" s="137" t="str">
        <f>_xll.xlqName(A18, tda)</f>
        <v>Johnson &amp; Johnson Common Stock</v>
      </c>
      <c r="C18" s="182">
        <v>43847</v>
      </c>
      <c r="D18" s="204">
        <v>140</v>
      </c>
      <c r="E18" s="137" t="s">
        <v>29</v>
      </c>
      <c r="F18" s="137" t="str">
        <f t="shared" si="4"/>
        <v>JNJ_011720C140</v>
      </c>
      <c r="G18" s="184">
        <f>(_xll.xlqBid(F18,tda)+_xll.xlqAsk(F18,tda))*0.5</f>
        <v>2.7450000000000001</v>
      </c>
      <c r="H18" s="191" t="s">
        <v>175</v>
      </c>
      <c r="I18" s="187">
        <v>-100</v>
      </c>
      <c r="J18" s="179">
        <v>2.9550000000000001</v>
      </c>
      <c r="K18" s="181">
        <f t="shared" si="0"/>
        <v>-295.5</v>
      </c>
      <c r="L18" s="214">
        <f t="shared" si="1"/>
        <v>-274.5</v>
      </c>
      <c r="M18" s="188">
        <f t="shared" si="2"/>
        <v>21</v>
      </c>
      <c r="N18" s="180">
        <f t="shared" si="3"/>
        <v>7.1065989847715741E-2</v>
      </c>
      <c r="O18" s="201">
        <f>_xll.xlqPrice(A18,tda)*$O$1*_xll.xlqDelta(F18,tda)*I18</f>
        <v>62.543992000000017</v>
      </c>
    </row>
    <row r="19" spans="1:15" x14ac:dyDescent="0.25">
      <c r="A19" s="183" t="s">
        <v>82</v>
      </c>
      <c r="B19" s="137" t="str">
        <f>_xll.xlqName(A19, tda)</f>
        <v>Mastercard Incorporated Common Stock</v>
      </c>
      <c r="C19" s="182">
        <v>43847</v>
      </c>
      <c r="D19" s="204">
        <v>290</v>
      </c>
      <c r="E19" s="137" t="s">
        <v>29</v>
      </c>
      <c r="F19" s="137" t="str">
        <f t="shared" si="4"/>
        <v>MA_011720C290</v>
      </c>
      <c r="G19" s="184">
        <f>(_xll.xlqBid(F19,tda)+_xll.xlqAsk(F19,tda))*0.5</f>
        <v>7.0500000000000007</v>
      </c>
      <c r="H19" s="191" t="s">
        <v>175</v>
      </c>
      <c r="I19" s="187">
        <v>-100</v>
      </c>
      <c r="J19" s="179">
        <v>7.7250000000000005</v>
      </c>
      <c r="K19" s="181">
        <f t="shared" si="0"/>
        <v>-772.5</v>
      </c>
      <c r="L19" s="214">
        <f t="shared" si="1"/>
        <v>-705.00000000000011</v>
      </c>
      <c r="M19" s="188">
        <f t="shared" si="2"/>
        <v>67.499999999999886</v>
      </c>
      <c r="N19" s="180">
        <f t="shared" si="3"/>
        <v>8.7378640776698879E-2</v>
      </c>
      <c r="O19" s="201">
        <f>_xll.xlqPrice(A19,tda)*$O$1*_xll.xlqDelta(F19,tda)*I19</f>
        <v>134.47414200000003</v>
      </c>
    </row>
    <row r="20" spans="1:15" x14ac:dyDescent="0.25">
      <c r="A20" s="183" t="s">
        <v>130</v>
      </c>
      <c r="B20" s="137" t="str">
        <f>_xll.xlqName(A20, tda)</f>
        <v>MarketAxess Holdings, Inc. - Common Stock</v>
      </c>
      <c r="C20" s="182">
        <v>43882</v>
      </c>
      <c r="D20" s="204">
        <v>410</v>
      </c>
      <c r="E20" s="137" t="s">
        <v>29</v>
      </c>
      <c r="F20" s="137" t="str">
        <f t="shared" si="4"/>
        <v>MKTX_022120C410</v>
      </c>
      <c r="G20" s="184">
        <f>(_xll.xlqBid(F20,tda)+_xll.xlqAsk(F20,tda))*0.5</f>
        <v>17.25</v>
      </c>
      <c r="H20" s="191" t="s">
        <v>175</v>
      </c>
      <c r="I20" s="187">
        <v>-100</v>
      </c>
      <c r="J20" s="179">
        <v>17.950000000000003</v>
      </c>
      <c r="K20" s="181">
        <f t="shared" si="0"/>
        <v>-1795.0000000000002</v>
      </c>
      <c r="L20" s="214">
        <f t="shared" si="1"/>
        <v>-1725</v>
      </c>
      <c r="M20" s="188">
        <f t="shared" si="2"/>
        <v>70.000000000000227</v>
      </c>
      <c r="N20" s="180">
        <f t="shared" si="3"/>
        <v>3.8997214484679785E-2</v>
      </c>
      <c r="O20" s="201">
        <f>_xll.xlqPrice(A20,tda)*$O$1*_xll.xlqDelta(F20,tda)*I20</f>
        <v>173.43572400000002</v>
      </c>
    </row>
    <row r="21" spans="1:15" x14ac:dyDescent="0.25">
      <c r="A21" s="183" t="s">
        <v>28</v>
      </c>
      <c r="B21" s="137" t="str">
        <f>_xll.xlqName(A21, tda)</f>
        <v>NVIDIA Corporation - Common Stock</v>
      </c>
      <c r="C21" s="182">
        <v>44211</v>
      </c>
      <c r="D21" s="204">
        <v>130</v>
      </c>
      <c r="E21" s="137" t="s">
        <v>29</v>
      </c>
      <c r="F21" s="137" t="str">
        <f t="shared" si="4"/>
        <v>NVDA_011521C130</v>
      </c>
      <c r="G21" s="184">
        <f>(_xll.xlqBid(F21,tda)+_xll.xlqAsk(F21,tda))*0.5</f>
        <v>87.425000000000011</v>
      </c>
      <c r="H21" s="191" t="s">
        <v>175</v>
      </c>
      <c r="I21" s="187">
        <v>-100</v>
      </c>
      <c r="J21" s="179">
        <v>88.375</v>
      </c>
      <c r="K21" s="181">
        <f t="shared" si="0"/>
        <v>-8837.5</v>
      </c>
      <c r="L21" s="214">
        <f t="shared" si="1"/>
        <v>-8742.5000000000018</v>
      </c>
      <c r="M21" s="188">
        <f t="shared" si="2"/>
        <v>94.999999999998181</v>
      </c>
      <c r="N21" s="180">
        <f t="shared" si="3"/>
        <v>1.0749646393210544E-2</v>
      </c>
      <c r="O21" s="201">
        <f>_xll.xlqPrice(A21,tda)*$O$1*_xll.xlqDelta(F21,tda)*I21</f>
        <v>187.22199300000005</v>
      </c>
    </row>
    <row r="22" spans="1:15" x14ac:dyDescent="0.25">
      <c r="A22" s="183" t="s">
        <v>81</v>
      </c>
      <c r="B22" s="185" t="str">
        <f>_xll.xlqName(A22, tda)</f>
        <v>Paycom Software, Inc. Common Stock</v>
      </c>
      <c r="C22" s="186">
        <v>44211</v>
      </c>
      <c r="D22" s="205">
        <v>290</v>
      </c>
      <c r="E22" s="185" t="s">
        <v>29</v>
      </c>
      <c r="F22" s="185" t="str">
        <f t="shared" si="4"/>
        <v>PAYC_011521C290</v>
      </c>
      <c r="G22" s="193">
        <f>(_xll.xlqBid(F22,tda)+_xll.xlqAsk(F22,tda))*0.5</f>
        <v>41.95</v>
      </c>
      <c r="H22" s="191" t="s">
        <v>175</v>
      </c>
      <c r="I22" s="187">
        <v>-100</v>
      </c>
      <c r="J22" s="194">
        <v>43.100000000000009</v>
      </c>
      <c r="K22" s="223">
        <f t="shared" si="0"/>
        <v>-4310.0000000000009</v>
      </c>
      <c r="L22" s="224">
        <f t="shared" si="1"/>
        <v>-4195</v>
      </c>
      <c r="M22" s="225">
        <f t="shared" si="2"/>
        <v>115.00000000000091</v>
      </c>
      <c r="N22" s="226">
        <f t="shared" si="3"/>
        <v>2.6682134570765868E-2</v>
      </c>
      <c r="O22" s="206">
        <f>_xll.xlqPrice(A22,tda)*$O$1*_xll.xlqDelta(F22,tda)*I22</f>
        <v>147.96255500000001</v>
      </c>
    </row>
    <row r="23" spans="1:15" x14ac:dyDescent="0.25">
      <c r="A23" s="137" t="s">
        <v>90</v>
      </c>
      <c r="B23" s="137" t="str">
        <f>_xll.xlqName(A23, tda)</f>
        <v>Atlassian Corporation Plc - Class A Ordinary Shares</v>
      </c>
      <c r="C23" s="182">
        <v>43819</v>
      </c>
      <c r="D23" s="204">
        <v>115</v>
      </c>
      <c r="E23" s="137" t="s">
        <v>36</v>
      </c>
      <c r="F23" s="137" t="str">
        <f t="shared" si="4"/>
        <v>TEAM_122019P115</v>
      </c>
      <c r="G23" s="184">
        <f>(_xll.xlqBid(F23,tda)+_xll.xlqAsk(F23,tda))*0.5</f>
        <v>1.35</v>
      </c>
      <c r="H23" s="191" t="s">
        <v>175</v>
      </c>
      <c r="I23" s="187">
        <v>-100</v>
      </c>
      <c r="J23" s="179">
        <v>1.5</v>
      </c>
      <c r="K23" s="181">
        <f t="shared" si="0"/>
        <v>-150</v>
      </c>
      <c r="L23" s="214">
        <f t="shared" si="1"/>
        <v>-135</v>
      </c>
      <c r="M23" s="188">
        <f t="shared" si="2"/>
        <v>15</v>
      </c>
      <c r="N23" s="180">
        <f t="shared" si="3"/>
        <v>0.1</v>
      </c>
      <c r="O23" s="201">
        <f>_xll.xlqPrice(A23,tda)*$O$1*_xll.xlqDelta(F23,tda)*I23</f>
        <v>-24.969455</v>
      </c>
    </row>
    <row r="24" spans="1:15" x14ac:dyDescent="0.25">
      <c r="A24" s="137" t="s">
        <v>90</v>
      </c>
      <c r="B24" s="137" t="str">
        <f>_xll.xlqName(A24, tda)</f>
        <v>Atlassian Corporation Plc - Class A Ordinary Shares</v>
      </c>
      <c r="C24" s="182">
        <v>43819</v>
      </c>
      <c r="D24" s="204">
        <v>135</v>
      </c>
      <c r="E24" s="137" t="s">
        <v>36</v>
      </c>
      <c r="F24" s="137" t="str">
        <f t="shared" si="4"/>
        <v>TEAM_122019P135</v>
      </c>
      <c r="G24" s="184">
        <f>(_xll.xlqBid(F24,tda)+_xll.xlqAsk(F24,tda))*0.5</f>
        <v>12</v>
      </c>
      <c r="H24" s="191" t="s">
        <v>175</v>
      </c>
      <c r="I24" s="187">
        <v>-100</v>
      </c>
      <c r="J24" s="179">
        <v>12.900000000000002</v>
      </c>
      <c r="K24" s="181">
        <f t="shared" si="0"/>
        <v>-1290.0000000000002</v>
      </c>
      <c r="L24" s="214">
        <f t="shared" si="1"/>
        <v>-1200</v>
      </c>
      <c r="M24" s="188">
        <f t="shared" si="2"/>
        <v>90.000000000000227</v>
      </c>
      <c r="N24" s="180">
        <f t="shared" si="3"/>
        <v>6.9767441860465282E-2</v>
      </c>
      <c r="O24" s="201">
        <f>_xll.xlqPrice(A24,tda)*$O$1*_xll.xlqDelta(F24,tda)*I24</f>
        <v>-106.10474000000001</v>
      </c>
    </row>
    <row r="25" spans="1:15" x14ac:dyDescent="0.25">
      <c r="A25" s="137" t="s">
        <v>90</v>
      </c>
      <c r="B25" s="137" t="str">
        <f>_xll.xlqName(A25, tda)</f>
        <v>Atlassian Corporation Plc - Class A Ordinary Shares</v>
      </c>
      <c r="C25" s="182">
        <v>43847</v>
      </c>
      <c r="D25" s="204">
        <v>100</v>
      </c>
      <c r="E25" s="137" t="s">
        <v>36</v>
      </c>
      <c r="F25" s="137" t="str">
        <f t="shared" si="4"/>
        <v>TEAM_011720P100</v>
      </c>
      <c r="G25" s="184">
        <f>(_xll.xlqBid(F25,tda)+_xll.xlqAsk(F25,tda))*0.5</f>
        <v>1.125</v>
      </c>
      <c r="H25" s="191" t="s">
        <v>175</v>
      </c>
      <c r="I25" s="187">
        <v>-100</v>
      </c>
      <c r="J25" s="179">
        <v>1.175</v>
      </c>
      <c r="K25" s="181">
        <f t="shared" si="0"/>
        <v>-117.5</v>
      </c>
      <c r="L25" s="214">
        <f t="shared" si="1"/>
        <v>-112.5</v>
      </c>
      <c r="M25" s="188">
        <f t="shared" si="2"/>
        <v>5</v>
      </c>
      <c r="N25" s="180">
        <f t="shared" si="3"/>
        <v>4.2553191489361701E-2</v>
      </c>
      <c r="O25" s="201">
        <f>_xll.xlqPrice(A25,tda)*$O$1*_xll.xlqDelta(F25,tda)*I25</f>
        <v>-12.28087</v>
      </c>
    </row>
    <row r="26" spans="1:15" x14ac:dyDescent="0.25">
      <c r="A26" s="137" t="s">
        <v>90</v>
      </c>
      <c r="B26" s="137" t="str">
        <f>_xll.xlqName(A26, tda)</f>
        <v>Atlassian Corporation Plc - Class A Ordinary Shares</v>
      </c>
      <c r="C26" s="182">
        <v>43882</v>
      </c>
      <c r="D26" s="204">
        <v>100</v>
      </c>
      <c r="E26" s="137" t="s">
        <v>36</v>
      </c>
      <c r="F26" s="137" t="str">
        <f t="shared" si="4"/>
        <v>TEAM_022120P100</v>
      </c>
      <c r="G26" s="184">
        <f>(_xll.xlqBid(F26,tda)+_xll.xlqAsk(F26,tda))*0.5</f>
        <v>2.4249999999999998</v>
      </c>
      <c r="H26" s="191" t="s">
        <v>175</v>
      </c>
      <c r="I26" s="187">
        <v>-100</v>
      </c>
      <c r="J26" s="179">
        <v>2.5750000000000002</v>
      </c>
      <c r="K26" s="181">
        <f t="shared" si="0"/>
        <v>-257.5</v>
      </c>
      <c r="L26" s="214">
        <f t="shared" si="1"/>
        <v>-242.49999999999997</v>
      </c>
      <c r="M26" s="188">
        <f t="shared" si="2"/>
        <v>15.000000000000028</v>
      </c>
      <c r="N26" s="180">
        <f t="shared" si="3"/>
        <v>5.8252427184466132E-2</v>
      </c>
      <c r="O26" s="201">
        <f>_xll.xlqPrice(A26,tda)*$O$1*_xll.xlqDelta(F26,tda)*I26</f>
        <v>-18.174205000000001</v>
      </c>
    </row>
    <row r="27" spans="1:15" x14ac:dyDescent="0.25">
      <c r="A27" s="183" t="s">
        <v>129</v>
      </c>
      <c r="B27" s="137" t="str">
        <f>_xll.xlqName(A27, tda)</f>
        <v>DENTSPLY SIRONA Inc. - Common Stock</v>
      </c>
      <c r="C27" s="182">
        <v>44211</v>
      </c>
      <c r="D27" s="204">
        <v>42</v>
      </c>
      <c r="E27" s="137" t="s">
        <v>29</v>
      </c>
      <c r="F27" s="137" t="str">
        <f t="shared" si="4"/>
        <v>XRAY_011521C42</v>
      </c>
      <c r="G27" s="184">
        <f>(_xll.xlqBid(F27,tda)+_xll.xlqAsk(F27,tda))*0.5</f>
        <v>17</v>
      </c>
      <c r="H27" s="191" t="s">
        <v>175</v>
      </c>
      <c r="I27" s="187">
        <v>-100</v>
      </c>
      <c r="J27" s="179">
        <v>17.05</v>
      </c>
      <c r="K27" s="181">
        <f t="shared" si="0"/>
        <v>-1705</v>
      </c>
      <c r="L27" s="214">
        <f t="shared" si="1"/>
        <v>-1700</v>
      </c>
      <c r="M27" s="188">
        <f t="shared" si="2"/>
        <v>5</v>
      </c>
      <c r="N27" s="180">
        <f t="shared" si="3"/>
        <v>2.9325513196480938E-3</v>
      </c>
      <c r="O27" s="201">
        <f>_xll.xlqPrice(A27,tda)*$O$1*_xll.xlqDelta(F27,tda)*I27</f>
        <v>51.068780000000011</v>
      </c>
    </row>
    <row r="28" spans="1:15" x14ac:dyDescent="0.25">
      <c r="A28" s="183" t="s">
        <v>133</v>
      </c>
      <c r="B28" s="137" t="str">
        <f>_xll.xlqName(A28, tda)</f>
        <v>Zoom Video Communications, Inc. - Class A Common Stock</v>
      </c>
      <c r="C28" s="182">
        <v>44211</v>
      </c>
      <c r="D28" s="204">
        <v>95</v>
      </c>
      <c r="E28" s="137" t="s">
        <v>36</v>
      </c>
      <c r="F28" s="137" t="str">
        <f t="shared" si="4"/>
        <v>ZM_011521P95</v>
      </c>
      <c r="G28" s="184">
        <f>(_xll.xlqBid(F28,tda)+_xll.xlqAsk(F28,tda))*0.5</f>
        <v>32.35</v>
      </c>
      <c r="H28" s="191" t="s">
        <v>175</v>
      </c>
      <c r="I28" s="187">
        <v>-100</v>
      </c>
      <c r="J28" s="179">
        <v>32.35</v>
      </c>
      <c r="K28" s="181">
        <f t="shared" si="0"/>
        <v>-3235</v>
      </c>
      <c r="L28" s="214">
        <f t="shared" si="1"/>
        <v>-3235</v>
      </c>
      <c r="M28" s="188">
        <f t="shared" si="2"/>
        <v>0</v>
      </c>
      <c r="N28" s="180">
        <f t="shared" si="3"/>
        <v>0</v>
      </c>
      <c r="O28" s="201">
        <f>_xll.xlqPrice(A28,tda)*$O$1*_xll.xlqDelta(F28,tda)*I28</f>
        <v>-40.530929999999998</v>
      </c>
    </row>
    <row r="29" spans="1:15" x14ac:dyDescent="0.25">
      <c r="A29" s="183" t="s">
        <v>84</v>
      </c>
      <c r="B29" s="137" t="str">
        <f>_xll.xlqName(A29, tda)</f>
        <v>Cboe Global Markets, Inc. Common Stock</v>
      </c>
      <c r="C29" s="182">
        <v>43847</v>
      </c>
      <c r="D29" s="204">
        <v>80</v>
      </c>
      <c r="E29" s="185" t="s">
        <v>29</v>
      </c>
      <c r="F29" s="137" t="str">
        <f t="shared" si="4"/>
        <v>CBOE_011720C80</v>
      </c>
      <c r="G29" s="184">
        <f>(_xll.xlqBid(F29,tda)+_xll.xlqAsk(F29,tda))*0.5</f>
        <v>40.400000000000006</v>
      </c>
      <c r="H29" s="191" t="s">
        <v>175</v>
      </c>
      <c r="I29" s="187">
        <v>100</v>
      </c>
      <c r="J29" s="179">
        <v>40.6</v>
      </c>
      <c r="K29" s="181">
        <f t="shared" si="0"/>
        <v>4060</v>
      </c>
      <c r="L29" s="214">
        <f t="shared" si="1"/>
        <v>4040.0000000000005</v>
      </c>
      <c r="M29" s="188">
        <f t="shared" si="2"/>
        <v>-19.999999999999545</v>
      </c>
      <c r="N29" s="180">
        <f t="shared" si="3"/>
        <v>-4.9261083743841246E-3</v>
      </c>
      <c r="O29" s="201">
        <f>_xll.xlqPrice(A29,tda)*$O$1*_xll.xlqDelta(F29,tda)*I29</f>
        <v>-117.98070600000001</v>
      </c>
    </row>
    <row r="30" spans="1:15" x14ac:dyDescent="0.25">
      <c r="A30" s="183" t="s">
        <v>27</v>
      </c>
      <c r="B30" s="185" t="str">
        <f>_xll.xlqName(A30, tda)</f>
        <v>eBay Inc. - Common Stock</v>
      </c>
      <c r="C30" s="186">
        <v>44211</v>
      </c>
      <c r="D30" s="205">
        <v>37</v>
      </c>
      <c r="E30" s="185" t="s">
        <v>29</v>
      </c>
      <c r="F30" s="185" t="str">
        <f t="shared" si="4"/>
        <v>EBAY_011521C37</v>
      </c>
      <c r="G30" s="193">
        <f>(_xll.xlqBid(F30,tda)+_xll.xlqAsk(F30,tda))*0.5</f>
        <v>3.1500000000000004</v>
      </c>
      <c r="H30" s="191" t="s">
        <v>175</v>
      </c>
      <c r="I30" s="187">
        <v>100</v>
      </c>
      <c r="J30" s="194">
        <v>3.1000000000000005</v>
      </c>
      <c r="K30" s="181">
        <f t="shared" si="0"/>
        <v>310.00000000000006</v>
      </c>
      <c r="L30" s="214">
        <f t="shared" si="1"/>
        <v>315.00000000000006</v>
      </c>
      <c r="M30" s="188">
        <f t="shared" si="2"/>
        <v>5</v>
      </c>
      <c r="N30" s="180">
        <f t="shared" si="3"/>
        <v>1.6129032258064512E-2</v>
      </c>
      <c r="O30" s="201">
        <f>_xll.xlqPrice(A30,tda)*$O$1*_xll.xlqDelta(F30,tda)*I30</f>
        <v>-16.975451499999998</v>
      </c>
    </row>
    <row r="31" spans="1:15" x14ac:dyDescent="0.25">
      <c r="A31" s="183" t="s">
        <v>27</v>
      </c>
      <c r="B31" s="185" t="str">
        <f>_xll.xlqName(A31, tda)</f>
        <v>eBay Inc. - Common Stock</v>
      </c>
      <c r="C31" s="186">
        <v>44211</v>
      </c>
      <c r="D31" s="205">
        <v>37</v>
      </c>
      <c r="E31" s="185" t="s">
        <v>36</v>
      </c>
      <c r="F31" s="185" t="str">
        <f t="shared" si="4"/>
        <v>EBAY_011521P37</v>
      </c>
      <c r="G31" s="193">
        <f>(_xll.xlqBid(F31,tda)+_xll.xlqAsk(F31,tda))*0.5</f>
        <v>4.9250000000000007</v>
      </c>
      <c r="H31" s="191" t="s">
        <v>175</v>
      </c>
      <c r="I31" s="187">
        <v>100</v>
      </c>
      <c r="J31" s="194">
        <v>4.9749999999999996</v>
      </c>
      <c r="K31" s="181">
        <f t="shared" si="0"/>
        <v>497.49999999999994</v>
      </c>
      <c r="L31" s="214">
        <f t="shared" si="1"/>
        <v>492.50000000000006</v>
      </c>
      <c r="M31" s="188">
        <f t="shared" si="2"/>
        <v>-4.9999999999998863</v>
      </c>
      <c r="N31" s="180">
        <f t="shared" si="3"/>
        <v>-1.005025125628118E-2</v>
      </c>
      <c r="O31" s="201">
        <f>_xll.xlqPrice(A31,tda)*$O$1*_xll.xlqDelta(F31,tda)*I31</f>
        <v>17.596633000000001</v>
      </c>
    </row>
    <row r="32" spans="1:15" x14ac:dyDescent="0.25">
      <c r="A32" s="183" t="s">
        <v>27</v>
      </c>
      <c r="B32" s="185" t="str">
        <f>_xll.xlqName(A32, tda)</f>
        <v>eBay Inc. - Common Stock</v>
      </c>
      <c r="C32" s="185"/>
      <c r="D32" s="205"/>
      <c r="E32" s="185" t="s">
        <v>155</v>
      </c>
      <c r="F32" s="185"/>
      <c r="G32" s="193">
        <f>_xll.xlqPrice(A32,tda)</f>
        <v>35.094999999999999</v>
      </c>
      <c r="H32" s="191" t="s">
        <v>175</v>
      </c>
      <c r="I32" s="187">
        <v>100</v>
      </c>
      <c r="J32" s="194">
        <v>35.015000000000001</v>
      </c>
      <c r="K32" s="181">
        <f t="shared" si="0"/>
        <v>3501.5</v>
      </c>
      <c r="L32" s="214">
        <f t="shared" si="1"/>
        <v>3509.5</v>
      </c>
      <c r="M32" s="188">
        <f t="shared" si="2"/>
        <v>8</v>
      </c>
      <c r="N32" s="180">
        <f t="shared" si="3"/>
        <v>2.2847351135227758E-3</v>
      </c>
      <c r="O32" s="201">
        <f>_xll.xlqPrice(A32,tda)*$O$1*I32</f>
        <v>-35.094999999999999</v>
      </c>
    </row>
    <row r="33" spans="1:15" x14ac:dyDescent="0.25">
      <c r="A33" s="183" t="s">
        <v>128</v>
      </c>
      <c r="B33" s="137" t="str">
        <f>_xll.xlqName(A33, tda)</f>
        <v>Equifax, Inc. Common Stock</v>
      </c>
      <c r="C33" s="182">
        <v>43847</v>
      </c>
      <c r="D33" s="204">
        <v>110</v>
      </c>
      <c r="E33" s="137" t="s">
        <v>36</v>
      </c>
      <c r="F33" s="137" t="str">
        <f>CONCATENATE(A33,"_",TEXT(MONTH(C33),"00"),TEXT(DAY(C33),"00"),TEXT(MOD(YEAR(C33),100),"00"),E33,D33&amp;"")</f>
        <v>EFX_011720P110</v>
      </c>
      <c r="G33" s="184">
        <f>(_xll.xlqBid(F33,tda)+_xll.xlqAsk(F33,tda))*0.5</f>
        <v>0.22500000000000001</v>
      </c>
      <c r="H33" s="191" t="s">
        <v>175</v>
      </c>
      <c r="I33" s="187">
        <v>100</v>
      </c>
      <c r="J33" s="179">
        <v>0.22500000000000001</v>
      </c>
      <c r="K33" s="181">
        <f t="shared" si="0"/>
        <v>22.5</v>
      </c>
      <c r="L33" s="214">
        <f t="shared" si="1"/>
        <v>22.5</v>
      </c>
      <c r="M33" s="188">
        <f t="shared" si="2"/>
        <v>0</v>
      </c>
      <c r="N33" s="180">
        <f t="shared" si="3"/>
        <v>0</v>
      </c>
      <c r="O33" s="201">
        <f>_xll.xlqPrice(A33,tda)*$O$1*_xll.xlqDelta(F33,tda)*I33</f>
        <v>4.5094500000000002</v>
      </c>
    </row>
    <row r="34" spans="1:15" x14ac:dyDescent="0.25">
      <c r="A34" s="183" t="s">
        <v>24</v>
      </c>
      <c r="B34" s="137" t="str">
        <f>_xll.xlqName(A34, tda)</f>
        <v>Johnson &amp; Johnson Common Stock</v>
      </c>
      <c r="D34" s="204"/>
      <c r="E34" s="137" t="s">
        <v>155</v>
      </c>
      <c r="G34" s="184">
        <f>_xll.xlqPrice(A34,tda)</f>
        <v>138.74</v>
      </c>
      <c r="H34" s="191" t="s">
        <v>175</v>
      </c>
      <c r="I34" s="187">
        <v>100</v>
      </c>
      <c r="J34" s="179">
        <v>139.48000000000002</v>
      </c>
      <c r="K34" s="181">
        <f t="shared" ref="K34:K65" si="5">J34*I34</f>
        <v>13948.000000000002</v>
      </c>
      <c r="L34" s="214">
        <f t="shared" ref="L34:L65" si="6">I34*G34</f>
        <v>13874</v>
      </c>
      <c r="M34" s="188">
        <f t="shared" ref="M34:M65" si="7">L34-K34</f>
        <v>-74.000000000001819</v>
      </c>
      <c r="N34" s="180">
        <f t="shared" ref="N34:N65" si="8">SIGN(I34)*M34/K34</f>
        <v>-5.3054201319186842E-3</v>
      </c>
      <c r="O34" s="201">
        <f>_xll.xlqPrice(A34,tda)*$O$1*I34</f>
        <v>-138.74</v>
      </c>
    </row>
    <row r="35" spans="1:15" x14ac:dyDescent="0.25">
      <c r="A35" s="183" t="s">
        <v>130</v>
      </c>
      <c r="B35" s="137" t="str">
        <f>_xll.xlqName(A35, tda)</f>
        <v>MarketAxess Holdings, Inc. - Common Stock</v>
      </c>
      <c r="C35" s="182">
        <v>43882</v>
      </c>
      <c r="D35" s="204">
        <v>370</v>
      </c>
      <c r="E35" s="137" t="s">
        <v>29</v>
      </c>
      <c r="F35" s="137" t="str">
        <f>CONCATENATE(A35,"_",TEXT(MONTH(C35),"00"),TEXT(DAY(C35),"00"),TEXT(MOD(YEAR(C35),100),"00"),E35,D35&amp;"")</f>
        <v>MKTX_022120C370</v>
      </c>
      <c r="G35" s="184">
        <f>(_xll.xlqBid(F35,tda)+_xll.xlqAsk(F35,tda))*0.5</f>
        <v>39.1</v>
      </c>
      <c r="H35" s="191" t="s">
        <v>175</v>
      </c>
      <c r="I35" s="187">
        <v>100</v>
      </c>
      <c r="J35" s="179">
        <v>40.1</v>
      </c>
      <c r="K35" s="181">
        <f t="shared" si="5"/>
        <v>4010</v>
      </c>
      <c r="L35" s="214">
        <f t="shared" si="6"/>
        <v>3910</v>
      </c>
      <c r="M35" s="188">
        <f t="shared" si="7"/>
        <v>-100</v>
      </c>
      <c r="N35" s="180">
        <f t="shared" si="8"/>
        <v>-2.4937655860349128E-2</v>
      </c>
      <c r="O35" s="201">
        <f>_xll.xlqPrice(A35,tda)*$O$1*_xll.xlqDelta(F35,tda)*I35</f>
        <v>-277.283772</v>
      </c>
    </row>
    <row r="36" spans="1:15" x14ac:dyDescent="0.25">
      <c r="A36" s="183" t="s">
        <v>79</v>
      </c>
      <c r="B36" s="137" t="str">
        <f>_xll.xlqName(A36, tda)</f>
        <v>Oracle Corporation Common Stock</v>
      </c>
      <c r="C36" s="182">
        <v>43847</v>
      </c>
      <c r="D36" s="204">
        <v>33</v>
      </c>
      <c r="E36" s="137" t="s">
        <v>29</v>
      </c>
      <c r="F36" s="137" t="str">
        <f>CONCATENATE(A36,"_",TEXT(MONTH(C36),"00"),TEXT(DAY(C36),"00"),TEXT(MOD(YEAR(C36),100),"00"),E36,D36&amp;"")</f>
        <v>ORCL_011720C33</v>
      </c>
      <c r="G36" s="184">
        <f>(_xll.xlqBid(F36,tda)+_xll.xlqAsk(F36,tda))*0.5</f>
        <v>21.425000000000001</v>
      </c>
      <c r="H36" s="191" t="s">
        <v>175</v>
      </c>
      <c r="I36" s="187">
        <v>100</v>
      </c>
      <c r="J36" s="179">
        <v>21.35</v>
      </c>
      <c r="K36" s="181">
        <f t="shared" si="5"/>
        <v>2135</v>
      </c>
      <c r="L36" s="214">
        <f t="shared" si="6"/>
        <v>2142.5</v>
      </c>
      <c r="M36" s="188">
        <f t="shared" si="7"/>
        <v>7.5</v>
      </c>
      <c r="N36" s="180">
        <f t="shared" si="8"/>
        <v>3.5128805620608899E-3</v>
      </c>
      <c r="O36" s="201">
        <f>_xll.xlqPrice(A36,tda)*$O$1*_xll.xlqDelta(F36,tda)*I36</f>
        <v>-53.564812500000016</v>
      </c>
    </row>
    <row r="37" spans="1:15" x14ac:dyDescent="0.25">
      <c r="A37" s="183" t="s">
        <v>79</v>
      </c>
      <c r="B37" s="137" t="str">
        <f>_xll.xlqName(A37, tda)</f>
        <v>Oracle Corporation Common Stock</v>
      </c>
      <c r="D37" s="204"/>
      <c r="E37" s="137" t="s">
        <v>155</v>
      </c>
      <c r="G37" s="184">
        <f>_xll.xlqPrice(A37,tda)</f>
        <v>54.375</v>
      </c>
      <c r="H37" s="191" t="s">
        <v>175</v>
      </c>
      <c r="I37" s="187">
        <v>100</v>
      </c>
      <c r="J37" s="179">
        <v>54.46</v>
      </c>
      <c r="K37" s="181">
        <f t="shared" si="5"/>
        <v>5446</v>
      </c>
      <c r="L37" s="214">
        <f t="shared" si="6"/>
        <v>5437.5</v>
      </c>
      <c r="M37" s="188">
        <f t="shared" si="7"/>
        <v>-8.5</v>
      </c>
      <c r="N37" s="180">
        <f t="shared" si="8"/>
        <v>-1.5607785530664707E-3</v>
      </c>
      <c r="O37" s="201">
        <f>_xll.xlqPrice(A37,tda)*$O$1*I37</f>
        <v>-54.375000000000007</v>
      </c>
    </row>
    <row r="38" spans="1:15" x14ac:dyDescent="0.25">
      <c r="A38" s="183" t="s">
        <v>81</v>
      </c>
      <c r="B38" s="185" t="str">
        <f>_xll.xlqName(A38, tda)</f>
        <v>Paycom Software, Inc. Common Stock</v>
      </c>
      <c r="C38" s="186">
        <v>44211</v>
      </c>
      <c r="D38" s="205">
        <v>100</v>
      </c>
      <c r="E38" s="185" t="s">
        <v>29</v>
      </c>
      <c r="F38" s="185" t="str">
        <f>CONCATENATE(A38,"_",TEXT(MONTH(C38),"00"),TEXT(DAY(C38),"00"),TEXT(MOD(YEAR(C38),100),"00"),E38,D38&amp;"")</f>
        <v>PAYC_011521C100</v>
      </c>
      <c r="G38" s="193">
        <f>(_xll.xlqBid(F38,tda)+_xll.xlqAsk(F38,tda))*0.5</f>
        <v>174</v>
      </c>
      <c r="H38" s="191" t="s">
        <v>175</v>
      </c>
      <c r="I38" s="187">
        <v>100</v>
      </c>
      <c r="J38" s="194">
        <v>176.25</v>
      </c>
      <c r="K38" s="223">
        <f t="shared" si="5"/>
        <v>17625</v>
      </c>
      <c r="L38" s="224">
        <f t="shared" si="6"/>
        <v>17400</v>
      </c>
      <c r="M38" s="225">
        <f t="shared" si="7"/>
        <v>-225</v>
      </c>
      <c r="N38" s="226">
        <f t="shared" si="8"/>
        <v>-1.276595744680851E-2</v>
      </c>
      <c r="O38" s="206">
        <f>_xll.xlqPrice(A38,tda)*$O$1*_xll.xlqDelta(F38,tda)*I38</f>
        <v>-266.53806500000002</v>
      </c>
    </row>
    <row r="39" spans="1:15" x14ac:dyDescent="0.25">
      <c r="A39" s="183" t="s">
        <v>81</v>
      </c>
      <c r="B39" s="185" t="str">
        <f>_xll.xlqName(A39, tda)</f>
        <v>Paycom Software, Inc. Common Stock</v>
      </c>
      <c r="C39" s="186">
        <v>44211</v>
      </c>
      <c r="D39" s="205">
        <v>185</v>
      </c>
      <c r="E39" s="185" t="s">
        <v>29</v>
      </c>
      <c r="F39" s="185" t="str">
        <f>CONCATENATE(A39,"_",TEXT(MONTH(C39),"00"),TEXT(DAY(C39),"00"),TEXT(MOD(YEAR(C39),100),"00"),E39,D39&amp;"")</f>
        <v>PAYC_011521C185</v>
      </c>
      <c r="G39" s="193">
        <f>(_xll.xlqBid(F39,tda)+_xll.xlqAsk(F39,tda))*0.5</f>
        <v>101.75</v>
      </c>
      <c r="H39" s="191" t="s">
        <v>175</v>
      </c>
      <c r="I39" s="187">
        <v>100</v>
      </c>
      <c r="J39" s="194">
        <v>104</v>
      </c>
      <c r="K39" s="223">
        <f t="shared" si="5"/>
        <v>10400</v>
      </c>
      <c r="L39" s="224">
        <f t="shared" si="6"/>
        <v>10175</v>
      </c>
      <c r="M39" s="225">
        <f t="shared" si="7"/>
        <v>-225</v>
      </c>
      <c r="N39" s="226">
        <f t="shared" si="8"/>
        <v>-2.1634615384615384E-2</v>
      </c>
      <c r="O39" s="206">
        <f>_xll.xlqPrice(A39,tda)*$O$1*_xll.xlqDelta(F39,tda)*I39</f>
        <v>-232.98763000000005</v>
      </c>
    </row>
    <row r="40" spans="1:15" x14ac:dyDescent="0.25">
      <c r="A40" s="183" t="s">
        <v>133</v>
      </c>
      <c r="B40" s="137" t="str">
        <f>_xll.xlqName(A40, tda)</f>
        <v>Zoom Video Communications, Inc. - Class A Common Stock</v>
      </c>
      <c r="C40" s="182">
        <v>44211</v>
      </c>
      <c r="D40" s="204">
        <v>95</v>
      </c>
      <c r="E40" s="137" t="s">
        <v>29</v>
      </c>
      <c r="F40" s="137" t="str">
        <f>CONCATENATE(A40,"_",TEXT(MONTH(C40),"00"),TEXT(DAY(C40),"00"),TEXT(MOD(YEAR(C40),100),"00"),E40,D40&amp;"")</f>
        <v>ZM_011521C95</v>
      </c>
      <c r="G40" s="184">
        <f>(_xll.xlqBid(F40,tda)+_xll.xlqAsk(F40,tda))*0.5</f>
        <v>9.25</v>
      </c>
      <c r="H40" s="191" t="s">
        <v>175</v>
      </c>
      <c r="I40" s="187">
        <v>100</v>
      </c>
      <c r="J40" s="179">
        <v>9.4499999999999993</v>
      </c>
      <c r="K40" s="181">
        <f t="shared" si="5"/>
        <v>944.99999999999989</v>
      </c>
      <c r="L40" s="214">
        <f t="shared" si="6"/>
        <v>925</v>
      </c>
      <c r="M40" s="188">
        <f t="shared" si="7"/>
        <v>-19.999999999999886</v>
      </c>
      <c r="N40" s="180">
        <f t="shared" si="8"/>
        <v>-2.1164021164021045E-2</v>
      </c>
      <c r="O40" s="201">
        <f>_xll.xlqPrice(A40,tda)*$O$1*_xll.xlqDelta(F40,tda)*I40</f>
        <v>-29.659170000000003</v>
      </c>
    </row>
    <row r="41" spans="1:15" x14ac:dyDescent="0.25">
      <c r="A41" s="183" t="s">
        <v>4</v>
      </c>
      <c r="B41" s="137" t="str">
        <f>_xll.xlqName(A41, tda)</f>
        <v>Facebook, Inc. - Class A Common Stock</v>
      </c>
      <c r="D41" s="204"/>
      <c r="E41" s="137" t="s">
        <v>155</v>
      </c>
      <c r="G41" s="184">
        <f>_xll.xlqPrice(A41,tda)</f>
        <v>199.14000000000001</v>
      </c>
      <c r="H41" s="191" t="s">
        <v>175</v>
      </c>
      <c r="I41" s="187">
        <v>100</v>
      </c>
      <c r="J41" s="179">
        <v>198.60000000000002</v>
      </c>
      <c r="K41" s="181">
        <f t="shared" si="5"/>
        <v>19860.000000000004</v>
      </c>
      <c r="L41" s="214">
        <f t="shared" si="6"/>
        <v>19914</v>
      </c>
      <c r="M41" s="188">
        <f t="shared" si="7"/>
        <v>53.999999999996362</v>
      </c>
      <c r="N41" s="180">
        <f t="shared" si="8"/>
        <v>2.7190332326282149E-3</v>
      </c>
      <c r="O41" s="201">
        <f>_xll.xlqPrice(A41,tda)*$O$1*I41</f>
        <v>-199.14000000000001</v>
      </c>
    </row>
    <row r="42" spans="1:15" x14ac:dyDescent="0.25">
      <c r="A42" s="183" t="s">
        <v>86</v>
      </c>
      <c r="B42" s="137" t="str">
        <f>_xll.xlqName(A42, tda)</f>
        <v>JD.com, Inc. - American Depositary Shares</v>
      </c>
      <c r="D42" s="204"/>
      <c r="E42" s="137" t="s">
        <v>155</v>
      </c>
      <c r="G42" s="184">
        <f>_xll.xlqPrice(A42,tda)</f>
        <v>31.775000000000002</v>
      </c>
      <c r="H42" s="191" t="s">
        <v>175</v>
      </c>
      <c r="I42" s="187">
        <v>100</v>
      </c>
      <c r="J42" s="179">
        <v>31.900000000000002</v>
      </c>
      <c r="K42" s="181">
        <f t="shared" si="5"/>
        <v>3190</v>
      </c>
      <c r="L42" s="214">
        <f t="shared" si="6"/>
        <v>3177.5</v>
      </c>
      <c r="M42" s="188">
        <f t="shared" si="7"/>
        <v>-12.5</v>
      </c>
      <c r="N42" s="180">
        <f t="shared" si="8"/>
        <v>-3.9184952978056423E-3</v>
      </c>
      <c r="O42" s="201">
        <f>_xll.xlqPrice(A42,tda)*$O$1*I42</f>
        <v>-31.775000000000002</v>
      </c>
    </row>
    <row r="43" spans="1:15" x14ac:dyDescent="0.25">
      <c r="A43" s="183" t="s">
        <v>82</v>
      </c>
      <c r="B43" s="137" t="str">
        <f>_xll.xlqName(A43, tda)</f>
        <v>Mastercard Incorporated Common Stock</v>
      </c>
      <c r="C43" s="182">
        <v>44365</v>
      </c>
      <c r="D43" s="204">
        <v>280</v>
      </c>
      <c r="E43" s="137" t="s">
        <v>29</v>
      </c>
      <c r="F43" s="137" t="str">
        <f>CONCATENATE(A43,"_",TEXT(MONTH(C43),"00"),TEXT(DAY(C43),"00"),TEXT(MOD(YEAR(C43),100),"00"),E43,D43&amp;"")</f>
        <v>MA_061821C280</v>
      </c>
      <c r="G43" s="184">
        <f>(_xll.xlqBid(F43,tda)+_xll.xlqAsk(F43,tda))*0.5</f>
        <v>43.125</v>
      </c>
      <c r="H43" s="191" t="s">
        <v>175</v>
      </c>
      <c r="I43" s="187">
        <v>100</v>
      </c>
      <c r="J43" s="179">
        <v>44</v>
      </c>
      <c r="K43" s="181">
        <f t="shared" si="5"/>
        <v>4400</v>
      </c>
      <c r="L43" s="214">
        <f t="shared" si="6"/>
        <v>4312.5</v>
      </c>
      <c r="M43" s="188">
        <f t="shared" si="7"/>
        <v>-87.5</v>
      </c>
      <c r="N43" s="180">
        <f t="shared" si="8"/>
        <v>-1.9886363636363636E-2</v>
      </c>
      <c r="O43" s="201">
        <f>_xll.xlqPrice(A43,tda)*$O$1*_xll.xlqDelta(F43,tda)*I43</f>
        <v>-179.49973500000004</v>
      </c>
    </row>
    <row r="44" spans="1:15" x14ac:dyDescent="0.25">
      <c r="A44" s="183" t="s">
        <v>6</v>
      </c>
      <c r="B44" s="137" t="str">
        <f>_xll.xlqName(A44, tda)</f>
        <v>Medtronic plc. Ordinary Shares</v>
      </c>
      <c r="D44" s="204"/>
      <c r="E44" s="137" t="s">
        <v>155</v>
      </c>
      <c r="G44" s="184">
        <f>_xll.xlqPrice(A44,tda)</f>
        <v>111.51</v>
      </c>
      <c r="H44" s="191" t="s">
        <v>175</v>
      </c>
      <c r="I44" s="187">
        <v>100</v>
      </c>
      <c r="J44" s="179">
        <v>111.60000000000001</v>
      </c>
      <c r="K44" s="181">
        <f t="shared" si="5"/>
        <v>11160</v>
      </c>
      <c r="L44" s="214">
        <f t="shared" si="6"/>
        <v>11151</v>
      </c>
      <c r="M44" s="188">
        <f t="shared" si="7"/>
        <v>-9</v>
      </c>
      <c r="N44" s="180">
        <f t="shared" si="8"/>
        <v>-8.0645161290322581E-4</v>
      </c>
      <c r="O44" s="201">
        <f>_xll.xlqPrice(A44,tda)*$O$1*I44</f>
        <v>-111.50999999999999</v>
      </c>
    </row>
    <row r="45" spans="1:15" x14ac:dyDescent="0.25">
      <c r="A45" s="183" t="s">
        <v>28</v>
      </c>
      <c r="B45" s="137" t="str">
        <f>_xll.xlqName(A45, tda)</f>
        <v>NVIDIA Corporation - Common Stock</v>
      </c>
      <c r="C45" s="182">
        <v>44211</v>
      </c>
      <c r="D45" s="204">
        <v>125</v>
      </c>
      <c r="E45" s="137" t="s">
        <v>29</v>
      </c>
      <c r="F45" s="137" t="str">
        <f>CONCATENATE(A45,"_",TEXT(MONTH(C45),"00"),TEXT(DAY(C45),"00"),TEXT(MOD(YEAR(C45),100),"00"),E45,D45&amp;"")</f>
        <v>NVDA_011521C125</v>
      </c>
      <c r="G45" s="184">
        <f>(_xll.xlqBid(F45,tda)+_xll.xlqAsk(F45,tda))*0.5</f>
        <v>91.525000000000006</v>
      </c>
      <c r="H45" s="191" t="s">
        <v>175</v>
      </c>
      <c r="I45" s="187">
        <v>100</v>
      </c>
      <c r="J45" s="179">
        <v>92.125</v>
      </c>
      <c r="K45" s="181">
        <f t="shared" si="5"/>
        <v>9212.5</v>
      </c>
      <c r="L45" s="214">
        <f t="shared" si="6"/>
        <v>9152.5</v>
      </c>
      <c r="M45" s="188">
        <f t="shared" si="7"/>
        <v>-60</v>
      </c>
      <c r="N45" s="180">
        <f t="shared" si="8"/>
        <v>-6.5128900949796469E-3</v>
      </c>
      <c r="O45" s="201">
        <f>_xll.xlqPrice(A45,tda)*$O$1*_xll.xlqDelta(F45,tda)*I45</f>
        <v>-189.68571500000004</v>
      </c>
    </row>
    <row r="46" spans="1:15" x14ac:dyDescent="0.25">
      <c r="A46" s="183" t="s">
        <v>74</v>
      </c>
      <c r="B46" s="137" t="str">
        <f>_xll.xlqName(A46, tda)</f>
        <v>Square, Inc. Class A Common Stock</v>
      </c>
      <c r="C46" s="182">
        <v>44211</v>
      </c>
      <c r="D46" s="204">
        <v>75</v>
      </c>
      <c r="E46" s="137" t="s">
        <v>29</v>
      </c>
      <c r="F46" s="137" t="str">
        <f>CONCATENATE(A46,"_",TEXT(MONTH(C46),"00"),TEXT(DAY(C46),"00"),TEXT(MOD(YEAR(C46),100),"00"),E46,D46&amp;"")</f>
        <v>SQ_011521C75</v>
      </c>
      <c r="G46" s="184">
        <f>(_xll.xlqBid(F46,tda)+_xll.xlqAsk(F46,tda))*0.5</f>
        <v>9.3500000000000014</v>
      </c>
      <c r="H46" s="191" t="s">
        <v>175</v>
      </c>
      <c r="I46" s="187">
        <v>100</v>
      </c>
      <c r="J46" s="179">
        <v>9.4499999999999993</v>
      </c>
      <c r="K46" s="181">
        <f t="shared" si="5"/>
        <v>944.99999999999989</v>
      </c>
      <c r="L46" s="214">
        <f t="shared" si="6"/>
        <v>935.00000000000011</v>
      </c>
      <c r="M46" s="188">
        <f t="shared" si="7"/>
        <v>-9.9999999999997726</v>
      </c>
      <c r="N46" s="180">
        <f t="shared" si="8"/>
        <v>-1.0582010582010342E-2</v>
      </c>
      <c r="O46" s="201">
        <f>_xll.xlqPrice(A46,tda)*$O$1*_xll.xlqDelta(F46,tda)*I46</f>
        <v>-34.925667000000004</v>
      </c>
    </row>
    <row r="47" spans="1:15" x14ac:dyDescent="0.25">
      <c r="A47" s="183" t="s">
        <v>129</v>
      </c>
      <c r="B47" s="137" t="str">
        <f>_xll.xlqName(A47, tda)</f>
        <v>DENTSPLY SIRONA Inc. - Common Stock</v>
      </c>
      <c r="C47" s="182">
        <v>44211</v>
      </c>
      <c r="D47" s="204">
        <v>40</v>
      </c>
      <c r="E47" s="137" t="s">
        <v>36</v>
      </c>
      <c r="F47" s="137" t="str">
        <f>CONCATENATE(A47,"_",TEXT(MONTH(C47),"00"),TEXT(DAY(C47),"00"),TEXT(MOD(YEAR(C47),100),"00"),E47,D47&amp;"")</f>
        <v>XRAY_011521P40</v>
      </c>
      <c r="G47" s="184">
        <f>(_xll.xlqBid(F47,tda)+_xll.xlqAsk(F47,tda))*0.5</f>
        <v>1.1000000000000001</v>
      </c>
      <c r="H47" s="191" t="s">
        <v>175</v>
      </c>
      <c r="I47" s="187">
        <v>100</v>
      </c>
      <c r="J47" s="179">
        <v>1.25</v>
      </c>
      <c r="K47" s="181">
        <f t="shared" si="5"/>
        <v>125</v>
      </c>
      <c r="L47" s="214">
        <f t="shared" si="6"/>
        <v>110.00000000000001</v>
      </c>
      <c r="M47" s="188">
        <f t="shared" si="7"/>
        <v>-14.999999999999986</v>
      </c>
      <c r="N47" s="180">
        <f t="shared" si="8"/>
        <v>-0.11999999999999988</v>
      </c>
      <c r="O47" s="201">
        <f>_xll.xlqPrice(A47,tda)*$O$1*_xll.xlqDelta(F47,tda)*I47</f>
        <v>5.7859200000000008</v>
      </c>
    </row>
    <row r="48" spans="1:15" x14ac:dyDescent="0.25">
      <c r="A48" s="183" t="s">
        <v>129</v>
      </c>
      <c r="B48" s="137" t="str">
        <f>_xll.xlqName(A48, tda)</f>
        <v>DENTSPLY SIRONA Inc. - Common Stock</v>
      </c>
      <c r="C48" s="182">
        <v>44211</v>
      </c>
      <c r="D48" s="204">
        <v>42</v>
      </c>
      <c r="E48" s="137" t="s">
        <v>36</v>
      </c>
      <c r="F48" s="137" t="str">
        <f>CONCATENATE(A48,"_",TEXT(MONTH(C48),"00"),TEXT(DAY(C48),"00"),TEXT(MOD(YEAR(C48),100),"00"),E48,D48&amp;"")</f>
        <v>XRAY_011521P42</v>
      </c>
      <c r="G48" s="184">
        <f>(_xll.xlqBid(F48,tda)+_xll.xlqAsk(F48,tda))*0.5</f>
        <v>1.4500000000000002</v>
      </c>
      <c r="H48" s="191" t="s">
        <v>175</v>
      </c>
      <c r="I48" s="187">
        <v>100</v>
      </c>
      <c r="J48" s="179">
        <v>1.5249999999999999</v>
      </c>
      <c r="K48" s="181">
        <f t="shared" si="5"/>
        <v>152.5</v>
      </c>
      <c r="L48" s="214">
        <f t="shared" si="6"/>
        <v>145.00000000000003</v>
      </c>
      <c r="M48" s="188">
        <f t="shared" si="7"/>
        <v>-7.4999999999999716</v>
      </c>
      <c r="N48" s="180">
        <f t="shared" si="8"/>
        <v>-4.9180327868852271E-2</v>
      </c>
      <c r="O48" s="201">
        <f>_xll.xlqPrice(A48,tda)*$O$1*_xll.xlqDelta(F48,tda)*I48</f>
        <v>7.2898000000000005</v>
      </c>
    </row>
    <row r="49" spans="1:31" x14ac:dyDescent="0.25">
      <c r="A49" s="183" t="s">
        <v>109</v>
      </c>
      <c r="B49" s="137" t="str">
        <f>_xll.xlqName(A49, tda)</f>
        <v>Zuora, Inc. Class A Common Stock</v>
      </c>
      <c r="D49" s="204"/>
      <c r="E49" s="137" t="s">
        <v>155</v>
      </c>
      <c r="G49" s="184">
        <f>_xll.xlqPrice(A49,tda)</f>
        <v>15.38</v>
      </c>
      <c r="H49" s="191" t="s">
        <v>175</v>
      </c>
      <c r="I49" s="187">
        <v>100</v>
      </c>
      <c r="J49" s="179">
        <v>15.41</v>
      </c>
      <c r="K49" s="181">
        <f t="shared" si="5"/>
        <v>1541</v>
      </c>
      <c r="L49" s="214">
        <f t="shared" si="6"/>
        <v>1538</v>
      </c>
      <c r="M49" s="188">
        <f t="shared" si="7"/>
        <v>-3</v>
      </c>
      <c r="N49" s="180">
        <f t="shared" si="8"/>
        <v>-1.9467878001297859E-3</v>
      </c>
      <c r="O49" s="201">
        <f>_xll.xlqPrice(A49,tda)*$O$1*I49</f>
        <v>-15.380000000000003</v>
      </c>
    </row>
    <row r="50" spans="1:31" x14ac:dyDescent="0.25">
      <c r="A50" s="183" t="s">
        <v>68</v>
      </c>
      <c r="B50" s="137" t="str">
        <f>_xll.xlqName(A50, tda)</f>
        <v>Berkshire Hathaway Inc. New Common Stock</v>
      </c>
      <c r="C50" s="186">
        <v>44211</v>
      </c>
      <c r="D50" s="204">
        <v>210</v>
      </c>
      <c r="E50" s="185" t="s">
        <v>29</v>
      </c>
      <c r="F50" s="137" t="s">
        <v>160</v>
      </c>
      <c r="G50" s="184">
        <f>(_xll.xlqBid(F50,tda)+_xll.xlqAsk(F50,tda))*0.5</f>
        <v>25.325000000000003</v>
      </c>
      <c r="H50" s="191" t="s">
        <v>175</v>
      </c>
      <c r="I50" s="187">
        <v>100</v>
      </c>
      <c r="J50" s="179">
        <v>25.55</v>
      </c>
      <c r="K50" s="181">
        <f t="shared" si="5"/>
        <v>2555</v>
      </c>
      <c r="L50" s="214">
        <f t="shared" si="6"/>
        <v>2532.5000000000005</v>
      </c>
      <c r="M50" s="188">
        <f t="shared" si="7"/>
        <v>-22.499999999999545</v>
      </c>
      <c r="N50" s="180">
        <f t="shared" si="8"/>
        <v>-8.8062622309195877E-3</v>
      </c>
      <c r="O50" s="201">
        <f>_xll.xlqPrice(A50,tda)*$O$1*_xll.xlqDelta(F50,tda)*I50</f>
        <v>-144.413342</v>
      </c>
    </row>
    <row r="51" spans="1:31" x14ac:dyDescent="0.25">
      <c r="A51" s="183" t="s">
        <v>89</v>
      </c>
      <c r="B51" s="137" t="str">
        <f>_xll.xlqName(A51, tda)</f>
        <v>PayPal Holdings, Inc. - Common Stock</v>
      </c>
      <c r="C51" s="182">
        <v>43847</v>
      </c>
      <c r="D51" s="204">
        <v>62.5</v>
      </c>
      <c r="E51" s="137" t="s">
        <v>29</v>
      </c>
      <c r="F51" s="137" t="str">
        <f>CONCATENATE(A51,"_",TEXT(MONTH(C51),"00"),TEXT(DAY(C51),"00"),TEXT(MOD(YEAR(C51),100),"00"),E51,D51&amp;"")</f>
        <v>PYPL_011720C62.5</v>
      </c>
      <c r="G51" s="184">
        <f>(_xll.xlqBid(F51,tda)+_xll.xlqAsk(F51,tda))*0.5</f>
        <v>42.675000000000004</v>
      </c>
      <c r="H51" s="191" t="s">
        <v>175</v>
      </c>
      <c r="I51" s="187">
        <v>100</v>
      </c>
      <c r="J51" s="179">
        <v>42.775000000000006</v>
      </c>
      <c r="K51" s="181">
        <f t="shared" si="5"/>
        <v>4277.5000000000009</v>
      </c>
      <c r="L51" s="214">
        <f t="shared" si="6"/>
        <v>4267.5</v>
      </c>
      <c r="M51" s="188">
        <f t="shared" si="7"/>
        <v>-10.000000000000909</v>
      </c>
      <c r="N51" s="180">
        <f t="shared" si="8"/>
        <v>-2.3378141437757818E-3</v>
      </c>
      <c r="O51" s="201">
        <f>_xll.xlqPrice(A51,tda)*$O$1*_xll.xlqDelta(F51,tda)*I51</f>
        <v>-104.98</v>
      </c>
    </row>
    <row r="52" spans="1:31" x14ac:dyDescent="0.25">
      <c r="A52" s="183" t="s">
        <v>1</v>
      </c>
      <c r="B52" s="137" t="str">
        <f>_xll.xlqName(A52, tda)</f>
        <v>American Tower Corporation (REIT) Common Stock</v>
      </c>
      <c r="C52" s="182">
        <v>43847</v>
      </c>
      <c r="D52" s="204">
        <v>220</v>
      </c>
      <c r="E52" s="137" t="s">
        <v>29</v>
      </c>
      <c r="F52" s="137" t="str">
        <f>CONCATENATE(A52,"_",TEXT(MONTH(C52),"00"),TEXT(DAY(C52),"00"),TEXT(MOD(YEAR(C52),100),"00"),E52,D52&amp;"")</f>
        <v>AMT_011720C220</v>
      </c>
      <c r="G52" s="184">
        <f>(_xll.xlqBid(F52,tda)+_xll.xlqAsk(F52,tda))*0.5</f>
        <v>2.2999999999999998</v>
      </c>
      <c r="H52" s="191" t="s">
        <v>176</v>
      </c>
      <c r="I52" s="187">
        <v>-100</v>
      </c>
      <c r="J52" s="179">
        <v>2.3250000000000002</v>
      </c>
      <c r="K52" s="181">
        <f t="shared" si="5"/>
        <v>-232.50000000000003</v>
      </c>
      <c r="L52" s="214">
        <f t="shared" si="6"/>
        <v>-229.99999999999997</v>
      </c>
      <c r="M52" s="188">
        <f t="shared" si="7"/>
        <v>2.5000000000000568</v>
      </c>
      <c r="N52" s="180">
        <f t="shared" si="8"/>
        <v>1.0752688172043254E-2</v>
      </c>
      <c r="O52" s="201">
        <f>_xll.xlqPrice(A52,tda)*$O$1*_xll.xlqDelta(F52,tda)*I52</f>
        <v>58.420306620000005</v>
      </c>
    </row>
    <row r="53" spans="1:31" x14ac:dyDescent="0.25">
      <c r="A53" s="183" t="s">
        <v>3</v>
      </c>
      <c r="B53" s="137" t="str">
        <f>_xll.xlqName(A53, tda)</f>
        <v>Walt Disney Company (The) Common Stock</v>
      </c>
      <c r="C53" s="182">
        <v>43847</v>
      </c>
      <c r="D53" s="204">
        <v>135</v>
      </c>
      <c r="E53" s="137" t="s">
        <v>29</v>
      </c>
      <c r="F53" s="137" t="str">
        <f>CONCATENATE(A53,"_",TEXT(MONTH(C53),"00"),TEXT(DAY(C53),"00"),TEXT(MOD(YEAR(C53),100),"00"),E53,D53&amp;"")</f>
        <v>DIS_011720C135</v>
      </c>
      <c r="G53" s="184">
        <f>(_xll.xlqBid(F53,tda)+_xll.xlqAsk(F53,tda))*0.5</f>
        <v>13.75</v>
      </c>
      <c r="H53" s="191" t="s">
        <v>176</v>
      </c>
      <c r="I53" s="187">
        <v>-100</v>
      </c>
      <c r="J53" s="179">
        <v>14.100000000000001</v>
      </c>
      <c r="K53" s="181">
        <f t="shared" si="5"/>
        <v>-1410.0000000000002</v>
      </c>
      <c r="L53" s="214">
        <f t="shared" si="6"/>
        <v>-1375</v>
      </c>
      <c r="M53" s="188">
        <f t="shared" si="7"/>
        <v>35.000000000000227</v>
      </c>
      <c r="N53" s="180">
        <f t="shared" si="8"/>
        <v>2.482269503546115E-2</v>
      </c>
      <c r="O53" s="201">
        <f>_xll.xlqPrice(A53,tda)*$O$1*_xll.xlqDelta(F53,tda)*I53</f>
        <v>143.555643</v>
      </c>
    </row>
    <row r="54" spans="1:31" x14ac:dyDescent="0.25">
      <c r="A54" s="183" t="s">
        <v>66</v>
      </c>
      <c r="B54" s="137" t="str">
        <f>_xll.xlqName(A54, tda)</f>
        <v>Shutterstock, Inc. Common Stock</v>
      </c>
      <c r="C54" s="182">
        <v>43882</v>
      </c>
      <c r="D54" s="204">
        <v>40</v>
      </c>
      <c r="E54" s="137" t="s">
        <v>29</v>
      </c>
      <c r="F54" s="137" t="str">
        <f>CONCATENATE(A54,"_",TEXT(MONTH(C54),"00"),TEXT(DAY(C54),"00"),TEXT(MOD(YEAR(C54),100),"00"),E54,D54&amp;"")</f>
        <v>SSTK_022120C40</v>
      </c>
      <c r="G54" s="184">
        <f>(_xll.xlqBid(F54,tda)+_xll.xlqAsk(F54,tda))*0.5</f>
        <v>5.0999999999999996</v>
      </c>
      <c r="H54" s="191" t="s">
        <v>176</v>
      </c>
      <c r="I54" s="187">
        <v>-100</v>
      </c>
      <c r="J54" s="179">
        <v>5.0999999999999996</v>
      </c>
      <c r="K54" s="181">
        <f t="shared" si="5"/>
        <v>-509.99999999999994</v>
      </c>
      <c r="L54" s="214">
        <f t="shared" si="6"/>
        <v>-509.99999999999994</v>
      </c>
      <c r="M54" s="188">
        <f t="shared" si="7"/>
        <v>0</v>
      </c>
      <c r="N54" s="180">
        <f t="shared" si="8"/>
        <v>0</v>
      </c>
      <c r="O54" s="201">
        <f>_xll.xlqPrice(A54,tda)*$O$1*_xll.xlqDelta(F54,tda)*I54</f>
        <v>33.265792000000005</v>
      </c>
    </row>
    <row r="55" spans="1:31" x14ac:dyDescent="0.25">
      <c r="A55" s="185" t="s">
        <v>91</v>
      </c>
      <c r="B55" s="185" t="str">
        <f>_xll.xlqName(A55, tda)</f>
        <v>The Trade Desk, Inc. - Class A Common Stock</v>
      </c>
      <c r="C55" s="185"/>
      <c r="D55" s="205"/>
      <c r="E55" s="185" t="s">
        <v>155</v>
      </c>
      <c r="F55" s="185"/>
      <c r="G55" s="203">
        <f>_xll.xlqPrice(A55,tda)</f>
        <v>246.10000000000002</v>
      </c>
      <c r="H55" s="191" t="s">
        <v>176</v>
      </c>
      <c r="I55" s="187">
        <v>100</v>
      </c>
      <c r="J55" s="194">
        <v>243.65</v>
      </c>
      <c r="K55" s="181">
        <f t="shared" si="5"/>
        <v>24365</v>
      </c>
      <c r="L55" s="214">
        <f t="shared" si="6"/>
        <v>24610.000000000004</v>
      </c>
      <c r="M55" s="188">
        <f t="shared" si="7"/>
        <v>245.00000000000364</v>
      </c>
      <c r="N55" s="180">
        <f t="shared" si="8"/>
        <v>1.0055407346603883E-2</v>
      </c>
      <c r="O55" s="206">
        <f>_xll.xlqPrice(A55,tda)*$O$1*I55</f>
        <v>-246.10000000000002</v>
      </c>
    </row>
    <row r="56" spans="1:31" x14ac:dyDescent="0.25">
      <c r="A56" s="183" t="s">
        <v>132</v>
      </c>
      <c r="B56" s="137" t="str">
        <f>_xll.xlqName(A56, tda)</f>
        <v>Proto Labs, Inc. Common stock</v>
      </c>
      <c r="D56" s="204"/>
      <c r="E56" s="137" t="s">
        <v>155</v>
      </c>
      <c r="G56" s="184">
        <f>_xll.xlqPrice(A56,tda)</f>
        <v>94.75</v>
      </c>
      <c r="H56" s="191" t="s">
        <v>176</v>
      </c>
      <c r="I56" s="187">
        <v>100</v>
      </c>
      <c r="J56" s="179">
        <v>94.954999999999998</v>
      </c>
      <c r="K56" s="181">
        <f t="shared" si="5"/>
        <v>9495.5</v>
      </c>
      <c r="L56" s="214">
        <f t="shared" si="6"/>
        <v>9475</v>
      </c>
      <c r="M56" s="188">
        <f t="shared" si="7"/>
        <v>-20.5</v>
      </c>
      <c r="N56" s="180">
        <f t="shared" si="8"/>
        <v>-2.1589173819177507E-3</v>
      </c>
      <c r="O56" s="201">
        <f>_xll.xlqPrice(A56,tda)*$O$1*I56</f>
        <v>-94.75</v>
      </c>
    </row>
    <row r="57" spans="1:31" x14ac:dyDescent="0.25">
      <c r="A57" s="185" t="s">
        <v>150</v>
      </c>
      <c r="B57" s="185" t="str">
        <f>_xll.xlqName(A57, tda)</f>
        <v>DocuSign, Inc. - Common Stock</v>
      </c>
      <c r="C57" s="185"/>
      <c r="D57" s="205"/>
      <c r="E57" s="185" t="s">
        <v>155</v>
      </c>
      <c r="F57" s="185"/>
      <c r="G57" s="203">
        <f>_xll.xlqPrice(A57,tda)</f>
        <v>69.510000000000005</v>
      </c>
      <c r="H57" s="191" t="s">
        <v>176</v>
      </c>
      <c r="I57" s="187">
        <v>100</v>
      </c>
      <c r="J57" s="194">
        <v>69.64</v>
      </c>
      <c r="K57" s="181">
        <f t="shared" si="5"/>
        <v>6964</v>
      </c>
      <c r="L57" s="214">
        <f t="shared" si="6"/>
        <v>6951.0000000000009</v>
      </c>
      <c r="M57" s="188">
        <f t="shared" si="7"/>
        <v>-12.999999999999091</v>
      </c>
      <c r="N57" s="180">
        <f t="shared" si="8"/>
        <v>-1.8667432510050389E-3</v>
      </c>
      <c r="O57" s="206">
        <f>_xll.xlqPrice(A57,tda)*$O$1*I57</f>
        <v>-69.510000000000005</v>
      </c>
    </row>
    <row r="58" spans="1:31" s="168" customFormat="1" x14ac:dyDescent="0.25">
      <c r="A58" s="183" t="s">
        <v>55</v>
      </c>
      <c r="B58" s="137" t="str">
        <f>_xll.xlqName(A58, tda)</f>
        <v>CME Group Inc. - Class A Common Stock</v>
      </c>
      <c r="C58" s="137"/>
      <c r="D58" s="204"/>
      <c r="E58" s="137" t="s">
        <v>155</v>
      </c>
      <c r="F58" s="137"/>
      <c r="G58" s="184">
        <f>_xll.xlqPrice(A58,tda)</f>
        <v>203.98000000000002</v>
      </c>
      <c r="H58" s="191" t="s">
        <v>176</v>
      </c>
      <c r="I58" s="187">
        <v>100</v>
      </c>
      <c r="J58" s="179">
        <v>203.33</v>
      </c>
      <c r="K58" s="181">
        <f t="shared" si="5"/>
        <v>20333</v>
      </c>
      <c r="L58" s="214">
        <f t="shared" si="6"/>
        <v>20398</v>
      </c>
      <c r="M58" s="188">
        <f t="shared" si="7"/>
        <v>65</v>
      </c>
      <c r="N58" s="180">
        <f t="shared" si="8"/>
        <v>3.1967737176019279E-3</v>
      </c>
      <c r="O58" s="201">
        <f>_xll.xlqPrice(A58,tda)*$O$1*I58</f>
        <v>-203.98000000000002</v>
      </c>
      <c r="P58" s="219"/>
      <c r="Q58" s="219"/>
      <c r="R58" s="219"/>
      <c r="S58" s="219"/>
      <c r="T58" s="219"/>
      <c r="U58" s="219"/>
      <c r="V58" s="219"/>
      <c r="W58" s="219"/>
      <c r="X58" s="198"/>
      <c r="Y58" s="198"/>
      <c r="Z58" s="198"/>
      <c r="AA58" s="198"/>
      <c r="AB58" s="198"/>
      <c r="AC58" s="198"/>
      <c r="AD58" s="198"/>
      <c r="AE58" s="198"/>
    </row>
    <row r="59" spans="1:31" x14ac:dyDescent="0.25">
      <c r="A59" s="183" t="s">
        <v>26</v>
      </c>
      <c r="B59" s="137" t="str">
        <f>_xll.xlqName(A59, tda)</f>
        <v>Open Text Corporation - Common Shares</v>
      </c>
      <c r="D59" s="204"/>
      <c r="E59" s="137" t="s">
        <v>155</v>
      </c>
      <c r="G59" s="184">
        <f>_xll.xlqPrice(A59,tda)</f>
        <v>42.72</v>
      </c>
      <c r="H59" s="191" t="s">
        <v>176</v>
      </c>
      <c r="I59" s="187">
        <v>100</v>
      </c>
      <c r="J59" s="179">
        <v>42.82</v>
      </c>
      <c r="K59" s="181">
        <f t="shared" si="5"/>
        <v>4282</v>
      </c>
      <c r="L59" s="214">
        <f t="shared" si="6"/>
        <v>4272</v>
      </c>
      <c r="M59" s="188">
        <f t="shared" si="7"/>
        <v>-10</v>
      </c>
      <c r="N59" s="180">
        <f t="shared" si="8"/>
        <v>-2.3353573096683792E-3</v>
      </c>
      <c r="O59" s="201">
        <f>_xll.xlqPrice(A59,tda)*$O$1*I59</f>
        <v>-42.72</v>
      </c>
    </row>
    <row r="60" spans="1:31" x14ac:dyDescent="0.25">
      <c r="A60" s="183" t="s">
        <v>66</v>
      </c>
      <c r="B60" s="137" t="str">
        <f>_xll.xlqName(A60, tda)</f>
        <v>Shutterstock, Inc. Common Stock</v>
      </c>
      <c r="D60" s="204"/>
      <c r="E60" s="137" t="s">
        <v>155</v>
      </c>
      <c r="G60" s="184">
        <f>_xll.xlqPrice(A60,tda)</f>
        <v>43.84</v>
      </c>
      <c r="H60" s="191" t="s">
        <v>176</v>
      </c>
      <c r="I60" s="187">
        <v>100</v>
      </c>
      <c r="J60" s="179">
        <v>43.75</v>
      </c>
      <c r="K60" s="181">
        <f t="shared" si="5"/>
        <v>4375</v>
      </c>
      <c r="L60" s="214">
        <f t="shared" si="6"/>
        <v>4384</v>
      </c>
      <c r="M60" s="188">
        <f t="shared" si="7"/>
        <v>9</v>
      </c>
      <c r="N60" s="180">
        <f t="shared" si="8"/>
        <v>2.0571428571428572E-3</v>
      </c>
      <c r="O60" s="201">
        <f>_xll.xlqPrice(A60,tda)*$O$1*I60</f>
        <v>-43.84</v>
      </c>
    </row>
    <row r="61" spans="1:31" x14ac:dyDescent="0.25">
      <c r="A61" s="183" t="s">
        <v>5</v>
      </c>
      <c r="B61" s="137" t="str">
        <f>_xll.xlqName(A61, tda)</f>
        <v>Skyworks Solutions, Inc. - Common Stock</v>
      </c>
      <c r="D61" s="204"/>
      <c r="E61" s="137" t="s">
        <v>155</v>
      </c>
      <c r="G61" s="184">
        <f>_xll.xlqPrice(A61,tda)</f>
        <v>99.02000000000001</v>
      </c>
      <c r="H61" s="191" t="s">
        <v>176</v>
      </c>
      <c r="I61" s="187">
        <v>100</v>
      </c>
      <c r="J61" s="179">
        <v>99.045000000000002</v>
      </c>
      <c r="K61" s="181">
        <f t="shared" si="5"/>
        <v>9904.5</v>
      </c>
      <c r="L61" s="214">
        <f t="shared" si="6"/>
        <v>9902.0000000000018</v>
      </c>
      <c r="M61" s="188">
        <f t="shared" si="7"/>
        <v>-2.499999999998181</v>
      </c>
      <c r="N61" s="180">
        <f t="shared" si="8"/>
        <v>-2.5241052047030954E-4</v>
      </c>
      <c r="O61" s="201">
        <f>_xll.xlqPrice(A61,tda)*$O$1*I61</f>
        <v>-99.02000000000001</v>
      </c>
    </row>
    <row r="62" spans="1:31" x14ac:dyDescent="0.25">
      <c r="A62" s="185" t="s">
        <v>151</v>
      </c>
      <c r="B62" s="185" t="str">
        <f>_xll.xlqName(A62, tda)</f>
        <v>Fastly, Inc. Class A Common Stock</v>
      </c>
      <c r="C62" s="185"/>
      <c r="D62" s="205"/>
      <c r="E62" s="185" t="s">
        <v>155</v>
      </c>
      <c r="F62" s="185"/>
      <c r="G62" s="203">
        <f>_xll.xlqPrice(A62,tda)</f>
        <v>20.010000000000002</v>
      </c>
      <c r="H62" s="191" t="s">
        <v>176</v>
      </c>
      <c r="I62" s="187">
        <v>100</v>
      </c>
      <c r="J62" s="194">
        <v>20.229600000000001</v>
      </c>
      <c r="K62" s="181">
        <f t="shared" si="5"/>
        <v>2022.96</v>
      </c>
      <c r="L62" s="214">
        <f t="shared" si="6"/>
        <v>2001.0000000000002</v>
      </c>
      <c r="M62" s="188">
        <f t="shared" si="7"/>
        <v>-21.959999999999809</v>
      </c>
      <c r="N62" s="180">
        <f t="shared" si="8"/>
        <v>-1.0855380234903216E-2</v>
      </c>
      <c r="O62" s="206">
        <f>_xll.xlqPrice(A62,tda)*$O$1*I62</f>
        <v>-20.010000000000002</v>
      </c>
    </row>
    <row r="63" spans="1:31" x14ac:dyDescent="0.25">
      <c r="A63" s="183" t="s">
        <v>74</v>
      </c>
      <c r="B63" s="137" t="str">
        <f>_xll.xlqName(A63, tda)</f>
        <v>Square, Inc. Class A Common Stock</v>
      </c>
      <c r="C63" s="182">
        <v>44211</v>
      </c>
      <c r="D63" s="204">
        <v>70</v>
      </c>
      <c r="E63" s="137" t="s">
        <v>29</v>
      </c>
      <c r="F63" s="137" t="str">
        <f>CONCATENATE(A63,"_",TEXT(MONTH(C63),"00"),TEXT(DAY(C63),"00"),TEXT(MOD(YEAR(C63),100),"00"),E63,D63&amp;"")</f>
        <v>SQ_011521C70</v>
      </c>
      <c r="G63" s="184">
        <f>(_xll.xlqBid(F63,tda)+_xll.xlqAsk(F63,tda))*0.5</f>
        <v>11.325000000000001</v>
      </c>
      <c r="H63" s="191" t="s">
        <v>176</v>
      </c>
      <c r="I63" s="187">
        <v>100</v>
      </c>
      <c r="J63" s="179">
        <v>11.375</v>
      </c>
      <c r="K63" s="181">
        <f t="shared" si="5"/>
        <v>1137.5</v>
      </c>
      <c r="L63" s="214">
        <f t="shared" si="6"/>
        <v>1132.5</v>
      </c>
      <c r="M63" s="188">
        <f t="shared" si="7"/>
        <v>-5</v>
      </c>
      <c r="N63" s="180">
        <f t="shared" si="8"/>
        <v>-4.3956043956043956E-3</v>
      </c>
      <c r="O63" s="201">
        <f>_xll.xlqPrice(A63,tda)*$O$1*_xll.xlqDelta(F63,tda)*I63</f>
        <v>-39.382097999999999</v>
      </c>
    </row>
    <row r="64" spans="1:31" x14ac:dyDescent="0.25">
      <c r="A64" s="183" t="s">
        <v>1</v>
      </c>
      <c r="B64" s="137" t="str">
        <f>_xll.xlqName(A64, tda)</f>
        <v>American Tower Corporation (REIT) Common Stock</v>
      </c>
      <c r="C64" s="186">
        <v>44211</v>
      </c>
      <c r="D64" s="204">
        <v>145</v>
      </c>
      <c r="E64" s="185" t="s">
        <v>29</v>
      </c>
      <c r="F64" s="137" t="str">
        <f>CONCATENATE(A64,"_",TEXT(MONTH(C64),"00"),TEXT(DAY(C64),"00"),TEXT(MOD(YEAR(C64),100),"00"),E64,D64&amp;"")</f>
        <v>AMT_011521C145</v>
      </c>
      <c r="G64" s="184">
        <f>(_xll.xlqBid(F64,tda)+_xll.xlqAsk(F64,tda))*0.5</f>
        <v>68.150000000000006</v>
      </c>
      <c r="H64" s="191" t="s">
        <v>176</v>
      </c>
      <c r="I64" s="187">
        <v>100</v>
      </c>
      <c r="J64" s="179">
        <v>68.150000000000006</v>
      </c>
      <c r="K64" s="181">
        <f t="shared" si="5"/>
        <v>6815.0000000000009</v>
      </c>
      <c r="L64" s="214">
        <f t="shared" si="6"/>
        <v>6815.0000000000009</v>
      </c>
      <c r="M64" s="188">
        <f t="shared" si="7"/>
        <v>0</v>
      </c>
      <c r="N64" s="180">
        <f t="shared" si="8"/>
        <v>0</v>
      </c>
      <c r="O64" s="201">
        <f>_xll.xlqPrice(A64,tda)*$O$1*_xll.xlqDelta(F64,tda)*I64</f>
        <v>-193.15200690000003</v>
      </c>
    </row>
    <row r="65" spans="1:31" x14ac:dyDescent="0.25">
      <c r="A65" s="183" t="s">
        <v>3</v>
      </c>
      <c r="B65" s="137" t="str">
        <f>_xll.xlqName(A65, tda)</f>
        <v>Walt Disney Company (The) Common Stock</v>
      </c>
      <c r="C65" s="182">
        <v>44365</v>
      </c>
      <c r="D65" s="204">
        <v>105</v>
      </c>
      <c r="E65" s="137" t="s">
        <v>29</v>
      </c>
      <c r="F65" s="137" t="str">
        <f>CONCATENATE(A65,"_",TEXT(MONTH(C65),"00"),TEXT(DAY(C65),"00"),TEXT(MOD(YEAR(C65),100),"00"),E65,D65&amp;"")</f>
        <v>DIS_061821C105</v>
      </c>
      <c r="G65" s="184">
        <f>(_xll.xlqBid(F65,tda)+_xll.xlqAsk(F65,tda))*0.5</f>
        <v>47.125</v>
      </c>
      <c r="H65" s="191" t="s">
        <v>176</v>
      </c>
      <c r="I65" s="187">
        <v>100</v>
      </c>
      <c r="J65" s="179">
        <v>47.525000000000006</v>
      </c>
      <c r="K65" s="181">
        <f t="shared" si="5"/>
        <v>4752.5000000000009</v>
      </c>
      <c r="L65" s="214">
        <f t="shared" si="6"/>
        <v>4712.5</v>
      </c>
      <c r="M65" s="188">
        <f t="shared" si="7"/>
        <v>-40.000000000000909</v>
      </c>
      <c r="N65" s="180">
        <f t="shared" si="8"/>
        <v>-8.4166228300896172E-3</v>
      </c>
      <c r="O65" s="201">
        <f>_xll.xlqPrice(A65,tda)*$O$1*_xll.xlqDelta(F65,tda)*I65</f>
        <v>-131.69289000000001</v>
      </c>
    </row>
    <row r="66" spans="1:31" x14ac:dyDescent="0.25">
      <c r="A66" s="185" t="s">
        <v>136</v>
      </c>
      <c r="B66" s="185" t="str">
        <f>_xll.xlqName(A66, tda)</f>
        <v>BrightView Holdings, Inc. Common Stock</v>
      </c>
      <c r="C66" s="185"/>
      <c r="D66" s="205"/>
      <c r="E66" s="185" t="s">
        <v>155</v>
      </c>
      <c r="F66" s="185"/>
      <c r="G66" s="203">
        <f>_xll.xlqPrice(A66,tda)</f>
        <v>16.27</v>
      </c>
      <c r="H66" s="191" t="s">
        <v>176</v>
      </c>
      <c r="I66" s="187">
        <v>100</v>
      </c>
      <c r="J66" s="194">
        <v>16.29</v>
      </c>
      <c r="K66" s="181">
        <f t="shared" ref="K66:K92" si="9">J66*I66</f>
        <v>1629</v>
      </c>
      <c r="L66" s="214">
        <f t="shared" ref="L66:L92" si="10">I66*G66</f>
        <v>1627</v>
      </c>
      <c r="M66" s="188">
        <f t="shared" ref="M66:M92" si="11">L66-K66</f>
        <v>-2</v>
      </c>
      <c r="N66" s="180">
        <f t="shared" ref="N66:N92" si="12">SIGN(I66)*M66/K66</f>
        <v>-1.2277470841006752E-3</v>
      </c>
      <c r="O66" s="206">
        <f>_xll.xlqPrice(A66,tda)*$O$1*I66</f>
        <v>-16.27</v>
      </c>
    </row>
    <row r="67" spans="1:31" x14ac:dyDescent="0.25">
      <c r="A67" s="183" t="s">
        <v>131</v>
      </c>
      <c r="B67" s="137" t="str">
        <f>_xll.xlqName(A67, tda)</f>
        <v>Kinder Morgan, Inc. Common Stock</v>
      </c>
      <c r="D67" s="204"/>
      <c r="E67" s="137" t="s">
        <v>155</v>
      </c>
      <c r="G67" s="184">
        <f>_xll.xlqPrice(A67,tda)</f>
        <v>19.1999</v>
      </c>
      <c r="H67" s="191" t="s">
        <v>176</v>
      </c>
      <c r="I67" s="187">
        <v>100</v>
      </c>
      <c r="J67" s="179">
        <v>19.220000000000002</v>
      </c>
      <c r="K67" s="181">
        <f t="shared" si="9"/>
        <v>1922.0000000000002</v>
      </c>
      <c r="L67" s="214">
        <f t="shared" si="10"/>
        <v>1919.99</v>
      </c>
      <c r="M67" s="188">
        <f t="shared" si="11"/>
        <v>-2.0100000000002183</v>
      </c>
      <c r="N67" s="180">
        <f t="shared" si="12"/>
        <v>-1.0457856399584901E-3</v>
      </c>
      <c r="O67" s="201">
        <f>_xll.xlqPrice(A67,tda)*$O$1*I67</f>
        <v>-19.1999</v>
      </c>
    </row>
    <row r="68" spans="1:31" x14ac:dyDescent="0.25">
      <c r="A68" s="183" t="s">
        <v>127</v>
      </c>
      <c r="B68" s="137" t="str">
        <f>_xll.xlqName(A68, tda)</f>
        <v>ConAgra Brands, Inc. Common Stock</v>
      </c>
      <c r="C68" s="182">
        <v>43847</v>
      </c>
      <c r="D68" s="204">
        <v>23</v>
      </c>
      <c r="E68" s="185" t="s">
        <v>36</v>
      </c>
      <c r="F68" s="137" t="str">
        <f>CONCATENATE(A68,"_",TEXT(MONTH(C68),"00"),TEXT(DAY(C68),"00"),TEXT(MOD(YEAR(C68),100),"00"),E68,D68&amp;"")</f>
        <v>CAG_011720P23</v>
      </c>
      <c r="G68" s="184">
        <f>(_xll.xlqBid(F68,tda)+_xll.xlqAsk(F68,tda))*0.5</f>
        <v>0.1</v>
      </c>
      <c r="H68" s="191" t="s">
        <v>176</v>
      </c>
      <c r="I68" s="187">
        <v>100</v>
      </c>
      <c r="J68" s="179">
        <v>0.1</v>
      </c>
      <c r="K68" s="181">
        <f t="shared" si="9"/>
        <v>10</v>
      </c>
      <c r="L68" s="214">
        <f t="shared" si="10"/>
        <v>10</v>
      </c>
      <c r="M68" s="188">
        <f t="shared" si="11"/>
        <v>0</v>
      </c>
      <c r="N68" s="180">
        <f t="shared" si="12"/>
        <v>0</v>
      </c>
      <c r="O68" s="201">
        <f>_xll.xlqPrice(A68,tda)*$O$1*_xll.xlqDelta(F68,tda)*I68</f>
        <v>1.4832259999999999</v>
      </c>
    </row>
    <row r="69" spans="1:31" x14ac:dyDescent="0.25">
      <c r="A69" s="183" t="s">
        <v>85</v>
      </c>
      <c r="B69" s="137" t="str">
        <f>_xll.xlqName(A69, tda)</f>
        <v>Home Depot, Inc. (The) Common Stock</v>
      </c>
      <c r="C69" s="182">
        <v>43847</v>
      </c>
      <c r="D69" s="204">
        <v>205</v>
      </c>
      <c r="E69" s="137" t="s">
        <v>29</v>
      </c>
      <c r="F69" s="137" t="str">
        <f>CONCATENATE(A69,"_",TEXT(MONTH(C69),"00"),TEXT(DAY(C69),"00"),TEXT(MOD(YEAR(C69),100),"00"),E69,D69&amp;"")</f>
        <v>HD_011720C205</v>
      </c>
      <c r="G69" s="184">
        <f>(_xll.xlqBid(F69,tda)+_xll.xlqAsk(F69,tda))*0.5</f>
        <v>11.275000000000002</v>
      </c>
      <c r="H69" s="191" t="s">
        <v>177</v>
      </c>
      <c r="I69" s="187">
        <v>-100</v>
      </c>
      <c r="J69" s="179">
        <v>12.05</v>
      </c>
      <c r="K69" s="181">
        <f t="shared" si="9"/>
        <v>-1205</v>
      </c>
      <c r="L69" s="214">
        <f t="shared" si="10"/>
        <v>-1127.5000000000002</v>
      </c>
      <c r="M69" s="188">
        <f t="shared" si="11"/>
        <v>77.499999999999773</v>
      </c>
      <c r="N69" s="180">
        <f t="shared" si="12"/>
        <v>6.4315352697095249E-2</v>
      </c>
      <c r="O69" s="201">
        <f>_xll.xlqPrice(A69,tda)*$O$1*_xll.xlqDelta(F69,tda)*I69</f>
        <v>151.52119600000006</v>
      </c>
    </row>
    <row r="70" spans="1:31" x14ac:dyDescent="0.25">
      <c r="A70" s="183" t="s">
        <v>2</v>
      </c>
      <c r="B70" s="137" t="str">
        <f>_xll.xlqName(A70, tda)</f>
        <v>Apple Inc. - Common Stock</v>
      </c>
      <c r="C70" s="182">
        <v>43847</v>
      </c>
      <c r="D70" s="204">
        <v>200</v>
      </c>
      <c r="E70" s="137" t="s">
        <v>29</v>
      </c>
      <c r="F70" s="137" t="str">
        <f>CONCATENATE(A70,"_",TEXT(MONTH(C70),"00"),TEXT(DAY(C70),"00"),TEXT(MOD(YEAR(C70),100),"00"),E70,D70&amp;"")</f>
        <v>AAPL_011720C200</v>
      </c>
      <c r="G70" s="184">
        <f>(_xll.xlqBid(F70,tda)+_xll.xlqAsk(F70,tda))*0.5</f>
        <v>63.25</v>
      </c>
      <c r="H70" s="191" t="s">
        <v>177</v>
      </c>
      <c r="I70" s="187">
        <v>-100</v>
      </c>
      <c r="J70" s="179">
        <v>64.075000000000003</v>
      </c>
      <c r="K70" s="181">
        <f t="shared" si="9"/>
        <v>-6407.5</v>
      </c>
      <c r="L70" s="214">
        <f t="shared" si="10"/>
        <v>-6325</v>
      </c>
      <c r="M70" s="188">
        <f t="shared" si="11"/>
        <v>82.5</v>
      </c>
      <c r="N70" s="180">
        <f t="shared" si="12"/>
        <v>1.2875536480686695E-2</v>
      </c>
      <c r="O70" s="201">
        <f>_xll.xlqPrice(A70,tda)*$O$1*_xll.xlqDelta(F70,tda)*I70</f>
        <v>251.98371720000003</v>
      </c>
    </row>
    <row r="71" spans="1:31" x14ac:dyDescent="0.25">
      <c r="A71" s="183" t="s">
        <v>153</v>
      </c>
      <c r="B71" s="137" t="str">
        <f>_xll.xlqName(A71, tda)</f>
        <v>Kinsale Capital Group, Inc. - Common Stock</v>
      </c>
      <c r="D71" s="204"/>
      <c r="E71" s="137" t="s">
        <v>155</v>
      </c>
      <c r="G71" s="184">
        <f>_xll.xlqPrice(A71,tda)</f>
        <v>100.80000000000001</v>
      </c>
      <c r="H71" s="191" t="s">
        <v>177</v>
      </c>
      <c r="I71" s="187">
        <v>100</v>
      </c>
      <c r="J71" s="179">
        <v>100.98</v>
      </c>
      <c r="K71" s="181">
        <f t="shared" si="9"/>
        <v>10098</v>
      </c>
      <c r="L71" s="214">
        <f t="shared" si="10"/>
        <v>10080.000000000002</v>
      </c>
      <c r="M71" s="188">
        <f t="shared" si="11"/>
        <v>-17.999999999998181</v>
      </c>
      <c r="N71" s="180">
        <f t="shared" si="12"/>
        <v>-1.7825311942957201E-3</v>
      </c>
      <c r="O71" s="201">
        <f>_xll.xlqPrice(A71,tda)*$O$1*I71</f>
        <v>-100.80000000000003</v>
      </c>
    </row>
    <row r="72" spans="1:31" s="17" customFormat="1" x14ac:dyDescent="0.25">
      <c r="A72" s="183" t="s">
        <v>154</v>
      </c>
      <c r="B72" s="137" t="str">
        <f>_xll.xlqName(A72, tda)</f>
        <v>Zscaler, Inc. - Common Stock</v>
      </c>
      <c r="C72" s="137"/>
      <c r="D72" s="204"/>
      <c r="E72" s="137" t="s">
        <v>155</v>
      </c>
      <c r="F72" s="137"/>
      <c r="G72" s="136">
        <f>_xll.xlqPrice(A72,tda)</f>
        <v>49.18</v>
      </c>
      <c r="H72" s="191" t="s">
        <v>177</v>
      </c>
      <c r="I72" s="187">
        <v>100</v>
      </c>
      <c r="J72" s="179">
        <v>49.75</v>
      </c>
      <c r="K72" s="181">
        <f t="shared" si="9"/>
        <v>4975</v>
      </c>
      <c r="L72" s="214">
        <f t="shared" si="10"/>
        <v>4918</v>
      </c>
      <c r="M72" s="188">
        <f t="shared" si="11"/>
        <v>-57</v>
      </c>
      <c r="N72" s="180">
        <f t="shared" si="12"/>
        <v>-1.1457286432160804E-2</v>
      </c>
      <c r="O72" s="201">
        <f>_xll.xlqPrice(A72,tda)*$O$1*I72</f>
        <v>-49.18</v>
      </c>
      <c r="P72" s="220"/>
      <c r="Q72" s="220"/>
      <c r="R72" s="220"/>
      <c r="S72" s="220"/>
      <c r="T72" s="220"/>
      <c r="U72" s="220"/>
      <c r="V72" s="220"/>
      <c r="W72" s="220"/>
      <c r="X72" s="199"/>
      <c r="Y72" s="199"/>
      <c r="Z72" s="199"/>
      <c r="AA72" s="199"/>
      <c r="AB72" s="199"/>
      <c r="AC72" s="199"/>
      <c r="AD72" s="199"/>
      <c r="AE72" s="199"/>
    </row>
    <row r="73" spans="1:31" x14ac:dyDescent="0.25">
      <c r="A73" s="183" t="s">
        <v>2</v>
      </c>
      <c r="B73" s="137" t="str">
        <f>_xll.xlqName(A73, tda)</f>
        <v>Apple Inc. - Common Stock</v>
      </c>
      <c r="D73" s="204"/>
      <c r="E73" s="137" t="s">
        <v>155</v>
      </c>
      <c r="G73" s="184">
        <f>_xll.xlqPrice(A73,tda)</f>
        <v>262.34640000000002</v>
      </c>
      <c r="H73" s="191" t="s">
        <v>177</v>
      </c>
      <c r="I73" s="187">
        <v>100</v>
      </c>
      <c r="J73" s="179">
        <v>263.17</v>
      </c>
      <c r="K73" s="181">
        <f t="shared" si="9"/>
        <v>26317</v>
      </c>
      <c r="L73" s="214">
        <f t="shared" si="10"/>
        <v>26234.640000000003</v>
      </c>
      <c r="M73" s="188">
        <f t="shared" si="11"/>
        <v>-82.359999999996944</v>
      </c>
      <c r="N73" s="180">
        <f t="shared" si="12"/>
        <v>-3.129536041341982E-3</v>
      </c>
      <c r="O73" s="201">
        <f>_xll.xlqPrice(A73,tda)*$O$1*I73</f>
        <v>-262.34640000000002</v>
      </c>
    </row>
    <row r="74" spans="1:31" x14ac:dyDescent="0.25">
      <c r="A74" s="183" t="s">
        <v>85</v>
      </c>
      <c r="B74" s="137" t="str">
        <f>_xll.xlqName(A74, tda)</f>
        <v>Home Depot, Inc. (The) Common Stock</v>
      </c>
      <c r="C74" s="182">
        <v>43847</v>
      </c>
      <c r="D74" s="204">
        <v>110</v>
      </c>
      <c r="E74" s="137" t="s">
        <v>29</v>
      </c>
      <c r="F74" s="137" t="str">
        <f>CONCATENATE(A74,"_",TEXT(MONTH(C74),"00"),TEXT(DAY(C74),"00"),TEXT(MOD(YEAR(C74),100),"00"),E74,D74&amp;"")</f>
        <v>HD_011720C110</v>
      </c>
      <c r="G74" s="184">
        <f>(_xll.xlqBid(F74,tda)+_xll.xlqAsk(F74,tda))*0.5</f>
        <v>103.67500000000001</v>
      </c>
      <c r="H74" s="191" t="s">
        <v>177</v>
      </c>
      <c r="I74" s="187">
        <v>100</v>
      </c>
      <c r="J74" s="179">
        <v>104.65</v>
      </c>
      <c r="K74" s="181">
        <f t="shared" si="9"/>
        <v>10465</v>
      </c>
      <c r="L74" s="214">
        <f t="shared" si="10"/>
        <v>10367.500000000002</v>
      </c>
      <c r="M74" s="188">
        <f t="shared" si="11"/>
        <v>-97.499999999998181</v>
      </c>
      <c r="N74" s="180">
        <f t="shared" si="12"/>
        <v>-9.3167701863352305E-3</v>
      </c>
      <c r="O74" s="201">
        <f>_xll.xlqPrice(A74,tda)*$O$1*_xll.xlqDelta(F74,tda)*I74</f>
        <v>-189.00152000000003</v>
      </c>
    </row>
    <row r="75" spans="1:31" x14ac:dyDescent="0.25">
      <c r="A75" s="183" t="s">
        <v>156</v>
      </c>
      <c r="B75" s="137" t="str">
        <f>_xll.xlqName(A75, tda)</f>
        <v>Stitch Fix, Inc. - Class A Common Stock</v>
      </c>
      <c r="C75" s="182">
        <v>44211</v>
      </c>
      <c r="D75" s="204">
        <v>22</v>
      </c>
      <c r="E75" s="137" t="s">
        <v>29</v>
      </c>
      <c r="F75" s="137" t="str">
        <f>CONCATENATE(A75,"_",TEXT(MONTH(C75),"00"),TEXT(DAY(C75),"00"),TEXT(MOD(YEAR(C75),100),"00"),E75,D75&amp;"")</f>
        <v>SFIX_011521C22</v>
      </c>
      <c r="G75" s="184">
        <f>(_xll.xlqBid(F75,tda)+_xll.xlqAsk(F75,tda))*0.5</f>
        <v>7.05</v>
      </c>
      <c r="H75" s="191" t="s">
        <v>177</v>
      </c>
      <c r="I75" s="187">
        <v>100</v>
      </c>
      <c r="J75" s="179">
        <v>7.15</v>
      </c>
      <c r="K75" s="181">
        <f t="shared" si="9"/>
        <v>715</v>
      </c>
      <c r="L75" s="214">
        <f t="shared" si="10"/>
        <v>705</v>
      </c>
      <c r="M75" s="188">
        <f t="shared" si="11"/>
        <v>-10</v>
      </c>
      <c r="N75" s="180">
        <f t="shared" si="12"/>
        <v>-1.3986013986013986E-2</v>
      </c>
      <c r="O75" s="201">
        <f>_xll.xlqPrice(A75,tda)*$O$1*_xll.xlqDelta(F75,tda)*I75</f>
        <v>-16.059681000000005</v>
      </c>
    </row>
    <row r="76" spans="1:31" x14ac:dyDescent="0.25">
      <c r="A76" s="183" t="s">
        <v>83</v>
      </c>
      <c r="B76" s="137" t="str">
        <f>_xll.xlqName(A76, tda)</f>
        <v>Broadridge Financial Solutions, Inc.Common Stock</v>
      </c>
      <c r="D76" s="204"/>
      <c r="E76" s="137" t="s">
        <v>155</v>
      </c>
      <c r="G76" s="184">
        <f>_xll.xlqPrice(A76,tda)</f>
        <v>121.465</v>
      </c>
      <c r="H76" s="191" t="s">
        <v>177</v>
      </c>
      <c r="I76" s="187">
        <v>100</v>
      </c>
      <c r="J76" s="179">
        <v>122.03</v>
      </c>
      <c r="K76" s="181">
        <f t="shared" si="9"/>
        <v>12203</v>
      </c>
      <c r="L76" s="214">
        <f t="shared" si="10"/>
        <v>12146.5</v>
      </c>
      <c r="M76" s="188">
        <f t="shared" si="11"/>
        <v>-56.5</v>
      </c>
      <c r="N76" s="180">
        <f t="shared" si="12"/>
        <v>-4.630009014176842E-3</v>
      </c>
      <c r="O76" s="201">
        <f>_xll.xlqPrice(A76,tda)*$O$1*I76</f>
        <v>-121.465</v>
      </c>
    </row>
    <row r="77" spans="1:31" x14ac:dyDescent="0.25">
      <c r="A77" s="185" t="s">
        <v>77</v>
      </c>
      <c r="B77" s="185" t="str">
        <f>_xll.xlqName(A77, tda)</f>
        <v>Adobe Inc. - Common Stock</v>
      </c>
      <c r="C77" s="185"/>
      <c r="D77" s="205"/>
      <c r="E77" s="185" t="s">
        <v>155</v>
      </c>
      <c r="F77" s="185"/>
      <c r="G77" s="203">
        <f>_xll.xlqPrice(A77,tda)</f>
        <v>301.815</v>
      </c>
      <c r="H77" s="191" t="s">
        <v>177</v>
      </c>
      <c r="I77" s="187">
        <v>100</v>
      </c>
      <c r="J77" s="194">
        <v>303.04000000000002</v>
      </c>
      <c r="K77" s="181">
        <f t="shared" si="9"/>
        <v>30304.000000000004</v>
      </c>
      <c r="L77" s="214">
        <f t="shared" si="10"/>
        <v>30181.5</v>
      </c>
      <c r="M77" s="188">
        <f t="shared" si="11"/>
        <v>-122.50000000000364</v>
      </c>
      <c r="N77" s="180">
        <f t="shared" si="12"/>
        <v>-4.0423706441395073E-3</v>
      </c>
      <c r="O77" s="206">
        <f>_xll.xlqPrice(A77,tda)*$O$1*I77</f>
        <v>-301.815</v>
      </c>
    </row>
    <row r="78" spans="1:31" x14ac:dyDescent="0.25">
      <c r="A78" s="185" t="s">
        <v>72</v>
      </c>
      <c r="B78" s="185" t="str">
        <f>_xll.xlqName(A78, tda)</f>
        <v>Amazon.com, Inc. - Common Stock</v>
      </c>
      <c r="C78" s="185"/>
      <c r="D78" s="205"/>
      <c r="E78" s="185" t="s">
        <v>155</v>
      </c>
      <c r="F78" s="185"/>
      <c r="G78" s="203">
        <f>_xll.xlqPrice(A78,tda)</f>
        <v>1762.98</v>
      </c>
      <c r="H78" s="191" t="s">
        <v>177</v>
      </c>
      <c r="I78" s="187">
        <v>100</v>
      </c>
      <c r="J78" s="194">
        <v>1772.51</v>
      </c>
      <c r="K78" s="181">
        <f t="shared" si="9"/>
        <v>177251</v>
      </c>
      <c r="L78" s="214">
        <f t="shared" si="10"/>
        <v>176298</v>
      </c>
      <c r="M78" s="188">
        <f t="shared" si="11"/>
        <v>-953</v>
      </c>
      <c r="N78" s="180">
        <f t="shared" si="12"/>
        <v>-5.3765564087085542E-3</v>
      </c>
      <c r="O78" s="206">
        <f>_xll.xlqPrice(A78,tda)*$O$1*I78</f>
        <v>-1762.98</v>
      </c>
    </row>
    <row r="79" spans="1:31" x14ac:dyDescent="0.25">
      <c r="A79" s="185" t="s">
        <v>135</v>
      </c>
      <c r="B79" s="185" t="str">
        <f>_xll.xlqName(A79, tda)</f>
        <v>Brookfield Asset Management Inc. Common Stock</v>
      </c>
      <c r="C79" s="185"/>
      <c r="D79" s="205"/>
      <c r="E79" s="185" t="s">
        <v>155</v>
      </c>
      <c r="F79" s="185"/>
      <c r="G79" s="203">
        <f>_xll.xlqPrice(A79,tda)</f>
        <v>57.89</v>
      </c>
      <c r="H79" s="191" t="s">
        <v>177</v>
      </c>
      <c r="I79" s="187">
        <v>100</v>
      </c>
      <c r="J79" s="194">
        <v>57.805</v>
      </c>
      <c r="K79" s="181">
        <f t="shared" si="9"/>
        <v>5780.5</v>
      </c>
      <c r="L79" s="214">
        <f t="shared" si="10"/>
        <v>5789</v>
      </c>
      <c r="M79" s="188">
        <f t="shared" si="11"/>
        <v>8.5</v>
      </c>
      <c r="N79" s="180">
        <f t="shared" si="12"/>
        <v>1.4704610327826312E-3</v>
      </c>
      <c r="O79" s="206">
        <f>_xll.xlqPrice(A79,tda)*$O$1*I79</f>
        <v>-57.89</v>
      </c>
    </row>
    <row r="80" spans="1:31" x14ac:dyDescent="0.25">
      <c r="A80" s="185" t="s">
        <v>110</v>
      </c>
      <c r="B80" s="185" t="str">
        <f>_xll.xlqName(A80, tda)</f>
        <v>Salesforce.com Inc Common Stock</v>
      </c>
      <c r="C80" s="185"/>
      <c r="D80" s="205"/>
      <c r="E80" s="185" t="s">
        <v>155</v>
      </c>
      <c r="F80" s="185"/>
      <c r="G80" s="203">
        <f>_xll.xlqPrice(A80,tda)</f>
        <v>155.54000000000002</v>
      </c>
      <c r="H80" s="191" t="s">
        <v>177</v>
      </c>
      <c r="I80" s="187">
        <v>100</v>
      </c>
      <c r="J80" s="194">
        <v>155.35</v>
      </c>
      <c r="K80" s="181">
        <f t="shared" si="9"/>
        <v>15535</v>
      </c>
      <c r="L80" s="214">
        <f t="shared" si="10"/>
        <v>15554.000000000002</v>
      </c>
      <c r="M80" s="188">
        <f t="shared" si="11"/>
        <v>19.000000000001819</v>
      </c>
      <c r="N80" s="180">
        <f t="shared" si="12"/>
        <v>1.2230447376892063E-3</v>
      </c>
      <c r="O80" s="206">
        <f>_xll.xlqPrice(A80,tda)*$O$1*I80</f>
        <v>-155.54000000000002</v>
      </c>
    </row>
    <row r="81" spans="1:15" x14ac:dyDescent="0.25">
      <c r="A81" s="183" t="s">
        <v>167</v>
      </c>
      <c r="B81" s="137" t="str">
        <f>_xll.xlqName(A81, tda)</f>
        <v>Charlottes Web Hldgs Inc  (Canada) Common Shares (QX)</v>
      </c>
      <c r="D81" s="204"/>
      <c r="E81" s="137" t="s">
        <v>155</v>
      </c>
      <c r="G81" s="184">
        <f>_xll.xlqPrice(A81,tda)</f>
        <v>8.9213000000000005</v>
      </c>
      <c r="H81" s="191" t="s">
        <v>177</v>
      </c>
      <c r="I81" s="187">
        <v>100</v>
      </c>
      <c r="J81" s="179">
        <v>8.9450000000000003</v>
      </c>
      <c r="K81" s="181">
        <f t="shared" si="9"/>
        <v>894.5</v>
      </c>
      <c r="L81" s="214">
        <f t="shared" si="10"/>
        <v>892.13</v>
      </c>
      <c r="M81" s="188">
        <f t="shared" si="11"/>
        <v>-2.3700000000000045</v>
      </c>
      <c r="N81" s="180">
        <f t="shared" si="12"/>
        <v>-2.6495248742314194E-3</v>
      </c>
      <c r="O81" s="201">
        <f>_xll.xlqPrice(A81,tda)*$O$1*I81</f>
        <v>-8.9213000000000005</v>
      </c>
    </row>
    <row r="82" spans="1:15" x14ac:dyDescent="0.25">
      <c r="A82" s="185" t="s">
        <v>164</v>
      </c>
      <c r="B82" s="185" t="str">
        <f>_xll.xlqName(A82, tda)</f>
        <v>Etsy, Inc. - Common Stock</v>
      </c>
      <c r="C82" s="185"/>
      <c r="D82" s="205"/>
      <c r="E82" s="185" t="s">
        <v>155</v>
      </c>
      <c r="F82" s="185"/>
      <c r="G82" s="203">
        <f>_xll.xlqPrice(A82,tda)</f>
        <v>42.57</v>
      </c>
      <c r="H82" s="191" t="s">
        <v>177</v>
      </c>
      <c r="I82" s="187">
        <v>100</v>
      </c>
      <c r="J82" s="194">
        <v>42.68</v>
      </c>
      <c r="K82" s="181">
        <f t="shared" si="9"/>
        <v>4268</v>
      </c>
      <c r="L82" s="214">
        <f t="shared" si="10"/>
        <v>4257</v>
      </c>
      <c r="M82" s="188">
        <f t="shared" si="11"/>
        <v>-11</v>
      </c>
      <c r="N82" s="180">
        <f t="shared" si="12"/>
        <v>-2.5773195876288659E-3</v>
      </c>
      <c r="O82" s="206">
        <f>_xll.xlqPrice(A82,tda)*$O$1*I82</f>
        <v>-42.57</v>
      </c>
    </row>
    <row r="83" spans="1:15" x14ac:dyDescent="0.25">
      <c r="A83" s="185" t="s">
        <v>75</v>
      </c>
      <c r="B83" s="185" t="str">
        <f>_xll.xlqName(A83, tda)</f>
        <v>FactSet Research Systems Inc. Common Stock</v>
      </c>
      <c r="C83" s="185"/>
      <c r="D83" s="205"/>
      <c r="E83" s="185" t="s">
        <v>155</v>
      </c>
      <c r="F83" s="185"/>
      <c r="G83" s="203">
        <f>_xll.xlqPrice(A83,tda)</f>
        <v>263.3</v>
      </c>
      <c r="H83" s="191" t="s">
        <v>177</v>
      </c>
      <c r="I83" s="187">
        <v>100</v>
      </c>
      <c r="J83" s="194">
        <v>262.60000000000002</v>
      </c>
      <c r="K83" s="181">
        <f t="shared" si="9"/>
        <v>26260.000000000004</v>
      </c>
      <c r="L83" s="214">
        <f t="shared" si="10"/>
        <v>26330</v>
      </c>
      <c r="M83" s="188">
        <f t="shared" si="11"/>
        <v>69.999999999996362</v>
      </c>
      <c r="N83" s="180">
        <f t="shared" si="12"/>
        <v>2.6656511805025268E-3</v>
      </c>
      <c r="O83" s="206">
        <f>_xll.xlqPrice(A83,tda)*$O$1*I83</f>
        <v>-263.3</v>
      </c>
    </row>
    <row r="84" spans="1:15" x14ac:dyDescent="0.25">
      <c r="A84" s="185" t="s">
        <v>87</v>
      </c>
      <c r="B84" s="185" t="str">
        <f>_xll.xlqName(A84, tda)</f>
        <v>Marriott International - Class A Common Stock</v>
      </c>
      <c r="C84" s="185"/>
      <c r="D84" s="205"/>
      <c r="E84" s="185" t="s">
        <v>155</v>
      </c>
      <c r="F84" s="185"/>
      <c r="G84" s="203">
        <f>_xll.xlqPrice(A84,tda)</f>
        <v>138.99</v>
      </c>
      <c r="H84" s="191" t="s">
        <v>177</v>
      </c>
      <c r="I84" s="187">
        <v>100</v>
      </c>
      <c r="J84" s="194">
        <v>139.24</v>
      </c>
      <c r="K84" s="181">
        <f t="shared" si="9"/>
        <v>13924</v>
      </c>
      <c r="L84" s="214">
        <f t="shared" si="10"/>
        <v>13899</v>
      </c>
      <c r="M84" s="188">
        <f t="shared" si="11"/>
        <v>-25</v>
      </c>
      <c r="N84" s="180">
        <f t="shared" si="12"/>
        <v>-1.795461074403907E-3</v>
      </c>
      <c r="O84" s="206">
        <f>_xll.xlqPrice(A84,tda)*$O$1*I84</f>
        <v>-138.99</v>
      </c>
    </row>
    <row r="85" spans="1:15" x14ac:dyDescent="0.25">
      <c r="A85" s="185" t="s">
        <v>88</v>
      </c>
      <c r="B85" s="185" t="str">
        <f>_xll.xlqName(A85, tda)</f>
        <v>Netflix, Inc. - Common Stock</v>
      </c>
      <c r="C85" s="185"/>
      <c r="D85" s="205"/>
      <c r="E85" s="185" t="s">
        <v>155</v>
      </c>
      <c r="F85" s="185"/>
      <c r="G85" s="203">
        <f>_xll.xlqPrice(A85,tda)</f>
        <v>304.88</v>
      </c>
      <c r="H85" s="191" t="s">
        <v>177</v>
      </c>
      <c r="I85" s="187">
        <v>100</v>
      </c>
      <c r="J85" s="194">
        <v>305.48599999999999</v>
      </c>
      <c r="K85" s="181">
        <f t="shared" si="9"/>
        <v>30548.6</v>
      </c>
      <c r="L85" s="214">
        <f t="shared" si="10"/>
        <v>30488</v>
      </c>
      <c r="M85" s="188">
        <f t="shared" si="11"/>
        <v>-60.599999999998545</v>
      </c>
      <c r="N85" s="180">
        <f t="shared" si="12"/>
        <v>-1.9837242950576637E-3</v>
      </c>
      <c r="O85" s="206">
        <f>_xll.xlqPrice(A85,tda)*$O$1*I85</f>
        <v>-304.88</v>
      </c>
    </row>
    <row r="86" spans="1:15" x14ac:dyDescent="0.25">
      <c r="A86" s="185" t="s">
        <v>78</v>
      </c>
      <c r="B86" s="185" t="str">
        <f>_xll.xlqName(A86, tda)</f>
        <v>NVR, Inc. Common Stock</v>
      </c>
      <c r="C86" s="185"/>
      <c r="D86" s="205"/>
      <c r="E86" s="185" t="s">
        <v>155</v>
      </c>
      <c r="F86" s="185"/>
      <c r="G86" s="203">
        <f>_xll.xlqPrice(A86,tda)</f>
        <v>3747.3601000000003</v>
      </c>
      <c r="H86" s="191" t="s">
        <v>177</v>
      </c>
      <c r="I86" s="187">
        <v>100</v>
      </c>
      <c r="J86" s="194">
        <v>3714.1299000000004</v>
      </c>
      <c r="K86" s="181">
        <f t="shared" si="9"/>
        <v>371412.99000000005</v>
      </c>
      <c r="L86" s="214">
        <f t="shared" si="10"/>
        <v>374736.01</v>
      </c>
      <c r="M86" s="188">
        <f t="shared" si="11"/>
        <v>3323.0199999999604</v>
      </c>
      <c r="N86" s="180">
        <f t="shared" si="12"/>
        <v>8.9469676329844029E-3</v>
      </c>
      <c r="O86" s="206">
        <f>_xll.xlqPrice(A86,tda)*$O$1*I86</f>
        <v>-3747.3601000000003</v>
      </c>
    </row>
    <row r="87" spans="1:15" x14ac:dyDescent="0.25">
      <c r="A87" s="183" t="s">
        <v>89</v>
      </c>
      <c r="B87" s="137" t="str">
        <f>_xll.xlqName(A87, tda)</f>
        <v>PayPal Holdings, Inc. - Common Stock</v>
      </c>
      <c r="D87" s="204"/>
      <c r="E87" s="137" t="s">
        <v>155</v>
      </c>
      <c r="G87" s="184">
        <f>_xll.xlqPrice(A87,tda)</f>
        <v>104.98</v>
      </c>
      <c r="H87" s="191" t="s">
        <v>177</v>
      </c>
      <c r="I87" s="187">
        <v>100</v>
      </c>
      <c r="J87" s="179">
        <v>105.01</v>
      </c>
      <c r="K87" s="181">
        <f t="shared" si="9"/>
        <v>10501</v>
      </c>
      <c r="L87" s="214">
        <f t="shared" si="10"/>
        <v>10498</v>
      </c>
      <c r="M87" s="188">
        <f t="shared" si="11"/>
        <v>-3</v>
      </c>
      <c r="N87" s="180">
        <f t="shared" si="12"/>
        <v>-2.85687077421198E-4</v>
      </c>
      <c r="O87" s="201">
        <f>_xll.xlqPrice(A87,tda)*$O$1*I87</f>
        <v>-104.98</v>
      </c>
    </row>
    <row r="88" spans="1:15" x14ac:dyDescent="0.25">
      <c r="A88" s="183" t="s">
        <v>25</v>
      </c>
      <c r="B88" s="137" t="str">
        <f>_xll.xlqName(A88, tda)</f>
        <v>Shopify Inc. Class A Subordinate Voting Shares</v>
      </c>
      <c r="D88" s="204"/>
      <c r="E88" s="137" t="s">
        <v>155</v>
      </c>
      <c r="G88" s="184">
        <f>_xll.xlqPrice(A88,tda)</f>
        <v>371.30500000000001</v>
      </c>
      <c r="H88" s="191" t="s">
        <v>177</v>
      </c>
      <c r="I88" s="187">
        <v>100</v>
      </c>
      <c r="J88" s="179">
        <v>368.71000000000004</v>
      </c>
      <c r="K88" s="181">
        <f t="shared" si="9"/>
        <v>36871</v>
      </c>
      <c r="L88" s="214">
        <f t="shared" si="10"/>
        <v>37130.5</v>
      </c>
      <c r="M88" s="188">
        <f t="shared" si="11"/>
        <v>259.5</v>
      </c>
      <c r="N88" s="180">
        <f t="shared" si="12"/>
        <v>7.038051585256706E-3</v>
      </c>
      <c r="O88" s="201">
        <f>_xll.xlqPrice(A88,tda)*$O$1*I88</f>
        <v>-371.30500000000001</v>
      </c>
    </row>
    <row r="89" spans="1:15" x14ac:dyDescent="0.25">
      <c r="A89" s="185" t="s">
        <v>165</v>
      </c>
      <c r="B89" s="185" t="str">
        <f>_xll.xlqName(A89, tda)</f>
        <v>Teladoc Health, Inc. Common Stock</v>
      </c>
      <c r="C89" s="185"/>
      <c r="D89" s="205"/>
      <c r="E89" s="185" t="s">
        <v>155</v>
      </c>
      <c r="F89" s="185"/>
      <c r="G89" s="203">
        <f>_xll.xlqPrice(A89,tda)</f>
        <v>79.855000000000004</v>
      </c>
      <c r="H89" s="191" t="s">
        <v>177</v>
      </c>
      <c r="I89" s="187">
        <v>100</v>
      </c>
      <c r="J89" s="194">
        <v>79.954300000000003</v>
      </c>
      <c r="K89" s="181">
        <f t="shared" si="9"/>
        <v>7995.43</v>
      </c>
      <c r="L89" s="214">
        <f t="shared" si="10"/>
        <v>7985.5</v>
      </c>
      <c r="M89" s="188">
        <f t="shared" si="11"/>
        <v>-9.930000000000291</v>
      </c>
      <c r="N89" s="180">
        <f t="shared" si="12"/>
        <v>-1.2419594693469007E-3</v>
      </c>
      <c r="O89" s="206">
        <f>_xll.xlqPrice(A89,tda)*$O$1*I89</f>
        <v>-79.855000000000004</v>
      </c>
    </row>
    <row r="90" spans="1:15" x14ac:dyDescent="0.25">
      <c r="A90" s="185" t="s">
        <v>137</v>
      </c>
      <c r="B90" s="185" t="str">
        <f>_xll.xlqName(A90, tda)</f>
        <v>Twilio Inc. Class A Common Stock (CV EM)</v>
      </c>
      <c r="C90" s="185"/>
      <c r="D90" s="205"/>
      <c r="E90" s="185" t="s">
        <v>155</v>
      </c>
      <c r="F90" s="185"/>
      <c r="G90" s="203">
        <f>_xll.xlqPrice(A90,tda)</f>
        <v>98.240000000000009</v>
      </c>
      <c r="H90" s="191" t="s">
        <v>177</v>
      </c>
      <c r="I90" s="187">
        <v>100</v>
      </c>
      <c r="J90" s="194">
        <v>99.06</v>
      </c>
      <c r="K90" s="181">
        <f t="shared" si="9"/>
        <v>9906</v>
      </c>
      <c r="L90" s="214">
        <f t="shared" si="10"/>
        <v>9824</v>
      </c>
      <c r="M90" s="188">
        <f t="shared" si="11"/>
        <v>-82</v>
      </c>
      <c r="N90" s="180">
        <f t="shared" si="12"/>
        <v>-8.2778114274177274E-3</v>
      </c>
      <c r="O90" s="206">
        <f>_xll.xlqPrice(A90,tda)*$O$1*I90</f>
        <v>-98.240000000000009</v>
      </c>
    </row>
    <row r="91" spans="1:15" x14ac:dyDescent="0.25">
      <c r="A91" s="185" t="s">
        <v>80</v>
      </c>
      <c r="B91" s="185" t="str">
        <f>_xll.xlqName(A91, tda)</f>
        <v>Visa Inc.</v>
      </c>
      <c r="C91" s="185"/>
      <c r="D91" s="205"/>
      <c r="E91" s="185" t="s">
        <v>155</v>
      </c>
      <c r="F91" s="185"/>
      <c r="G91" s="203">
        <f>_xll.xlqPrice(A91,tda)</f>
        <v>180.77</v>
      </c>
      <c r="H91" s="191" t="s">
        <v>177</v>
      </c>
      <c r="I91" s="187">
        <v>100</v>
      </c>
      <c r="J91" s="194">
        <v>181.4933</v>
      </c>
      <c r="K91" s="181">
        <f t="shared" si="9"/>
        <v>18149.330000000002</v>
      </c>
      <c r="L91" s="214">
        <f t="shared" si="10"/>
        <v>18077</v>
      </c>
      <c r="M91" s="188">
        <f t="shared" si="11"/>
        <v>-72.330000000001746</v>
      </c>
      <c r="N91" s="180">
        <f t="shared" si="12"/>
        <v>-3.9852710816323106E-3</v>
      </c>
      <c r="O91" s="206">
        <f>_xll.xlqPrice(A91,tda)*$O$1*I91</f>
        <v>-180.77</v>
      </c>
    </row>
    <row r="92" spans="1:15" x14ac:dyDescent="0.25">
      <c r="A92" s="185" t="s">
        <v>166</v>
      </c>
      <c r="B92" s="185" t="str">
        <f>_xll.xlqName(A92, tda)</f>
        <v>Zendesk, Inc. Common Stock</v>
      </c>
      <c r="C92" s="185"/>
      <c r="D92" s="205"/>
      <c r="E92" s="185" t="s">
        <v>155</v>
      </c>
      <c r="F92" s="185"/>
      <c r="G92" s="203">
        <f>_xll.xlqPrice(A92,tda)</f>
        <v>75.400000000000006</v>
      </c>
      <c r="H92" s="191" t="s">
        <v>177</v>
      </c>
      <c r="I92" s="187">
        <v>100</v>
      </c>
      <c r="J92" s="194">
        <v>75.37</v>
      </c>
      <c r="K92" s="181">
        <f t="shared" si="9"/>
        <v>7537</v>
      </c>
      <c r="L92" s="214">
        <f t="shared" si="10"/>
        <v>7540.0000000000009</v>
      </c>
      <c r="M92" s="188">
        <f t="shared" si="11"/>
        <v>3.0000000000009095</v>
      </c>
      <c r="N92" s="180">
        <f t="shared" si="12"/>
        <v>3.9803635398711815E-4</v>
      </c>
      <c r="O92" s="206">
        <f>_xll.xlqPrice(A92,tda)*$O$1*I92</f>
        <v>-75.400000000000006</v>
      </c>
    </row>
    <row r="93" spans="1:15" x14ac:dyDescent="0.25">
      <c r="A93" s="183"/>
      <c r="C93" s="182"/>
      <c r="G93" s="184"/>
      <c r="H93" s="191"/>
      <c r="I93" s="187"/>
      <c r="L93" s="214"/>
      <c r="M93" s="188"/>
      <c r="N93" s="180"/>
    </row>
    <row r="94" spans="1:15" x14ac:dyDescent="0.25">
      <c r="A94" s="183"/>
      <c r="C94" s="182"/>
      <c r="G94" s="184"/>
      <c r="I94" s="187"/>
      <c r="L94" s="214"/>
      <c r="M94" s="188"/>
      <c r="N94" s="180"/>
    </row>
    <row r="95" spans="1:15" x14ac:dyDescent="0.25">
      <c r="A95" s="183"/>
      <c r="C95" s="182"/>
      <c r="G95" s="136"/>
      <c r="H95" s="191"/>
      <c r="I95" s="187"/>
      <c r="N95" s="180"/>
    </row>
    <row r="96" spans="1:15" x14ac:dyDescent="0.25">
      <c r="A96" s="183"/>
      <c r="C96" s="182"/>
      <c r="G96" s="184"/>
      <c r="H96" s="191"/>
      <c r="I96" s="187"/>
      <c r="L96" s="214"/>
      <c r="M96" s="188"/>
      <c r="N96" s="180"/>
    </row>
  </sheetData>
  <sortState xmlns:xlrd2="http://schemas.microsoft.com/office/spreadsheetml/2017/richdata2" ref="A2:O92">
    <sortCondition ref="H8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48B24-FB2E-4801-94F7-5CA298941351}">
  <dimension ref="A1:Q57"/>
  <sheetViews>
    <sheetView workbookViewId="0">
      <selection activeCell="D9" sqref="D9"/>
    </sheetView>
  </sheetViews>
  <sheetFormatPr defaultRowHeight="15" x14ac:dyDescent="0.25"/>
  <cols>
    <col min="1" max="1" width="7.42578125" style="137" bestFit="1" customWidth="1"/>
    <col min="2" max="2" width="10.5703125" style="137" bestFit="1" customWidth="1"/>
    <col min="3" max="3" width="10.140625" style="75" customWidth="1"/>
    <col min="4" max="4" width="14.28515625" bestFit="1" customWidth="1"/>
    <col min="5" max="5" width="9.85546875" style="36" bestFit="1" customWidth="1"/>
    <col min="6" max="7" width="9.140625" style="36"/>
    <col min="8" max="8" width="33.42578125" style="137" customWidth="1"/>
    <col min="9" max="9" width="9.140625" style="137" bestFit="1" customWidth="1"/>
    <col min="10" max="10" width="13.42578125" style="137" bestFit="1" customWidth="1"/>
    <col min="11" max="11" width="13.85546875" style="137" bestFit="1" customWidth="1"/>
    <col min="12" max="12" width="11.5703125" style="137" bestFit="1" customWidth="1"/>
    <col min="13" max="13" width="7" style="137" bestFit="1" customWidth="1"/>
    <col min="14" max="14" width="10.5703125" style="137" bestFit="1" customWidth="1"/>
    <col min="15" max="15" width="10.42578125" style="137" bestFit="1" customWidth="1"/>
    <col min="16" max="16" width="15.28515625" style="137" bestFit="1" customWidth="1"/>
    <col min="17" max="17" width="11" style="137" bestFit="1" customWidth="1"/>
  </cols>
  <sheetData>
    <row r="1" spans="1:17" x14ac:dyDescent="0.25">
      <c r="A1" s="210" t="s">
        <v>0</v>
      </c>
      <c r="B1" s="210" t="s">
        <v>11</v>
      </c>
      <c r="C1" s="211" t="str">
        <f>CONCATENATE(Portfolio!O1*100,"% Move")</f>
        <v>-1% Move</v>
      </c>
      <c r="D1" s="207" t="s">
        <v>163</v>
      </c>
      <c r="E1" s="212" t="s">
        <v>126</v>
      </c>
      <c r="F1" s="213" t="s">
        <v>138</v>
      </c>
      <c r="G1" s="213" t="s">
        <v>1269</v>
      </c>
      <c r="H1" s="210" t="s">
        <v>37</v>
      </c>
      <c r="I1" s="236" t="s">
        <v>1252</v>
      </c>
      <c r="J1" s="156" t="s">
        <v>121</v>
      </c>
      <c r="K1" s="156" t="s">
        <v>122</v>
      </c>
      <c r="L1" s="156" t="s">
        <v>1253</v>
      </c>
      <c r="M1" s="156" t="s">
        <v>123</v>
      </c>
      <c r="N1" s="156" t="s">
        <v>119</v>
      </c>
      <c r="O1" s="156" t="s">
        <v>1254</v>
      </c>
      <c r="P1" s="237" t="s">
        <v>124</v>
      </c>
      <c r="Q1" s="135" t="s">
        <v>125</v>
      </c>
    </row>
    <row r="2" spans="1:17" x14ac:dyDescent="0.25">
      <c r="A2" s="137" t="s">
        <v>78</v>
      </c>
      <c r="B2" s="193">
        <f>_xll.xlqPrice(A2,tda)</f>
        <v>3747.3601000000003</v>
      </c>
      <c r="C2" s="260">
        <f>SUMIF(Portfolio!$A$2:$A$109,A2,Portfolio!$O$2:$O$109)</f>
        <v>-3747.3601000000003</v>
      </c>
      <c r="D2" s="200">
        <f>C2/Portfolio!$O$1</f>
        <v>374736.01</v>
      </c>
      <c r="E2" s="209" t="s">
        <v>145</v>
      </c>
      <c r="F2" s="196">
        <v>4</v>
      </c>
      <c r="G2" s="197">
        <v>0.71710526315789469</v>
      </c>
      <c r="H2" s="137" t="str">
        <f>_xll.xlqName(A2)</f>
        <v>NVR, Inc.</v>
      </c>
      <c r="I2" s="238">
        <f>_xll.xlqChangePercent(A2,tda)/100</f>
        <v>7.2790488887933512E-3</v>
      </c>
      <c r="J2" s="136">
        <f>_xll.xlq52WeekLow(A2,tda)</f>
        <v>2285</v>
      </c>
      <c r="K2" s="136">
        <f>_xll.xlq52WeekHigh(A2,tda)</f>
        <v>3946.5</v>
      </c>
      <c r="L2" s="239">
        <f>_xll.xlqPricePerEarnings(A2,tda)</f>
        <v>15.940000000000001</v>
      </c>
      <c r="M2" s="136">
        <f>_xll.xlqYield(A2,tda)</f>
        <v>0</v>
      </c>
      <c r="N2" s="136">
        <f>_xll.xlqVolatility(A2,tda)</f>
        <v>7.1400000000000005E-2</v>
      </c>
      <c r="O2" s="136">
        <f>_xll.xlqDividendAmount(A2,tda)</f>
        <v>0</v>
      </c>
      <c r="P2" s="182">
        <f>_xll.xlqExDividendDate(A2,tda)</f>
        <v>0</v>
      </c>
      <c r="Q2" s="137">
        <f>_xll.xlqIsShortable(A2,tda)</f>
        <v>1</v>
      </c>
    </row>
    <row r="3" spans="1:17" x14ac:dyDescent="0.25">
      <c r="A3" s="137" t="s">
        <v>72</v>
      </c>
      <c r="B3" s="193">
        <f>_xll.xlqPrice(A3,tda)</f>
        <v>1762.98</v>
      </c>
      <c r="C3" s="260">
        <f>SUMIF(Portfolio!$A$2:$A$109,A3,Portfolio!$O$2:$O$109)</f>
        <v>-1762.98</v>
      </c>
      <c r="D3" s="200">
        <f>C3/Portfolio!$O$1</f>
        <v>176298</v>
      </c>
      <c r="E3" s="195" t="s">
        <v>145</v>
      </c>
      <c r="F3" s="196">
        <v>4</v>
      </c>
      <c r="G3" s="197">
        <v>0.95</v>
      </c>
      <c r="H3" s="137" t="str">
        <f>_xll.xlqName(A3)</f>
        <v>Amazon.com, Inc.</v>
      </c>
      <c r="I3" s="238">
        <f>_xll.xlqChangePercent(A3,tda)/100</f>
        <v>-3.9435919455807012E-3</v>
      </c>
      <c r="J3" s="136">
        <f>_xll.xlq52WeekLow(A3,tda)</f>
        <v>1307</v>
      </c>
      <c r="K3" s="136">
        <f>_xll.xlq52WeekHigh(A3,tda)</f>
        <v>2035.8000000000002</v>
      </c>
      <c r="L3" s="239">
        <f>_xll.xlqPricePerEarnings(A3,tda)</f>
        <v>77.260000000000005</v>
      </c>
      <c r="M3" s="136">
        <f>_xll.xlqYield(A3,tda)</f>
        <v>0</v>
      </c>
      <c r="N3" s="136">
        <f>_xll.xlqVolatility(A3,tda)</f>
        <v>1.5900000000000001E-2</v>
      </c>
      <c r="O3" s="136">
        <f>_xll.xlqDividendAmount(A3,tda)</f>
        <v>0</v>
      </c>
      <c r="P3" s="182">
        <f>_xll.xlqExDividendDate(A3,tda)</f>
        <v>0</v>
      </c>
      <c r="Q3" s="137">
        <f>_xll.xlqIsShortable(A3,tda)</f>
        <v>1</v>
      </c>
    </row>
    <row r="4" spans="1:17" x14ac:dyDescent="0.25">
      <c r="A4" s="137" t="s">
        <v>25</v>
      </c>
      <c r="B4" s="193">
        <f>_xll.xlqPrice(A4,tda)</f>
        <v>371.30500000000001</v>
      </c>
      <c r="C4" s="260">
        <f>SUMIF(Portfolio!$A$2:$A$109,A4,Portfolio!$O$2:$O$109)</f>
        <v>-371.30500000000001</v>
      </c>
      <c r="D4" s="200">
        <f>C4/Portfolio!$O$1</f>
        <v>37130.5</v>
      </c>
      <c r="E4" s="209" t="s">
        <v>140</v>
      </c>
      <c r="F4" s="196">
        <v>4</v>
      </c>
      <c r="G4" s="197">
        <v>0.97</v>
      </c>
      <c r="H4" s="137" t="str">
        <f>_xll.xlqName(A4)</f>
        <v>Shopify Inc.</v>
      </c>
      <c r="I4" s="238">
        <f>_xll.xlqChangePercent(A4,tda)/100</f>
        <v>5.8874693435236353E-2</v>
      </c>
      <c r="J4" s="136">
        <f>_xll.xlq52WeekLow(A4,tda)</f>
        <v>117.64</v>
      </c>
      <c r="K4" s="136">
        <f>_xll.xlq52WeekHigh(A4,tda)</f>
        <v>409.60990000000004</v>
      </c>
      <c r="L4" s="239">
        <f>_xll.xlqPricePerEarnings(A4,tda)</f>
        <v>0</v>
      </c>
      <c r="M4" s="136">
        <f>_xll.xlqYield(A4,tda)</f>
        <v>0</v>
      </c>
      <c r="N4" s="136">
        <f>_xll.xlqVolatility(A4,tda)</f>
        <v>4.5900000000000003E-2</v>
      </c>
      <c r="O4" s="136">
        <f>_xll.xlqDividendAmount(A4,tda)</f>
        <v>0</v>
      </c>
      <c r="P4" s="182">
        <f>_xll.xlqExDividendDate(A4,tda)</f>
        <v>0</v>
      </c>
      <c r="Q4" s="137">
        <f>_xll.xlqIsShortable(A4,tda)</f>
        <v>1</v>
      </c>
    </row>
    <row r="5" spans="1:17" x14ac:dyDescent="0.25">
      <c r="A5" s="183" t="s">
        <v>81</v>
      </c>
      <c r="B5" s="193">
        <f>_xll.xlqPrice(A5,tda)</f>
        <v>270.35000000000002</v>
      </c>
      <c r="C5" s="260">
        <f>SUMIF(Portfolio!$A$2:$A$109,A5,Portfolio!$O$2:$O$109)</f>
        <v>-351.56314000000009</v>
      </c>
      <c r="D5" s="200">
        <f>C5/Portfolio!$O$1</f>
        <v>35156.314000000006</v>
      </c>
      <c r="E5" s="195" t="s">
        <v>144</v>
      </c>
      <c r="F5" s="196">
        <v>4</v>
      </c>
      <c r="G5" s="197">
        <v>0.99</v>
      </c>
      <c r="H5" s="137" t="str">
        <f>_xll.xlqName(A5)</f>
        <v>Paycom Software, Inc.</v>
      </c>
      <c r="I5" s="238">
        <f>_xll.xlqChangePercent(A5,tda)/100</f>
        <v>-2.9582516732605139E-4</v>
      </c>
      <c r="J5" s="136">
        <f>_xll.xlq52WeekLow(A5,tda)</f>
        <v>111.48</v>
      </c>
      <c r="K5" s="136">
        <f>_xll.xlq52WeekHigh(A5,tda)</f>
        <v>279.95</v>
      </c>
      <c r="L5" s="239">
        <f>_xll.xlqPricePerEarnings(A5,tda)</f>
        <v>93.09</v>
      </c>
      <c r="M5" s="136">
        <f>_xll.xlqYield(A5,tda)</f>
        <v>0</v>
      </c>
      <c r="N5" s="136">
        <f>_xll.xlqVolatility(A5,tda)</f>
        <v>7.1099999999999997E-2</v>
      </c>
      <c r="O5" s="136">
        <f>_xll.xlqDividendAmount(A5,tda)</f>
        <v>0</v>
      </c>
      <c r="P5" s="182">
        <f>_xll.xlqExDividendDate(A5,tda)</f>
        <v>0</v>
      </c>
      <c r="Q5" s="137">
        <f>_xll.xlqIsShortable(A5,tda)</f>
        <v>1</v>
      </c>
    </row>
    <row r="6" spans="1:17" x14ac:dyDescent="0.25">
      <c r="A6" s="137" t="s">
        <v>88</v>
      </c>
      <c r="B6" s="193">
        <f>_xll.xlqPrice(A6,tda)</f>
        <v>304.88</v>
      </c>
      <c r="C6" s="260">
        <f>SUMIF(Portfolio!$A$2:$A$109,A6,Portfolio!$O$2:$O$109)</f>
        <v>-304.88</v>
      </c>
      <c r="D6" s="200">
        <f>C6/Portfolio!$O$1</f>
        <v>30488</v>
      </c>
      <c r="E6" s="195" t="s">
        <v>142</v>
      </c>
      <c r="F6" s="196">
        <v>4</v>
      </c>
      <c r="G6" s="197">
        <v>0.98</v>
      </c>
      <c r="H6" s="137" t="str">
        <f>_xll.xlqName(A6)</f>
        <v>Netflix, Inc.</v>
      </c>
      <c r="I6" s="238">
        <f>_xll.xlqChangePercent(A6,tda)/100</f>
        <v>-4.1808204860204774E-3</v>
      </c>
      <c r="J6" s="136">
        <f>_xll.xlq52WeekLow(A6,tda)</f>
        <v>231.23000000000002</v>
      </c>
      <c r="K6" s="136">
        <f>_xll.xlq52WeekHigh(A6,tda)</f>
        <v>385.99</v>
      </c>
      <c r="L6" s="239">
        <f>_xll.xlqPricePerEarnings(A6,tda)</f>
        <v>95.97</v>
      </c>
      <c r="M6" s="136">
        <f>_xll.xlqYield(A6,tda)</f>
        <v>0</v>
      </c>
      <c r="N6" s="136">
        <f>_xll.xlqVolatility(A6,tda)</f>
        <v>2.2700000000000001E-2</v>
      </c>
      <c r="O6" s="136">
        <f>_xll.xlqDividendAmount(A6,tda)</f>
        <v>0</v>
      </c>
      <c r="P6" s="182">
        <f>_xll.xlqExDividendDate(A6,tda)</f>
        <v>0</v>
      </c>
      <c r="Q6" s="137">
        <f>_xll.xlqIsShortable(A6,tda)</f>
        <v>1</v>
      </c>
    </row>
    <row r="7" spans="1:17" x14ac:dyDescent="0.25">
      <c r="A7" s="137" t="s">
        <v>77</v>
      </c>
      <c r="B7" s="193">
        <f>_xll.xlqPrice(A7,tda)</f>
        <v>301.815</v>
      </c>
      <c r="C7" s="260">
        <f>SUMIF(Portfolio!$A$2:$A$109,A7,Portfolio!$O$2:$O$109)</f>
        <v>-301.815</v>
      </c>
      <c r="D7" s="200">
        <f>C7/Portfolio!$O$1</f>
        <v>30181.5</v>
      </c>
      <c r="E7" s="195" t="s">
        <v>144</v>
      </c>
      <c r="F7" s="196">
        <v>4</v>
      </c>
      <c r="G7" s="197">
        <v>0.95</v>
      </c>
      <c r="H7" s="137" t="str">
        <f>_xll.xlqName(A7)</f>
        <v>Adobe Inc.</v>
      </c>
      <c r="I7" s="238">
        <f>_xll.xlqChangePercent(A7,tda)/100</f>
        <v>-6.893488203744619E-3</v>
      </c>
      <c r="J7" s="136">
        <f>_xll.xlq52WeekLow(A7,tda)</f>
        <v>204.95000000000002</v>
      </c>
      <c r="K7" s="136">
        <f>_xll.xlq52WeekHigh(A7,tda)</f>
        <v>313.11</v>
      </c>
      <c r="L7" s="239">
        <f>_xll.xlqPricePerEarnings(A7,tda)</f>
        <v>53.11</v>
      </c>
      <c r="M7" s="136">
        <f>_xll.xlqYield(A7,tda)</f>
        <v>0</v>
      </c>
      <c r="N7" s="136">
        <f>_xll.xlqVolatility(A7,tda)</f>
        <v>2.75E-2</v>
      </c>
      <c r="O7" s="136">
        <f>_xll.xlqDividendAmount(A7,tda)</f>
        <v>0</v>
      </c>
      <c r="P7" s="182">
        <f>_xll.xlqExDividendDate(A7,tda)</f>
        <v>0</v>
      </c>
      <c r="Q7" s="137">
        <f>_xll.xlqIsShortable(A7,tda)</f>
        <v>1</v>
      </c>
    </row>
    <row r="8" spans="1:17" x14ac:dyDescent="0.25">
      <c r="A8" s="137" t="s">
        <v>75</v>
      </c>
      <c r="B8" s="193">
        <f>_xll.xlqPrice(A8,tda)</f>
        <v>263.3</v>
      </c>
      <c r="C8" s="260">
        <f>SUMIF(Portfolio!$A$2:$A$109,A8,Portfolio!$O$2:$O$109)</f>
        <v>-263.3</v>
      </c>
      <c r="D8" s="200">
        <f>C8/Portfolio!$O$1</f>
        <v>26330</v>
      </c>
      <c r="E8" s="195" t="s">
        <v>145</v>
      </c>
      <c r="F8" s="196">
        <v>5</v>
      </c>
      <c r="G8" s="197">
        <v>1</v>
      </c>
      <c r="H8" s="137" t="str">
        <f>_xll.xlqName(A8)</f>
        <v>FactSet Research Systems Inc.</v>
      </c>
      <c r="I8" s="238">
        <f>_xll.xlqChangePercent(A8,tda)/100</f>
        <v>1.3237897329331167E-2</v>
      </c>
      <c r="J8" s="136">
        <f>_xll.xlq52WeekLow(A8,tda)</f>
        <v>188.31</v>
      </c>
      <c r="K8" s="136">
        <f>_xll.xlq52WeekHigh(A8,tda)</f>
        <v>305.38</v>
      </c>
      <c r="L8" s="239">
        <f>_xll.xlqPricePerEarnings(A8,tda)</f>
        <v>28.9483</v>
      </c>
      <c r="M8" s="136">
        <f>_xll.xlqYield(A8,tda)</f>
        <v>1.1100000000000001</v>
      </c>
      <c r="N8" s="136">
        <f>_xll.xlqVolatility(A8,tda)</f>
        <v>4.5200000000000004E-2</v>
      </c>
      <c r="O8" s="136">
        <f>_xll.xlqDividendAmount(A8,tda)</f>
        <v>2.8800000000000003</v>
      </c>
      <c r="P8" s="182">
        <f>_xll.xlqExDividendDate(A8,tda)</f>
        <v>43796</v>
      </c>
      <c r="Q8" s="137">
        <f>_xll.xlqIsShortable(A8,tda)</f>
        <v>1</v>
      </c>
    </row>
    <row r="9" spans="1:17" x14ac:dyDescent="0.25">
      <c r="A9" s="137" t="s">
        <v>91</v>
      </c>
      <c r="B9" s="193">
        <f>_xll.xlqPrice(A9,tda)</f>
        <v>246.10000000000002</v>
      </c>
      <c r="C9" s="260">
        <f>SUMIF(Portfolio!$A$2:$A$109,A9,Portfolio!$O$2:$O$109)</f>
        <v>-246.10000000000002</v>
      </c>
      <c r="D9" s="200">
        <f>C9/Portfolio!$O$1</f>
        <v>24610</v>
      </c>
      <c r="E9" s="195" t="s">
        <v>140</v>
      </c>
      <c r="F9" s="196">
        <v>5</v>
      </c>
      <c r="G9" s="197">
        <v>0.97</v>
      </c>
      <c r="H9" s="137" t="str">
        <f>_xll.xlqName(A9)</f>
        <v>The Trade Desk, Inc.</v>
      </c>
      <c r="I9" s="238">
        <f>_xll.xlqChangePercent(A9,tda)/100</f>
        <v>3.6166898235863762E-2</v>
      </c>
      <c r="J9" s="136">
        <f>_xll.xlq52WeekLow(A9,tda)</f>
        <v>102.3511</v>
      </c>
      <c r="K9" s="136">
        <f>_xll.xlq52WeekHigh(A9,tda)</f>
        <v>289.51</v>
      </c>
      <c r="L9" s="239">
        <f>_xll.xlqPricePerEarnings(A9,tda)</f>
        <v>102.43</v>
      </c>
      <c r="M9" s="136">
        <f>_xll.xlqYield(A9,tda)</f>
        <v>0</v>
      </c>
      <c r="N9" s="136">
        <f>_xll.xlqVolatility(A9,tda)</f>
        <v>7.0400000000000004E-2</v>
      </c>
      <c r="O9" s="136">
        <f>_xll.xlqDividendAmount(A9,tda)</f>
        <v>0</v>
      </c>
      <c r="P9" s="182">
        <f>_xll.xlqExDividendDate(A9,tda)</f>
        <v>0</v>
      </c>
      <c r="Q9" s="137">
        <f>_xll.xlqIsShortable(A9,tda)</f>
        <v>1</v>
      </c>
    </row>
    <row r="10" spans="1:17" x14ac:dyDescent="0.25">
      <c r="A10" s="183" t="s">
        <v>55</v>
      </c>
      <c r="B10" s="193">
        <f>_xll.xlqPrice(A10,tda)</f>
        <v>203.98000000000002</v>
      </c>
      <c r="C10" s="260">
        <f>SUMIF(Portfolio!$A$2:$A$109,A10,Portfolio!$O$2:$O$109)</f>
        <v>-203.98000000000002</v>
      </c>
      <c r="D10" s="200">
        <f>C10/Portfolio!$O$1</f>
        <v>20398</v>
      </c>
      <c r="E10" s="195" t="s">
        <v>144</v>
      </c>
      <c r="F10" s="196">
        <v>5</v>
      </c>
      <c r="G10" s="197">
        <v>0.97</v>
      </c>
      <c r="H10" s="137" t="str">
        <f>_xll.xlqName(A10)</f>
        <v>CME Group Inc.</v>
      </c>
      <c r="I10" s="238">
        <f>_xll.xlqChangePercent(A10,tda)/100</f>
        <v>-6.8587105624135977E-4</v>
      </c>
      <c r="J10" s="136">
        <f>_xll.xlq52WeekLow(A10,tda)</f>
        <v>161.05000000000001</v>
      </c>
      <c r="K10" s="136">
        <f>_xll.xlq52WeekHigh(A10,tda)</f>
        <v>224.91</v>
      </c>
      <c r="L10" s="239">
        <f>_xll.xlqPricePerEarnings(A10,tda)</f>
        <v>35.721400000000003</v>
      </c>
      <c r="M10" s="136">
        <f>_xll.xlqYield(A10,tda)</f>
        <v>1.47</v>
      </c>
      <c r="N10" s="136">
        <f>_xll.xlqVolatility(A10,tda)</f>
        <v>3.8700000000000005E-2</v>
      </c>
      <c r="O10" s="136">
        <f>_xll.xlqDividendAmount(A10,tda)</f>
        <v>3</v>
      </c>
      <c r="P10" s="182">
        <f>_xll.xlqExDividendDate(A10,tda)</f>
        <v>43808</v>
      </c>
      <c r="Q10" s="137">
        <f>_xll.xlqIsShortable(A10,tda)</f>
        <v>1</v>
      </c>
    </row>
    <row r="11" spans="1:17" x14ac:dyDescent="0.25">
      <c r="A11" s="137" t="s">
        <v>80</v>
      </c>
      <c r="B11" s="193">
        <f>_xll.xlqPrice(A11,tda)</f>
        <v>180.77</v>
      </c>
      <c r="C11" s="260">
        <f>SUMIF(Portfolio!$A$2:$A$109,A11,Portfolio!$O$2:$O$109)</f>
        <v>-180.77</v>
      </c>
      <c r="D11" s="200">
        <f>C11/Portfolio!$O$1</f>
        <v>18077</v>
      </c>
      <c r="E11" s="195" t="s">
        <v>144</v>
      </c>
      <c r="F11" s="196">
        <v>5</v>
      </c>
      <c r="G11" s="197">
        <v>0.98</v>
      </c>
      <c r="H11" s="137" t="str">
        <f>_xll.xlqName(A11)</f>
        <v>Visa Inc.</v>
      </c>
      <c r="I11" s="238">
        <f>_xll.xlqChangePercent(A11,tda)/100</f>
        <v>-6.2122045079713887E-3</v>
      </c>
      <c r="J11" s="136">
        <f>_xll.xlq52WeekLow(A11,tda)</f>
        <v>121.60000000000001</v>
      </c>
      <c r="K11" s="136">
        <f>_xll.xlq52WeekHigh(A11,tda)</f>
        <v>187.05</v>
      </c>
      <c r="L11" s="239">
        <f>_xll.xlqPricePerEarnings(A11,tda)</f>
        <v>35.627299999999998</v>
      </c>
      <c r="M11" s="136">
        <f>_xll.xlqYield(A11,tda)</f>
        <v>0.66</v>
      </c>
      <c r="N11" s="136">
        <f>_xll.xlqVolatility(A11,tda)</f>
        <v>1.15E-2</v>
      </c>
      <c r="O11" s="136">
        <f>_xll.xlqDividendAmount(A11,tda)</f>
        <v>1.2</v>
      </c>
      <c r="P11" s="182">
        <f>_xll.xlqExDividendDate(A11,tda)</f>
        <v>43692</v>
      </c>
      <c r="Q11" s="137">
        <f>_xll.xlqIsShortable(A11,tda)</f>
        <v>1</v>
      </c>
    </row>
    <row r="12" spans="1:17" x14ac:dyDescent="0.25">
      <c r="A12" s="137" t="s">
        <v>90</v>
      </c>
      <c r="B12" s="193">
        <f>_xll.xlqPrice(A12,tda)</f>
        <v>123.55000000000001</v>
      </c>
      <c r="C12" s="260">
        <f>SUMIF(Portfolio!$A$2:$A$109,A12,Portfolio!$O$2:$O$109)</f>
        <v>-161.52927</v>
      </c>
      <c r="D12" s="200">
        <f>C12/Portfolio!$O$1</f>
        <v>16152.927</v>
      </c>
      <c r="E12" s="195">
        <v>9</v>
      </c>
      <c r="F12" s="196">
        <v>5</v>
      </c>
      <c r="G12" s="197">
        <f>111/113</f>
        <v>0.98230088495575218</v>
      </c>
      <c r="H12" s="137" t="str">
        <f>_xll.xlqName(A12)</f>
        <v>Atlassian Corporation Plc</v>
      </c>
      <c r="I12" s="238">
        <f>_xll.xlqChangePercent(A12,tda)/100</f>
        <v>0</v>
      </c>
      <c r="J12" s="136">
        <f>_xll.xlq52WeekLow(A12,tda)</f>
        <v>75.55</v>
      </c>
      <c r="K12" s="136">
        <f>_xll.xlq52WeekHigh(A12,tda)</f>
        <v>149.80000000000001</v>
      </c>
      <c r="L12" s="239">
        <f>_xll.xlqPricePerEarnings(A12,tda)</f>
        <v>0</v>
      </c>
      <c r="M12" s="136">
        <f>_xll.xlqYield(A12,tda)</f>
        <v>0</v>
      </c>
      <c r="N12" s="136">
        <f>_xll.xlqVolatility(A12,tda)</f>
        <v>5.5500000000000001E-2</v>
      </c>
      <c r="O12" s="136">
        <f>_xll.xlqDividendAmount(A12,tda)</f>
        <v>0</v>
      </c>
      <c r="P12" s="182">
        <f>_xll.xlqExDividendDate(A12,tda)</f>
        <v>0</v>
      </c>
      <c r="Q12" s="137">
        <f>_xll.xlqIsShortable(A12,tda)</f>
        <v>1</v>
      </c>
    </row>
    <row r="13" spans="1:17" x14ac:dyDescent="0.25">
      <c r="A13" s="137" t="s">
        <v>110</v>
      </c>
      <c r="B13" s="193">
        <f>_xll.xlqPrice(A13,tda)</f>
        <v>155.54000000000002</v>
      </c>
      <c r="C13" s="260">
        <f>SUMIF(Portfolio!$A$2:$A$109,A13,Portfolio!$O$2:$O$109)</f>
        <v>-155.54000000000002</v>
      </c>
      <c r="D13" s="200">
        <f>C13/Portfolio!$O$1</f>
        <v>15554.000000000002</v>
      </c>
      <c r="E13" s="195">
        <v>5</v>
      </c>
      <c r="F13" s="196">
        <v>4</v>
      </c>
      <c r="G13" s="208">
        <f>360/(360+119)</f>
        <v>0.75156576200417535</v>
      </c>
      <c r="H13" s="137" t="str">
        <f>_xll.xlqName(A13)</f>
        <v>Salesforce.com Inc</v>
      </c>
      <c r="I13" s="238">
        <f>_xll.xlqChangePercent(A13,tda)/100</f>
        <v>-3.7321284891997278E-2</v>
      </c>
      <c r="J13" s="136">
        <f>_xll.xlq52WeekLow(A13,tda)</f>
        <v>120.16000000000001</v>
      </c>
      <c r="K13" s="136">
        <f>_xll.xlq52WeekHigh(A13,tda)</f>
        <v>167.56</v>
      </c>
      <c r="L13" s="239">
        <f>_xll.xlqPricePerEarnings(A13,tda)</f>
        <v>130.89000000000001</v>
      </c>
      <c r="M13" s="136">
        <f>_xll.xlqYield(A13,tda)</f>
        <v>0</v>
      </c>
      <c r="N13" s="136">
        <f>_xll.xlqVolatility(A13,tda)</f>
        <v>1.9400000000000001E-2</v>
      </c>
      <c r="O13" s="136">
        <f>_xll.xlqDividendAmount(A13,tda)</f>
        <v>0</v>
      </c>
      <c r="P13" s="182">
        <f>_xll.xlqExDividendDate(A13,tda)</f>
        <v>0</v>
      </c>
      <c r="Q13" s="137">
        <f>_xll.xlqIsShortable(A13,tda)</f>
        <v>1</v>
      </c>
    </row>
    <row r="14" spans="1:17" x14ac:dyDescent="0.25">
      <c r="A14" s="183" t="s">
        <v>82</v>
      </c>
      <c r="B14" s="193">
        <f>_xll.xlqPrice(A14,tda)</f>
        <v>286.97000000000003</v>
      </c>
      <c r="C14" s="260">
        <f>SUMIF(Portfolio!$A$2:$A$109,A14,Portfolio!$O$2:$O$109)</f>
        <v>-153.98810200000003</v>
      </c>
      <c r="D14" s="200">
        <f>C14/Portfolio!$O$1</f>
        <v>15398.810200000002</v>
      </c>
      <c r="E14" s="195" t="s">
        <v>144</v>
      </c>
      <c r="F14" s="196">
        <v>5</v>
      </c>
      <c r="G14" s="197">
        <v>0.99</v>
      </c>
      <c r="H14" s="137" t="str">
        <f>_xll.xlqName(A14)</f>
        <v>Mastercard Incorporated</v>
      </c>
      <c r="I14" s="238">
        <f>_xll.xlqChangePercent(A14,tda)/100</f>
        <v>-4.1798739071372925E-4</v>
      </c>
      <c r="J14" s="136">
        <f>_xll.xlq52WeekLow(A14,tda)</f>
        <v>171.89000000000001</v>
      </c>
      <c r="K14" s="136">
        <f>_xll.xlq52WeekHigh(A14,tda)</f>
        <v>293.69</v>
      </c>
      <c r="L14" s="239">
        <f>_xll.xlqPricePerEarnings(A14,tda)</f>
        <v>42.982300000000002</v>
      </c>
      <c r="M14" s="136">
        <f>_xll.xlqYield(A14,tda)</f>
        <v>0.46</v>
      </c>
      <c r="N14" s="136">
        <f>_xll.xlqVolatility(A14,tda)</f>
        <v>2.2600000000000002E-2</v>
      </c>
      <c r="O14" s="136">
        <f>_xll.xlqDividendAmount(A14,tda)</f>
        <v>1.32</v>
      </c>
      <c r="P14" s="182">
        <f>_xll.xlqExDividendDate(A14,tda)</f>
        <v>43746</v>
      </c>
      <c r="Q14" s="137">
        <f>_xll.xlqIsShortable(A14,tda)</f>
        <v>1</v>
      </c>
    </row>
    <row r="15" spans="1:17" x14ac:dyDescent="0.25">
      <c r="A15" s="183" t="s">
        <v>74</v>
      </c>
      <c r="B15" s="193">
        <f>_xll.xlqPrice(A15,tda)</f>
        <v>67.83</v>
      </c>
      <c r="C15" s="260">
        <f>SUMIF(Portfolio!$A$2:$A$109,A15,Portfolio!$O$2:$O$109)</f>
        <v>-142.72788600000001</v>
      </c>
      <c r="D15" s="200">
        <f>C15/Portfolio!$O$1</f>
        <v>14272.788600000002</v>
      </c>
      <c r="E15" s="195" t="s">
        <v>145</v>
      </c>
      <c r="F15" s="196">
        <v>4</v>
      </c>
      <c r="G15" s="197">
        <v>0.97029702970297027</v>
      </c>
      <c r="H15" s="137" t="str">
        <f>_xll.xlqName(A15)</f>
        <v>Square, Inc.</v>
      </c>
      <c r="I15" s="238">
        <f>_xll.xlqChangePercent(A15,tda)/100</f>
        <v>1.178400954653926E-2</v>
      </c>
      <c r="J15" s="136">
        <f>_xll.xlq52WeekLow(A15,tda)</f>
        <v>49.82</v>
      </c>
      <c r="K15" s="136">
        <f>_xll.xlq52WeekHigh(A15,tda)</f>
        <v>83.2</v>
      </c>
      <c r="L15" s="239">
        <f>_xll.xlqPricePerEarnings(A15,tda)</f>
        <v>0</v>
      </c>
      <c r="M15" s="136">
        <f>_xll.xlqYield(A15,tda)</f>
        <v>0</v>
      </c>
      <c r="N15" s="136">
        <f>_xll.xlqVolatility(A15,tda)</f>
        <v>2.4300000000000002E-2</v>
      </c>
      <c r="O15" s="136">
        <f>_xll.xlqDividendAmount(A15,tda)</f>
        <v>0</v>
      </c>
      <c r="P15" s="182">
        <f>_xll.xlqExDividendDate(A15,tda)</f>
        <v>0</v>
      </c>
      <c r="Q15" s="137">
        <f>_xll.xlqIsShortable(A15,tda)</f>
        <v>1</v>
      </c>
    </row>
    <row r="16" spans="1:17" x14ac:dyDescent="0.25">
      <c r="A16" s="137" t="s">
        <v>87</v>
      </c>
      <c r="B16" s="193">
        <f>_xll.xlqPrice(A16,tda)</f>
        <v>138.99</v>
      </c>
      <c r="C16" s="260">
        <f>SUMIF(Portfolio!$A$2:$A$109,A16,Portfolio!$O$2:$O$109)</f>
        <v>-138.99</v>
      </c>
      <c r="D16" s="200">
        <f>C16/Portfolio!$O$1</f>
        <v>13899</v>
      </c>
      <c r="E16" s="195" t="s">
        <v>142</v>
      </c>
      <c r="F16" s="196">
        <v>4</v>
      </c>
      <c r="G16" s="197">
        <v>0.87</v>
      </c>
      <c r="H16" s="137" t="str">
        <f>_xll.xlqName(A16)</f>
        <v>Marriott International</v>
      </c>
      <c r="I16" s="238">
        <f>_xll.xlqChangePercent(A16,tda)/100</f>
        <v>3.1033487297921969E-3</v>
      </c>
      <c r="J16" s="136">
        <f>_xll.xlq52WeekLow(A16,tda)</f>
        <v>100.62</v>
      </c>
      <c r="K16" s="136">
        <f>_xll.xlq52WeekHigh(A16,tda)</f>
        <v>144.24</v>
      </c>
      <c r="L16" s="239">
        <f>_xll.xlqPricePerEarnings(A16,tda)</f>
        <v>35.379800000000003</v>
      </c>
      <c r="M16" s="136">
        <f>_xll.xlqYield(A16,tda)</f>
        <v>1.3900000000000001</v>
      </c>
      <c r="N16" s="136">
        <f>_xll.xlqVolatility(A16,tda)</f>
        <v>1.8100000000000002E-2</v>
      </c>
      <c r="O16" s="136">
        <f>_xll.xlqDividendAmount(A16,tda)</f>
        <v>1.9200000000000002</v>
      </c>
      <c r="P16" s="182">
        <f>_xll.xlqExDividendDate(A16,tda)</f>
        <v>43789</v>
      </c>
      <c r="Q16" s="137">
        <f>_xll.xlqIsShortable(A16,tda)</f>
        <v>1</v>
      </c>
    </row>
    <row r="17" spans="1:17" x14ac:dyDescent="0.25">
      <c r="A17" s="183" t="s">
        <v>1</v>
      </c>
      <c r="B17" s="193">
        <f>_xll.xlqPrice(A17,tda)</f>
        <v>210.97980000000001</v>
      </c>
      <c r="C17" s="260">
        <f>SUMIF(Portfolio!$A$2:$A$109,A17,Portfolio!$O$2:$O$109)</f>
        <v>-134.73170028000004</v>
      </c>
      <c r="D17" s="200">
        <f>C17/Portfolio!$O$1</f>
        <v>13473.170028000004</v>
      </c>
      <c r="E17" s="195" t="s">
        <v>144</v>
      </c>
      <c r="F17" s="196">
        <v>5</v>
      </c>
      <c r="G17" s="197">
        <v>0.96</v>
      </c>
      <c r="H17" s="137" t="str">
        <f>_xll.xlqName(A17)</f>
        <v>American Tower Corporation (REI</v>
      </c>
      <c r="I17" s="238">
        <f>_xll.xlqChangePercent(A17,tda)/100</f>
        <v>-1.08991051560057E-3</v>
      </c>
      <c r="J17" s="136">
        <f>_xll.xlq52WeekLow(A17,tda)</f>
        <v>150.66500000000002</v>
      </c>
      <c r="K17" s="136">
        <f>_xll.xlq52WeekHigh(A17,tda)</f>
        <v>242</v>
      </c>
      <c r="L17" s="239">
        <f>_xll.xlqPricePerEarnings(A17,tda)</f>
        <v>58.2089</v>
      </c>
      <c r="M17" s="136">
        <f>_xll.xlqYield(A17,tda)</f>
        <v>1.8</v>
      </c>
      <c r="N17" s="136">
        <f>_xll.xlqVolatility(A17,tda)</f>
        <v>2.5400000000000002E-2</v>
      </c>
      <c r="O17" s="136">
        <f>_xll.xlqDividendAmount(A17,tda)</f>
        <v>3.8000000000000003</v>
      </c>
      <c r="P17" s="182">
        <f>_xll.xlqExDividendDate(A17,tda)</f>
        <v>43734</v>
      </c>
      <c r="Q17" s="137">
        <f>_xll.xlqIsShortable(A17,tda)</f>
        <v>1</v>
      </c>
    </row>
    <row r="18" spans="1:17" x14ac:dyDescent="0.25">
      <c r="A18" s="183" t="s">
        <v>89</v>
      </c>
      <c r="B18" s="193">
        <f>_xll.xlqPrice(A18,tda)</f>
        <v>104.98</v>
      </c>
      <c r="C18" s="260">
        <f>SUMIF(Portfolio!$A$2:$A$109,A18,Portfolio!$O$2:$O$109)</f>
        <v>-132.52675199999999</v>
      </c>
      <c r="D18" s="200">
        <f>C18/Portfolio!$O$1</f>
        <v>13252.675199999998</v>
      </c>
      <c r="E18" s="195" t="s">
        <v>147</v>
      </c>
      <c r="F18" s="196">
        <v>5</v>
      </c>
      <c r="G18" s="197">
        <v>0.99</v>
      </c>
      <c r="H18" s="137" t="str">
        <f>_xll.xlqName(A18)</f>
        <v>PayPal Holdings, Inc.</v>
      </c>
      <c r="I18" s="238">
        <f>_xll.xlqChangePercent(A18,tda)/100</f>
        <v>-5.7770622218013016E-3</v>
      </c>
      <c r="J18" s="136">
        <f>_xll.xlq52WeekLow(A18,tda)</f>
        <v>76.7</v>
      </c>
      <c r="K18" s="136">
        <f>_xll.xlq52WeekHigh(A18,tda)</f>
        <v>121.48</v>
      </c>
      <c r="L18" s="239">
        <f>_xll.xlqPricePerEarnings(A18,tda)</f>
        <v>49.17</v>
      </c>
      <c r="M18" s="136">
        <f>_xll.xlqYield(A18,tda)</f>
        <v>0</v>
      </c>
      <c r="N18" s="136">
        <f>_xll.xlqVolatility(A18,tda)</f>
        <v>1.1900000000000001E-2</v>
      </c>
      <c r="O18" s="136">
        <f>_xll.xlqDividendAmount(A18,tda)</f>
        <v>0</v>
      </c>
      <c r="P18" s="182">
        <f>_xll.xlqExDividendDate(A18,tda)</f>
        <v>0</v>
      </c>
      <c r="Q18" s="137">
        <f>_xll.xlqIsShortable(A18,tda)</f>
        <v>1</v>
      </c>
    </row>
    <row r="19" spans="1:17" x14ac:dyDescent="0.25">
      <c r="A19" s="183" t="s">
        <v>83</v>
      </c>
      <c r="B19" s="193">
        <f>_xll.xlqPrice(A19,tda)</f>
        <v>121.465</v>
      </c>
      <c r="C19" s="260">
        <f>SUMIF(Portfolio!$A$2:$A$109,A19,Portfolio!$O$2:$O$109)</f>
        <v>-121.465</v>
      </c>
      <c r="D19" s="200">
        <f>C19/Portfolio!$O$1</f>
        <v>12146.5</v>
      </c>
      <c r="E19" s="195" t="s">
        <v>144</v>
      </c>
      <c r="F19" s="196">
        <v>4</v>
      </c>
      <c r="G19" s="197">
        <v>0.98</v>
      </c>
      <c r="H19" s="137" t="str">
        <f>_xll.xlqName(A19)</f>
        <v>Broadridge Financial Solutions,</v>
      </c>
      <c r="I19" s="238">
        <f>_xll.xlqChangePercent(A19,tda)/100</f>
        <v>4.1165815906433822E-5</v>
      </c>
      <c r="J19" s="136">
        <f>_xll.xlq52WeekLow(A19,tda)</f>
        <v>91.34</v>
      </c>
      <c r="K19" s="136">
        <f>_xll.xlq52WeekHigh(A19,tda)</f>
        <v>136.99</v>
      </c>
      <c r="L19" s="239">
        <f>_xll.xlqPricePerEarnings(A19,tda)</f>
        <v>31.252600000000001</v>
      </c>
      <c r="M19" s="136">
        <f>_xll.xlqYield(A19,tda)</f>
        <v>1.78</v>
      </c>
      <c r="N19" s="136">
        <f>_xll.xlqVolatility(A19,tda)</f>
        <v>3.9699999999999999E-2</v>
      </c>
      <c r="O19" s="136">
        <f>_xll.xlqDividendAmount(A19,tda)</f>
        <v>2.16</v>
      </c>
      <c r="P19" s="182">
        <f>_xll.xlqExDividendDate(A19,tda)</f>
        <v>43811</v>
      </c>
      <c r="Q19" s="137">
        <f>_xll.xlqIsShortable(A19,tda)</f>
        <v>1</v>
      </c>
    </row>
    <row r="20" spans="1:17" x14ac:dyDescent="0.25">
      <c r="A20" s="183" t="s">
        <v>6</v>
      </c>
      <c r="B20" s="193">
        <f>_xll.xlqPrice(A20,tda)</f>
        <v>111.51</v>
      </c>
      <c r="C20" s="260">
        <f>SUMIF(Portfolio!$A$2:$A$109,A20,Portfolio!$O$2:$O$109)</f>
        <v>-111.50999999999999</v>
      </c>
      <c r="D20" s="200">
        <f>C20/Portfolio!$O$1</f>
        <v>11150.999999999998</v>
      </c>
      <c r="E20" s="195" t="s">
        <v>144</v>
      </c>
      <c r="F20" s="196">
        <v>5</v>
      </c>
      <c r="G20" s="197">
        <v>1</v>
      </c>
      <c r="H20" s="137" t="str">
        <f>_xll.xlqName(A20)</f>
        <v>Medtronic plc.</v>
      </c>
      <c r="I20" s="238">
        <f>_xll.xlqChangePercent(A20,tda)/100</f>
        <v>4.6851067663753127E-3</v>
      </c>
      <c r="J20" s="136">
        <f>_xll.xlq52WeekLow(A20,tda)</f>
        <v>81.663700000000006</v>
      </c>
      <c r="K20" s="136">
        <f>_xll.xlq52WeekHigh(A20,tda)</f>
        <v>114.46000000000001</v>
      </c>
      <c r="L20" s="239">
        <f>_xll.xlqPricePerEarnings(A20,tda)</f>
        <v>31.87</v>
      </c>
      <c r="M20" s="136">
        <f>_xll.xlqYield(A20,tda)</f>
        <v>1.9500000000000002</v>
      </c>
      <c r="N20" s="136">
        <f>_xll.xlqVolatility(A20,tda)</f>
        <v>1.26E-2</v>
      </c>
      <c r="O20" s="136">
        <f>_xll.xlqDividendAmount(A20,tda)</f>
        <v>2.16</v>
      </c>
      <c r="P20" s="182">
        <f>_xll.xlqExDividendDate(A20,tda)</f>
        <v>43734</v>
      </c>
      <c r="Q20" s="137">
        <f>_xll.xlqIsShortable(A20,tda)</f>
        <v>1</v>
      </c>
    </row>
    <row r="21" spans="1:17" x14ac:dyDescent="0.25">
      <c r="A21" s="183" t="s">
        <v>5</v>
      </c>
      <c r="B21" s="193">
        <f>_xll.xlqPrice(A21,tda)</f>
        <v>99.02000000000001</v>
      </c>
      <c r="C21" s="260">
        <f>SUMIF(Portfolio!$A$2:$A$109,A21,Portfolio!$O$2:$O$109)</f>
        <v>-105.11963200000001</v>
      </c>
      <c r="D21" s="200">
        <f>C21/Portfolio!$O$1</f>
        <v>10511.9632</v>
      </c>
      <c r="E21" s="195" t="s">
        <v>145</v>
      </c>
      <c r="F21" s="196">
        <v>5</v>
      </c>
      <c r="G21" s="197">
        <v>0.97627118644067801</v>
      </c>
      <c r="H21" s="137" t="str">
        <f>_xll.xlqName(A21)</f>
        <v>Skyworks Solutions, Inc.</v>
      </c>
      <c r="I21" s="238">
        <f>_xll.xlqChangePercent(A21,tda)/100</f>
        <v>1.6215106732348241E-2</v>
      </c>
      <c r="J21" s="136">
        <f>_xll.xlq52WeekLow(A21,tda)</f>
        <v>60.115000000000002</v>
      </c>
      <c r="K21" s="136">
        <f>_xll.xlq52WeekHigh(A21,tda)</f>
        <v>102.87</v>
      </c>
      <c r="L21" s="239">
        <f>_xll.xlqPricePerEarnings(A21,tda)</f>
        <v>19.9573</v>
      </c>
      <c r="M21" s="136">
        <f>_xll.xlqYield(A21,tda)</f>
        <v>1.81</v>
      </c>
      <c r="N21" s="136">
        <f>_xll.xlqVolatility(A21,tda)</f>
        <v>3.49E-2</v>
      </c>
      <c r="O21" s="136">
        <f>_xll.xlqDividendAmount(A21,tda)</f>
        <v>1.76</v>
      </c>
      <c r="P21" s="182">
        <f>_xll.xlqExDividendDate(A21,tda)</f>
        <v>43801</v>
      </c>
      <c r="Q21" s="137">
        <f>_xll.xlqIsShortable(A21,tda)</f>
        <v>1</v>
      </c>
    </row>
    <row r="22" spans="1:17" x14ac:dyDescent="0.25">
      <c r="A22" s="183" t="s">
        <v>130</v>
      </c>
      <c r="B22" s="193">
        <f>_xll.xlqPrice(A22,tda)</f>
        <v>395.16</v>
      </c>
      <c r="C22" s="260">
        <f>SUMIF(Portfolio!$A$2:$A$109,A22,Portfolio!$O$2:$O$109)</f>
        <v>-103.84804799999998</v>
      </c>
      <c r="D22" s="200">
        <f>C22/Portfolio!$O$1</f>
        <v>10384.804799999998</v>
      </c>
      <c r="E22" s="195">
        <v>2</v>
      </c>
      <c r="F22" s="196">
        <v>5</v>
      </c>
      <c r="G22" s="197">
        <v>0.98</v>
      </c>
      <c r="H22" s="137" t="str">
        <f>_xll.xlqName(A22)</f>
        <v>MarketAxess Holdings, Inc.</v>
      </c>
      <c r="I22" s="238">
        <f>_xll.xlqChangePercent(A22,tda)/100</f>
        <v>-6.3117660371664721E-3</v>
      </c>
      <c r="J22" s="136">
        <f>_xll.xlq52WeekLow(A22,tda)</f>
        <v>199.04000000000002</v>
      </c>
      <c r="K22" s="136">
        <f>_xll.xlq52WeekHigh(A22,tda)</f>
        <v>421.45000000000005</v>
      </c>
      <c r="L22" s="239">
        <f>_xll.xlqPricePerEarnings(A22,tda)</f>
        <v>75.576400000000007</v>
      </c>
      <c r="M22" s="136">
        <f>_xll.xlqYield(A22,tda)</f>
        <v>0.51</v>
      </c>
      <c r="N22" s="136">
        <f>_xll.xlqVolatility(A22,tda)</f>
        <v>7.690000000000001E-2</v>
      </c>
      <c r="O22" s="136">
        <f>_xll.xlqDividendAmount(A22,tda)</f>
        <v>2.04</v>
      </c>
      <c r="P22" s="182">
        <f>_xll.xlqExDividendDate(A22,tda)</f>
        <v>43774</v>
      </c>
      <c r="Q22" s="137">
        <f>_xll.xlqIsShortable(A22,tda)</f>
        <v>1</v>
      </c>
    </row>
    <row r="23" spans="1:17" x14ac:dyDescent="0.25">
      <c r="A23" s="183" t="s">
        <v>153</v>
      </c>
      <c r="B23" s="193">
        <f>_xll.xlqPrice(A23,tda)</f>
        <v>100.80000000000001</v>
      </c>
      <c r="C23" s="260">
        <f>SUMIF(Portfolio!$A$2:$A$109,A23,Portfolio!$O$2:$O$109)</f>
        <v>-100.80000000000003</v>
      </c>
      <c r="D23" s="200">
        <f>C23/Portfolio!$O$1</f>
        <v>10080.000000000002</v>
      </c>
      <c r="E23" s="195" t="s">
        <v>140</v>
      </c>
      <c r="F23" s="196">
        <v>4</v>
      </c>
      <c r="G23" s="197">
        <f>14/15</f>
        <v>0.93333333333333335</v>
      </c>
      <c r="H23" s="137" t="str">
        <f>_xll.xlqName(A23)</f>
        <v>Kinsale Capital Group, Inc.</v>
      </c>
      <c r="I23" s="238">
        <f>_xll.xlqChangePercent(A23,tda)/100</f>
        <v>-1.2635909491624958E-2</v>
      </c>
      <c r="J23" s="136">
        <f>_xll.xlq52WeekLow(A23,tda)</f>
        <v>50.34</v>
      </c>
      <c r="K23" s="136">
        <f>_xll.xlq52WeekHigh(A23,tda)</f>
        <v>108.27590000000001</v>
      </c>
      <c r="L23" s="239">
        <f>_xll.xlqPricePerEarnings(A23,tda)</f>
        <v>44.8294</v>
      </c>
      <c r="M23" s="136">
        <f>_xll.xlqYield(A23,tda)</f>
        <v>0.31</v>
      </c>
      <c r="N23" s="136">
        <f>_xll.xlqVolatility(A23,tda)</f>
        <v>0.10100000000000001</v>
      </c>
      <c r="O23" s="136">
        <f>_xll.xlqDividendAmount(A23,tda)</f>
        <v>0.32</v>
      </c>
      <c r="P23" s="182">
        <f>_xll.xlqExDividendDate(A23,tda)</f>
        <v>43796</v>
      </c>
      <c r="Q23" s="137">
        <f>_xll.xlqIsShortable(A23,tda)</f>
        <v>1</v>
      </c>
    </row>
    <row r="24" spans="1:17" x14ac:dyDescent="0.25">
      <c r="A24" s="137" t="s">
        <v>137</v>
      </c>
      <c r="B24" s="193">
        <f>_xll.xlqPrice(A24,tda)</f>
        <v>98.240000000000009</v>
      </c>
      <c r="C24" s="260">
        <f>SUMIF(Portfolio!$A$2:$A$109,A24,Portfolio!$O$2:$O$109)</f>
        <v>-98.240000000000009</v>
      </c>
      <c r="D24" s="200">
        <f>C24/Portfolio!$O$1</f>
        <v>9824</v>
      </c>
      <c r="E24" s="195" t="s">
        <v>140</v>
      </c>
      <c r="F24" s="196">
        <v>4</v>
      </c>
      <c r="G24" s="197">
        <v>0.98</v>
      </c>
      <c r="H24" s="137" t="str">
        <f>_xll.xlqName(A24)</f>
        <v>Twilio Inc.</v>
      </c>
      <c r="I24" s="238">
        <f>_xll.xlqChangePercent(A24,tda)/100</f>
        <v>-1.0475423045930621E-2</v>
      </c>
      <c r="J24" s="136">
        <f>_xll.xlq52WeekLow(A24,tda)</f>
        <v>73.150000000000006</v>
      </c>
      <c r="K24" s="136">
        <f>_xll.xlq52WeekHigh(A24,tda)</f>
        <v>151</v>
      </c>
      <c r="L24" s="239">
        <f>_xll.xlqPricePerEarnings(A24,tda)</f>
        <v>0</v>
      </c>
      <c r="M24" s="136">
        <f>_xll.xlqYield(A24,tda)</f>
        <v>0</v>
      </c>
      <c r="N24" s="136">
        <f>_xll.xlqVolatility(A24,tda)</f>
        <v>4.1300000000000003E-2</v>
      </c>
      <c r="O24" s="136">
        <f>_xll.xlqDividendAmount(A24,tda)</f>
        <v>0</v>
      </c>
      <c r="P24" s="182">
        <f>_xll.xlqExDividendDate(A24,tda)</f>
        <v>0</v>
      </c>
      <c r="Q24" s="137">
        <f>_xll.xlqIsShortable(A24,tda)</f>
        <v>1</v>
      </c>
    </row>
    <row r="25" spans="1:17" x14ac:dyDescent="0.25">
      <c r="A25" s="183" t="s">
        <v>132</v>
      </c>
      <c r="B25" s="193">
        <f>_xll.xlqPrice(A25,tda)</f>
        <v>94.75</v>
      </c>
      <c r="C25" s="260">
        <f>SUMIF(Portfolio!$A$2:$A$109,A25,Portfolio!$O$2:$O$109)</f>
        <v>-94.75</v>
      </c>
      <c r="D25" s="200">
        <f>C25/Portfolio!$O$1</f>
        <v>9475</v>
      </c>
      <c r="E25" s="195" t="s">
        <v>140</v>
      </c>
      <c r="F25" s="196">
        <v>4</v>
      </c>
      <c r="G25" s="197">
        <v>0.98</v>
      </c>
      <c r="H25" s="137" t="str">
        <f>_xll.xlqName(A25)</f>
        <v>Proto Labs, Inc.</v>
      </c>
      <c r="I25" s="238">
        <f>_xll.xlqChangePercent(A25,tda)/100</f>
        <v>1.434535916925371E-2</v>
      </c>
      <c r="J25" s="136">
        <f>_xll.xlq52WeekLow(A25,tda)</f>
        <v>88.75</v>
      </c>
      <c r="K25" s="136">
        <f>_xll.xlq52WeekHigh(A25,tda)</f>
        <v>131.85330000000002</v>
      </c>
      <c r="L25" s="239">
        <f>_xll.xlqPricePerEarnings(A25,tda)</f>
        <v>38.18</v>
      </c>
      <c r="M25" s="136">
        <f>_xll.xlqYield(A25,tda)</f>
        <v>0</v>
      </c>
      <c r="N25" s="136">
        <f>_xll.xlqVolatility(A25,tda)</f>
        <v>9.9299999999999999E-2</v>
      </c>
      <c r="O25" s="136">
        <f>_xll.xlqDividendAmount(A25,tda)</f>
        <v>0</v>
      </c>
      <c r="P25" s="182">
        <f>_xll.xlqExDividendDate(A25,tda)</f>
        <v>0</v>
      </c>
      <c r="Q25" s="137">
        <f>_xll.xlqIsShortable(A25,tda)</f>
        <v>1</v>
      </c>
    </row>
    <row r="26" spans="1:17" x14ac:dyDescent="0.25">
      <c r="A26" s="183" t="s">
        <v>168</v>
      </c>
      <c r="B26" s="193">
        <f>_xll.xlqPrice(A26,tda)</f>
        <v>81.53</v>
      </c>
      <c r="C26" s="260">
        <f>SUMIF(Portfolio!$A$2:$A$109,A26,Portfolio!$O$2:$O$109)</f>
        <v>-81.53</v>
      </c>
      <c r="D26" s="200">
        <f>C26/Portfolio!$O$1</f>
        <v>8153</v>
      </c>
      <c r="E26" s="195">
        <v>0</v>
      </c>
      <c r="F26" s="196">
        <v>3</v>
      </c>
      <c r="G26" s="197">
        <f>543/(543+28)</f>
        <v>0.95096322241681264</v>
      </c>
      <c r="H26" s="137" t="str">
        <f>_xll.xlqName(A26)</f>
        <v>QUALCOMM Incorporated</v>
      </c>
      <c r="I26" s="238">
        <f>_xll.xlqChangePercent(A26,tda)/100</f>
        <v>1.9634817408704264E-2</v>
      </c>
      <c r="J26" s="136">
        <f>_xll.xlq52WeekLow(A26,tda)</f>
        <v>49.1</v>
      </c>
      <c r="K26" s="136">
        <f>_xll.xlq52WeekHigh(A26,tda)</f>
        <v>94.11</v>
      </c>
      <c r="L26" s="239">
        <f>_xll.xlqPricePerEarnings(A26,tda)</f>
        <v>23.0137</v>
      </c>
      <c r="M26" s="136">
        <f>_xll.xlqYield(A26,tda)</f>
        <v>3.1</v>
      </c>
      <c r="N26" s="136">
        <f>_xll.xlqVolatility(A26,tda)</f>
        <v>1.29E-2</v>
      </c>
      <c r="O26" s="136">
        <f>_xll.xlqDividendAmount(A26,tda)</f>
        <v>2.48</v>
      </c>
      <c r="P26" s="182">
        <f>_xll.xlqExDividendDate(A26,tda)</f>
        <v>43803</v>
      </c>
      <c r="Q26" s="137">
        <f>_xll.xlqIsShortable(A26,tda)</f>
        <v>1</v>
      </c>
    </row>
    <row r="27" spans="1:17" x14ac:dyDescent="0.25">
      <c r="A27" s="137" t="s">
        <v>165</v>
      </c>
      <c r="B27" s="193">
        <f>_xll.xlqPrice(A27,tda)</f>
        <v>79.855000000000004</v>
      </c>
      <c r="C27" s="260">
        <f>SUMIF(Portfolio!$A$2:$A$109,A27,Portfolio!$O$2:$O$109)</f>
        <v>-79.855000000000004</v>
      </c>
      <c r="D27" s="200">
        <f>C27/Portfolio!$O$1</f>
        <v>7985.5</v>
      </c>
      <c r="E27" s="195">
        <v>4</v>
      </c>
      <c r="F27" s="196">
        <v>5</v>
      </c>
      <c r="G27" s="208">
        <f>113/116</f>
        <v>0.97413793103448276</v>
      </c>
      <c r="H27" s="137" t="str">
        <f>_xll.xlqName(A27)</f>
        <v>Teladoc Health, Inc.</v>
      </c>
      <c r="I27" s="238">
        <f>_xll.xlqChangePercent(A27,tda)/100</f>
        <v>1.2360547667342726E-2</v>
      </c>
      <c r="J27" s="136">
        <f>_xll.xlq52WeekLow(A27,tda)</f>
        <v>42.080000000000005</v>
      </c>
      <c r="K27" s="136">
        <f>_xll.xlq52WeekHigh(A27,tda)</f>
        <v>86.3</v>
      </c>
      <c r="L27" s="239">
        <f>_xll.xlqPricePerEarnings(A27,tda)</f>
        <v>0</v>
      </c>
      <c r="M27" s="136">
        <f>_xll.xlqYield(A27,tda)</f>
        <v>0</v>
      </c>
      <c r="N27" s="136">
        <f>_xll.xlqVolatility(A27,tda)</f>
        <v>5.1800000000000006E-2</v>
      </c>
      <c r="O27" s="136">
        <f>_xll.xlqDividendAmount(A27,tda)</f>
        <v>0</v>
      </c>
      <c r="P27" s="182">
        <f>_xll.xlqExDividendDate(A27,tda)</f>
        <v>0</v>
      </c>
      <c r="Q27" s="137">
        <f>_xll.xlqIsShortable(A27,tda)</f>
        <v>1</v>
      </c>
    </row>
    <row r="28" spans="1:17" x14ac:dyDescent="0.25">
      <c r="A28" s="183" t="s">
        <v>68</v>
      </c>
      <c r="B28" s="193">
        <f>_xll.xlqPrice(A28,tda)</f>
        <v>218.18</v>
      </c>
      <c r="C28" s="260">
        <f>SUMIF(Portfolio!$A$2:$A$109,A28,Portfolio!$O$2:$O$109)</f>
        <v>-80.093878000000004</v>
      </c>
      <c r="D28" s="200">
        <f>C28/Portfolio!$O$1</f>
        <v>8009.3878000000004</v>
      </c>
      <c r="E28" s="195" t="s">
        <v>141</v>
      </c>
      <c r="F28" s="196">
        <v>5</v>
      </c>
      <c r="G28" s="197">
        <v>0.99</v>
      </c>
      <c r="H28" s="137" t="str">
        <f>_xll.xlqName(A28)</f>
        <v>#N/A</v>
      </c>
      <c r="I28" s="238">
        <f>_xll.xlqChangePercent(A28,tda)/100</f>
        <v>4.5854732208361294E-4</v>
      </c>
      <c r="J28" s="136">
        <f>_xll.xlq52WeekLow(A28,tda)</f>
        <v>186.1003</v>
      </c>
      <c r="K28" s="136">
        <f>_xll.xlq52WeekHigh(A28,tda)</f>
        <v>223.58600000000001</v>
      </c>
      <c r="L28" s="239">
        <f>_xll.xlqPricePerEarnings(A28,tda)</f>
        <v>20.02</v>
      </c>
      <c r="M28" s="136">
        <f>_xll.xlqYield(A28,tda)</f>
        <v>0</v>
      </c>
      <c r="N28" s="136">
        <f>_xll.xlqVolatility(A28,tda)</f>
        <v>1.6900000000000002E-2</v>
      </c>
      <c r="O28" s="136">
        <f>_xll.xlqDividendAmount(A28,tda)</f>
        <v>0</v>
      </c>
      <c r="P28" s="182">
        <f>_xll.xlqExDividendDate(A28,tda)</f>
        <v>0</v>
      </c>
      <c r="Q28" s="137">
        <f>_xll.xlqIsShortable(A28,tda)</f>
        <v>1</v>
      </c>
    </row>
    <row r="29" spans="1:17" x14ac:dyDescent="0.25">
      <c r="A29" s="137" t="s">
        <v>166</v>
      </c>
      <c r="B29" s="193">
        <f>_xll.xlqPrice(A29,tda)</f>
        <v>75.400000000000006</v>
      </c>
      <c r="C29" s="260">
        <f>SUMIF(Portfolio!$A$2:$A$109,A29,Portfolio!$O$2:$O$109)</f>
        <v>-75.400000000000006</v>
      </c>
      <c r="D29" s="200">
        <f>C29/Portfolio!$O$1</f>
        <v>7540</v>
      </c>
      <c r="E29" s="195">
        <v>3</v>
      </c>
      <c r="F29" s="196">
        <v>5</v>
      </c>
      <c r="G29" s="208">
        <f>74/79</f>
        <v>0.93670886075949367</v>
      </c>
      <c r="H29" s="137" t="str">
        <f>_xll.xlqName(A29)</f>
        <v>Zendesk, Inc.</v>
      </c>
      <c r="I29" s="238">
        <f>_xll.xlqChangePercent(A29,tda)/100</f>
        <v>-1.3260840737290685E-4</v>
      </c>
      <c r="J29" s="136">
        <f>_xll.xlq52WeekLow(A29,tda)</f>
        <v>50.050000000000004</v>
      </c>
      <c r="K29" s="136">
        <f>_xll.xlq52WeekHigh(A29,tda)</f>
        <v>94.89</v>
      </c>
      <c r="L29" s="239">
        <f>_xll.xlqPricePerEarnings(A29,tda)</f>
        <v>0</v>
      </c>
      <c r="M29" s="136">
        <f>_xll.xlqYield(A29,tda)</f>
        <v>0</v>
      </c>
      <c r="N29" s="136">
        <f>_xll.xlqVolatility(A29,tda)</f>
        <v>4.8300000000000003E-2</v>
      </c>
      <c r="O29" s="136">
        <f>_xll.xlqDividendAmount(A29,tda)</f>
        <v>0</v>
      </c>
      <c r="P29" s="182">
        <f>_xll.xlqExDividendDate(A29,tda)</f>
        <v>0</v>
      </c>
      <c r="Q29" s="137">
        <f>_xll.xlqIsShortable(A29,tda)</f>
        <v>1</v>
      </c>
    </row>
    <row r="30" spans="1:17" x14ac:dyDescent="0.25">
      <c r="A30" s="183" t="s">
        <v>24</v>
      </c>
      <c r="B30" s="193">
        <f>_xll.xlqPrice(A30,tda)</f>
        <v>138.74</v>
      </c>
      <c r="C30" s="260">
        <f>SUMIF(Portfolio!$A$2:$A$109,A30,Portfolio!$O$2:$O$109)</f>
        <v>-76.196007999999992</v>
      </c>
      <c r="D30" s="200">
        <f>C30/Portfolio!$O$1</f>
        <v>7619.6007999999993</v>
      </c>
      <c r="E30" s="195" t="s">
        <v>146</v>
      </c>
      <c r="F30" s="196">
        <v>4</v>
      </c>
      <c r="G30" s="197">
        <v>0.97828200972447321</v>
      </c>
      <c r="H30" s="137" t="str">
        <f>_xll.xlqName(A30)</f>
        <v>Johnson &amp; Johnson</v>
      </c>
      <c r="I30" s="238">
        <f>_xll.xlqChangePercent(A30,tda)/100</f>
        <v>1.1519393409157282E-2</v>
      </c>
      <c r="J30" s="136">
        <f>_xll.xlq52WeekLow(A30,tda)</f>
        <v>121</v>
      </c>
      <c r="K30" s="136">
        <f>_xll.xlq52WeekHigh(A30,tda)</f>
        <v>148.99</v>
      </c>
      <c r="L30" s="239">
        <f>_xll.xlqPricePerEarnings(A30,tda)</f>
        <v>26.190200000000001</v>
      </c>
      <c r="M30" s="136">
        <f>_xll.xlqYield(A30,tda)</f>
        <v>2.77</v>
      </c>
      <c r="N30" s="136">
        <f>_xll.xlqVolatility(A30,tda)</f>
        <v>1.5900000000000001E-2</v>
      </c>
      <c r="O30" s="136">
        <f>_xll.xlqDividendAmount(A30,tda)</f>
        <v>3.8000000000000003</v>
      </c>
      <c r="P30" s="182">
        <f>_xll.xlqExDividendDate(A30,tda)</f>
        <v>43794</v>
      </c>
      <c r="Q30" s="137">
        <f>_xll.xlqIsShortable(A30,tda)</f>
        <v>1</v>
      </c>
    </row>
    <row r="31" spans="1:17" x14ac:dyDescent="0.25">
      <c r="A31" s="183" t="s">
        <v>79</v>
      </c>
      <c r="B31" s="193">
        <f>_xll.xlqPrice(A31,tda)</f>
        <v>54.375</v>
      </c>
      <c r="C31" s="260">
        <f>SUMIF(Portfolio!$A$2:$A$109,A31,Portfolio!$O$2:$O$109)</f>
        <v>-71.503125000000011</v>
      </c>
      <c r="D31" s="200">
        <f>C31/Portfolio!$O$1</f>
        <v>7150.3125000000009</v>
      </c>
      <c r="E31" s="195" t="s">
        <v>145</v>
      </c>
      <c r="F31" s="196">
        <v>3</v>
      </c>
      <c r="G31" s="197">
        <v>0.96</v>
      </c>
      <c r="H31" s="137" t="str">
        <f>_xll.xlqName(A31)</f>
        <v>Oracle Corporation</v>
      </c>
      <c r="I31" s="238">
        <f>_xll.xlqChangePercent(A31,tda)/100</f>
        <v>-3.9384502656164755E-3</v>
      </c>
      <c r="J31" s="136">
        <f>_xll.xlq52WeekLow(A31,tda)</f>
        <v>42.4</v>
      </c>
      <c r="K31" s="136">
        <f>_xll.xlq52WeekHigh(A31,tda)</f>
        <v>60.5</v>
      </c>
      <c r="L31" s="239">
        <f>_xll.xlqPricePerEarnings(A31,tda)</f>
        <v>18.4664</v>
      </c>
      <c r="M31" s="136">
        <f>_xll.xlqYield(A31,tda)</f>
        <v>1.76</v>
      </c>
      <c r="N31" s="136">
        <f>_xll.xlqVolatility(A31,tda)</f>
        <v>9.300000000000001E-3</v>
      </c>
      <c r="O31" s="136">
        <f>_xll.xlqDividendAmount(A31,tda)</f>
        <v>0.96000000000000008</v>
      </c>
      <c r="P31" s="182">
        <f>_xll.xlqExDividendDate(A31,tda)</f>
        <v>43747</v>
      </c>
      <c r="Q31" s="137">
        <f>_xll.xlqIsShortable(A31,tda)</f>
        <v>1</v>
      </c>
    </row>
    <row r="32" spans="1:17" x14ac:dyDescent="0.25">
      <c r="A32" s="183" t="s">
        <v>133</v>
      </c>
      <c r="B32" s="193">
        <f>_xll.xlqPrice(A32,tda)</f>
        <v>70.05</v>
      </c>
      <c r="C32" s="260">
        <f>SUMIF(Portfolio!$A$2:$A$109,A32,Portfolio!$O$2:$O$109)</f>
        <v>-70.190100000000001</v>
      </c>
      <c r="D32" s="200">
        <f>C32/Portfolio!$O$1</f>
        <v>7019.01</v>
      </c>
      <c r="E32" s="195" t="s">
        <v>142</v>
      </c>
      <c r="F32" s="196">
        <v>3</v>
      </c>
      <c r="G32" s="197">
        <f>46/57</f>
        <v>0.80701754385964908</v>
      </c>
      <c r="H32" s="137" t="str">
        <f>_xll.xlqName(A32)</f>
        <v>Zoom Video Communications, Inc.</v>
      </c>
      <c r="I32" s="238">
        <f>_xll.xlqChangePercent(A32,tda)/100</f>
        <v>4.2844901456707966E-4</v>
      </c>
      <c r="J32" s="136">
        <f>_xll.xlq52WeekLow(A32,tda)</f>
        <v>59.940000000000005</v>
      </c>
      <c r="K32" s="136">
        <f>_xll.xlq52WeekHigh(A32,tda)</f>
        <v>107.34</v>
      </c>
      <c r="L32" s="239">
        <f>_xll.xlqPricePerEarnings(A32,tda)</f>
        <v>1577.13</v>
      </c>
      <c r="M32" s="136">
        <f>_xll.xlqYield(A32,tda)</f>
        <v>0</v>
      </c>
      <c r="N32" s="136">
        <f>_xll.xlqVolatility(A32,tda)</f>
        <v>6.9500000000000006E-2</v>
      </c>
      <c r="O32" s="136">
        <f>_xll.xlqDividendAmount(A32,tda)</f>
        <v>0</v>
      </c>
      <c r="P32" s="182">
        <f>_xll.xlqExDividendDate(A32,tda)</f>
        <v>0</v>
      </c>
      <c r="Q32" s="137">
        <f>_xll.xlqIsShortable(A32,tda)</f>
        <v>1</v>
      </c>
    </row>
    <row r="33" spans="1:17" x14ac:dyDescent="0.25">
      <c r="A33" s="137" t="s">
        <v>150</v>
      </c>
      <c r="B33" s="193">
        <f>_xll.xlqPrice(A33,tda)</f>
        <v>69.510000000000005</v>
      </c>
      <c r="C33" s="260">
        <f>SUMIF(Portfolio!$A$2:$A$109,A33,Portfolio!$O$2:$O$109)</f>
        <v>-69.510000000000005</v>
      </c>
      <c r="D33" s="200">
        <f>C33/Portfolio!$O$1</f>
        <v>6951</v>
      </c>
      <c r="E33" s="209" t="s">
        <v>148</v>
      </c>
      <c r="F33" s="196">
        <v>5</v>
      </c>
      <c r="G33" s="197">
        <f>97/99</f>
        <v>0.97979797979797978</v>
      </c>
      <c r="H33" s="137" t="str">
        <f>_xll.xlqName(A33)</f>
        <v>DocuSign, Inc.</v>
      </c>
      <c r="I33" s="238">
        <f>_xll.xlqChangePercent(A33,tda)/100</f>
        <v>-1.6553480475382024E-2</v>
      </c>
      <c r="J33" s="136">
        <f>_xll.xlq52WeekLow(A33,tda)</f>
        <v>36.248800000000003</v>
      </c>
      <c r="K33" s="136">
        <f>_xll.xlq52WeekHigh(A33,tda)</f>
        <v>73.22</v>
      </c>
      <c r="L33" s="239">
        <f>_xll.xlqPricePerEarnings(A33,tda)</f>
        <v>0</v>
      </c>
      <c r="M33" s="136">
        <f>_xll.xlqYield(A33,tda)</f>
        <v>0</v>
      </c>
      <c r="N33" s="136">
        <f>_xll.xlqVolatility(A33,tda)</f>
        <v>0.04</v>
      </c>
      <c r="O33" s="136">
        <f>_xll.xlqDividendAmount(A33,tda)</f>
        <v>0</v>
      </c>
      <c r="P33" s="182">
        <f>_xll.xlqExDividendDate(A33,tda)</f>
        <v>0</v>
      </c>
      <c r="Q33" s="137">
        <f>_xll.xlqIsShortable(A33,tda)</f>
        <v>1</v>
      </c>
    </row>
    <row r="34" spans="1:17" x14ac:dyDescent="0.25">
      <c r="A34" s="137" t="s">
        <v>135</v>
      </c>
      <c r="B34" s="193">
        <f>_xll.xlqPrice(A34,tda)</f>
        <v>57.89</v>
      </c>
      <c r="C34" s="260">
        <f>SUMIF(Portfolio!$A$2:$A$109,A34,Portfolio!$O$2:$O$109)</f>
        <v>-57.89</v>
      </c>
      <c r="D34" s="200">
        <f>C34/Portfolio!$O$1</f>
        <v>5789</v>
      </c>
      <c r="E34" s="195" t="s">
        <v>140</v>
      </c>
      <c r="F34" s="196">
        <v>5</v>
      </c>
      <c r="G34" s="197">
        <v>0.98</v>
      </c>
      <c r="H34" s="137" t="str">
        <f>_xll.xlqName(A34)</f>
        <v>Brookfield Asset Management Inc</v>
      </c>
      <c r="I34" s="238">
        <f>_xll.xlqChangePercent(A34,tda)/100</f>
        <v>1.2416928996152517E-2</v>
      </c>
      <c r="J34" s="136">
        <f>_xll.xlq52WeekLow(A34,tda)</f>
        <v>36.58</v>
      </c>
      <c r="K34" s="136">
        <f>_xll.xlq52WeekHigh(A34,tda)</f>
        <v>58.720000000000006</v>
      </c>
      <c r="L34" s="239">
        <f>_xll.xlqPricePerEarnings(A34,tda)</f>
        <v>15.110000000000001</v>
      </c>
      <c r="M34" s="136">
        <f>_xll.xlqYield(A34,tda)</f>
        <v>1.1200000000000001</v>
      </c>
      <c r="N34" s="136">
        <f>_xll.xlqVolatility(A34,tda)</f>
        <v>1.66E-2</v>
      </c>
      <c r="O34" s="136">
        <f>_xll.xlqDividendAmount(A34,tda)</f>
        <v>0.64</v>
      </c>
      <c r="P34" s="182">
        <f>_xll.xlqExDividendDate(A34,tda)</f>
        <v>43796</v>
      </c>
      <c r="Q34" s="137">
        <f>_xll.xlqIsShortable(A34,tda)</f>
        <v>1</v>
      </c>
    </row>
    <row r="35" spans="1:17" x14ac:dyDescent="0.25">
      <c r="A35" s="183" t="s">
        <v>154</v>
      </c>
      <c r="B35" s="193">
        <f>_xll.xlqPrice(A35,tda)</f>
        <v>49.18</v>
      </c>
      <c r="C35" s="260">
        <f>SUMIF(Portfolio!$A$2:$A$109,A35,Portfolio!$O$2:$O$109)</f>
        <v>-49.18</v>
      </c>
      <c r="D35" s="200">
        <f>C35/Portfolio!$O$1</f>
        <v>4918</v>
      </c>
      <c r="E35" s="195" t="s">
        <v>158</v>
      </c>
      <c r="F35" s="196">
        <v>4</v>
      </c>
      <c r="G35" s="197">
        <f>112/116</f>
        <v>0.96551724137931039</v>
      </c>
      <c r="H35" s="137" t="str">
        <f>_xll.xlqName(A35)</f>
        <v>Zscaler, Inc.</v>
      </c>
      <c r="I35" s="238">
        <f>_xll.xlqChangePercent(A35,tda)/100</f>
        <v>-6.8560606060606141E-2</v>
      </c>
      <c r="J35" s="136">
        <f>_xll.xlq52WeekLow(A35,tda)</f>
        <v>34.21</v>
      </c>
      <c r="K35" s="136">
        <f>_xll.xlq52WeekHigh(A35,tda)</f>
        <v>89.54</v>
      </c>
      <c r="L35" s="239">
        <f>_xll.xlqPricePerEarnings(A35,tda)</f>
        <v>0</v>
      </c>
      <c r="M35" s="136">
        <f>_xll.xlqYield(A35,tda)</f>
        <v>0</v>
      </c>
      <c r="N35" s="136">
        <f>_xll.xlqVolatility(A35,tda)</f>
        <v>5.4100000000000002E-2</v>
      </c>
      <c r="O35" s="136">
        <f>_xll.xlqDividendAmount(A35,tda)</f>
        <v>0</v>
      </c>
      <c r="P35" s="182">
        <f>_xll.xlqExDividendDate(A35,tda)</f>
        <v>0</v>
      </c>
      <c r="Q35" s="137">
        <f>_xll.xlqIsShortable(A35,tda)</f>
        <v>1</v>
      </c>
    </row>
    <row r="36" spans="1:17" x14ac:dyDescent="0.25">
      <c r="A36" s="137" t="s">
        <v>164</v>
      </c>
      <c r="B36" s="193">
        <f>_xll.xlqPrice(A36,tda)</f>
        <v>42.57</v>
      </c>
      <c r="C36" s="260">
        <f>SUMIF(Portfolio!$A$2:$A$109,A36,Portfolio!$O$2:$O$109)</f>
        <v>-42.57</v>
      </c>
      <c r="D36" s="200">
        <f>C36/Portfolio!$O$1</f>
        <v>4257</v>
      </c>
      <c r="E36" s="195" t="s">
        <v>148</v>
      </c>
      <c r="F36" s="196">
        <v>4</v>
      </c>
      <c r="G36" s="208">
        <f>74/(74+11)</f>
        <v>0.87058823529411766</v>
      </c>
      <c r="H36" s="137" t="str">
        <f>_xll.xlqName(A36)</f>
        <v>Etsy, Inc.</v>
      </c>
      <c r="I36" s="238">
        <f>_xll.xlqChangePercent(A36,tda)/100</f>
        <v>-1.4074595355384064E-3</v>
      </c>
      <c r="J36" s="136">
        <f>_xll.xlq52WeekLow(A36,tda)</f>
        <v>39.81</v>
      </c>
      <c r="K36" s="136">
        <f>_xll.xlq52WeekHigh(A36,tda)</f>
        <v>73.344999999999999</v>
      </c>
      <c r="L36" s="239">
        <f>_xll.xlqPricePerEarnings(A36,tda)</f>
        <v>49</v>
      </c>
      <c r="M36" s="136">
        <f>_xll.xlqYield(A36,tda)</f>
        <v>0</v>
      </c>
      <c r="N36" s="136">
        <f>_xll.xlqVolatility(A36,tda)</f>
        <v>3.61E-2</v>
      </c>
      <c r="O36" s="136">
        <f>_xll.xlqDividendAmount(A36,tda)</f>
        <v>0</v>
      </c>
      <c r="P36" s="182">
        <f>_xll.xlqExDividendDate(A36,tda)</f>
        <v>0</v>
      </c>
      <c r="Q36" s="137">
        <f>_xll.xlqIsShortable(A36,tda)</f>
        <v>1</v>
      </c>
    </row>
    <row r="37" spans="1:17" x14ac:dyDescent="0.25">
      <c r="A37" s="183" t="s">
        <v>26</v>
      </c>
      <c r="B37" s="193">
        <f>_xll.xlqPrice(A37,tda)</f>
        <v>42.72</v>
      </c>
      <c r="C37" s="260">
        <f>SUMIF(Portfolio!$A$2:$A$109,A37,Portfolio!$O$2:$O$109)</f>
        <v>-42.72</v>
      </c>
      <c r="D37" s="200">
        <f>C37/Portfolio!$O$1</f>
        <v>4272</v>
      </c>
      <c r="E37" s="195" t="s">
        <v>146</v>
      </c>
      <c r="F37" s="196">
        <v>5</v>
      </c>
      <c r="G37" s="197">
        <v>0.91</v>
      </c>
      <c r="H37" s="137" t="str">
        <f>_xll.xlqName(A37)</f>
        <v>Open Text Corporation</v>
      </c>
      <c r="I37" s="238">
        <f>_xll.xlqChangePercent(A37,tda)/100</f>
        <v>-1.8691588785047987E-3</v>
      </c>
      <c r="J37" s="136">
        <f>_xll.xlq52WeekLow(A37,tda)</f>
        <v>30.990000000000002</v>
      </c>
      <c r="K37" s="136">
        <f>_xll.xlq52WeekHigh(A37,tda)</f>
        <v>44.49</v>
      </c>
      <c r="L37" s="239">
        <f>_xll.xlqPricePerEarnings(A37,tda)</f>
        <v>36.03</v>
      </c>
      <c r="M37" s="136">
        <f>_xll.xlqYield(A37,tda)</f>
        <v>1.6300000000000001</v>
      </c>
      <c r="N37" s="136">
        <f>_xll.xlqVolatility(A37,tda)</f>
        <v>3.4300000000000004E-2</v>
      </c>
      <c r="O37" s="136">
        <f>_xll.xlqDividendAmount(A37,tda)</f>
        <v>0.69840000000000002</v>
      </c>
      <c r="P37" s="182">
        <f>_xll.xlqExDividendDate(A37,tda)</f>
        <v>43796</v>
      </c>
      <c r="Q37" s="137">
        <f>_xll.xlqIsShortable(A37,tda)</f>
        <v>1</v>
      </c>
    </row>
    <row r="38" spans="1:17" x14ac:dyDescent="0.25">
      <c r="A38" s="183" t="s">
        <v>85</v>
      </c>
      <c r="B38" s="193">
        <f>_xll.xlqPrice(A38,tda)</f>
        <v>213.32000000000002</v>
      </c>
      <c r="C38" s="260">
        <f>SUMIF(Portfolio!$A$2:$A$109,A38,Portfolio!$O$2:$O$109)</f>
        <v>-37.480323999999968</v>
      </c>
      <c r="D38" s="200">
        <f>C38/Portfolio!$O$1</f>
        <v>3748.0323999999969</v>
      </c>
      <c r="E38" s="195" t="s">
        <v>159</v>
      </c>
      <c r="F38" s="196">
        <v>4</v>
      </c>
      <c r="G38" s="197">
        <v>0.88</v>
      </c>
      <c r="H38" s="137" t="str">
        <f>_xll.xlqName(A38)</f>
        <v>Home Depot, Inc. (The)</v>
      </c>
      <c r="I38" s="238">
        <f>_xll.xlqChangePercent(A38,tda)/100</f>
        <v>3.1978931527464577E-3</v>
      </c>
      <c r="J38" s="136">
        <f>_xll.xlq52WeekLow(A38,tda)</f>
        <v>158.09</v>
      </c>
      <c r="K38" s="136">
        <f>_xll.xlq52WeekHigh(A38,tda)</f>
        <v>239.3091</v>
      </c>
      <c r="L38" s="239">
        <f>_xll.xlqPricePerEarnings(A38,tda)</f>
        <v>21.5792</v>
      </c>
      <c r="M38" s="136">
        <f>_xll.xlqYield(A38,tda)</f>
        <v>2.56</v>
      </c>
      <c r="N38" s="136">
        <f>_xll.xlqVolatility(A38,tda)</f>
        <v>1.2200000000000001E-2</v>
      </c>
      <c r="O38" s="136">
        <f>_xll.xlqDividendAmount(A38,tda)</f>
        <v>5.44</v>
      </c>
      <c r="P38" s="182">
        <f>_xll.xlqExDividendDate(A38,tda)</f>
        <v>43803</v>
      </c>
      <c r="Q38" s="137">
        <f>_xll.xlqIsShortable(A38,tda)</f>
        <v>1</v>
      </c>
    </row>
    <row r="39" spans="1:17" x14ac:dyDescent="0.25">
      <c r="A39" s="183" t="s">
        <v>84</v>
      </c>
      <c r="B39" s="193">
        <f>_xll.xlqPrice(A39,tda)</f>
        <v>120.18</v>
      </c>
      <c r="C39" s="260">
        <f>SUMIF(Portfolio!$A$2:$A$109,A39,Portfolio!$O$2:$O$109)</f>
        <v>-31.991916000000003</v>
      </c>
      <c r="D39" s="200">
        <f>C39/Portfolio!$O$1</f>
        <v>3199.1916000000001</v>
      </c>
      <c r="E39" s="195" t="s">
        <v>141</v>
      </c>
      <c r="F39" s="196">
        <v>5</v>
      </c>
      <c r="G39" s="197">
        <v>0.98</v>
      </c>
      <c r="H39" s="137" t="str">
        <f>_xll.xlqName(A39)</f>
        <v>Cboe Global Markets, Inc.</v>
      </c>
      <c r="I39" s="238">
        <f>_xll.xlqChangePercent(A39,tda)/100</f>
        <v>9.1613225618388796E-4</v>
      </c>
      <c r="J39" s="136">
        <f>_xll.xlq52WeekLow(A39,tda)</f>
        <v>87.867800000000003</v>
      </c>
      <c r="K39" s="136">
        <f>_xll.xlq52WeekHigh(A39,tda)</f>
        <v>124.88000000000001</v>
      </c>
      <c r="L39" s="239">
        <f>_xll.xlqPricePerEarnings(A39,tda)</f>
        <v>31.341200000000001</v>
      </c>
      <c r="M39" s="136">
        <f>_xll.xlqYield(A39,tda)</f>
        <v>1.2</v>
      </c>
      <c r="N39" s="136">
        <f>_xll.xlqVolatility(A39,tda)</f>
        <v>5.2000000000000005E-2</v>
      </c>
      <c r="O39" s="136">
        <f>_xll.xlqDividendAmount(A39,tda)</f>
        <v>1.4400000000000002</v>
      </c>
      <c r="P39" s="182">
        <f>_xll.xlqExDividendDate(A39,tda)</f>
        <v>43795</v>
      </c>
      <c r="Q39" s="137">
        <f>_xll.xlqIsShortable(A39,tda)</f>
        <v>1</v>
      </c>
    </row>
    <row r="40" spans="1:17" x14ac:dyDescent="0.25">
      <c r="A40" s="183" t="s">
        <v>27</v>
      </c>
      <c r="B40" s="193">
        <f>_xll.xlqPrice(A40,tda)</f>
        <v>35.094999999999999</v>
      </c>
      <c r="C40" s="260">
        <f>SUMIF(Portfolio!$A$2:$A$109,A40,Portfolio!$O$2:$O$109)</f>
        <v>-29.493837999999997</v>
      </c>
      <c r="D40" s="200">
        <f>C40/Portfolio!$O$1</f>
        <v>2949.3837999999996</v>
      </c>
      <c r="E40" s="195" t="s">
        <v>141</v>
      </c>
      <c r="F40" s="196">
        <v>4</v>
      </c>
      <c r="G40" s="197">
        <v>0.91</v>
      </c>
      <c r="H40" s="137" t="str">
        <f>_xll.xlqName(A40)</f>
        <v>eBay Inc.</v>
      </c>
      <c r="I40" s="238">
        <f>_xll.xlqChangePercent(A40,tda)/100</f>
        <v>9.9280575539568011E-3</v>
      </c>
      <c r="J40" s="136">
        <f>_xll.xlq52WeekLow(A40,tda)</f>
        <v>26.01</v>
      </c>
      <c r="K40" s="136">
        <f>_xll.xlq52WeekHigh(A40,tda)</f>
        <v>42</v>
      </c>
      <c r="L40" s="239">
        <f>_xll.xlqPricePerEarnings(A40,tda)</f>
        <v>20.230700000000002</v>
      </c>
      <c r="M40" s="136">
        <f>_xll.xlqYield(A40,tda)</f>
        <v>1.61</v>
      </c>
      <c r="N40" s="136">
        <f>_xll.xlqVolatility(A40,tda)</f>
        <v>1.2400000000000001E-2</v>
      </c>
      <c r="O40" s="136">
        <f>_xll.xlqDividendAmount(A40,tda)</f>
        <v>0.56000000000000005</v>
      </c>
      <c r="P40" s="182">
        <f>_xll.xlqExDividendDate(A40,tda)</f>
        <v>43798</v>
      </c>
      <c r="Q40" s="137">
        <f>_xll.xlqIsShortable(A40,tda)</f>
        <v>1</v>
      </c>
    </row>
    <row r="41" spans="1:17" x14ac:dyDescent="0.25">
      <c r="A41" s="137" t="s">
        <v>151</v>
      </c>
      <c r="B41" s="193">
        <f>_xll.xlqPrice(A41,tda)</f>
        <v>20.010000000000002</v>
      </c>
      <c r="C41" s="260">
        <f>SUMIF(Portfolio!$A$2:$A$109,A41,Portfolio!$O$2:$O$109)</f>
        <v>-20.010000000000002</v>
      </c>
      <c r="D41" s="200">
        <f>C41/Portfolio!$O$1</f>
        <v>2001.0000000000002</v>
      </c>
      <c r="E41" s="195" t="s">
        <v>158</v>
      </c>
      <c r="F41" s="196">
        <v>5</v>
      </c>
      <c r="G41" s="208">
        <v>1</v>
      </c>
      <c r="H41" s="137" t="str">
        <f>_xll.xlqName(A41)</f>
        <v>Fastly, Inc.</v>
      </c>
      <c r="I41" s="238">
        <f>_xll.xlqChangePercent(A41,tda)/100</f>
        <v>4.3274244004171104E-2</v>
      </c>
      <c r="J41" s="136">
        <f>_xll.xlq52WeekLow(A41,tda)</f>
        <v>14.120000000000001</v>
      </c>
      <c r="K41" s="136">
        <f>_xll.xlq52WeekHigh(A41,tda)</f>
        <v>35.248200000000004</v>
      </c>
      <c r="L41" s="239">
        <f>_xll.xlqPricePerEarnings(A41,tda)</f>
        <v>0</v>
      </c>
      <c r="M41" s="136">
        <f>_xll.xlqYield(A41,tda)</f>
        <v>0</v>
      </c>
      <c r="N41" s="136">
        <f>_xll.xlqVolatility(A41,tda)</f>
        <v>9.1200000000000003E-2</v>
      </c>
      <c r="O41" s="136">
        <f>_xll.xlqDividendAmount(A41,tda)</f>
        <v>0</v>
      </c>
      <c r="P41" s="182">
        <f>_xll.xlqExDividendDate(A41,tda)</f>
        <v>0</v>
      </c>
      <c r="Q41" s="137">
        <f>_xll.xlqIsShortable(A41,tda)</f>
        <v>1</v>
      </c>
    </row>
    <row r="42" spans="1:17" x14ac:dyDescent="0.25">
      <c r="A42" s="183" t="s">
        <v>131</v>
      </c>
      <c r="B42" s="193">
        <f>_xll.xlqPrice(A42,tda)</f>
        <v>19.1999</v>
      </c>
      <c r="C42" s="260">
        <f>SUMIF(Portfolio!$A$2:$A$109,A42,Portfolio!$O$2:$O$109)</f>
        <v>-19.1999</v>
      </c>
      <c r="D42" s="200">
        <f>C42/Portfolio!$O$1</f>
        <v>1919.99</v>
      </c>
      <c r="E42" s="195" t="s">
        <v>141</v>
      </c>
      <c r="F42" s="196">
        <v>5</v>
      </c>
      <c r="G42" s="197">
        <v>0.98857142857142855</v>
      </c>
      <c r="H42" s="137" t="str">
        <f>_xll.xlqName(A42)</f>
        <v>Kinder Morgan, Inc.</v>
      </c>
      <c r="I42" s="238">
        <f>_xll.xlqChangePercent(A42,tda)/100</f>
        <v>2.6057441253262343E-3</v>
      </c>
      <c r="J42" s="136">
        <f>_xll.xlq52WeekLow(A42,tda)</f>
        <v>14.620100000000001</v>
      </c>
      <c r="K42" s="136">
        <f>_xll.xlq52WeekHigh(A42,tda)</f>
        <v>21.495000000000001</v>
      </c>
      <c r="L42" s="239">
        <f>_xll.xlqPricePerEarnings(A42,tda)</f>
        <v>21.340500000000002</v>
      </c>
      <c r="M42" s="136">
        <f>_xll.xlqYield(A42,tda)</f>
        <v>5.2200000000000006</v>
      </c>
      <c r="N42" s="136">
        <f>_xll.xlqVolatility(A42,tda)</f>
        <v>1.9200000000000002E-2</v>
      </c>
      <c r="O42" s="136">
        <f>_xll.xlqDividendAmount(A42,tda)</f>
        <v>1</v>
      </c>
      <c r="P42" s="182">
        <f>_xll.xlqExDividendDate(A42,tda)</f>
        <v>43768</v>
      </c>
      <c r="Q42" s="137">
        <f>_xll.xlqIsShortable(A42,tda)</f>
        <v>1</v>
      </c>
    </row>
    <row r="43" spans="1:17" x14ac:dyDescent="0.25">
      <c r="A43" s="137" t="s">
        <v>136</v>
      </c>
      <c r="B43" s="193">
        <f>_xll.xlqPrice(A43,tda)</f>
        <v>16.27</v>
      </c>
      <c r="C43" s="260">
        <f>SUMIF(Portfolio!$A$2:$A$109,A43,Portfolio!$O$2:$O$109)</f>
        <v>-16.27</v>
      </c>
      <c r="D43" s="200">
        <f>C43/Portfolio!$O$1</f>
        <v>1627</v>
      </c>
      <c r="E43" s="195" t="s">
        <v>140</v>
      </c>
      <c r="F43" s="64"/>
      <c r="G43" s="64"/>
      <c r="H43" s="137" t="str">
        <f>_xll.xlqName(A43)</f>
        <v>BrightView Holdings, Inc.</v>
      </c>
      <c r="I43" s="238">
        <f>_xll.xlqChangePercent(A43,tda)/100</f>
        <v>5.5624227441285453E-3</v>
      </c>
      <c r="J43" s="136">
        <f>_xll.xlq52WeekLow(A43,tda)</f>
        <v>9.0500000000000007</v>
      </c>
      <c r="K43" s="136">
        <f>_xll.xlq52WeekHigh(A43,tda)</f>
        <v>20.27</v>
      </c>
      <c r="L43" s="239">
        <f>_xll.xlqPricePerEarnings(A43,tda)</f>
        <v>38.090000000000003</v>
      </c>
      <c r="M43" s="136">
        <f>_xll.xlqYield(A43,tda)</f>
        <v>0</v>
      </c>
      <c r="N43" s="136">
        <f>_xll.xlqVolatility(A43,tda)</f>
        <v>8.0399999999999999E-2</v>
      </c>
      <c r="O43" s="136">
        <f>_xll.xlqDividendAmount(A43,tda)</f>
        <v>0</v>
      </c>
      <c r="P43" s="182">
        <f>_xll.xlqExDividendDate(A43,tda)</f>
        <v>0</v>
      </c>
      <c r="Q43" s="137">
        <f>_xll.xlqIsShortable(A43,tda)</f>
        <v>1</v>
      </c>
    </row>
    <row r="44" spans="1:17" x14ac:dyDescent="0.25">
      <c r="A44" s="183" t="s">
        <v>156</v>
      </c>
      <c r="B44" s="193">
        <f>_xll.xlqPrice(A44,tda)</f>
        <v>23.51</v>
      </c>
      <c r="C44" s="260">
        <f>SUMIF(Portfolio!$A$2:$A$109,A44,Portfolio!$O$2:$O$109)</f>
        <v>-16.059681000000005</v>
      </c>
      <c r="D44" s="200">
        <f>C44/Portfolio!$O$1</f>
        <v>1605.9681000000005</v>
      </c>
      <c r="E44" s="195" t="s">
        <v>157</v>
      </c>
      <c r="F44" s="196">
        <v>4</v>
      </c>
      <c r="G44" s="197">
        <f>105/110</f>
        <v>0.95454545454545459</v>
      </c>
      <c r="H44" s="137" t="str">
        <f>_xll.xlqName(A44)</f>
        <v>Stitch Fix, Inc.</v>
      </c>
      <c r="I44" s="238">
        <f>_xll.xlqChangePercent(A44,tda)/100</f>
        <v>-2.6501035196687391E-2</v>
      </c>
      <c r="J44" s="136">
        <f>_xll.xlq52WeekLow(A44,tda)</f>
        <v>16.05</v>
      </c>
      <c r="K44" s="136">
        <f>_xll.xlq52WeekHigh(A44,tda)</f>
        <v>37.72</v>
      </c>
      <c r="L44" s="239">
        <f>_xll.xlqPricePerEarnings(A44,tda)</f>
        <v>64.19</v>
      </c>
      <c r="M44" s="136">
        <f>_xll.xlqYield(A44,tda)</f>
        <v>0</v>
      </c>
      <c r="N44" s="136">
        <f>_xll.xlqVolatility(A44,tda)</f>
        <v>7.0500000000000007E-2</v>
      </c>
      <c r="O44" s="136">
        <f>_xll.xlqDividendAmount(A44,tda)</f>
        <v>0</v>
      </c>
      <c r="P44" s="182">
        <f>_xll.xlqExDividendDate(A44,tda)</f>
        <v>0</v>
      </c>
      <c r="Q44" s="137">
        <f>_xll.xlqIsShortable(A44,tda)</f>
        <v>1</v>
      </c>
    </row>
    <row r="45" spans="1:17" x14ac:dyDescent="0.25">
      <c r="A45" s="183" t="s">
        <v>109</v>
      </c>
      <c r="B45" s="193">
        <f>_xll.xlqPrice(A45,tda)</f>
        <v>15.38</v>
      </c>
      <c r="C45" s="260">
        <f>SUMIF(Portfolio!$A$2:$A$109,A45,Portfolio!$O$2:$O$109)</f>
        <v>-15.380000000000003</v>
      </c>
      <c r="D45" s="200">
        <f>C45/Portfolio!$O$1</f>
        <v>1538.0000000000002</v>
      </c>
      <c r="E45" s="195" t="s">
        <v>145</v>
      </c>
      <c r="F45" s="196">
        <v>5</v>
      </c>
      <c r="G45" s="197">
        <v>0.98</v>
      </c>
      <c r="H45" s="137" t="str">
        <f>_xll.xlqName(A45)</f>
        <v>Zuora, Inc.</v>
      </c>
      <c r="I45" s="238">
        <f>_xll.xlqChangePercent(A45,tda)/100</f>
        <v>1.3020833333333053E-3</v>
      </c>
      <c r="J45" s="136">
        <f>_xll.xlq52WeekLow(A45,tda)</f>
        <v>13.040000000000001</v>
      </c>
      <c r="K45" s="136">
        <f>_xll.xlq52WeekHigh(A45,tda)</f>
        <v>24.650000000000002</v>
      </c>
      <c r="L45" s="239">
        <f>_xll.xlqPricePerEarnings(A45,tda)</f>
        <v>0</v>
      </c>
      <c r="M45" s="136">
        <f>_xll.xlqYield(A45,tda)</f>
        <v>0</v>
      </c>
      <c r="N45" s="136">
        <f>_xll.xlqVolatility(A45,tda)</f>
        <v>8.5900000000000004E-2</v>
      </c>
      <c r="O45" s="136">
        <f>_xll.xlqDividendAmount(A45,tda)</f>
        <v>0</v>
      </c>
      <c r="P45" s="182">
        <f>_xll.xlqExDividendDate(A45,tda)</f>
        <v>0</v>
      </c>
      <c r="Q45" s="137">
        <f>_xll.xlqIsShortable(A45,tda)</f>
        <v>1</v>
      </c>
    </row>
    <row r="46" spans="1:17" x14ac:dyDescent="0.25">
      <c r="A46" s="183" t="s">
        <v>86</v>
      </c>
      <c r="B46" s="193">
        <f>_xll.xlqPrice(A46,tda)</f>
        <v>31.775000000000002</v>
      </c>
      <c r="C46" s="260">
        <f>SUMIF(Portfolio!$A$2:$A$109,A46,Portfolio!$O$2:$O$109)</f>
        <v>-11.127604999999999</v>
      </c>
      <c r="D46" s="200">
        <f>C46/Portfolio!$O$1</f>
        <v>1112.7604999999999</v>
      </c>
      <c r="E46" s="195" t="s">
        <v>143</v>
      </c>
      <c r="F46" s="196">
        <v>5</v>
      </c>
      <c r="G46" s="197">
        <v>0.98</v>
      </c>
      <c r="H46" s="137" t="str">
        <f>_xll.xlqName(A46)</f>
        <v>JD.com, Inc.</v>
      </c>
      <c r="I46" s="238">
        <f>_xll.xlqChangePercent(A46,tda)/100</f>
        <v>-7.9612862940992499E-3</v>
      </c>
      <c r="J46" s="136">
        <f>_xll.xlq52WeekLow(A46,tda)</f>
        <v>19.260000000000002</v>
      </c>
      <c r="K46" s="136">
        <f>_xll.xlq52WeekHigh(A46,tda)</f>
        <v>35.43</v>
      </c>
      <c r="L46" s="239">
        <f>_xll.xlqPricePerEarnings(A46,tda)</f>
        <v>90.240000000000009</v>
      </c>
      <c r="M46" s="136">
        <f>_xll.xlqYield(A46,tda)</f>
        <v>0</v>
      </c>
      <c r="N46" s="136">
        <f>_xll.xlqVolatility(A46,tda)</f>
        <v>1.4100000000000001E-2</v>
      </c>
      <c r="O46" s="136">
        <f>_xll.xlqDividendAmount(A46,tda)</f>
        <v>0</v>
      </c>
      <c r="P46" s="182">
        <f>_xll.xlqExDividendDate(A46,tda)</f>
        <v>0</v>
      </c>
      <c r="Q46" s="137">
        <f>_xll.xlqIsShortable(A46,tda)</f>
        <v>1</v>
      </c>
    </row>
    <row r="47" spans="1:17" x14ac:dyDescent="0.25">
      <c r="A47" s="183" t="s">
        <v>66</v>
      </c>
      <c r="B47" s="193">
        <f>_xll.xlqPrice(A47,tda)</f>
        <v>43.84</v>
      </c>
      <c r="C47" s="260">
        <f>SUMIF(Portfolio!$A$2:$A$109,A47,Portfolio!$O$2:$O$109)</f>
        <v>-10.574207999999999</v>
      </c>
      <c r="D47" s="200">
        <f>C47/Portfolio!$O$1</f>
        <v>1057.4207999999999</v>
      </c>
      <c r="E47" s="195" t="s">
        <v>141</v>
      </c>
      <c r="F47" s="196">
        <v>5</v>
      </c>
      <c r="G47" s="197">
        <v>0.95</v>
      </c>
      <c r="H47" s="137" t="str">
        <f>_xll.xlqName(A47)</f>
        <v>Shutterstock, Inc.</v>
      </c>
      <c r="I47" s="238">
        <f>_xll.xlqChangePercent(A47,tda)/100</f>
        <v>2.5497076023391893E-2</v>
      </c>
      <c r="J47" s="136">
        <f>_xll.xlq52WeekLow(A47,tda)</f>
        <v>31.770000000000003</v>
      </c>
      <c r="K47" s="136">
        <f>_xll.xlq52WeekHigh(A47,tda)</f>
        <v>50.09</v>
      </c>
      <c r="L47" s="239">
        <f>_xll.xlqPricePerEarnings(A47,tda)</f>
        <v>47.7</v>
      </c>
      <c r="M47" s="136">
        <f>_xll.xlqYield(A47,tda)</f>
        <v>0</v>
      </c>
      <c r="N47" s="136">
        <f>_xll.xlqVolatility(A47,tda)</f>
        <v>7.8800000000000009E-2</v>
      </c>
      <c r="O47" s="136">
        <f>_xll.xlqDividendAmount(A47,tda)</f>
        <v>0</v>
      </c>
      <c r="P47" s="182">
        <f>_xll.xlqExDividendDate(A47,tda)</f>
        <v>0</v>
      </c>
      <c r="Q47" s="137">
        <f>_xll.xlqIsShortable(A47,tda)</f>
        <v>1</v>
      </c>
    </row>
    <row r="48" spans="1:17" x14ac:dyDescent="0.25">
      <c r="A48" s="183" t="s">
        <v>2</v>
      </c>
      <c r="B48" s="193">
        <f>_xll.xlqPrice(A48,tda)</f>
        <v>262.34640000000002</v>
      </c>
      <c r="C48" s="260">
        <f>SUMIF(Portfolio!$A$2:$A$109,A48,Portfolio!$O$2:$O$109)</f>
        <v>-10.362682799999988</v>
      </c>
      <c r="D48" s="200">
        <f>C48/Portfolio!$O$1</f>
        <v>1036.2682799999986</v>
      </c>
      <c r="E48" s="221" t="s">
        <v>145</v>
      </c>
      <c r="F48" s="189">
        <v>4</v>
      </c>
      <c r="G48" s="190">
        <v>0.97</v>
      </c>
      <c r="H48" s="137" t="str">
        <f>_xll.xlqName(A48)</f>
        <v>Apple Inc.</v>
      </c>
      <c r="I48" s="238">
        <f>_xll.xlqChangePercent(A48,tda)/100</f>
        <v>1.1163615340142718E-2</v>
      </c>
      <c r="J48" s="136">
        <f>_xll.xlq52WeekLow(A48,tda)</f>
        <v>142</v>
      </c>
      <c r="K48" s="136">
        <f>_xll.xlq52WeekHigh(A48,tda)</f>
        <v>268.25</v>
      </c>
      <c r="L48" s="239">
        <f>_xll.xlqPricePerEarnings(A48,tda)</f>
        <v>22.287100000000002</v>
      </c>
      <c r="M48" s="136">
        <f>_xll.xlqYield(A48,tda)</f>
        <v>1.19</v>
      </c>
      <c r="N48" s="136">
        <f>_xll.xlqVolatility(A48,tda)</f>
        <v>1.4500000000000001E-2</v>
      </c>
      <c r="O48" s="136">
        <f>_xll.xlqDividendAmount(A48,tda)</f>
        <v>3.08</v>
      </c>
      <c r="P48" s="182">
        <f>_xll.xlqExDividendDate(A48,tda)</f>
        <v>43776</v>
      </c>
      <c r="Q48" s="137">
        <f>_xll.xlqIsShortable(A48,tda)</f>
        <v>1</v>
      </c>
    </row>
    <row r="49" spans="1:17" x14ac:dyDescent="0.25">
      <c r="A49" s="137" t="s">
        <v>167</v>
      </c>
      <c r="B49" s="193">
        <f>_xll.xlqPrice(A49,tda)</f>
        <v>8.9213000000000005</v>
      </c>
      <c r="C49" s="260">
        <f>SUMIF(Portfolio!$A$2:$A$109,A49,Portfolio!$O$2:$O$109)</f>
        <v>-8.9213000000000005</v>
      </c>
      <c r="D49" s="200">
        <f>C49/Portfolio!$O$1</f>
        <v>892.13</v>
      </c>
      <c r="E49" s="195">
        <v>4</v>
      </c>
      <c r="F49" s="196">
        <v>5</v>
      </c>
      <c r="G49" s="197">
        <v>1</v>
      </c>
      <c r="H49" s="137" t="str">
        <f>_xll.xlqName(A49)</f>
        <v>CHARLOTTES WEB HOLDINGS INC</v>
      </c>
      <c r="I49" s="238">
        <f>_xll.xlqChangePercent(A49,tda)/100</f>
        <v>-2.3927789934354498E-2</v>
      </c>
      <c r="J49" s="136">
        <f>_xll.xlq52WeekLow(A49,tda)</f>
        <v>8.35</v>
      </c>
      <c r="K49" s="136">
        <f>_xll.xlq52WeekHigh(A49,tda)</f>
        <v>25.25</v>
      </c>
      <c r="L49" s="239">
        <f>_xll.xlqPricePerEarnings(A49,tda)</f>
        <v>148.17000000000002</v>
      </c>
      <c r="M49" s="136">
        <f>_xll.xlqYield(A49,tda)</f>
        <v>0</v>
      </c>
      <c r="N49" s="136">
        <f>_xll.xlqVolatility(A49,tda)</f>
        <v>0.1807</v>
      </c>
      <c r="O49" s="136">
        <f>_xll.xlqDividendAmount(A49,tda)</f>
        <v>0</v>
      </c>
      <c r="P49" s="182">
        <f>_xll.xlqExDividendDate(A49,tda)</f>
        <v>0</v>
      </c>
      <c r="Q49" s="137">
        <f>_xll.xlqIsShortable(A49,tda)</f>
        <v>1</v>
      </c>
    </row>
    <row r="50" spans="1:17" x14ac:dyDescent="0.25">
      <c r="A50" s="183" t="s">
        <v>28</v>
      </c>
      <c r="B50" s="193">
        <f>_xll.xlqPrice(A50,tda)</f>
        <v>208.79000000000002</v>
      </c>
      <c r="C50" s="260">
        <f>SUMIF(Portfolio!$A$2:$A$109,A50,Portfolio!$O$2:$O$109)</f>
        <v>-2.46372199999999</v>
      </c>
      <c r="D50" s="200">
        <f>C50/Portfolio!$O$1</f>
        <v>246.372199999999</v>
      </c>
      <c r="E50" s="195">
        <v>6</v>
      </c>
      <c r="F50" s="196">
        <v>4</v>
      </c>
      <c r="G50" s="197">
        <f>1805/1827</f>
        <v>0.98795840175150518</v>
      </c>
      <c r="H50" s="137" t="str">
        <f>_xll.xlqName(A50)</f>
        <v>NVIDIA Corporation</v>
      </c>
      <c r="I50" s="238">
        <f>_xll.xlqChangePercent(A50,tda)/100</f>
        <v>5.44158720986239E-3</v>
      </c>
      <c r="J50" s="136">
        <f>_xll.xlq52WeekLow(A50,tda)</f>
        <v>124.46000000000001</v>
      </c>
      <c r="K50" s="136">
        <f>_xll.xlq52WeekHigh(A50,tda)</f>
        <v>221.41</v>
      </c>
      <c r="L50" s="239">
        <f>_xll.xlqPricePerEarnings(A50,tda)</f>
        <v>59.267700000000005</v>
      </c>
      <c r="M50" s="136">
        <f>_xll.xlqYield(A50,tda)</f>
        <v>0.31</v>
      </c>
      <c r="N50" s="136">
        <f>_xll.xlqVolatility(A50,tda)</f>
        <v>1.9800000000000002E-2</v>
      </c>
      <c r="O50" s="136">
        <f>_xll.xlqDividendAmount(A50,tda)</f>
        <v>0.64</v>
      </c>
      <c r="P50" s="182">
        <f>_xll.xlqExDividendDate(A50,tda)</f>
        <v>43796</v>
      </c>
      <c r="Q50" s="137">
        <f>_xll.xlqIsShortable(A50,tda)</f>
        <v>1</v>
      </c>
    </row>
    <row r="51" spans="1:17" x14ac:dyDescent="0.25">
      <c r="A51" s="137" t="s">
        <v>134</v>
      </c>
      <c r="B51" s="193">
        <f>_xll.xlqPrice(A51,tda)</f>
        <v>194.46</v>
      </c>
      <c r="C51" s="260">
        <f>SUMIF(Portfolio!$A$2:$A$109,A51,Portfolio!$O$2:$O$109)</f>
        <v>0</v>
      </c>
      <c r="D51" s="200">
        <f>C51/Portfolio!$O$1</f>
        <v>0</v>
      </c>
      <c r="E51" s="195" t="s">
        <v>140</v>
      </c>
      <c r="F51" s="196">
        <v>5</v>
      </c>
      <c r="G51" s="197">
        <v>0.99</v>
      </c>
      <c r="H51" s="137" t="str">
        <f>_xll.xlqName(A51)</f>
        <v>Arista Networks, Inc.</v>
      </c>
      <c r="I51" s="238">
        <f>_xll.xlqChangePercent(A51,tda)/100</f>
        <v>1.2865253398614504E-2</v>
      </c>
      <c r="J51" s="136">
        <f>_xll.xlq52WeekLow(A51,tda)</f>
        <v>173.31</v>
      </c>
      <c r="K51" s="136">
        <f>_xll.xlq52WeekHigh(A51,tda)</f>
        <v>331.27000000000004</v>
      </c>
      <c r="L51" s="239">
        <f>_xll.xlqPricePerEarnings(A51,tda)</f>
        <v>19.080000000000002</v>
      </c>
      <c r="M51" s="136">
        <f>_xll.xlqYield(A51,tda)</f>
        <v>0</v>
      </c>
      <c r="N51" s="136">
        <f>_xll.xlqVolatility(A51,tda)</f>
        <v>4.4500000000000005E-2</v>
      </c>
      <c r="O51" s="136">
        <f>_xll.xlqDividendAmount(A51,tda)</f>
        <v>0</v>
      </c>
      <c r="P51" s="182">
        <f>_xll.xlqExDividendDate(A51,tda)</f>
        <v>0</v>
      </c>
      <c r="Q51" s="137">
        <f>_xll.xlqIsShortable(A51,tda)</f>
        <v>1</v>
      </c>
    </row>
    <row r="52" spans="1:17" x14ac:dyDescent="0.25">
      <c r="A52" s="137" t="s">
        <v>76</v>
      </c>
      <c r="B52" s="193">
        <f>_xll.xlqPrice(A52,tda)</f>
        <v>42.24</v>
      </c>
      <c r="C52" s="260">
        <f>SUMIF(Portfolio!$A$2:$A$109,A52,Portfolio!$O$2:$O$109)</f>
        <v>0</v>
      </c>
      <c r="D52" s="200">
        <f>C52/Portfolio!$O$1</f>
        <v>0</v>
      </c>
      <c r="E52" s="195" t="s">
        <v>145</v>
      </c>
      <c r="F52" s="196">
        <v>5</v>
      </c>
      <c r="G52" s="197">
        <v>0.99</v>
      </c>
      <c r="H52" s="137" t="str">
        <f>_xll.xlqName(A52)</f>
        <v>TENCENT HOLDINGS LIMITED</v>
      </c>
      <c r="I52" s="238">
        <f>_xll.xlqChangePercent(A52,tda)/100</f>
        <v>1.3192612137203097E-2</v>
      </c>
      <c r="J52" s="136">
        <f>_xll.xlq52WeekLow(A52,tda)</f>
        <v>37.370000000000005</v>
      </c>
      <c r="K52" s="136">
        <f>_xll.xlq52WeekHigh(A52,tda)</f>
        <v>51.24</v>
      </c>
      <c r="L52" s="239">
        <f>_xll.xlqPricePerEarnings(A52,tda)</f>
        <v>31.39</v>
      </c>
      <c r="M52" s="136">
        <f>_xll.xlqYield(A52,tda)</f>
        <v>0.61</v>
      </c>
      <c r="N52" s="136">
        <f>_xll.xlqVolatility(A52,tda)</f>
        <v>2.9700000000000001E-2</v>
      </c>
      <c r="O52" s="136">
        <f>_xll.xlqDividendAmount(A52,tda)</f>
        <v>0.26</v>
      </c>
      <c r="P52" s="182">
        <f>_xll.xlqExDividendDate(A52,tda)</f>
        <v>43601</v>
      </c>
      <c r="Q52" s="137">
        <f>_xll.xlqIsShortable(A52,tda)</f>
        <v>1</v>
      </c>
    </row>
    <row r="53" spans="1:17" x14ac:dyDescent="0.25">
      <c r="A53" s="183" t="s">
        <v>127</v>
      </c>
      <c r="B53" s="193">
        <f>_xll.xlqPrice(A53,tda)</f>
        <v>29.14</v>
      </c>
      <c r="C53" s="260">
        <f>SUMIF(Portfolio!$A$2:$A$109,A53,Portfolio!$O$2:$O$109)</f>
        <v>1.4832259999999999</v>
      </c>
      <c r="D53" s="200">
        <f>C53/Portfolio!$O$1</f>
        <v>-148.32259999999999</v>
      </c>
      <c r="E53" s="195" t="s">
        <v>139</v>
      </c>
      <c r="F53" s="196">
        <v>2</v>
      </c>
      <c r="G53" s="197">
        <v>0.89</v>
      </c>
      <c r="H53" s="137" t="str">
        <f>_xll.xlqName(A53)</f>
        <v>ConAgra Brands, Inc.</v>
      </c>
      <c r="I53" s="238">
        <f>_xll.xlqChangePercent(A53,tda)/100</f>
        <v>1.888111888111885E-2</v>
      </c>
      <c r="J53" s="136">
        <f>_xll.xlq52WeekLow(A53,tda)</f>
        <v>20.220000000000002</v>
      </c>
      <c r="K53" s="136">
        <f>_xll.xlq52WeekHigh(A53,tda)</f>
        <v>32.800000000000004</v>
      </c>
      <c r="L53" s="239">
        <f>_xll.xlqPricePerEarnings(A53,tda)</f>
        <v>20.096700000000002</v>
      </c>
      <c r="M53" s="136">
        <f>_xll.xlqYield(A53,tda)</f>
        <v>2.97</v>
      </c>
      <c r="N53" s="136">
        <f>_xll.xlqVolatility(A53,tda)</f>
        <v>1.6500000000000001E-2</v>
      </c>
      <c r="O53" s="136">
        <f>_xll.xlqDividendAmount(A53,tda)</f>
        <v>0.85000000000000009</v>
      </c>
      <c r="P53" s="182">
        <f>_xll.xlqExDividendDate(A53,tda)</f>
        <v>43769</v>
      </c>
      <c r="Q53" s="137">
        <f>_xll.xlqIsShortable(A53,tda)</f>
        <v>1</v>
      </c>
    </row>
    <row r="54" spans="1:17" x14ac:dyDescent="0.25">
      <c r="A54" s="183" t="s">
        <v>3</v>
      </c>
      <c r="B54" s="193">
        <f>_xll.xlqPrice(A54,tda)</f>
        <v>148.47</v>
      </c>
      <c r="C54" s="260">
        <f>SUMIF(Portfolio!$A$2:$A$109,A54,Portfolio!$O$2:$O$109)</f>
        <v>11.862752999999998</v>
      </c>
      <c r="D54" s="200">
        <f>C54/Portfolio!$O$1</f>
        <v>-1186.2752999999998</v>
      </c>
      <c r="E54" s="195" t="s">
        <v>141</v>
      </c>
      <c r="F54" s="196">
        <v>5</v>
      </c>
      <c r="G54" s="197">
        <v>0.98</v>
      </c>
      <c r="H54" s="137" t="str">
        <f>_xll.xlqName(A54)</f>
        <v>Walt Disney Company (The)</v>
      </c>
      <c r="I54" s="238">
        <f>_xll.xlqChangePercent(A54,tda)/100</f>
        <v>-7.4034190335182145E-4</v>
      </c>
      <c r="J54" s="136">
        <f>_xll.xlq52WeekLow(A54,tda)</f>
        <v>100.35000000000001</v>
      </c>
      <c r="K54" s="136">
        <f>_xll.xlq52WeekHigh(A54,tda)</f>
        <v>153.41</v>
      </c>
      <c r="L54" s="239">
        <f>_xll.xlqPricePerEarnings(A54,tda)</f>
        <v>22.8337</v>
      </c>
      <c r="M54" s="136">
        <f>_xll.xlqYield(A54,tda)</f>
        <v>1.1800000000000002</v>
      </c>
      <c r="N54" s="136">
        <f>_xll.xlqVolatility(A54,tda)</f>
        <v>1.7000000000000001E-2</v>
      </c>
      <c r="O54" s="136">
        <f>_xll.xlqDividendAmount(A54,tda)</f>
        <v>1.76</v>
      </c>
      <c r="P54" s="182">
        <f>_xll.xlqExDividendDate(A54,tda)</f>
        <v>43651</v>
      </c>
      <c r="Q54" s="137">
        <f>_xll.xlqIsShortable(A54,tda)</f>
        <v>1</v>
      </c>
    </row>
    <row r="55" spans="1:17" x14ac:dyDescent="0.25">
      <c r="A55" s="183" t="s">
        <v>4</v>
      </c>
      <c r="B55" s="193">
        <f>_xll.xlqPrice(A55,tda)</f>
        <v>199.14000000000001</v>
      </c>
      <c r="C55" s="260">
        <f>SUMIF(Portfolio!$A$2:$A$109,A55,Portfolio!$O$2:$O$109)</f>
        <v>47.793600000000055</v>
      </c>
      <c r="D55" s="200">
        <f>C55/Portfolio!$O$1</f>
        <v>-4779.3600000000051</v>
      </c>
      <c r="E55" s="195" t="s">
        <v>145</v>
      </c>
      <c r="F55" s="196">
        <v>4</v>
      </c>
      <c r="G55" s="197">
        <v>0.88235294117647056</v>
      </c>
      <c r="H55" s="137" t="str">
        <f>_xll.xlqName(A55)</f>
        <v>Facebook, Inc.</v>
      </c>
      <c r="I55" s="238">
        <f>_xll.xlqChangePercent(A55,tda)/100</f>
        <v>1.6094960265566499E-3</v>
      </c>
      <c r="J55" s="136">
        <f>_xll.xlq52WeekLow(A55,tda)</f>
        <v>123.02000000000001</v>
      </c>
      <c r="K55" s="136">
        <f>_xll.xlq52WeekHigh(A55,tda)</f>
        <v>208.66</v>
      </c>
      <c r="L55" s="239">
        <f>_xll.xlqPricePerEarnings(A55,tda)</f>
        <v>31.75</v>
      </c>
      <c r="M55" s="136">
        <f>_xll.xlqYield(A55,tda)</f>
        <v>0</v>
      </c>
      <c r="N55" s="136">
        <f>_xll.xlqVolatility(A55,tda)</f>
        <v>0.01</v>
      </c>
      <c r="O55" s="136">
        <f>_xll.xlqDividendAmount(A55,tda)</f>
        <v>0</v>
      </c>
      <c r="P55" s="182">
        <f>_xll.xlqExDividendDate(A55,tda)</f>
        <v>0</v>
      </c>
      <c r="Q55" s="137">
        <f>_xll.xlqIsShortable(A55,tda)</f>
        <v>1</v>
      </c>
    </row>
    <row r="56" spans="1:17" x14ac:dyDescent="0.25">
      <c r="A56" s="183" t="s">
        <v>129</v>
      </c>
      <c r="B56" s="193">
        <f>_xll.xlqPrice(A56,tda)</f>
        <v>57.400000000000006</v>
      </c>
      <c r="C56" s="260">
        <f>SUMIF(Portfolio!$A$2:$A$109,A56,Portfolio!$O$2:$O$109)</f>
        <v>64.144500000000008</v>
      </c>
      <c r="D56" s="200">
        <f>C56/Portfolio!$O$1</f>
        <v>-6414.4500000000007</v>
      </c>
      <c r="E56" s="195" t="s">
        <v>139</v>
      </c>
      <c r="F56" s="196">
        <v>2</v>
      </c>
      <c r="G56" s="197">
        <v>0.92</v>
      </c>
      <c r="H56" s="137" t="str">
        <f>_xll.xlqName(A56)</f>
        <v>DENTSPLY SIRONA Inc.</v>
      </c>
      <c r="I56" s="238">
        <f>_xll.xlqChangePercent(A56,tda)/100</f>
        <v>4.7260633642570125E-3</v>
      </c>
      <c r="J56" s="136">
        <f>_xll.xlq52WeekLow(A56,tda)</f>
        <v>34.93</v>
      </c>
      <c r="K56" s="136">
        <f>_xll.xlq52WeekHigh(A56,tda)</f>
        <v>60.150000000000006</v>
      </c>
      <c r="L56" s="239">
        <f>_xll.xlqPricePerEarnings(A56,tda)</f>
        <v>79.422899999999998</v>
      </c>
      <c r="M56" s="136">
        <f>_xll.xlqYield(A56,tda)</f>
        <v>0.70000000000000007</v>
      </c>
      <c r="N56" s="136">
        <f>_xll.xlqVolatility(A56,tda)</f>
        <v>2.1100000000000001E-2</v>
      </c>
      <c r="O56" s="136">
        <f>_xll.xlqDividendAmount(A56,tda)</f>
        <v>0.4</v>
      </c>
      <c r="P56" s="182">
        <f>_xll.xlqExDividendDate(A56,tda)</f>
        <v>43734</v>
      </c>
      <c r="Q56" s="137">
        <f>_xll.xlqIsShortable(A56,tda)</f>
        <v>1</v>
      </c>
    </row>
    <row r="57" spans="1:17" x14ac:dyDescent="0.25">
      <c r="A57" s="183" t="s">
        <v>128</v>
      </c>
      <c r="B57" s="193">
        <f>_xll.xlqPrice(A57,tda)</f>
        <v>136.65</v>
      </c>
      <c r="C57" s="260">
        <f>SUMIF(Portfolio!$A$2:$A$109,A57,Portfolio!$O$2:$O$109)</f>
        <v>134.73690000000002</v>
      </c>
      <c r="D57" s="200">
        <f>C57/Portfolio!$O$1</f>
        <v>-13473.690000000002</v>
      </c>
      <c r="E57" s="195" t="s">
        <v>139</v>
      </c>
      <c r="F57" s="196">
        <v>2</v>
      </c>
      <c r="G57" s="197">
        <v>0.89</v>
      </c>
      <c r="H57" s="137" t="str">
        <f>_xll.xlqName(A57)</f>
        <v>Equifax, Inc.</v>
      </c>
      <c r="I57" s="238">
        <f>_xll.xlqChangePercent(A57,tda)/100</f>
        <v>3.5987074030552962E-3</v>
      </c>
      <c r="J57" s="136">
        <f>_xll.xlq52WeekLow(A57,tda)</f>
        <v>88.68</v>
      </c>
      <c r="K57" s="136">
        <f>_xll.xlq52WeekHigh(A57,tda)</f>
        <v>148.59</v>
      </c>
      <c r="L57" s="239">
        <f>_xll.xlqPricePerEarnings(A57,tda)</f>
        <v>0</v>
      </c>
      <c r="M57" s="136">
        <f>_xll.xlqYield(A57,tda)</f>
        <v>1.1500000000000001</v>
      </c>
      <c r="N57" s="136">
        <f>_xll.xlqVolatility(A57,tda)</f>
        <v>4.5400000000000003E-2</v>
      </c>
      <c r="O57" s="136">
        <f>_xll.xlqDividendAmount(A57,tda)</f>
        <v>1.56</v>
      </c>
      <c r="P57" s="182">
        <f>_xll.xlqExDividendDate(A57,tda)</f>
        <v>43790</v>
      </c>
      <c r="Q57" s="137">
        <f>_xll.xlqIsShortable(A57,tda)</f>
        <v>1</v>
      </c>
    </row>
  </sheetData>
  <sortState xmlns:xlrd2="http://schemas.microsoft.com/office/spreadsheetml/2017/richdata2" ref="A2:Q57">
    <sortCondition descending="1" ref="D25"/>
  </sortState>
  <conditionalFormatting sqref="D2:D57">
    <cfRule type="colorScale" priority="2">
      <colorScale>
        <cfvo type="min"/>
        <cfvo type="percentile" val="50"/>
        <cfvo type="max"/>
        <color rgb="FF63BE7B"/>
        <color rgb="FFFFEB84"/>
        <color rgb="FFF8696B"/>
      </colorScale>
    </cfRule>
  </conditionalFormatting>
  <conditionalFormatting sqref="I2:I5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89"/>
  <sheetViews>
    <sheetView zoomScaleNormal="100" workbookViewId="0">
      <selection activeCell="H1" sqref="H1"/>
    </sheetView>
  </sheetViews>
  <sheetFormatPr defaultColWidth="14.42578125" defaultRowHeight="15" customHeight="1" x14ac:dyDescent="0.25"/>
  <cols>
    <col min="1" max="1" width="3.42578125" style="47" customWidth="1"/>
    <col min="2" max="2" width="1.140625" style="47" customWidth="1"/>
    <col min="3" max="3" width="10.42578125" style="75" customWidth="1"/>
    <col min="4" max="4" width="10.140625" style="75" bestFit="1" customWidth="1"/>
    <col min="5" max="5" width="16.42578125" style="75" bestFit="1" customWidth="1"/>
    <col min="6" max="6" width="23.140625" style="75" customWidth="1"/>
    <col min="7" max="7" width="5.7109375" style="75" customWidth="1"/>
    <col min="8" max="8" width="6" customWidth="1"/>
    <col min="9" max="9" width="10.5703125" style="82" customWidth="1"/>
    <col min="10" max="10" width="10.140625" style="81" customWidth="1"/>
    <col min="11" max="11" width="15.5703125" style="81" bestFit="1" customWidth="1"/>
    <col min="12" max="12" width="30.140625" style="81" bestFit="1" customWidth="1"/>
    <col min="13" max="13" width="5.7109375" style="81" customWidth="1"/>
    <col min="14" max="14" width="7" style="49" customWidth="1"/>
    <col min="15" max="15" width="14.42578125" style="54"/>
    <col min="16" max="16" width="6" style="52" customWidth="1"/>
    <col min="17" max="17" width="10.85546875" style="52" customWidth="1"/>
    <col min="18" max="19" width="14.42578125" style="49"/>
  </cols>
  <sheetData>
    <row r="1" spans="1:19" s="13" customFormat="1" x14ac:dyDescent="0.25">
      <c r="A1" s="46" t="s">
        <v>56</v>
      </c>
      <c r="B1" s="46"/>
      <c r="C1" s="16" t="s">
        <v>52</v>
      </c>
      <c r="D1" s="79" t="s">
        <v>10</v>
      </c>
      <c r="E1" s="79" t="s">
        <v>32</v>
      </c>
      <c r="F1" s="79" t="s">
        <v>37</v>
      </c>
      <c r="G1" s="79" t="s">
        <v>54</v>
      </c>
      <c r="I1" s="171" t="s">
        <v>52</v>
      </c>
      <c r="J1" s="79" t="s">
        <v>10</v>
      </c>
      <c r="K1" s="79" t="s">
        <v>32</v>
      </c>
      <c r="L1" s="79" t="s">
        <v>37</v>
      </c>
      <c r="M1" s="79" t="s">
        <v>54</v>
      </c>
      <c r="N1" s="50"/>
      <c r="O1" s="32" t="s">
        <v>0</v>
      </c>
      <c r="P1" s="65"/>
      <c r="Q1" s="254" t="s">
        <v>85</v>
      </c>
      <c r="R1" s="50"/>
      <c r="S1" s="67" t="s">
        <v>68</v>
      </c>
    </row>
    <row r="2" spans="1:19" x14ac:dyDescent="0.25">
      <c r="A2" s="48">
        <v>0</v>
      </c>
      <c r="B2" s="48"/>
      <c r="C2" s="83">
        <f ca="1">Q10</f>
        <v>43805</v>
      </c>
      <c r="D2" s="84">
        <f>$Q$6</f>
        <v>170</v>
      </c>
      <c r="E2" s="74" t="str">
        <f t="shared" ref="E2:E65" ca="1" si="0">CONCATENATE($Q$2,"_",TEXT(MONTH(C2),"00"),TEXT(DAY(C2),"00"),TEXT(MOD(YEAR(C2),100),"00"),$Q$3,D2&amp;"")</f>
        <v>HD_120619C170</v>
      </c>
      <c r="F2" s="75" t="str">
        <f ca="1">_xll.xlqName(E2,tda)</f>
        <v>#N/A</v>
      </c>
      <c r="G2" s="75" t="str">
        <f ca="1">IF(AND(ISTEXT(F2),(F2&lt;&gt;"#N/A"),(F2&lt;&gt;"Busy...")),"","BAD")</f>
        <v>BAD</v>
      </c>
      <c r="I2" s="83">
        <v>43805</v>
      </c>
      <c r="J2" s="84">
        <v>170</v>
      </c>
      <c r="K2" s="74" t="s">
        <v>189</v>
      </c>
      <c r="L2" s="75" t="s">
        <v>53</v>
      </c>
      <c r="M2" s="75" t="s">
        <v>106</v>
      </c>
      <c r="O2" s="32" t="s">
        <v>70</v>
      </c>
      <c r="P2" s="65"/>
      <c r="Q2" s="67" t="str">
        <f>Q1</f>
        <v>HD</v>
      </c>
      <c r="S2" s="67" t="s">
        <v>69</v>
      </c>
    </row>
    <row r="3" spans="1:19" x14ac:dyDescent="0.25">
      <c r="A3" s="48">
        <v>1</v>
      </c>
      <c r="B3" s="48"/>
      <c r="C3" s="83">
        <f t="shared" ref="C3:C66" ca="1" si="1">IF(D3&gt;D2,C2,INDEX($O$14:$O$50,VLOOKUP(C2,$O$14:$P$50,2)+1))</f>
        <v>43805</v>
      </c>
      <c r="D3" s="84">
        <f t="shared" ref="D3:D66" si="2">IF(D2+A3&lt;=$Q$8,D2+A3,$Q$6)</f>
        <v>171</v>
      </c>
      <c r="E3" s="74" t="str">
        <f t="shared" ca="1" si="0"/>
        <v>HD_120619C171</v>
      </c>
      <c r="F3" s="75" t="str">
        <f ca="1">_xll.xlqName(E3,tda)</f>
        <v>#N/A</v>
      </c>
      <c r="G3" s="75" t="str">
        <f t="shared" ref="G3:G66" ca="1" si="3">IF(AND(ISTEXT(F3),(F3&lt;&gt;"#N/A"),(F3&lt;&gt;"Busy...")),"","BAD")</f>
        <v>BAD</v>
      </c>
      <c r="I3" s="83">
        <v>43805</v>
      </c>
      <c r="J3" s="84">
        <v>171</v>
      </c>
      <c r="K3" s="74" t="s">
        <v>190</v>
      </c>
      <c r="L3" s="75" t="s">
        <v>53</v>
      </c>
      <c r="M3" s="75" t="s">
        <v>106</v>
      </c>
      <c r="O3" s="32" t="s">
        <v>30</v>
      </c>
      <c r="P3" s="68"/>
      <c r="Q3" s="119" t="s">
        <v>29</v>
      </c>
    </row>
    <row r="4" spans="1:19" x14ac:dyDescent="0.25">
      <c r="A4" s="48">
        <v>1</v>
      </c>
      <c r="B4" s="48"/>
      <c r="C4" s="83">
        <f t="shared" ca="1" si="1"/>
        <v>43805</v>
      </c>
      <c r="D4" s="84">
        <f t="shared" si="2"/>
        <v>172</v>
      </c>
      <c r="E4" s="74" t="str">
        <f t="shared" ca="1" si="0"/>
        <v>HD_120619C172</v>
      </c>
      <c r="F4" s="75" t="str">
        <f ca="1">_xll.xlqName(E4,tda)</f>
        <v>#N/A</v>
      </c>
      <c r="G4" s="75" t="str">
        <f t="shared" ca="1" si="3"/>
        <v>BAD</v>
      </c>
      <c r="I4" s="83">
        <v>43805</v>
      </c>
      <c r="J4" s="84">
        <v>172</v>
      </c>
      <c r="K4" s="74" t="s">
        <v>191</v>
      </c>
      <c r="L4" s="75" t="s">
        <v>53</v>
      </c>
      <c r="M4" s="75" t="s">
        <v>106</v>
      </c>
      <c r="O4" s="32" t="s">
        <v>18</v>
      </c>
      <c r="P4" s="68"/>
      <c r="Q4" s="69">
        <f>_xll.xlqPrice(Q1,tda)</f>
        <v>213.32000000000002</v>
      </c>
    </row>
    <row r="5" spans="1:19" x14ac:dyDescent="0.25">
      <c r="A5" s="48">
        <v>0.5</v>
      </c>
      <c r="B5" s="48"/>
      <c r="C5" s="83">
        <f t="shared" ca="1" si="1"/>
        <v>43805</v>
      </c>
      <c r="D5" s="84">
        <f t="shared" si="2"/>
        <v>172.5</v>
      </c>
      <c r="E5" s="74" t="str">
        <f t="shared" ca="1" si="0"/>
        <v>HD_120619C172.5</v>
      </c>
      <c r="F5" s="75" t="str">
        <f ca="1">_xll.xlqName(E5,tda)</f>
        <v>#N/A</v>
      </c>
      <c r="G5" s="75" t="str">
        <f t="shared" ca="1" si="3"/>
        <v>BAD</v>
      </c>
      <c r="I5" s="83">
        <v>43805</v>
      </c>
      <c r="J5" s="84">
        <v>172.5</v>
      </c>
      <c r="K5" s="74" t="s">
        <v>192</v>
      </c>
      <c r="L5" s="75" t="s">
        <v>53</v>
      </c>
      <c r="M5" s="75" t="s">
        <v>106</v>
      </c>
      <c r="O5" s="32" t="s">
        <v>48</v>
      </c>
      <c r="P5" s="68"/>
      <c r="Q5" s="255">
        <v>0.8</v>
      </c>
    </row>
    <row r="6" spans="1:19" x14ac:dyDescent="0.25">
      <c r="A6" s="48">
        <v>0.5</v>
      </c>
      <c r="B6" s="48"/>
      <c r="C6" s="83">
        <f t="shared" ca="1" si="1"/>
        <v>43805</v>
      </c>
      <c r="D6" s="84">
        <f t="shared" si="2"/>
        <v>173</v>
      </c>
      <c r="E6" s="74" t="str">
        <f t="shared" ca="1" si="0"/>
        <v>HD_120619C173</v>
      </c>
      <c r="F6" s="75" t="str">
        <f ca="1">_xll.xlqName(E6,tda)</f>
        <v>#N/A</v>
      </c>
      <c r="G6" s="75" t="str">
        <f t="shared" ca="1" si="3"/>
        <v>BAD</v>
      </c>
      <c r="I6" s="83">
        <v>43805</v>
      </c>
      <c r="J6" s="84">
        <v>173</v>
      </c>
      <c r="K6" s="74" t="s">
        <v>193</v>
      </c>
      <c r="L6" s="75" t="s">
        <v>53</v>
      </c>
      <c r="M6" s="75" t="s">
        <v>106</v>
      </c>
      <c r="O6" s="32" t="s">
        <v>48</v>
      </c>
      <c r="P6" s="68"/>
      <c r="Q6" s="70">
        <f>ROUNDDOWN($Q$4*Q5/($Q$9*100),2)*($Q$9*100)</f>
        <v>170</v>
      </c>
    </row>
    <row r="7" spans="1:19" x14ac:dyDescent="0.25">
      <c r="A7" s="48">
        <v>1</v>
      </c>
      <c r="B7" s="48"/>
      <c r="C7" s="83">
        <f t="shared" ca="1" si="1"/>
        <v>43805</v>
      </c>
      <c r="D7" s="84">
        <f t="shared" si="2"/>
        <v>174</v>
      </c>
      <c r="E7" s="74" t="str">
        <f t="shared" ca="1" si="0"/>
        <v>HD_120619C174</v>
      </c>
      <c r="F7" s="75" t="str">
        <f ca="1">_xll.xlqName(E7,tda)</f>
        <v>#N/A</v>
      </c>
      <c r="G7" s="75" t="str">
        <f t="shared" ca="1" si="3"/>
        <v>BAD</v>
      </c>
      <c r="I7" s="83">
        <v>43805</v>
      </c>
      <c r="J7" s="84">
        <v>174</v>
      </c>
      <c r="K7" s="74" t="s">
        <v>194</v>
      </c>
      <c r="L7" s="75" t="s">
        <v>53</v>
      </c>
      <c r="M7" s="75" t="s">
        <v>106</v>
      </c>
      <c r="O7" s="66" t="s">
        <v>49</v>
      </c>
      <c r="P7" s="68"/>
      <c r="Q7" s="255">
        <v>1.1000000000000001</v>
      </c>
    </row>
    <row r="8" spans="1:19" x14ac:dyDescent="0.25">
      <c r="A8" s="48">
        <v>1</v>
      </c>
      <c r="B8" s="48"/>
      <c r="C8" s="83">
        <f t="shared" ca="1" si="1"/>
        <v>43805</v>
      </c>
      <c r="D8" s="84">
        <f t="shared" si="2"/>
        <v>175</v>
      </c>
      <c r="E8" s="74" t="str">
        <f t="shared" ca="1" si="0"/>
        <v>HD_120619C175</v>
      </c>
      <c r="F8" s="75" t="str">
        <f ca="1">_xll.xlqName(E8,tda)</f>
        <v>#N/A</v>
      </c>
      <c r="G8" s="75" t="str">
        <f t="shared" ca="1" si="3"/>
        <v>BAD</v>
      </c>
      <c r="I8" s="83">
        <v>43805</v>
      </c>
      <c r="J8" s="84">
        <v>175</v>
      </c>
      <c r="K8" s="74" t="s">
        <v>195</v>
      </c>
      <c r="L8" s="75" t="s">
        <v>53</v>
      </c>
      <c r="M8" s="75" t="s">
        <v>106</v>
      </c>
      <c r="O8" s="66" t="s">
        <v>49</v>
      </c>
      <c r="P8" s="68"/>
      <c r="Q8" s="70">
        <f>ROUNDDOWN($Q$4*Q7/($Q$9*100),2)*($Q$9*100)</f>
        <v>230</v>
      </c>
    </row>
    <row r="9" spans="1:19" x14ac:dyDescent="0.25">
      <c r="A9" s="48">
        <v>1</v>
      </c>
      <c r="B9" s="48"/>
      <c r="C9" s="83">
        <f t="shared" ca="1" si="1"/>
        <v>43805</v>
      </c>
      <c r="D9" s="84">
        <f t="shared" si="2"/>
        <v>176</v>
      </c>
      <c r="E9" s="74" t="str">
        <f t="shared" ca="1" si="0"/>
        <v>HD_120619C176</v>
      </c>
      <c r="F9" s="75" t="str">
        <f ca="1">_xll.xlqName(E9,tda)</f>
        <v>#N/A</v>
      </c>
      <c r="G9" s="75" t="str">
        <f t="shared" ca="1" si="3"/>
        <v>BAD</v>
      </c>
      <c r="I9" s="83">
        <v>43805</v>
      </c>
      <c r="J9" s="84">
        <v>176</v>
      </c>
      <c r="K9" s="74" t="s">
        <v>196</v>
      </c>
      <c r="L9" s="75" t="s">
        <v>53</v>
      </c>
      <c r="M9" s="75" t="s">
        <v>106</v>
      </c>
      <c r="O9" s="32" t="s">
        <v>50</v>
      </c>
      <c r="P9" s="68"/>
      <c r="Q9" s="72">
        <v>5</v>
      </c>
    </row>
    <row r="10" spans="1:19" x14ac:dyDescent="0.25">
      <c r="A10" s="48">
        <v>1</v>
      </c>
      <c r="B10" s="48"/>
      <c r="C10" s="83">
        <f t="shared" ca="1" si="1"/>
        <v>43805</v>
      </c>
      <c r="D10" s="84">
        <f t="shared" si="2"/>
        <v>177</v>
      </c>
      <c r="E10" s="74" t="str">
        <f t="shared" ca="1" si="0"/>
        <v>HD_120619C177</v>
      </c>
      <c r="F10" s="75" t="str">
        <f ca="1">_xll.xlqName(E10,tda)</f>
        <v>#N/A</v>
      </c>
      <c r="G10" s="75" t="str">
        <f t="shared" ca="1" si="3"/>
        <v>BAD</v>
      </c>
      <c r="I10" s="83">
        <v>43805</v>
      </c>
      <c r="J10" s="84">
        <v>177</v>
      </c>
      <c r="K10" s="74" t="s">
        <v>197</v>
      </c>
      <c r="L10" s="75" t="s">
        <v>53</v>
      </c>
      <c r="M10" s="75" t="s">
        <v>106</v>
      </c>
      <c r="O10" s="32" t="s">
        <v>51</v>
      </c>
      <c r="P10" s="68"/>
      <c r="Q10" s="73">
        <f ca="1">ROUNDUP((TODAY()+1)/7,0)*7-1</f>
        <v>43805</v>
      </c>
    </row>
    <row r="11" spans="1:19" x14ac:dyDescent="0.25">
      <c r="A11" s="48">
        <v>0.5</v>
      </c>
      <c r="B11" s="48"/>
      <c r="C11" s="83">
        <f t="shared" ca="1" si="1"/>
        <v>43805</v>
      </c>
      <c r="D11" s="84">
        <f t="shared" si="2"/>
        <v>177.5</v>
      </c>
      <c r="E11" s="74" t="str">
        <f t="shared" ca="1" si="0"/>
        <v>HD_120619C177.5</v>
      </c>
      <c r="F11" s="75" t="str">
        <f ca="1">_xll.xlqName(E11,tda)</f>
        <v>#N/A</v>
      </c>
      <c r="G11" s="75" t="str">
        <f t="shared" ca="1" si="3"/>
        <v>BAD</v>
      </c>
      <c r="I11" s="83">
        <v>43805</v>
      </c>
      <c r="J11" s="84">
        <v>177.5</v>
      </c>
      <c r="K11" s="74" t="s">
        <v>198</v>
      </c>
      <c r="L11" s="75" t="s">
        <v>53</v>
      </c>
      <c r="M11" s="75" t="s">
        <v>106</v>
      </c>
      <c r="O11" s="32"/>
      <c r="P11" s="68"/>
      <c r="Q11" s="67"/>
    </row>
    <row r="12" spans="1:19" x14ac:dyDescent="0.25">
      <c r="A12" s="48">
        <v>0.5</v>
      </c>
      <c r="B12" s="48"/>
      <c r="C12" s="83">
        <f t="shared" ca="1" si="1"/>
        <v>43805</v>
      </c>
      <c r="D12" s="84">
        <f t="shared" si="2"/>
        <v>178</v>
      </c>
      <c r="E12" s="74" t="str">
        <f t="shared" ca="1" si="0"/>
        <v>HD_120619C178</v>
      </c>
      <c r="F12" s="75" t="str">
        <f ca="1">_xll.xlqName(E12,tda)</f>
        <v>#N/A</v>
      </c>
      <c r="G12" s="75" t="str">
        <f t="shared" ca="1" si="3"/>
        <v>BAD</v>
      </c>
      <c r="I12" s="83">
        <v>43805</v>
      </c>
      <c r="J12" s="84">
        <v>178</v>
      </c>
      <c r="K12" s="74" t="s">
        <v>199</v>
      </c>
      <c r="L12" s="75" t="s">
        <v>53</v>
      </c>
      <c r="M12" s="75" t="s">
        <v>106</v>
      </c>
    </row>
    <row r="13" spans="1:19" x14ac:dyDescent="0.25">
      <c r="A13" s="48">
        <v>1</v>
      </c>
      <c r="B13" s="48"/>
      <c r="C13" s="83">
        <f t="shared" ca="1" si="1"/>
        <v>43805</v>
      </c>
      <c r="D13" s="84">
        <f t="shared" si="2"/>
        <v>179</v>
      </c>
      <c r="E13" s="74" t="str">
        <f t="shared" ca="1" si="0"/>
        <v>HD_120619C179</v>
      </c>
      <c r="F13" s="75" t="str">
        <f ca="1">_xll.xlqName(E13,tda)</f>
        <v>#N/A</v>
      </c>
      <c r="G13" s="75" t="str">
        <f t="shared" ca="1" si="3"/>
        <v>BAD</v>
      </c>
      <c r="I13" s="83">
        <v>43805</v>
      </c>
      <c r="J13" s="84">
        <v>179</v>
      </c>
      <c r="K13" s="74" t="s">
        <v>200</v>
      </c>
      <c r="L13" s="75" t="s">
        <v>53</v>
      </c>
      <c r="M13" s="75" t="s">
        <v>106</v>
      </c>
      <c r="O13" s="85" t="s">
        <v>57</v>
      </c>
      <c r="P13" s="18" t="s">
        <v>58</v>
      </c>
      <c r="Q13" s="86" t="s">
        <v>71</v>
      </c>
    </row>
    <row r="14" spans="1:19" x14ac:dyDescent="0.25">
      <c r="A14" s="48">
        <v>1</v>
      </c>
      <c r="B14" s="48"/>
      <c r="C14" s="83">
        <f t="shared" ca="1" si="1"/>
        <v>43805</v>
      </c>
      <c r="D14" s="84">
        <f t="shared" si="2"/>
        <v>180</v>
      </c>
      <c r="E14" s="74" t="str">
        <f t="shared" ca="1" si="0"/>
        <v>HD_120619C180</v>
      </c>
      <c r="F14" s="75" t="str">
        <f ca="1">_xll.xlqName(E14,tda)</f>
        <v>#N/A</v>
      </c>
      <c r="G14" s="75" t="str">
        <f t="shared" ca="1" si="3"/>
        <v>BAD</v>
      </c>
      <c r="I14" s="83">
        <v>43805</v>
      </c>
      <c r="J14" s="84">
        <v>180</v>
      </c>
      <c r="K14" s="74" t="s">
        <v>201</v>
      </c>
      <c r="L14" s="75" t="s">
        <v>53</v>
      </c>
      <c r="M14" s="75" t="s">
        <v>106</v>
      </c>
      <c r="O14" s="87">
        <f ca="1">Q10</f>
        <v>43805</v>
      </c>
      <c r="P14" s="88">
        <v>1</v>
      </c>
      <c r="Q14" s="87" t="s">
        <v>61</v>
      </c>
      <c r="R14" s="52"/>
    </row>
    <row r="15" spans="1:19" x14ac:dyDescent="0.25">
      <c r="A15" s="48">
        <v>1</v>
      </c>
      <c r="B15" s="48"/>
      <c r="C15" s="83">
        <f t="shared" ca="1" si="1"/>
        <v>43805</v>
      </c>
      <c r="D15" s="84">
        <f t="shared" si="2"/>
        <v>181</v>
      </c>
      <c r="E15" s="74" t="str">
        <f t="shared" ca="1" si="0"/>
        <v>HD_120619C181</v>
      </c>
      <c r="F15" s="75" t="str">
        <f ca="1">_xll.xlqName(E15,tda)</f>
        <v>#N/A</v>
      </c>
      <c r="G15" s="75" t="str">
        <f t="shared" ca="1" si="3"/>
        <v>BAD</v>
      </c>
      <c r="I15" s="83">
        <v>43805</v>
      </c>
      <c r="J15" s="84">
        <v>181</v>
      </c>
      <c r="K15" s="74" t="s">
        <v>202</v>
      </c>
      <c r="L15" s="75" t="s">
        <v>53</v>
      </c>
      <c r="M15" s="75" t="s">
        <v>106</v>
      </c>
      <c r="O15" s="87">
        <f t="shared" ref="O15:O20" ca="1" si="4">O14+7</f>
        <v>43812</v>
      </c>
      <c r="P15" s="88">
        <v>2</v>
      </c>
      <c r="Q15" s="87" t="s">
        <v>61</v>
      </c>
    </row>
    <row r="16" spans="1:19" x14ac:dyDescent="0.25">
      <c r="A16" s="48">
        <v>1</v>
      </c>
      <c r="B16" s="48"/>
      <c r="C16" s="83">
        <f t="shared" ca="1" si="1"/>
        <v>43805</v>
      </c>
      <c r="D16" s="84">
        <f t="shared" si="2"/>
        <v>182</v>
      </c>
      <c r="E16" s="74" t="str">
        <f t="shared" ca="1" si="0"/>
        <v>HD_120619C182</v>
      </c>
      <c r="F16" s="75" t="str">
        <f ca="1">_xll.xlqName(E16,tda)</f>
        <v>#N/A</v>
      </c>
      <c r="G16" s="75" t="str">
        <f t="shared" ca="1" si="3"/>
        <v>BAD</v>
      </c>
      <c r="I16" s="83">
        <v>43805</v>
      </c>
      <c r="J16" s="84">
        <v>182</v>
      </c>
      <c r="K16" s="74" t="s">
        <v>203</v>
      </c>
      <c r="L16" s="75" t="s">
        <v>53</v>
      </c>
      <c r="M16" s="75" t="s">
        <v>106</v>
      </c>
      <c r="O16" s="87">
        <f t="shared" ca="1" si="4"/>
        <v>43819</v>
      </c>
      <c r="P16" s="88">
        <v>3</v>
      </c>
      <c r="Q16" s="87" t="s">
        <v>61</v>
      </c>
    </row>
    <row r="17" spans="1:17" x14ac:dyDescent="0.25">
      <c r="A17" s="48">
        <v>0.5</v>
      </c>
      <c r="B17" s="48"/>
      <c r="C17" s="83">
        <f t="shared" ca="1" si="1"/>
        <v>43805</v>
      </c>
      <c r="D17" s="84">
        <f t="shared" si="2"/>
        <v>182.5</v>
      </c>
      <c r="E17" s="74" t="str">
        <f t="shared" ca="1" si="0"/>
        <v>HD_120619C182.5</v>
      </c>
      <c r="F17" s="75" t="str">
        <f ca="1">_xll.xlqName(E17,tda)</f>
        <v>#N/A</v>
      </c>
      <c r="G17" s="75" t="str">
        <f t="shared" ca="1" si="3"/>
        <v>BAD</v>
      </c>
      <c r="I17" s="83">
        <v>43805</v>
      </c>
      <c r="J17" s="84">
        <v>182.5</v>
      </c>
      <c r="K17" s="74" t="s">
        <v>204</v>
      </c>
      <c r="L17" s="75" t="s">
        <v>53</v>
      </c>
      <c r="M17" s="75" t="s">
        <v>106</v>
      </c>
      <c r="O17" s="87">
        <f t="shared" ca="1" si="4"/>
        <v>43826</v>
      </c>
      <c r="P17" s="88">
        <v>4</v>
      </c>
      <c r="Q17" s="87" t="s">
        <v>61</v>
      </c>
    </row>
    <row r="18" spans="1:17" x14ac:dyDescent="0.25">
      <c r="A18" s="48">
        <v>0.5</v>
      </c>
      <c r="B18" s="48"/>
      <c r="C18" s="83">
        <f t="shared" ca="1" si="1"/>
        <v>43805</v>
      </c>
      <c r="D18" s="84">
        <f t="shared" si="2"/>
        <v>183</v>
      </c>
      <c r="E18" s="74" t="str">
        <f t="shared" ca="1" si="0"/>
        <v>HD_120619C183</v>
      </c>
      <c r="F18" s="75" t="str">
        <f ca="1">_xll.xlqName(E18,tda)</f>
        <v>#N/A</v>
      </c>
      <c r="G18" s="75" t="str">
        <f t="shared" ca="1" si="3"/>
        <v>BAD</v>
      </c>
      <c r="I18" s="83">
        <v>43805</v>
      </c>
      <c r="J18" s="84">
        <v>183</v>
      </c>
      <c r="K18" s="74" t="s">
        <v>205</v>
      </c>
      <c r="L18" s="75" t="s">
        <v>53</v>
      </c>
      <c r="M18" s="75" t="s">
        <v>106</v>
      </c>
      <c r="O18" s="87">
        <f t="shared" ca="1" si="4"/>
        <v>43833</v>
      </c>
      <c r="P18" s="88">
        <v>5</v>
      </c>
      <c r="Q18" s="87" t="s">
        <v>61</v>
      </c>
    </row>
    <row r="19" spans="1:17" x14ac:dyDescent="0.25">
      <c r="A19" s="48">
        <v>1</v>
      </c>
      <c r="B19" s="48"/>
      <c r="C19" s="83">
        <f t="shared" ca="1" si="1"/>
        <v>43805</v>
      </c>
      <c r="D19" s="84">
        <f t="shared" si="2"/>
        <v>184</v>
      </c>
      <c r="E19" s="74" t="str">
        <f t="shared" ca="1" si="0"/>
        <v>HD_120619C184</v>
      </c>
      <c r="F19" s="75" t="str">
        <f ca="1">_xll.xlqName(E19,tda)</f>
        <v>#N/A</v>
      </c>
      <c r="G19" s="75" t="str">
        <f t="shared" ca="1" si="3"/>
        <v>BAD</v>
      </c>
      <c r="I19" s="83">
        <v>43805</v>
      </c>
      <c r="J19" s="84">
        <v>184</v>
      </c>
      <c r="K19" s="74" t="s">
        <v>206</v>
      </c>
      <c r="L19" s="75" t="s">
        <v>53</v>
      </c>
      <c r="M19" s="75" t="s">
        <v>106</v>
      </c>
      <c r="O19" s="87">
        <f t="shared" ca="1" si="4"/>
        <v>43840</v>
      </c>
      <c r="P19" s="88">
        <v>6</v>
      </c>
      <c r="Q19" s="87" t="s">
        <v>61</v>
      </c>
    </row>
    <row r="20" spans="1:17" x14ac:dyDescent="0.25">
      <c r="A20" s="48">
        <v>1</v>
      </c>
      <c r="B20" s="48"/>
      <c r="C20" s="83">
        <f t="shared" ca="1" si="1"/>
        <v>43805</v>
      </c>
      <c r="D20" s="84">
        <f t="shared" si="2"/>
        <v>185</v>
      </c>
      <c r="E20" s="74" t="str">
        <f t="shared" ca="1" si="0"/>
        <v>HD_120619C185</v>
      </c>
      <c r="F20" s="75" t="str">
        <f ca="1">_xll.xlqName(E20,tda)</f>
        <v>HD Dec 6 2019 185 Call (Weekly)</v>
      </c>
      <c r="G20" s="75" t="str">
        <f t="shared" ca="1" si="3"/>
        <v/>
      </c>
      <c r="I20" s="83">
        <v>43805</v>
      </c>
      <c r="J20" s="84">
        <v>185</v>
      </c>
      <c r="K20" s="74" t="s">
        <v>207</v>
      </c>
      <c r="L20" s="75" t="s">
        <v>208</v>
      </c>
      <c r="M20" s="75" t="s">
        <v>111</v>
      </c>
      <c r="O20" s="87">
        <f t="shared" ca="1" si="4"/>
        <v>43847</v>
      </c>
      <c r="P20" s="88">
        <v>7</v>
      </c>
      <c r="Q20" s="87" t="s">
        <v>61</v>
      </c>
    </row>
    <row r="21" spans="1:17" x14ac:dyDescent="0.25">
      <c r="A21" s="48">
        <v>1</v>
      </c>
      <c r="B21" s="48"/>
      <c r="C21" s="83">
        <f t="shared" ca="1" si="1"/>
        <v>43805</v>
      </c>
      <c r="D21" s="84">
        <f t="shared" si="2"/>
        <v>186</v>
      </c>
      <c r="E21" s="74" t="str">
        <f t="shared" ca="1" si="0"/>
        <v>HD_120619C186</v>
      </c>
      <c r="F21" s="75" t="str">
        <f ca="1">_xll.xlqName(E21,tda)</f>
        <v>#N/A</v>
      </c>
      <c r="G21" s="75" t="str">
        <f t="shared" ca="1" si="3"/>
        <v>BAD</v>
      </c>
      <c r="I21" s="83">
        <v>43805</v>
      </c>
      <c r="J21" s="84">
        <v>186</v>
      </c>
      <c r="K21" s="74" t="s">
        <v>209</v>
      </c>
      <c r="L21" s="75" t="s">
        <v>53</v>
      </c>
      <c r="M21" s="75" t="s">
        <v>106</v>
      </c>
      <c r="O21" s="256">
        <v>43882</v>
      </c>
      <c r="P21" s="89">
        <v>8</v>
      </c>
      <c r="Q21" s="90" t="s">
        <v>63</v>
      </c>
    </row>
    <row r="22" spans="1:17" x14ac:dyDescent="0.25">
      <c r="A22" s="48">
        <v>1</v>
      </c>
      <c r="B22" s="48"/>
      <c r="C22" s="83">
        <f t="shared" ca="1" si="1"/>
        <v>43805</v>
      </c>
      <c r="D22" s="84">
        <f t="shared" si="2"/>
        <v>187</v>
      </c>
      <c r="E22" s="74" t="str">
        <f t="shared" ca="1" si="0"/>
        <v>HD_120619C187</v>
      </c>
      <c r="F22" s="75" t="str">
        <f ca="1">_xll.xlqName(E22,tda)</f>
        <v>#N/A</v>
      </c>
      <c r="G22" s="75" t="str">
        <f t="shared" ca="1" si="3"/>
        <v>BAD</v>
      </c>
      <c r="I22" s="83">
        <v>43805</v>
      </c>
      <c r="J22" s="84">
        <v>187</v>
      </c>
      <c r="K22" s="74" t="s">
        <v>210</v>
      </c>
      <c r="L22" s="75" t="s">
        <v>53</v>
      </c>
      <c r="M22" s="75" t="s">
        <v>106</v>
      </c>
      <c r="O22" s="87">
        <f>O21+28+IF(DAY(O21+28)&lt;15,7,0)</f>
        <v>43910</v>
      </c>
      <c r="P22" s="88">
        <v>9</v>
      </c>
      <c r="Q22" s="87" t="s">
        <v>62</v>
      </c>
    </row>
    <row r="23" spans="1:17" x14ac:dyDescent="0.25">
      <c r="A23" s="48">
        <v>0.5</v>
      </c>
      <c r="B23" s="48"/>
      <c r="C23" s="83">
        <f t="shared" ca="1" si="1"/>
        <v>43805</v>
      </c>
      <c r="D23" s="84">
        <f t="shared" si="2"/>
        <v>187.5</v>
      </c>
      <c r="E23" s="74" t="str">
        <f t="shared" ca="1" si="0"/>
        <v>HD_120619C187.5</v>
      </c>
      <c r="F23" s="75" t="str">
        <f ca="1">_xll.xlqName(E23,tda)</f>
        <v>HD Dec 6 2019 187.5 Call (Weekly)</v>
      </c>
      <c r="G23" s="75" t="str">
        <f t="shared" ca="1" si="3"/>
        <v/>
      </c>
      <c r="I23" s="83">
        <v>43805</v>
      </c>
      <c r="J23" s="84">
        <v>187.5</v>
      </c>
      <c r="K23" s="74" t="s">
        <v>211</v>
      </c>
      <c r="L23" s="75" t="s">
        <v>212</v>
      </c>
      <c r="M23" s="75" t="s">
        <v>111</v>
      </c>
      <c r="O23" s="87">
        <f>O22+28+IF(DAY(O22+28)&lt;15,7,0)</f>
        <v>43938</v>
      </c>
      <c r="P23" s="88">
        <v>10</v>
      </c>
      <c r="Q23" s="87" t="s">
        <v>62</v>
      </c>
    </row>
    <row r="24" spans="1:17" x14ac:dyDescent="0.25">
      <c r="A24" s="48">
        <v>0.5</v>
      </c>
      <c r="B24" s="48"/>
      <c r="C24" s="83">
        <f t="shared" ca="1" si="1"/>
        <v>43805</v>
      </c>
      <c r="D24" s="84">
        <f t="shared" si="2"/>
        <v>188</v>
      </c>
      <c r="E24" s="74" t="str">
        <f t="shared" ca="1" si="0"/>
        <v>HD_120619C188</v>
      </c>
      <c r="F24" s="75" t="str">
        <f ca="1">_xll.xlqName(E24,tda)</f>
        <v>#N/A</v>
      </c>
      <c r="G24" s="75" t="str">
        <f t="shared" ca="1" si="3"/>
        <v>BAD</v>
      </c>
      <c r="I24" s="83">
        <v>43805</v>
      </c>
      <c r="J24" s="84">
        <v>188</v>
      </c>
      <c r="K24" s="74" t="s">
        <v>213</v>
      </c>
      <c r="L24" s="75" t="s">
        <v>53</v>
      </c>
      <c r="M24" s="75" t="s">
        <v>106</v>
      </c>
      <c r="O24" s="87">
        <f>O23+28+IF(DAY(O23+28)&lt;15,7,0)</f>
        <v>43966</v>
      </c>
      <c r="P24" s="88">
        <v>11</v>
      </c>
      <c r="Q24" s="87" t="s">
        <v>62</v>
      </c>
    </row>
    <row r="25" spans="1:17" x14ac:dyDescent="0.25">
      <c r="A25" s="48">
        <v>1</v>
      </c>
      <c r="B25" s="48"/>
      <c r="C25" s="83">
        <f t="shared" ca="1" si="1"/>
        <v>43805</v>
      </c>
      <c r="D25" s="84">
        <f t="shared" si="2"/>
        <v>189</v>
      </c>
      <c r="E25" s="74" t="str">
        <f t="shared" ca="1" si="0"/>
        <v>HD_120619C189</v>
      </c>
      <c r="F25" s="75" t="str">
        <f ca="1">_xll.xlqName(E25,tda)</f>
        <v>#N/A</v>
      </c>
      <c r="G25" s="75" t="str">
        <f t="shared" ca="1" si="3"/>
        <v>BAD</v>
      </c>
      <c r="I25" s="83">
        <v>43805</v>
      </c>
      <c r="J25" s="84">
        <v>189</v>
      </c>
      <c r="K25" s="74" t="s">
        <v>214</v>
      </c>
      <c r="L25" s="75" t="s">
        <v>53</v>
      </c>
      <c r="M25" s="75" t="s">
        <v>106</v>
      </c>
      <c r="O25" s="87">
        <f t="shared" ref="O25:O35" si="5">O24+28+IF(DAY(O24+28)&lt;15,7,0)</f>
        <v>44001</v>
      </c>
      <c r="P25" s="88">
        <v>12</v>
      </c>
      <c r="Q25" s="87" t="s">
        <v>62</v>
      </c>
    </row>
    <row r="26" spans="1:17" x14ac:dyDescent="0.25">
      <c r="A26" s="48">
        <v>1</v>
      </c>
      <c r="B26" s="48"/>
      <c r="C26" s="83">
        <f t="shared" ca="1" si="1"/>
        <v>43805</v>
      </c>
      <c r="D26" s="84">
        <f t="shared" si="2"/>
        <v>190</v>
      </c>
      <c r="E26" s="74" t="str">
        <f t="shared" ca="1" si="0"/>
        <v>HD_120619C190</v>
      </c>
      <c r="F26" s="75" t="str">
        <f ca="1">_xll.xlqName(E26,tda)</f>
        <v>HD Dec 6 2019 190 Call (Weekly)</v>
      </c>
      <c r="G26" s="75" t="str">
        <f t="shared" ca="1" si="3"/>
        <v/>
      </c>
      <c r="I26" s="83">
        <v>43805</v>
      </c>
      <c r="J26" s="84">
        <v>190</v>
      </c>
      <c r="K26" s="74" t="s">
        <v>215</v>
      </c>
      <c r="L26" s="75" t="s">
        <v>216</v>
      </c>
      <c r="M26" s="75" t="s">
        <v>111</v>
      </c>
      <c r="O26" s="87">
        <f t="shared" si="5"/>
        <v>44029</v>
      </c>
      <c r="P26" s="88">
        <v>13</v>
      </c>
      <c r="Q26" s="87" t="s">
        <v>62</v>
      </c>
    </row>
    <row r="27" spans="1:17" x14ac:dyDescent="0.25">
      <c r="A27" s="48">
        <v>1</v>
      </c>
      <c r="B27" s="48"/>
      <c r="C27" s="83">
        <f t="shared" ca="1" si="1"/>
        <v>43805</v>
      </c>
      <c r="D27" s="84">
        <f t="shared" si="2"/>
        <v>191</v>
      </c>
      <c r="E27" s="74" t="str">
        <f t="shared" ca="1" si="0"/>
        <v>HD_120619C191</v>
      </c>
      <c r="F27" s="75" t="str">
        <f ca="1">_xll.xlqName(E27,tda)</f>
        <v>#N/A</v>
      </c>
      <c r="G27" s="75" t="str">
        <f t="shared" ca="1" si="3"/>
        <v>BAD</v>
      </c>
      <c r="I27" s="83">
        <v>43805</v>
      </c>
      <c r="J27" s="84">
        <v>191</v>
      </c>
      <c r="K27" s="74" t="s">
        <v>217</v>
      </c>
      <c r="L27" s="75" t="s">
        <v>53</v>
      </c>
      <c r="M27" s="75" t="s">
        <v>106</v>
      </c>
      <c r="O27" s="87">
        <f t="shared" si="5"/>
        <v>44064</v>
      </c>
      <c r="P27" s="88">
        <v>14</v>
      </c>
      <c r="Q27" s="87" t="s">
        <v>62</v>
      </c>
    </row>
    <row r="28" spans="1:17" x14ac:dyDescent="0.25">
      <c r="A28" s="48">
        <v>1</v>
      </c>
      <c r="B28" s="48"/>
      <c r="C28" s="83">
        <f t="shared" ca="1" si="1"/>
        <v>43805</v>
      </c>
      <c r="D28" s="84">
        <f t="shared" si="2"/>
        <v>192</v>
      </c>
      <c r="E28" s="74" t="str">
        <f t="shared" ca="1" si="0"/>
        <v>HD_120619C192</v>
      </c>
      <c r="F28" s="75" t="str">
        <f ca="1">_xll.xlqName(E28,tda)</f>
        <v>#N/A</v>
      </c>
      <c r="G28" s="75" t="str">
        <f t="shared" ca="1" si="3"/>
        <v>BAD</v>
      </c>
      <c r="I28" s="83">
        <v>43805</v>
      </c>
      <c r="J28" s="84">
        <v>192</v>
      </c>
      <c r="K28" s="74" t="s">
        <v>218</v>
      </c>
      <c r="L28" s="75" t="s">
        <v>53</v>
      </c>
      <c r="M28" s="75" t="s">
        <v>106</v>
      </c>
      <c r="O28" s="87">
        <f t="shared" si="5"/>
        <v>44092</v>
      </c>
      <c r="P28" s="88">
        <v>15</v>
      </c>
      <c r="Q28" s="87" t="s">
        <v>62</v>
      </c>
    </row>
    <row r="29" spans="1:17" x14ac:dyDescent="0.25">
      <c r="A29" s="48">
        <v>0.5</v>
      </c>
      <c r="B29" s="48"/>
      <c r="C29" s="83">
        <f t="shared" ca="1" si="1"/>
        <v>43805</v>
      </c>
      <c r="D29" s="84">
        <f t="shared" si="2"/>
        <v>192.5</v>
      </c>
      <c r="E29" s="74" t="str">
        <f t="shared" ca="1" si="0"/>
        <v>HD_120619C192.5</v>
      </c>
      <c r="F29" s="75" t="str">
        <f ca="1">_xll.xlqName(E29,tda)</f>
        <v>HD Dec 6 2019 192.5 Call (Weekly)</v>
      </c>
      <c r="G29" s="75" t="str">
        <f t="shared" ca="1" si="3"/>
        <v/>
      </c>
      <c r="I29" s="83">
        <v>43805</v>
      </c>
      <c r="J29" s="84">
        <v>192.5</v>
      </c>
      <c r="K29" s="74" t="s">
        <v>219</v>
      </c>
      <c r="L29" s="75" t="s">
        <v>220</v>
      </c>
      <c r="M29" s="75" t="s">
        <v>111</v>
      </c>
      <c r="O29" s="87">
        <f t="shared" si="5"/>
        <v>44120</v>
      </c>
      <c r="P29" s="88">
        <v>16</v>
      </c>
      <c r="Q29" s="87" t="s">
        <v>62</v>
      </c>
    </row>
    <row r="30" spans="1:17" x14ac:dyDescent="0.25">
      <c r="A30" s="48">
        <v>0.5</v>
      </c>
      <c r="B30" s="48"/>
      <c r="C30" s="83">
        <f t="shared" ca="1" si="1"/>
        <v>43805</v>
      </c>
      <c r="D30" s="84">
        <f t="shared" si="2"/>
        <v>193</v>
      </c>
      <c r="E30" s="74" t="str">
        <f t="shared" ca="1" si="0"/>
        <v>HD_120619C193</v>
      </c>
      <c r="F30" s="75" t="str">
        <f ca="1">_xll.xlqName(E30,tda)</f>
        <v>#N/A</v>
      </c>
      <c r="G30" s="75" t="str">
        <f t="shared" ca="1" si="3"/>
        <v>BAD</v>
      </c>
      <c r="I30" s="83">
        <v>43805</v>
      </c>
      <c r="J30" s="84">
        <v>193</v>
      </c>
      <c r="K30" s="74" t="s">
        <v>221</v>
      </c>
      <c r="L30" s="75" t="s">
        <v>53</v>
      </c>
      <c r="M30" s="75" t="s">
        <v>106</v>
      </c>
      <c r="O30" s="87">
        <f t="shared" si="5"/>
        <v>44155</v>
      </c>
      <c r="P30" s="88">
        <v>17</v>
      </c>
      <c r="Q30" s="87" t="s">
        <v>62</v>
      </c>
    </row>
    <row r="31" spans="1:17" x14ac:dyDescent="0.25">
      <c r="A31" s="48">
        <v>1</v>
      </c>
      <c r="B31" s="48"/>
      <c r="C31" s="83">
        <f t="shared" ca="1" si="1"/>
        <v>43805</v>
      </c>
      <c r="D31" s="84">
        <f t="shared" si="2"/>
        <v>194</v>
      </c>
      <c r="E31" s="74" t="str">
        <f t="shared" ca="1" si="0"/>
        <v>HD_120619C194</v>
      </c>
      <c r="F31" s="75" t="str">
        <f ca="1">_xll.xlqName(E31,tda)</f>
        <v>#N/A</v>
      </c>
      <c r="G31" s="75" t="str">
        <f t="shared" ca="1" si="3"/>
        <v>BAD</v>
      </c>
      <c r="I31" s="83">
        <v>43805</v>
      </c>
      <c r="J31" s="84">
        <v>194</v>
      </c>
      <c r="K31" s="74" t="s">
        <v>222</v>
      </c>
      <c r="L31" s="75" t="s">
        <v>53</v>
      </c>
      <c r="M31" s="75" t="s">
        <v>106</v>
      </c>
      <c r="O31" s="87">
        <f t="shared" si="5"/>
        <v>44183</v>
      </c>
      <c r="P31" s="88">
        <v>18</v>
      </c>
      <c r="Q31" s="87" t="s">
        <v>62</v>
      </c>
    </row>
    <row r="32" spans="1:17" x14ac:dyDescent="0.25">
      <c r="A32" s="48">
        <v>1</v>
      </c>
      <c r="B32" s="48"/>
      <c r="C32" s="83">
        <f t="shared" ca="1" si="1"/>
        <v>43805</v>
      </c>
      <c r="D32" s="84">
        <f t="shared" si="2"/>
        <v>195</v>
      </c>
      <c r="E32" s="74" t="str">
        <f t="shared" ca="1" si="0"/>
        <v>HD_120619C195</v>
      </c>
      <c r="F32" s="75" t="str">
        <f ca="1">_xll.xlqName(E32,tda)</f>
        <v>HD Dec 6 2019 195 Call (Weekly)</v>
      </c>
      <c r="G32" s="75" t="str">
        <f t="shared" ca="1" si="3"/>
        <v/>
      </c>
      <c r="I32" s="83">
        <v>43805</v>
      </c>
      <c r="J32" s="84">
        <v>195</v>
      </c>
      <c r="K32" s="74" t="s">
        <v>223</v>
      </c>
      <c r="L32" s="75" t="s">
        <v>224</v>
      </c>
      <c r="M32" s="75" t="s">
        <v>111</v>
      </c>
      <c r="O32" s="87">
        <f t="shared" si="5"/>
        <v>44211</v>
      </c>
      <c r="P32" s="88">
        <v>19</v>
      </c>
      <c r="Q32" s="87" t="s">
        <v>62</v>
      </c>
    </row>
    <row r="33" spans="1:17" x14ac:dyDescent="0.25">
      <c r="A33" s="48">
        <v>1</v>
      </c>
      <c r="B33" s="48"/>
      <c r="C33" s="83">
        <f t="shared" ca="1" si="1"/>
        <v>43805</v>
      </c>
      <c r="D33" s="84">
        <f t="shared" si="2"/>
        <v>196</v>
      </c>
      <c r="E33" s="74" t="str">
        <f t="shared" ca="1" si="0"/>
        <v>HD_120619C196</v>
      </c>
      <c r="F33" s="75" t="str">
        <f ca="1">_xll.xlqName(E33,tda)</f>
        <v>#N/A</v>
      </c>
      <c r="G33" s="75" t="str">
        <f t="shared" ca="1" si="3"/>
        <v>BAD</v>
      </c>
      <c r="I33" s="83">
        <v>43805</v>
      </c>
      <c r="J33" s="84">
        <v>196</v>
      </c>
      <c r="K33" s="74" t="s">
        <v>225</v>
      </c>
      <c r="L33" s="75" t="s">
        <v>53</v>
      </c>
      <c r="M33" s="75" t="s">
        <v>106</v>
      </c>
      <c r="O33" s="87">
        <f t="shared" si="5"/>
        <v>44246</v>
      </c>
      <c r="P33" s="88">
        <v>20</v>
      </c>
      <c r="Q33" s="87" t="s">
        <v>62</v>
      </c>
    </row>
    <row r="34" spans="1:17" x14ac:dyDescent="0.25">
      <c r="A34" s="48">
        <v>1</v>
      </c>
      <c r="B34" s="48"/>
      <c r="C34" s="83">
        <f t="shared" ca="1" si="1"/>
        <v>43805</v>
      </c>
      <c r="D34" s="84">
        <f t="shared" si="2"/>
        <v>197</v>
      </c>
      <c r="E34" s="74" t="str">
        <f t="shared" ca="1" si="0"/>
        <v>HD_120619C197</v>
      </c>
      <c r="F34" s="75" t="str">
        <f ca="1">_xll.xlqName(E34,tda)</f>
        <v>#N/A</v>
      </c>
      <c r="G34" s="75" t="str">
        <f t="shared" ca="1" si="3"/>
        <v>BAD</v>
      </c>
      <c r="I34" s="83">
        <v>43805</v>
      </c>
      <c r="J34" s="84">
        <v>197</v>
      </c>
      <c r="K34" s="74" t="s">
        <v>226</v>
      </c>
      <c r="L34" s="75" t="s">
        <v>53</v>
      </c>
      <c r="M34" s="75" t="s">
        <v>106</v>
      </c>
      <c r="O34" s="87">
        <f t="shared" si="5"/>
        <v>44274</v>
      </c>
      <c r="P34" s="88">
        <v>21</v>
      </c>
      <c r="Q34" s="87" t="s">
        <v>62</v>
      </c>
    </row>
    <row r="35" spans="1:17" x14ac:dyDescent="0.25">
      <c r="A35" s="48">
        <v>0.5</v>
      </c>
      <c r="B35" s="48"/>
      <c r="C35" s="83">
        <f t="shared" ca="1" si="1"/>
        <v>43805</v>
      </c>
      <c r="D35" s="84">
        <f t="shared" si="2"/>
        <v>197.5</v>
      </c>
      <c r="E35" s="74" t="str">
        <f t="shared" ca="1" si="0"/>
        <v>HD_120619C197.5</v>
      </c>
      <c r="F35" s="75" t="str">
        <f ca="1">_xll.xlqName(E35,tda)</f>
        <v>HD Dec 6 2019 197.5 Call (Weekly)</v>
      </c>
      <c r="G35" s="75" t="str">
        <f t="shared" ca="1" si="3"/>
        <v/>
      </c>
      <c r="I35" s="83">
        <v>43805</v>
      </c>
      <c r="J35" s="84">
        <v>197.5</v>
      </c>
      <c r="K35" s="74" t="s">
        <v>227</v>
      </c>
      <c r="L35" s="75" t="s">
        <v>228</v>
      </c>
      <c r="M35" s="75" t="s">
        <v>111</v>
      </c>
      <c r="O35" s="87">
        <f t="shared" si="5"/>
        <v>44302</v>
      </c>
      <c r="P35" s="88">
        <v>22</v>
      </c>
      <c r="Q35" s="87" t="s">
        <v>62</v>
      </c>
    </row>
    <row r="36" spans="1:17" x14ac:dyDescent="0.25">
      <c r="A36" s="48">
        <v>0.5</v>
      </c>
      <c r="B36" s="48"/>
      <c r="C36" s="83">
        <f t="shared" ca="1" si="1"/>
        <v>43805</v>
      </c>
      <c r="D36" s="84">
        <f t="shared" si="2"/>
        <v>198</v>
      </c>
      <c r="E36" s="74" t="str">
        <f t="shared" ca="1" si="0"/>
        <v>HD_120619C198</v>
      </c>
      <c r="F36" s="75" t="str">
        <f ca="1">_xll.xlqName(E36,tda)</f>
        <v>#N/A</v>
      </c>
      <c r="G36" s="75" t="str">
        <f t="shared" ca="1" si="3"/>
        <v>BAD</v>
      </c>
      <c r="I36" s="83">
        <v>43805</v>
      </c>
      <c r="J36" s="84">
        <v>198</v>
      </c>
      <c r="K36" s="74" t="s">
        <v>229</v>
      </c>
      <c r="L36" s="75" t="s">
        <v>53</v>
      </c>
      <c r="M36" s="75" t="s">
        <v>106</v>
      </c>
      <c r="O36" s="87">
        <f t="shared" ref="O36:O51" si="6">O35+28+IF(DAY(O35+28)&lt;15,7,0)</f>
        <v>44337</v>
      </c>
      <c r="P36" s="88">
        <v>23</v>
      </c>
      <c r="Q36" s="87" t="s">
        <v>62</v>
      </c>
    </row>
    <row r="37" spans="1:17" x14ac:dyDescent="0.25">
      <c r="A37" s="48">
        <v>1</v>
      </c>
      <c r="B37" s="48"/>
      <c r="C37" s="83">
        <f t="shared" ca="1" si="1"/>
        <v>43805</v>
      </c>
      <c r="D37" s="84">
        <f t="shared" si="2"/>
        <v>199</v>
      </c>
      <c r="E37" s="74" t="str">
        <f t="shared" ca="1" si="0"/>
        <v>HD_120619C199</v>
      </c>
      <c r="F37" s="75" t="str">
        <f ca="1">_xll.xlqName(E37,tda)</f>
        <v>#N/A</v>
      </c>
      <c r="G37" s="75" t="str">
        <f t="shared" ca="1" si="3"/>
        <v>BAD</v>
      </c>
      <c r="I37" s="83">
        <v>43805</v>
      </c>
      <c r="J37" s="84">
        <v>199</v>
      </c>
      <c r="K37" s="74" t="s">
        <v>230</v>
      </c>
      <c r="L37" s="75" t="s">
        <v>53</v>
      </c>
      <c r="M37" s="75" t="s">
        <v>106</v>
      </c>
      <c r="O37" s="87">
        <f t="shared" si="6"/>
        <v>44365</v>
      </c>
      <c r="P37" s="88">
        <v>24</v>
      </c>
      <c r="Q37" s="87" t="s">
        <v>62</v>
      </c>
    </row>
    <row r="38" spans="1:17" x14ac:dyDescent="0.25">
      <c r="A38" s="48">
        <v>1</v>
      </c>
      <c r="B38" s="48"/>
      <c r="C38" s="83">
        <f t="shared" ca="1" si="1"/>
        <v>43805</v>
      </c>
      <c r="D38" s="84">
        <f t="shared" si="2"/>
        <v>200</v>
      </c>
      <c r="E38" s="74" t="str">
        <f t="shared" ca="1" si="0"/>
        <v>HD_120619C200</v>
      </c>
      <c r="F38" s="75" t="str">
        <f ca="1">_xll.xlqName(E38,tda)</f>
        <v>HD Dec 6 2019 200 Call (Weekly)</v>
      </c>
      <c r="G38" s="75" t="str">
        <f t="shared" ca="1" si="3"/>
        <v/>
      </c>
      <c r="I38" s="83">
        <v>43805</v>
      </c>
      <c r="J38" s="84">
        <v>200</v>
      </c>
      <c r="K38" s="74" t="s">
        <v>231</v>
      </c>
      <c r="L38" s="75" t="s">
        <v>232</v>
      </c>
      <c r="M38" s="75" t="s">
        <v>111</v>
      </c>
      <c r="O38" s="87">
        <f t="shared" si="6"/>
        <v>44393</v>
      </c>
      <c r="P38" s="88">
        <v>25</v>
      </c>
      <c r="Q38" s="87" t="s">
        <v>62</v>
      </c>
    </row>
    <row r="39" spans="1:17" x14ac:dyDescent="0.25">
      <c r="A39" s="48">
        <v>1</v>
      </c>
      <c r="B39" s="48"/>
      <c r="C39" s="83">
        <f t="shared" ca="1" si="1"/>
        <v>43805</v>
      </c>
      <c r="D39" s="84">
        <f t="shared" si="2"/>
        <v>201</v>
      </c>
      <c r="E39" s="74" t="str">
        <f t="shared" ca="1" si="0"/>
        <v>HD_120619C201</v>
      </c>
      <c r="F39" s="75" t="str">
        <f ca="1">_xll.xlqName(E39,tda)</f>
        <v>#N/A</v>
      </c>
      <c r="G39" s="75" t="str">
        <f t="shared" ca="1" si="3"/>
        <v>BAD</v>
      </c>
      <c r="I39" s="83">
        <v>43805</v>
      </c>
      <c r="J39" s="84">
        <v>201</v>
      </c>
      <c r="K39" s="74" t="s">
        <v>233</v>
      </c>
      <c r="L39" s="75" t="s">
        <v>53</v>
      </c>
      <c r="M39" s="75" t="s">
        <v>106</v>
      </c>
      <c r="O39" s="87">
        <f t="shared" si="6"/>
        <v>44428</v>
      </c>
      <c r="P39" s="88">
        <v>26</v>
      </c>
      <c r="Q39" s="87" t="s">
        <v>62</v>
      </c>
    </row>
    <row r="40" spans="1:17" x14ac:dyDescent="0.25">
      <c r="A40" s="48">
        <v>1</v>
      </c>
      <c r="B40" s="48"/>
      <c r="C40" s="83">
        <f t="shared" ca="1" si="1"/>
        <v>43805</v>
      </c>
      <c r="D40" s="84">
        <f t="shared" si="2"/>
        <v>202</v>
      </c>
      <c r="E40" s="74" t="str">
        <f t="shared" ca="1" si="0"/>
        <v>HD_120619C202</v>
      </c>
      <c r="F40" s="75" t="str">
        <f ca="1">_xll.xlqName(E40,tda)</f>
        <v>#N/A</v>
      </c>
      <c r="G40" s="75" t="str">
        <f t="shared" ca="1" si="3"/>
        <v>BAD</v>
      </c>
      <c r="I40" s="83">
        <v>43805</v>
      </c>
      <c r="J40" s="84">
        <v>202</v>
      </c>
      <c r="K40" s="74" t="s">
        <v>234</v>
      </c>
      <c r="L40" s="75" t="s">
        <v>53</v>
      </c>
      <c r="M40" s="75" t="s">
        <v>106</v>
      </c>
      <c r="O40" s="87">
        <f t="shared" si="6"/>
        <v>44456</v>
      </c>
      <c r="P40" s="88">
        <v>27</v>
      </c>
      <c r="Q40" s="87" t="s">
        <v>62</v>
      </c>
    </row>
    <row r="41" spans="1:17" x14ac:dyDescent="0.25">
      <c r="A41" s="48">
        <v>0.5</v>
      </c>
      <c r="B41" s="48"/>
      <c r="C41" s="83">
        <f t="shared" ca="1" si="1"/>
        <v>43805</v>
      </c>
      <c r="D41" s="84">
        <f t="shared" si="2"/>
        <v>202.5</v>
      </c>
      <c r="E41" s="74" t="str">
        <f t="shared" ca="1" si="0"/>
        <v>HD_120619C202.5</v>
      </c>
      <c r="F41" s="75" t="str">
        <f ca="1">_xll.xlqName(E41,tda)</f>
        <v>HD Dec 6 2019 202.5 Call (Weekly)</v>
      </c>
      <c r="G41" s="75" t="str">
        <f t="shared" ca="1" si="3"/>
        <v/>
      </c>
      <c r="I41" s="83">
        <v>43805</v>
      </c>
      <c r="J41" s="84">
        <v>202.5</v>
      </c>
      <c r="K41" s="74" t="s">
        <v>235</v>
      </c>
      <c r="L41" s="75" t="s">
        <v>236</v>
      </c>
      <c r="M41" s="75" t="s">
        <v>111</v>
      </c>
      <c r="O41" s="87">
        <f t="shared" si="6"/>
        <v>44484</v>
      </c>
      <c r="P41" s="88">
        <v>28</v>
      </c>
      <c r="Q41" s="87" t="s">
        <v>62</v>
      </c>
    </row>
    <row r="42" spans="1:17" x14ac:dyDescent="0.25">
      <c r="A42" s="48">
        <v>0.5</v>
      </c>
      <c r="B42" s="48"/>
      <c r="C42" s="83">
        <f t="shared" ca="1" si="1"/>
        <v>43805</v>
      </c>
      <c r="D42" s="84">
        <f t="shared" si="2"/>
        <v>203</v>
      </c>
      <c r="E42" s="74" t="str">
        <f t="shared" ca="1" si="0"/>
        <v>HD_120619C203</v>
      </c>
      <c r="F42" s="75" t="str">
        <f ca="1">_xll.xlqName(E42,tda)</f>
        <v>#N/A</v>
      </c>
      <c r="G42" s="75" t="str">
        <f t="shared" ca="1" si="3"/>
        <v>BAD</v>
      </c>
      <c r="I42" s="83">
        <v>43805</v>
      </c>
      <c r="J42" s="84">
        <v>203</v>
      </c>
      <c r="K42" s="74" t="s">
        <v>237</v>
      </c>
      <c r="L42" s="75" t="s">
        <v>53</v>
      </c>
      <c r="M42" s="75" t="s">
        <v>106</v>
      </c>
      <c r="O42" s="87">
        <f t="shared" si="6"/>
        <v>44519</v>
      </c>
      <c r="P42" s="88">
        <v>29</v>
      </c>
      <c r="Q42" s="87" t="s">
        <v>62</v>
      </c>
    </row>
    <row r="43" spans="1:17" x14ac:dyDescent="0.25">
      <c r="A43" s="48">
        <v>1</v>
      </c>
      <c r="B43" s="48"/>
      <c r="C43" s="83">
        <f t="shared" ca="1" si="1"/>
        <v>43805</v>
      </c>
      <c r="D43" s="84">
        <f t="shared" si="2"/>
        <v>204</v>
      </c>
      <c r="E43" s="74" t="str">
        <f t="shared" ca="1" si="0"/>
        <v>HD_120619C204</v>
      </c>
      <c r="F43" s="75" t="str">
        <f ca="1">_xll.xlqName(E43,tda)</f>
        <v>#N/A</v>
      </c>
      <c r="G43" s="75" t="str">
        <f t="shared" ca="1" si="3"/>
        <v>BAD</v>
      </c>
      <c r="I43" s="83">
        <v>43805</v>
      </c>
      <c r="J43" s="84">
        <v>204</v>
      </c>
      <c r="K43" s="74" t="s">
        <v>238</v>
      </c>
      <c r="L43" s="75" t="s">
        <v>53</v>
      </c>
      <c r="M43" s="75" t="s">
        <v>106</v>
      </c>
      <c r="O43" s="87">
        <f t="shared" si="6"/>
        <v>44547</v>
      </c>
      <c r="P43" s="88">
        <v>30</v>
      </c>
      <c r="Q43" s="87" t="s">
        <v>62</v>
      </c>
    </row>
    <row r="44" spans="1:17" x14ac:dyDescent="0.25">
      <c r="A44" s="48">
        <v>1</v>
      </c>
      <c r="B44" s="48"/>
      <c r="C44" s="83">
        <f t="shared" ca="1" si="1"/>
        <v>43805</v>
      </c>
      <c r="D44" s="84">
        <f t="shared" si="2"/>
        <v>205</v>
      </c>
      <c r="E44" s="74" t="str">
        <f t="shared" ca="1" si="0"/>
        <v>HD_120619C205</v>
      </c>
      <c r="F44" s="75" t="str">
        <f ca="1">_xll.xlqName(E44,tda)</f>
        <v>HD Dec 6 2019 205 Call (Weekly)</v>
      </c>
      <c r="G44" s="75" t="str">
        <f t="shared" ca="1" si="3"/>
        <v/>
      </c>
      <c r="I44" s="83">
        <v>43805</v>
      </c>
      <c r="J44" s="84">
        <v>205</v>
      </c>
      <c r="K44" s="74" t="s">
        <v>239</v>
      </c>
      <c r="L44" s="75" t="s">
        <v>240</v>
      </c>
      <c r="M44" s="75" t="s">
        <v>111</v>
      </c>
      <c r="O44" s="87">
        <f t="shared" si="6"/>
        <v>44582</v>
      </c>
      <c r="P44" s="88">
        <v>31</v>
      </c>
      <c r="Q44" s="87" t="s">
        <v>62</v>
      </c>
    </row>
    <row r="45" spans="1:17" x14ac:dyDescent="0.25">
      <c r="A45" s="48">
        <v>1</v>
      </c>
      <c r="B45" s="48"/>
      <c r="C45" s="83">
        <f t="shared" ca="1" si="1"/>
        <v>43805</v>
      </c>
      <c r="D45" s="84">
        <f t="shared" si="2"/>
        <v>206</v>
      </c>
      <c r="E45" s="74" t="str">
        <f t="shared" ca="1" si="0"/>
        <v>HD_120619C206</v>
      </c>
      <c r="F45" s="75" t="str">
        <f ca="1">_xll.xlqName(E45,tda)</f>
        <v>#N/A</v>
      </c>
      <c r="G45" s="75" t="str">
        <f t="shared" ca="1" si="3"/>
        <v>BAD</v>
      </c>
      <c r="I45" s="83">
        <v>43805</v>
      </c>
      <c r="J45" s="84">
        <v>206</v>
      </c>
      <c r="K45" s="74" t="s">
        <v>241</v>
      </c>
      <c r="L45" s="75" t="s">
        <v>53</v>
      </c>
      <c r="M45" s="75" t="s">
        <v>106</v>
      </c>
      <c r="O45" s="87">
        <f t="shared" si="6"/>
        <v>44610</v>
      </c>
      <c r="P45" s="88">
        <v>32</v>
      </c>
      <c r="Q45" s="87" t="s">
        <v>62</v>
      </c>
    </row>
    <row r="46" spans="1:17" x14ac:dyDescent="0.25">
      <c r="A46" s="48">
        <v>1</v>
      </c>
      <c r="B46" s="48"/>
      <c r="C46" s="83">
        <f t="shared" ca="1" si="1"/>
        <v>43805</v>
      </c>
      <c r="D46" s="84">
        <f t="shared" si="2"/>
        <v>207</v>
      </c>
      <c r="E46" s="74" t="str">
        <f t="shared" ca="1" si="0"/>
        <v>HD_120619C207</v>
      </c>
      <c r="F46" s="75" t="str">
        <f ca="1">_xll.xlqName(E46,tda)</f>
        <v>#N/A</v>
      </c>
      <c r="G46" s="75" t="str">
        <f t="shared" ca="1" si="3"/>
        <v>BAD</v>
      </c>
      <c r="I46" s="83">
        <v>43805</v>
      </c>
      <c r="J46" s="84">
        <v>207</v>
      </c>
      <c r="K46" s="74" t="s">
        <v>242</v>
      </c>
      <c r="L46" s="75" t="s">
        <v>53</v>
      </c>
      <c r="M46" s="75" t="s">
        <v>106</v>
      </c>
      <c r="O46" s="87">
        <f t="shared" si="6"/>
        <v>44638</v>
      </c>
      <c r="P46" s="88">
        <v>33</v>
      </c>
      <c r="Q46" s="87" t="s">
        <v>62</v>
      </c>
    </row>
    <row r="47" spans="1:17" x14ac:dyDescent="0.25">
      <c r="A47" s="48">
        <v>0.5</v>
      </c>
      <c r="B47" s="48"/>
      <c r="C47" s="83">
        <f t="shared" ca="1" si="1"/>
        <v>43805</v>
      </c>
      <c r="D47" s="84">
        <f t="shared" si="2"/>
        <v>207.5</v>
      </c>
      <c r="E47" s="74" t="str">
        <f t="shared" ca="1" si="0"/>
        <v>HD_120619C207.5</v>
      </c>
      <c r="F47" s="75" t="str">
        <f ca="1">_xll.xlqName(E47,tda)</f>
        <v>HD Dec 6 2019 207.5 Call (Weekly)</v>
      </c>
      <c r="G47" s="75" t="str">
        <f t="shared" ca="1" si="3"/>
        <v/>
      </c>
      <c r="I47" s="83">
        <v>43805</v>
      </c>
      <c r="J47" s="84">
        <v>207.5</v>
      </c>
      <c r="K47" s="74" t="s">
        <v>243</v>
      </c>
      <c r="L47" s="75" t="s">
        <v>244</v>
      </c>
      <c r="M47" s="75" t="s">
        <v>111</v>
      </c>
      <c r="O47" s="87">
        <f t="shared" si="6"/>
        <v>44666</v>
      </c>
      <c r="P47" s="88">
        <v>34</v>
      </c>
      <c r="Q47" s="87" t="s">
        <v>62</v>
      </c>
    </row>
    <row r="48" spans="1:17" x14ac:dyDescent="0.25">
      <c r="A48" s="48">
        <v>0.5</v>
      </c>
      <c r="B48" s="48"/>
      <c r="C48" s="83">
        <f t="shared" ca="1" si="1"/>
        <v>43805</v>
      </c>
      <c r="D48" s="84">
        <f t="shared" si="2"/>
        <v>208</v>
      </c>
      <c r="E48" s="74" t="str">
        <f t="shared" ca="1" si="0"/>
        <v>HD_120619C208</v>
      </c>
      <c r="F48" s="75" t="str">
        <f ca="1">_xll.xlqName(E48,tda)</f>
        <v>#N/A</v>
      </c>
      <c r="G48" s="75" t="str">
        <f t="shared" ca="1" si="3"/>
        <v>BAD</v>
      </c>
      <c r="I48" s="83">
        <v>43805</v>
      </c>
      <c r="J48" s="84">
        <v>208</v>
      </c>
      <c r="K48" s="74" t="s">
        <v>245</v>
      </c>
      <c r="L48" s="75" t="s">
        <v>53</v>
      </c>
      <c r="M48" s="75" t="s">
        <v>106</v>
      </c>
      <c r="O48" s="87">
        <f t="shared" si="6"/>
        <v>44701</v>
      </c>
      <c r="P48" s="88">
        <v>35</v>
      </c>
      <c r="Q48" s="87" t="s">
        <v>62</v>
      </c>
    </row>
    <row r="49" spans="1:17" x14ac:dyDescent="0.25">
      <c r="A49" s="48">
        <v>1</v>
      </c>
      <c r="B49" s="48"/>
      <c r="C49" s="83">
        <f t="shared" ca="1" si="1"/>
        <v>43805</v>
      </c>
      <c r="D49" s="84">
        <f t="shared" si="2"/>
        <v>209</v>
      </c>
      <c r="E49" s="74" t="str">
        <f t="shared" ca="1" si="0"/>
        <v>HD_120619C209</v>
      </c>
      <c r="F49" s="75" t="str">
        <f ca="1">_xll.xlqName(E49,tda)</f>
        <v>#N/A</v>
      </c>
      <c r="G49" s="75" t="str">
        <f t="shared" ca="1" si="3"/>
        <v>BAD</v>
      </c>
      <c r="I49" s="83">
        <v>43805</v>
      </c>
      <c r="J49" s="84">
        <v>209</v>
      </c>
      <c r="K49" s="74" t="s">
        <v>246</v>
      </c>
      <c r="L49" s="75" t="s">
        <v>53</v>
      </c>
      <c r="M49" s="75" t="s">
        <v>106</v>
      </c>
      <c r="O49" s="87">
        <f t="shared" si="6"/>
        <v>44729</v>
      </c>
      <c r="P49" s="88">
        <v>36</v>
      </c>
      <c r="Q49" s="87" t="s">
        <v>62</v>
      </c>
    </row>
    <row r="50" spans="1:17" x14ac:dyDescent="0.25">
      <c r="A50" s="48">
        <v>1</v>
      </c>
      <c r="B50" s="48"/>
      <c r="C50" s="83">
        <f t="shared" ca="1" si="1"/>
        <v>43805</v>
      </c>
      <c r="D50" s="84">
        <f t="shared" si="2"/>
        <v>210</v>
      </c>
      <c r="E50" s="74" t="str">
        <f t="shared" ca="1" si="0"/>
        <v>HD_120619C210</v>
      </c>
      <c r="F50" s="75" t="str">
        <f ca="1">_xll.xlqName(E50,tda)</f>
        <v>HD Dec 6 2019 210 Call (Weekly)</v>
      </c>
      <c r="G50" s="75" t="str">
        <f t="shared" ca="1" si="3"/>
        <v/>
      </c>
      <c r="I50" s="83">
        <v>43805</v>
      </c>
      <c r="J50" s="84">
        <v>210</v>
      </c>
      <c r="K50" s="74" t="s">
        <v>247</v>
      </c>
      <c r="L50" s="75" t="s">
        <v>248</v>
      </c>
      <c r="M50" s="75" t="s">
        <v>111</v>
      </c>
      <c r="O50" s="87">
        <f t="shared" si="6"/>
        <v>44757</v>
      </c>
      <c r="P50" s="88">
        <v>37</v>
      </c>
      <c r="Q50" s="87" t="s">
        <v>62</v>
      </c>
    </row>
    <row r="51" spans="1:17" x14ac:dyDescent="0.25">
      <c r="A51" s="48">
        <v>1</v>
      </c>
      <c r="B51" s="48"/>
      <c r="C51" s="83">
        <f t="shared" ca="1" si="1"/>
        <v>43805</v>
      </c>
      <c r="D51" s="84">
        <f t="shared" si="2"/>
        <v>211</v>
      </c>
      <c r="E51" s="74" t="str">
        <f t="shared" ca="1" si="0"/>
        <v>HD_120619C211</v>
      </c>
      <c r="F51" s="75" t="str">
        <f ca="1">_xll.xlqName(E51,tda)</f>
        <v>#N/A</v>
      </c>
      <c r="G51" s="75" t="str">
        <f t="shared" ca="1" si="3"/>
        <v>BAD</v>
      </c>
      <c r="I51" s="83">
        <v>43805</v>
      </c>
      <c r="J51" s="84">
        <v>211</v>
      </c>
      <c r="K51" s="74" t="s">
        <v>249</v>
      </c>
      <c r="L51" s="75" t="s">
        <v>53</v>
      </c>
      <c r="M51" s="75" t="s">
        <v>106</v>
      </c>
      <c r="O51" s="87">
        <f t="shared" si="6"/>
        <v>44792</v>
      </c>
      <c r="P51" s="88">
        <v>38</v>
      </c>
      <c r="Q51" s="87" t="s">
        <v>62</v>
      </c>
    </row>
    <row r="52" spans="1:17" x14ac:dyDescent="0.25">
      <c r="A52" s="48">
        <v>1</v>
      </c>
      <c r="B52" s="48"/>
      <c r="C52" s="83">
        <f t="shared" ca="1" si="1"/>
        <v>43805</v>
      </c>
      <c r="D52" s="84">
        <f t="shared" si="2"/>
        <v>212</v>
      </c>
      <c r="E52" s="74" t="str">
        <f t="shared" ca="1" si="0"/>
        <v>HD_120619C212</v>
      </c>
      <c r="F52" s="75" t="str">
        <f ca="1">_xll.xlqName(E52,tda)</f>
        <v>#N/A</v>
      </c>
      <c r="G52" s="75" t="str">
        <f t="shared" ca="1" si="3"/>
        <v>BAD</v>
      </c>
      <c r="I52" s="83">
        <v>43805</v>
      </c>
      <c r="J52" s="84">
        <v>212</v>
      </c>
      <c r="K52" s="74" t="s">
        <v>250</v>
      </c>
      <c r="L52" s="75" t="s">
        <v>53</v>
      </c>
      <c r="M52" s="75" t="s">
        <v>106</v>
      </c>
    </row>
    <row r="53" spans="1:17" x14ac:dyDescent="0.25">
      <c r="A53" s="48">
        <v>0.5</v>
      </c>
      <c r="B53" s="48"/>
      <c r="C53" s="83">
        <f t="shared" ca="1" si="1"/>
        <v>43805</v>
      </c>
      <c r="D53" s="84">
        <f t="shared" si="2"/>
        <v>212.5</v>
      </c>
      <c r="E53" s="74" t="str">
        <f t="shared" ca="1" si="0"/>
        <v>HD_120619C212.5</v>
      </c>
      <c r="F53" s="75" t="str">
        <f ca="1">_xll.xlqName(E53,tda)</f>
        <v>HD Dec 6 2019 212.5 Call (Weekly)</v>
      </c>
      <c r="G53" s="75" t="str">
        <f t="shared" ca="1" si="3"/>
        <v/>
      </c>
      <c r="I53" s="83">
        <v>43805</v>
      </c>
      <c r="J53" s="84">
        <v>212.5</v>
      </c>
      <c r="K53" s="74" t="s">
        <v>251</v>
      </c>
      <c r="L53" s="75" t="s">
        <v>252</v>
      </c>
      <c r="M53" s="75" t="s">
        <v>111</v>
      </c>
    </row>
    <row r="54" spans="1:17" x14ac:dyDescent="0.25">
      <c r="A54" s="48">
        <v>0.5</v>
      </c>
      <c r="B54" s="48"/>
      <c r="C54" s="83">
        <f t="shared" ca="1" si="1"/>
        <v>43805</v>
      </c>
      <c r="D54" s="84">
        <f t="shared" si="2"/>
        <v>213</v>
      </c>
      <c r="E54" s="74" t="str">
        <f t="shared" ca="1" si="0"/>
        <v>HD_120619C213</v>
      </c>
      <c r="F54" s="75" t="str">
        <f ca="1">_xll.xlqName(E54,tda)</f>
        <v>#N/A</v>
      </c>
      <c r="G54" s="75" t="str">
        <f t="shared" ca="1" si="3"/>
        <v>BAD</v>
      </c>
      <c r="I54" s="83">
        <v>43805</v>
      </c>
      <c r="J54" s="84">
        <v>213</v>
      </c>
      <c r="K54" s="74" t="s">
        <v>253</v>
      </c>
      <c r="L54" s="75" t="s">
        <v>53</v>
      </c>
      <c r="M54" s="75" t="s">
        <v>106</v>
      </c>
    </row>
    <row r="55" spans="1:17" x14ac:dyDescent="0.25">
      <c r="A55" s="48">
        <v>1</v>
      </c>
      <c r="B55" s="48"/>
      <c r="C55" s="83">
        <f t="shared" ca="1" si="1"/>
        <v>43805</v>
      </c>
      <c r="D55" s="84">
        <f t="shared" si="2"/>
        <v>214</v>
      </c>
      <c r="E55" s="74" t="str">
        <f t="shared" ca="1" si="0"/>
        <v>HD_120619C214</v>
      </c>
      <c r="F55" s="75" t="str">
        <f ca="1">_xll.xlqName(E55,tda)</f>
        <v>#N/A</v>
      </c>
      <c r="G55" s="75" t="str">
        <f t="shared" ca="1" si="3"/>
        <v>BAD</v>
      </c>
      <c r="I55" s="83">
        <v>43805</v>
      </c>
      <c r="J55" s="84">
        <v>214</v>
      </c>
      <c r="K55" s="74" t="s">
        <v>254</v>
      </c>
      <c r="L55" s="75" t="s">
        <v>53</v>
      </c>
      <c r="M55" s="75" t="s">
        <v>106</v>
      </c>
    </row>
    <row r="56" spans="1:17" x14ac:dyDescent="0.25">
      <c r="A56" s="48">
        <v>1</v>
      </c>
      <c r="B56" s="48"/>
      <c r="C56" s="83">
        <f t="shared" ca="1" si="1"/>
        <v>43805</v>
      </c>
      <c r="D56" s="84">
        <f t="shared" si="2"/>
        <v>215</v>
      </c>
      <c r="E56" s="74" t="str">
        <f t="shared" ca="1" si="0"/>
        <v>HD_120619C215</v>
      </c>
      <c r="F56" s="75" t="str">
        <f ca="1">_xll.xlqName(E56,tda)</f>
        <v>HD Dec 6 2019 215 Call (Weekly)</v>
      </c>
      <c r="G56" s="75" t="str">
        <f t="shared" ca="1" si="3"/>
        <v/>
      </c>
      <c r="I56" s="83">
        <v>43805</v>
      </c>
      <c r="J56" s="84">
        <v>215</v>
      </c>
      <c r="K56" s="74" t="s">
        <v>255</v>
      </c>
      <c r="L56" s="75" t="s">
        <v>256</v>
      </c>
      <c r="M56" s="75" t="s">
        <v>111</v>
      </c>
    </row>
    <row r="57" spans="1:17" x14ac:dyDescent="0.25">
      <c r="A57" s="48">
        <v>1</v>
      </c>
      <c r="B57" s="48"/>
      <c r="C57" s="83">
        <f t="shared" ca="1" si="1"/>
        <v>43805</v>
      </c>
      <c r="D57" s="84">
        <f t="shared" si="2"/>
        <v>216</v>
      </c>
      <c r="E57" s="74" t="str">
        <f t="shared" ca="1" si="0"/>
        <v>HD_120619C216</v>
      </c>
      <c r="F57" s="75" t="str">
        <f ca="1">_xll.xlqName(E57,tda)</f>
        <v>#N/A</v>
      </c>
      <c r="G57" s="75" t="str">
        <f t="shared" ca="1" si="3"/>
        <v>BAD</v>
      </c>
      <c r="I57" s="83">
        <v>43805</v>
      </c>
      <c r="J57" s="84">
        <v>216</v>
      </c>
      <c r="K57" s="74" t="s">
        <v>257</v>
      </c>
      <c r="L57" s="75" t="s">
        <v>53</v>
      </c>
      <c r="M57" s="75" t="s">
        <v>106</v>
      </c>
    </row>
    <row r="58" spans="1:17" x14ac:dyDescent="0.25">
      <c r="A58" s="48">
        <v>1</v>
      </c>
      <c r="B58" s="48"/>
      <c r="C58" s="83">
        <f t="shared" ca="1" si="1"/>
        <v>43805</v>
      </c>
      <c r="D58" s="84">
        <f t="shared" si="2"/>
        <v>217</v>
      </c>
      <c r="E58" s="74" t="str">
        <f t="shared" ca="1" si="0"/>
        <v>HD_120619C217</v>
      </c>
      <c r="F58" s="75" t="str">
        <f ca="1">_xll.xlqName(E58,tda)</f>
        <v>#N/A</v>
      </c>
      <c r="G58" s="75" t="str">
        <f t="shared" ca="1" si="3"/>
        <v>BAD</v>
      </c>
      <c r="I58" s="83">
        <v>43805</v>
      </c>
      <c r="J58" s="84">
        <v>217</v>
      </c>
      <c r="K58" s="74" t="s">
        <v>258</v>
      </c>
      <c r="L58" s="75" t="s">
        <v>53</v>
      </c>
      <c r="M58" s="75" t="s">
        <v>106</v>
      </c>
    </row>
    <row r="59" spans="1:17" x14ac:dyDescent="0.25">
      <c r="A59" s="48">
        <v>0.5</v>
      </c>
      <c r="B59" s="48"/>
      <c r="C59" s="83">
        <f t="shared" ca="1" si="1"/>
        <v>43805</v>
      </c>
      <c r="D59" s="84">
        <f t="shared" si="2"/>
        <v>217.5</v>
      </c>
      <c r="E59" s="74" t="str">
        <f t="shared" ca="1" si="0"/>
        <v>HD_120619C217.5</v>
      </c>
      <c r="F59" s="75" t="str">
        <f ca="1">_xll.xlqName(E59,tda)</f>
        <v>HD Dec 6 2019 217.5 Call (Weekly)</v>
      </c>
      <c r="G59" s="75" t="str">
        <f t="shared" ca="1" si="3"/>
        <v/>
      </c>
      <c r="I59" s="83">
        <v>43805</v>
      </c>
      <c r="J59" s="84">
        <v>217.5</v>
      </c>
      <c r="K59" s="74" t="s">
        <v>259</v>
      </c>
      <c r="L59" s="75" t="s">
        <v>260</v>
      </c>
      <c r="M59" s="75" t="s">
        <v>111</v>
      </c>
    </row>
    <row r="60" spans="1:17" x14ac:dyDescent="0.25">
      <c r="A60" s="48">
        <v>0.5</v>
      </c>
      <c r="B60" s="48"/>
      <c r="C60" s="83">
        <f t="shared" ca="1" si="1"/>
        <v>43805</v>
      </c>
      <c r="D60" s="84">
        <f t="shared" si="2"/>
        <v>218</v>
      </c>
      <c r="E60" s="74" t="str">
        <f t="shared" ca="1" si="0"/>
        <v>HD_120619C218</v>
      </c>
      <c r="F60" s="75" t="str">
        <f ca="1">_xll.xlqName(E60,tda)</f>
        <v>#N/A</v>
      </c>
      <c r="G60" s="75" t="str">
        <f t="shared" ca="1" si="3"/>
        <v>BAD</v>
      </c>
      <c r="I60" s="83">
        <v>43805</v>
      </c>
      <c r="J60" s="84">
        <v>218</v>
      </c>
      <c r="K60" s="74" t="s">
        <v>261</v>
      </c>
      <c r="L60" s="75" t="s">
        <v>53</v>
      </c>
      <c r="M60" s="75" t="s">
        <v>106</v>
      </c>
    </row>
    <row r="61" spans="1:17" x14ac:dyDescent="0.25">
      <c r="A61" s="48">
        <v>1</v>
      </c>
      <c r="B61" s="48"/>
      <c r="C61" s="83">
        <f t="shared" ca="1" si="1"/>
        <v>43805</v>
      </c>
      <c r="D61" s="84">
        <f t="shared" si="2"/>
        <v>219</v>
      </c>
      <c r="E61" s="74" t="str">
        <f t="shared" ca="1" si="0"/>
        <v>HD_120619C219</v>
      </c>
      <c r="F61" s="75" t="str">
        <f ca="1">_xll.xlqName(E61,tda)</f>
        <v>#N/A</v>
      </c>
      <c r="G61" s="75" t="str">
        <f t="shared" ca="1" si="3"/>
        <v>BAD</v>
      </c>
      <c r="I61" s="83">
        <v>43805</v>
      </c>
      <c r="J61" s="84">
        <v>219</v>
      </c>
      <c r="K61" s="74" t="s">
        <v>262</v>
      </c>
      <c r="L61" s="75" t="s">
        <v>53</v>
      </c>
      <c r="M61" s="75" t="s">
        <v>106</v>
      </c>
    </row>
    <row r="62" spans="1:17" x14ac:dyDescent="0.25">
      <c r="A62" s="48">
        <v>1</v>
      </c>
      <c r="B62" s="48"/>
      <c r="C62" s="83">
        <f t="shared" ca="1" si="1"/>
        <v>43805</v>
      </c>
      <c r="D62" s="84">
        <f t="shared" si="2"/>
        <v>220</v>
      </c>
      <c r="E62" s="74" t="str">
        <f t="shared" ca="1" si="0"/>
        <v>HD_120619C220</v>
      </c>
      <c r="F62" s="75" t="str">
        <f ca="1">_xll.xlqName(E62,tda)</f>
        <v>HD Dec 6 2019 220 Call (Weekly)</v>
      </c>
      <c r="G62" s="75" t="str">
        <f t="shared" ca="1" si="3"/>
        <v/>
      </c>
      <c r="I62" s="83">
        <v>43805</v>
      </c>
      <c r="J62" s="84">
        <v>220</v>
      </c>
      <c r="K62" s="74" t="s">
        <v>263</v>
      </c>
      <c r="L62" s="75" t="s">
        <v>264</v>
      </c>
      <c r="M62" s="75" t="s">
        <v>111</v>
      </c>
    </row>
    <row r="63" spans="1:17" x14ac:dyDescent="0.25">
      <c r="A63" s="48">
        <v>1</v>
      </c>
      <c r="B63" s="48"/>
      <c r="C63" s="83">
        <f t="shared" ca="1" si="1"/>
        <v>43805</v>
      </c>
      <c r="D63" s="84">
        <f t="shared" si="2"/>
        <v>221</v>
      </c>
      <c r="E63" s="74" t="str">
        <f t="shared" ca="1" si="0"/>
        <v>HD_120619C221</v>
      </c>
      <c r="F63" s="75" t="str">
        <f ca="1">_xll.xlqName(E63,tda)</f>
        <v>#N/A</v>
      </c>
      <c r="G63" s="75" t="str">
        <f t="shared" ca="1" si="3"/>
        <v>BAD</v>
      </c>
      <c r="I63" s="83">
        <v>43805</v>
      </c>
      <c r="J63" s="84">
        <v>221</v>
      </c>
      <c r="K63" s="74" t="s">
        <v>265</v>
      </c>
      <c r="L63" s="75" t="s">
        <v>53</v>
      </c>
      <c r="M63" s="75" t="s">
        <v>106</v>
      </c>
    </row>
    <row r="64" spans="1:17" x14ac:dyDescent="0.25">
      <c r="A64" s="48">
        <v>1</v>
      </c>
      <c r="B64" s="48"/>
      <c r="C64" s="83">
        <f t="shared" ca="1" si="1"/>
        <v>43805</v>
      </c>
      <c r="D64" s="84">
        <f t="shared" si="2"/>
        <v>222</v>
      </c>
      <c r="E64" s="74" t="str">
        <f t="shared" ca="1" si="0"/>
        <v>HD_120619C222</v>
      </c>
      <c r="F64" s="75" t="str">
        <f ca="1">_xll.xlqName(E64,tda)</f>
        <v>#N/A</v>
      </c>
      <c r="G64" s="75" t="str">
        <f t="shared" ca="1" si="3"/>
        <v>BAD</v>
      </c>
      <c r="I64" s="83">
        <v>43805</v>
      </c>
      <c r="J64" s="84">
        <v>222</v>
      </c>
      <c r="K64" s="74" t="s">
        <v>266</v>
      </c>
      <c r="L64" s="75" t="s">
        <v>53</v>
      </c>
      <c r="M64" s="75" t="s">
        <v>106</v>
      </c>
    </row>
    <row r="65" spans="1:13" x14ac:dyDescent="0.25">
      <c r="A65" s="48">
        <v>0.5</v>
      </c>
      <c r="B65" s="48"/>
      <c r="C65" s="83">
        <f t="shared" ca="1" si="1"/>
        <v>43805</v>
      </c>
      <c r="D65" s="84">
        <f t="shared" si="2"/>
        <v>222.5</v>
      </c>
      <c r="E65" s="74" t="str">
        <f t="shared" ca="1" si="0"/>
        <v>HD_120619C222.5</v>
      </c>
      <c r="F65" s="75" t="str">
        <f ca="1">_xll.xlqName(E65,tda)</f>
        <v>HD Dec 6 2019 222.5 Call (Weekly)</v>
      </c>
      <c r="G65" s="75" t="str">
        <f t="shared" ca="1" si="3"/>
        <v/>
      </c>
      <c r="I65" s="83">
        <v>43805</v>
      </c>
      <c r="J65" s="84">
        <v>222.5</v>
      </c>
      <c r="K65" s="74" t="s">
        <v>267</v>
      </c>
      <c r="L65" s="75" t="s">
        <v>268</v>
      </c>
      <c r="M65" s="75" t="s">
        <v>111</v>
      </c>
    </row>
    <row r="66" spans="1:13" x14ac:dyDescent="0.25">
      <c r="A66" s="48">
        <v>0.5</v>
      </c>
      <c r="B66" s="48"/>
      <c r="C66" s="83">
        <f t="shared" ca="1" si="1"/>
        <v>43805</v>
      </c>
      <c r="D66" s="84">
        <f t="shared" si="2"/>
        <v>223</v>
      </c>
      <c r="E66" s="74" t="str">
        <f t="shared" ref="E66:E129" ca="1" si="7">CONCATENATE($Q$2,"_",TEXT(MONTH(C66),"00"),TEXT(DAY(C66),"00"),TEXT(MOD(YEAR(C66),100),"00"),$Q$3,D66&amp;"")</f>
        <v>HD_120619C223</v>
      </c>
      <c r="F66" s="75" t="str">
        <f ca="1">_xll.xlqName(E66,tda)</f>
        <v>#N/A</v>
      </c>
      <c r="G66" s="75" t="str">
        <f t="shared" ca="1" si="3"/>
        <v>BAD</v>
      </c>
      <c r="I66" s="83">
        <v>43805</v>
      </c>
      <c r="J66" s="84">
        <v>223</v>
      </c>
      <c r="K66" s="74" t="s">
        <v>269</v>
      </c>
      <c r="L66" s="75" t="s">
        <v>53</v>
      </c>
      <c r="M66" s="75" t="s">
        <v>106</v>
      </c>
    </row>
    <row r="67" spans="1:13" x14ac:dyDescent="0.25">
      <c r="A67" s="48">
        <v>1</v>
      </c>
      <c r="B67" s="48"/>
      <c r="C67" s="83">
        <f t="shared" ref="C67:C130" ca="1" si="8">IF(D67&gt;D66,C66,INDEX($O$14:$O$50,VLOOKUP(C66,$O$14:$P$50,2)+1))</f>
        <v>43805</v>
      </c>
      <c r="D67" s="84">
        <f t="shared" ref="D67:D130" si="9">IF(D66+A67&lt;=$Q$8,D66+A67,$Q$6)</f>
        <v>224</v>
      </c>
      <c r="E67" s="74" t="str">
        <f t="shared" ca="1" si="7"/>
        <v>HD_120619C224</v>
      </c>
      <c r="F67" s="75" t="str">
        <f ca="1">_xll.xlqName(E67,tda)</f>
        <v>#N/A</v>
      </c>
      <c r="G67" s="75" t="str">
        <f t="shared" ref="G67:G130" ca="1" si="10">IF(AND(ISTEXT(F67),(F67&lt;&gt;"#N/A"),(F67&lt;&gt;"Busy...")),"","BAD")</f>
        <v>BAD</v>
      </c>
      <c r="I67" s="83">
        <v>43805</v>
      </c>
      <c r="J67" s="84">
        <v>224</v>
      </c>
      <c r="K67" s="74" t="s">
        <v>270</v>
      </c>
      <c r="L67" s="75" t="s">
        <v>53</v>
      </c>
      <c r="M67" s="75" t="s">
        <v>106</v>
      </c>
    </row>
    <row r="68" spans="1:13" x14ac:dyDescent="0.25">
      <c r="A68" s="48">
        <v>1</v>
      </c>
      <c r="B68" s="48"/>
      <c r="C68" s="83">
        <f t="shared" ca="1" si="8"/>
        <v>43805</v>
      </c>
      <c r="D68" s="84">
        <f t="shared" si="9"/>
        <v>225</v>
      </c>
      <c r="E68" s="74" t="str">
        <f t="shared" ca="1" si="7"/>
        <v>HD_120619C225</v>
      </c>
      <c r="F68" s="75" t="str">
        <f ca="1">_xll.xlqName(E68,tda)</f>
        <v>HD Dec 6 2019 225 Call (Weekly)</v>
      </c>
      <c r="G68" s="75" t="str">
        <f t="shared" ca="1" si="10"/>
        <v/>
      </c>
      <c r="I68" s="83">
        <v>43805</v>
      </c>
      <c r="J68" s="84">
        <v>225</v>
      </c>
      <c r="K68" s="74" t="s">
        <v>271</v>
      </c>
      <c r="L68" s="75" t="s">
        <v>272</v>
      </c>
      <c r="M68" s="75" t="s">
        <v>111</v>
      </c>
    </row>
    <row r="69" spans="1:13" x14ac:dyDescent="0.25">
      <c r="A69" s="48">
        <v>1</v>
      </c>
      <c r="B69" s="48"/>
      <c r="C69" s="83">
        <f t="shared" ca="1" si="8"/>
        <v>43805</v>
      </c>
      <c r="D69" s="84">
        <f t="shared" si="9"/>
        <v>226</v>
      </c>
      <c r="E69" s="74" t="str">
        <f t="shared" ca="1" si="7"/>
        <v>HD_120619C226</v>
      </c>
      <c r="F69" s="75" t="str">
        <f ca="1">_xll.xlqName(E69,tda)</f>
        <v>#N/A</v>
      </c>
      <c r="G69" s="75" t="str">
        <f t="shared" ca="1" si="10"/>
        <v>BAD</v>
      </c>
      <c r="I69" s="83">
        <v>43805</v>
      </c>
      <c r="J69" s="84">
        <v>226</v>
      </c>
      <c r="K69" s="74" t="s">
        <v>273</v>
      </c>
      <c r="L69" s="75" t="s">
        <v>53</v>
      </c>
      <c r="M69" s="75" t="s">
        <v>106</v>
      </c>
    </row>
    <row r="70" spans="1:13" x14ac:dyDescent="0.25">
      <c r="A70" s="48">
        <v>1</v>
      </c>
      <c r="B70" s="48"/>
      <c r="C70" s="83">
        <f t="shared" ca="1" si="8"/>
        <v>43805</v>
      </c>
      <c r="D70" s="84">
        <f t="shared" si="9"/>
        <v>227</v>
      </c>
      <c r="E70" s="74" t="str">
        <f t="shared" ca="1" si="7"/>
        <v>HD_120619C227</v>
      </c>
      <c r="F70" s="75" t="str">
        <f ca="1">_xll.xlqName(E70,tda)</f>
        <v>#N/A</v>
      </c>
      <c r="G70" s="75" t="str">
        <f t="shared" ca="1" si="10"/>
        <v>BAD</v>
      </c>
      <c r="I70" s="83">
        <v>43805</v>
      </c>
      <c r="J70" s="84">
        <v>227</v>
      </c>
      <c r="K70" s="74" t="s">
        <v>274</v>
      </c>
      <c r="L70" s="75" t="s">
        <v>53</v>
      </c>
      <c r="M70" s="75" t="s">
        <v>106</v>
      </c>
    </row>
    <row r="71" spans="1:13" x14ac:dyDescent="0.25">
      <c r="A71" s="48">
        <v>0.5</v>
      </c>
      <c r="B71" s="48"/>
      <c r="C71" s="83">
        <f t="shared" ca="1" si="8"/>
        <v>43805</v>
      </c>
      <c r="D71" s="84">
        <f t="shared" si="9"/>
        <v>227.5</v>
      </c>
      <c r="E71" s="74" t="str">
        <f t="shared" ca="1" si="7"/>
        <v>HD_120619C227.5</v>
      </c>
      <c r="F71" s="75" t="str">
        <f ca="1">_xll.xlqName(E71,tda)</f>
        <v>HD Dec 6 2019 227.5 Call (Weekly)</v>
      </c>
      <c r="G71" s="75" t="str">
        <f t="shared" ca="1" si="10"/>
        <v/>
      </c>
      <c r="I71" s="83">
        <v>43805</v>
      </c>
      <c r="J71" s="84">
        <v>227.5</v>
      </c>
      <c r="K71" s="74" t="s">
        <v>275</v>
      </c>
      <c r="L71" s="75" t="s">
        <v>276</v>
      </c>
      <c r="M71" s="75" t="s">
        <v>111</v>
      </c>
    </row>
    <row r="72" spans="1:13" x14ac:dyDescent="0.25">
      <c r="A72" s="48">
        <v>0.5</v>
      </c>
      <c r="B72" s="48"/>
      <c r="C72" s="83">
        <f t="shared" ca="1" si="8"/>
        <v>43805</v>
      </c>
      <c r="D72" s="84">
        <f t="shared" si="9"/>
        <v>228</v>
      </c>
      <c r="E72" s="74" t="str">
        <f t="shared" ca="1" si="7"/>
        <v>HD_120619C228</v>
      </c>
      <c r="F72" s="75" t="str">
        <f ca="1">_xll.xlqName(E72,tda)</f>
        <v>#N/A</v>
      </c>
      <c r="G72" s="75" t="str">
        <f t="shared" ca="1" si="10"/>
        <v>BAD</v>
      </c>
      <c r="I72" s="83">
        <v>43805</v>
      </c>
      <c r="J72" s="84">
        <v>228</v>
      </c>
      <c r="K72" s="74" t="s">
        <v>277</v>
      </c>
      <c r="L72" s="75" t="s">
        <v>53</v>
      </c>
      <c r="M72" s="75" t="s">
        <v>106</v>
      </c>
    </row>
    <row r="73" spans="1:13" x14ac:dyDescent="0.25">
      <c r="A73" s="48">
        <v>1</v>
      </c>
      <c r="B73" s="48"/>
      <c r="C73" s="83">
        <f t="shared" ca="1" si="8"/>
        <v>43805</v>
      </c>
      <c r="D73" s="84">
        <f t="shared" si="9"/>
        <v>229</v>
      </c>
      <c r="E73" s="74" t="str">
        <f t="shared" ca="1" si="7"/>
        <v>HD_120619C229</v>
      </c>
      <c r="F73" s="75" t="str">
        <f ca="1">_xll.xlqName(E73,tda)</f>
        <v>#N/A</v>
      </c>
      <c r="G73" s="75" t="str">
        <f t="shared" ca="1" si="10"/>
        <v>BAD</v>
      </c>
      <c r="I73" s="83">
        <v>43805</v>
      </c>
      <c r="J73" s="84">
        <v>229</v>
      </c>
      <c r="K73" s="74" t="s">
        <v>278</v>
      </c>
      <c r="L73" s="75" t="s">
        <v>53</v>
      </c>
      <c r="M73" s="75" t="s">
        <v>106</v>
      </c>
    </row>
    <row r="74" spans="1:13" x14ac:dyDescent="0.25">
      <c r="A74" s="48">
        <v>1</v>
      </c>
      <c r="B74" s="48"/>
      <c r="C74" s="83">
        <f t="shared" ca="1" si="8"/>
        <v>43805</v>
      </c>
      <c r="D74" s="84">
        <f t="shared" si="9"/>
        <v>230</v>
      </c>
      <c r="E74" s="74" t="str">
        <f t="shared" ca="1" si="7"/>
        <v>HD_120619C230</v>
      </c>
      <c r="F74" s="75" t="str">
        <f ca="1">_xll.xlqName(E74,tda)</f>
        <v>HD Dec 6 2019 230 Call (Weekly)</v>
      </c>
      <c r="G74" s="75" t="str">
        <f t="shared" ca="1" si="10"/>
        <v/>
      </c>
      <c r="I74" s="83">
        <v>43805</v>
      </c>
      <c r="J74" s="84">
        <v>230</v>
      </c>
      <c r="K74" s="74" t="s">
        <v>279</v>
      </c>
      <c r="L74" s="75" t="s">
        <v>280</v>
      </c>
      <c r="M74" s="75" t="s">
        <v>111</v>
      </c>
    </row>
    <row r="75" spans="1:13" x14ac:dyDescent="0.25">
      <c r="A75" s="48">
        <v>1</v>
      </c>
      <c r="B75" s="48"/>
      <c r="C75" s="83">
        <f t="shared" ca="1" si="8"/>
        <v>43812</v>
      </c>
      <c r="D75" s="84">
        <f t="shared" si="9"/>
        <v>170</v>
      </c>
      <c r="E75" s="74" t="str">
        <f t="shared" ca="1" si="7"/>
        <v>HD_121319C170</v>
      </c>
      <c r="F75" s="75" t="str">
        <f ca="1">_xll.xlqName(E75,tda)</f>
        <v>#N/A</v>
      </c>
      <c r="G75" s="75" t="str">
        <f t="shared" ca="1" si="10"/>
        <v>BAD</v>
      </c>
      <c r="I75" s="83">
        <v>43805</v>
      </c>
      <c r="J75" s="84">
        <v>231</v>
      </c>
      <c r="K75" s="74" t="s">
        <v>281</v>
      </c>
      <c r="L75" s="75" t="s">
        <v>53</v>
      </c>
      <c r="M75" s="75" t="s">
        <v>106</v>
      </c>
    </row>
    <row r="76" spans="1:13" x14ac:dyDescent="0.25">
      <c r="A76" s="48">
        <v>1</v>
      </c>
      <c r="B76" s="48"/>
      <c r="C76" s="83">
        <f t="shared" ca="1" si="8"/>
        <v>43812</v>
      </c>
      <c r="D76" s="84">
        <f t="shared" si="9"/>
        <v>171</v>
      </c>
      <c r="E76" s="74" t="str">
        <f t="shared" ca="1" si="7"/>
        <v>HD_121319C171</v>
      </c>
      <c r="F76" s="75" t="str">
        <f ca="1">_xll.xlqName(E76,tda)</f>
        <v>#N/A</v>
      </c>
      <c r="G76" s="75" t="str">
        <f t="shared" ca="1" si="10"/>
        <v>BAD</v>
      </c>
      <c r="I76" s="83">
        <v>43805</v>
      </c>
      <c r="J76" s="84">
        <v>232</v>
      </c>
      <c r="K76" s="74" t="s">
        <v>282</v>
      </c>
      <c r="L76" s="75" t="s">
        <v>53</v>
      </c>
      <c r="M76" s="75" t="s">
        <v>106</v>
      </c>
    </row>
    <row r="77" spans="1:13" x14ac:dyDescent="0.25">
      <c r="A77" s="48">
        <v>0.5</v>
      </c>
      <c r="B77" s="48"/>
      <c r="C77" s="83">
        <f t="shared" ca="1" si="8"/>
        <v>43812</v>
      </c>
      <c r="D77" s="84">
        <f t="shared" si="9"/>
        <v>171.5</v>
      </c>
      <c r="E77" s="74" t="str">
        <f t="shared" ca="1" si="7"/>
        <v>HD_121319C171.5</v>
      </c>
      <c r="F77" s="75" t="str">
        <f ca="1">_xll.xlqName(E77,tda)</f>
        <v>#N/A</v>
      </c>
      <c r="G77" s="75" t="str">
        <f t="shared" ca="1" si="10"/>
        <v>BAD</v>
      </c>
      <c r="I77" s="83">
        <v>43805</v>
      </c>
      <c r="J77" s="84">
        <v>232.5</v>
      </c>
      <c r="K77" s="74" t="s">
        <v>283</v>
      </c>
      <c r="L77" s="75" t="s">
        <v>284</v>
      </c>
      <c r="M77" s="75" t="s">
        <v>111</v>
      </c>
    </row>
    <row r="78" spans="1:13" x14ac:dyDescent="0.25">
      <c r="A78" s="48">
        <v>0.5</v>
      </c>
      <c r="B78" s="48"/>
      <c r="C78" s="83">
        <f t="shared" ca="1" si="8"/>
        <v>43812</v>
      </c>
      <c r="D78" s="84">
        <f t="shared" si="9"/>
        <v>172</v>
      </c>
      <c r="E78" s="74" t="str">
        <f t="shared" ca="1" si="7"/>
        <v>HD_121319C172</v>
      </c>
      <c r="F78" s="75" t="str">
        <f ca="1">_xll.xlqName(E78,tda)</f>
        <v>#N/A</v>
      </c>
      <c r="G78" s="75" t="str">
        <f t="shared" ca="1" si="10"/>
        <v>BAD</v>
      </c>
      <c r="I78" s="83">
        <v>43805</v>
      </c>
      <c r="J78" s="84">
        <v>233</v>
      </c>
      <c r="K78" s="74" t="s">
        <v>285</v>
      </c>
      <c r="L78" s="75" t="s">
        <v>53</v>
      </c>
      <c r="M78" s="75" t="s">
        <v>106</v>
      </c>
    </row>
    <row r="79" spans="1:13" x14ac:dyDescent="0.25">
      <c r="A79" s="48">
        <v>1</v>
      </c>
      <c r="B79" s="48"/>
      <c r="C79" s="83">
        <f t="shared" ca="1" si="8"/>
        <v>43812</v>
      </c>
      <c r="D79" s="84">
        <f t="shared" si="9"/>
        <v>173</v>
      </c>
      <c r="E79" s="74" t="str">
        <f t="shared" ca="1" si="7"/>
        <v>HD_121319C173</v>
      </c>
      <c r="F79" s="75" t="str">
        <f ca="1">_xll.xlqName(E79,tda)</f>
        <v>#N/A</v>
      </c>
      <c r="G79" s="75" t="str">
        <f t="shared" ca="1" si="10"/>
        <v>BAD</v>
      </c>
      <c r="I79" s="83">
        <v>43805</v>
      </c>
      <c r="J79" s="84">
        <v>234</v>
      </c>
      <c r="K79" s="74" t="s">
        <v>286</v>
      </c>
      <c r="L79" s="75" t="s">
        <v>53</v>
      </c>
      <c r="M79" s="75" t="s">
        <v>106</v>
      </c>
    </row>
    <row r="80" spans="1:13" x14ac:dyDescent="0.25">
      <c r="A80" s="48">
        <v>1</v>
      </c>
      <c r="B80" s="48"/>
      <c r="C80" s="83">
        <f t="shared" ca="1" si="8"/>
        <v>43812</v>
      </c>
      <c r="D80" s="84">
        <f t="shared" si="9"/>
        <v>174</v>
      </c>
      <c r="E80" s="74" t="str">
        <f t="shared" ca="1" si="7"/>
        <v>HD_121319C174</v>
      </c>
      <c r="F80" s="75" t="str">
        <f ca="1">_xll.xlqName(E80,tda)</f>
        <v>#N/A</v>
      </c>
      <c r="G80" s="75" t="str">
        <f t="shared" ca="1" si="10"/>
        <v>BAD</v>
      </c>
      <c r="I80" s="83">
        <v>43805</v>
      </c>
      <c r="J80" s="84">
        <v>235</v>
      </c>
      <c r="K80" s="74" t="s">
        <v>287</v>
      </c>
      <c r="L80" s="75" t="s">
        <v>288</v>
      </c>
      <c r="M80" s="75" t="s">
        <v>111</v>
      </c>
    </row>
    <row r="81" spans="1:13" x14ac:dyDescent="0.25">
      <c r="A81" s="48">
        <v>1</v>
      </c>
      <c r="B81" s="48"/>
      <c r="C81" s="83">
        <f t="shared" ca="1" si="8"/>
        <v>43812</v>
      </c>
      <c r="D81" s="84">
        <f t="shared" si="9"/>
        <v>175</v>
      </c>
      <c r="E81" s="74" t="str">
        <f t="shared" ca="1" si="7"/>
        <v>HD_121319C175</v>
      </c>
      <c r="F81" s="75" t="str">
        <f ca="1">_xll.xlqName(E81,tda)</f>
        <v>#N/A</v>
      </c>
      <c r="G81" s="75" t="str">
        <f t="shared" ca="1" si="10"/>
        <v>BAD</v>
      </c>
      <c r="I81" s="83">
        <v>43812</v>
      </c>
      <c r="J81" s="84">
        <v>170</v>
      </c>
      <c r="K81" s="74" t="s">
        <v>289</v>
      </c>
      <c r="L81" s="75" t="s">
        <v>53</v>
      </c>
      <c r="M81" s="75" t="s">
        <v>106</v>
      </c>
    </row>
    <row r="82" spans="1:13" x14ac:dyDescent="0.25">
      <c r="A82" s="48">
        <v>1</v>
      </c>
      <c r="B82" s="48"/>
      <c r="C82" s="83">
        <f t="shared" ca="1" si="8"/>
        <v>43812</v>
      </c>
      <c r="D82" s="84">
        <f t="shared" si="9"/>
        <v>176</v>
      </c>
      <c r="E82" s="74" t="str">
        <f t="shared" ca="1" si="7"/>
        <v>HD_121319C176</v>
      </c>
      <c r="F82" s="75" t="str">
        <f ca="1">_xll.xlqName(E82,tda)</f>
        <v>#N/A</v>
      </c>
      <c r="G82" s="75" t="str">
        <f t="shared" ca="1" si="10"/>
        <v>BAD</v>
      </c>
      <c r="I82" s="83">
        <v>43812</v>
      </c>
      <c r="J82" s="84">
        <v>171</v>
      </c>
      <c r="K82" s="74" t="s">
        <v>290</v>
      </c>
      <c r="L82" s="75" t="s">
        <v>53</v>
      </c>
      <c r="M82" s="75" t="s">
        <v>106</v>
      </c>
    </row>
    <row r="83" spans="1:13" x14ac:dyDescent="0.25">
      <c r="A83" s="48">
        <v>0.5</v>
      </c>
      <c r="B83" s="48"/>
      <c r="C83" s="83">
        <f t="shared" ca="1" si="8"/>
        <v>43812</v>
      </c>
      <c r="D83" s="84">
        <f t="shared" si="9"/>
        <v>176.5</v>
      </c>
      <c r="E83" s="74" t="str">
        <f t="shared" ca="1" si="7"/>
        <v>HD_121319C176.5</v>
      </c>
      <c r="F83" s="75" t="str">
        <f ca="1">_xll.xlqName(E83,tda)</f>
        <v>#N/A</v>
      </c>
      <c r="G83" s="75" t="str">
        <f t="shared" ca="1" si="10"/>
        <v>BAD</v>
      </c>
      <c r="I83" s="83">
        <v>43812</v>
      </c>
      <c r="J83" s="84">
        <v>171.5</v>
      </c>
      <c r="K83" s="74" t="s">
        <v>291</v>
      </c>
      <c r="L83" s="75" t="s">
        <v>53</v>
      </c>
      <c r="M83" s="75" t="s">
        <v>106</v>
      </c>
    </row>
    <row r="84" spans="1:13" x14ac:dyDescent="0.25">
      <c r="A84" s="48">
        <v>0.5</v>
      </c>
      <c r="B84" s="48"/>
      <c r="C84" s="83">
        <f t="shared" ca="1" si="8"/>
        <v>43812</v>
      </c>
      <c r="D84" s="84">
        <f t="shared" si="9"/>
        <v>177</v>
      </c>
      <c r="E84" s="74" t="str">
        <f t="shared" ca="1" si="7"/>
        <v>HD_121319C177</v>
      </c>
      <c r="F84" s="75" t="str">
        <f ca="1">_xll.xlqName(E84,tda)</f>
        <v>#N/A</v>
      </c>
      <c r="G84" s="75" t="str">
        <f t="shared" ca="1" si="10"/>
        <v>BAD</v>
      </c>
      <c r="I84" s="83">
        <v>43812</v>
      </c>
      <c r="J84" s="84">
        <v>172</v>
      </c>
      <c r="K84" s="74" t="s">
        <v>292</v>
      </c>
      <c r="L84" s="75" t="s">
        <v>53</v>
      </c>
      <c r="M84" s="75" t="s">
        <v>106</v>
      </c>
    </row>
    <row r="85" spans="1:13" x14ac:dyDescent="0.25">
      <c r="A85" s="48">
        <v>1</v>
      </c>
      <c r="B85" s="48"/>
      <c r="C85" s="83">
        <f t="shared" ca="1" si="8"/>
        <v>43812</v>
      </c>
      <c r="D85" s="84">
        <f t="shared" si="9"/>
        <v>178</v>
      </c>
      <c r="E85" s="74" t="str">
        <f t="shared" ca="1" si="7"/>
        <v>HD_121319C178</v>
      </c>
      <c r="F85" s="75" t="str">
        <f ca="1">_xll.xlqName(E85,tda)</f>
        <v>#N/A</v>
      </c>
      <c r="G85" s="75" t="str">
        <f t="shared" ca="1" si="10"/>
        <v>BAD</v>
      </c>
      <c r="I85" s="83">
        <v>43812</v>
      </c>
      <c r="J85" s="84">
        <v>173</v>
      </c>
      <c r="K85" s="74" t="s">
        <v>293</v>
      </c>
      <c r="L85" s="75" t="s">
        <v>53</v>
      </c>
      <c r="M85" s="75" t="s">
        <v>106</v>
      </c>
    </row>
    <row r="86" spans="1:13" x14ac:dyDescent="0.25">
      <c r="A86" s="48">
        <v>1</v>
      </c>
      <c r="B86" s="48"/>
      <c r="C86" s="83">
        <f t="shared" ca="1" si="8"/>
        <v>43812</v>
      </c>
      <c r="D86" s="84">
        <f t="shared" si="9"/>
        <v>179</v>
      </c>
      <c r="E86" s="74" t="str">
        <f t="shared" ca="1" si="7"/>
        <v>HD_121319C179</v>
      </c>
      <c r="F86" s="75" t="str">
        <f ca="1">_xll.xlqName(E86,tda)</f>
        <v>#N/A</v>
      </c>
      <c r="G86" s="75" t="str">
        <f t="shared" ca="1" si="10"/>
        <v>BAD</v>
      </c>
      <c r="I86" s="83">
        <v>43812</v>
      </c>
      <c r="J86" s="84">
        <v>174</v>
      </c>
      <c r="K86" s="74" t="s">
        <v>294</v>
      </c>
      <c r="L86" s="75" t="s">
        <v>53</v>
      </c>
      <c r="M86" s="75" t="s">
        <v>106</v>
      </c>
    </row>
    <row r="87" spans="1:13" x14ac:dyDescent="0.25">
      <c r="A87" s="48">
        <v>1</v>
      </c>
      <c r="B87" s="48"/>
      <c r="C87" s="83">
        <f t="shared" ca="1" si="8"/>
        <v>43812</v>
      </c>
      <c r="D87" s="84">
        <f t="shared" si="9"/>
        <v>180</v>
      </c>
      <c r="E87" s="74" t="str">
        <f t="shared" ca="1" si="7"/>
        <v>HD_121319C180</v>
      </c>
      <c r="F87" s="75" t="str">
        <f ca="1">_xll.xlqName(E87,tda)</f>
        <v>#N/A</v>
      </c>
      <c r="G87" s="75" t="str">
        <f t="shared" ca="1" si="10"/>
        <v>BAD</v>
      </c>
      <c r="I87" s="83">
        <v>43812</v>
      </c>
      <c r="J87" s="84">
        <v>175</v>
      </c>
      <c r="K87" s="74" t="s">
        <v>295</v>
      </c>
      <c r="L87" s="75" t="s">
        <v>53</v>
      </c>
      <c r="M87" s="75" t="s">
        <v>106</v>
      </c>
    </row>
    <row r="88" spans="1:13" x14ac:dyDescent="0.25">
      <c r="A88" s="48">
        <v>1</v>
      </c>
      <c r="B88" s="48"/>
      <c r="C88" s="83">
        <f t="shared" ca="1" si="8"/>
        <v>43812</v>
      </c>
      <c r="D88" s="84">
        <f t="shared" si="9"/>
        <v>181</v>
      </c>
      <c r="E88" s="74" t="str">
        <f t="shared" ca="1" si="7"/>
        <v>HD_121319C181</v>
      </c>
      <c r="F88" s="75" t="str">
        <f ca="1">_xll.xlqName(E88,tda)</f>
        <v>#N/A</v>
      </c>
      <c r="G88" s="75" t="str">
        <f t="shared" ca="1" si="10"/>
        <v>BAD</v>
      </c>
      <c r="I88" s="83">
        <v>43812</v>
      </c>
      <c r="J88" s="84">
        <v>176</v>
      </c>
      <c r="K88" s="74" t="s">
        <v>296</v>
      </c>
      <c r="L88" s="75" t="s">
        <v>53</v>
      </c>
      <c r="M88" s="75" t="s">
        <v>106</v>
      </c>
    </row>
    <row r="89" spans="1:13" x14ac:dyDescent="0.25">
      <c r="A89" s="48">
        <v>0.5</v>
      </c>
      <c r="B89" s="48"/>
      <c r="C89" s="83">
        <f t="shared" ca="1" si="8"/>
        <v>43812</v>
      </c>
      <c r="D89" s="84">
        <f t="shared" si="9"/>
        <v>181.5</v>
      </c>
      <c r="E89" s="74" t="str">
        <f t="shared" ca="1" si="7"/>
        <v>HD_121319C181.5</v>
      </c>
      <c r="F89" s="75" t="str">
        <f ca="1">_xll.xlqName(E89,tda)</f>
        <v>#N/A</v>
      </c>
      <c r="G89" s="75" t="str">
        <f t="shared" ca="1" si="10"/>
        <v>BAD</v>
      </c>
      <c r="I89" s="83">
        <v>43812</v>
      </c>
      <c r="J89" s="84">
        <v>176.5</v>
      </c>
      <c r="K89" s="74" t="s">
        <v>297</v>
      </c>
      <c r="L89" s="75" t="s">
        <v>53</v>
      </c>
      <c r="M89" s="75" t="s">
        <v>106</v>
      </c>
    </row>
    <row r="90" spans="1:13" x14ac:dyDescent="0.25">
      <c r="A90" s="48">
        <v>0.5</v>
      </c>
      <c r="B90" s="48"/>
      <c r="C90" s="83">
        <f t="shared" ca="1" si="8"/>
        <v>43812</v>
      </c>
      <c r="D90" s="84">
        <f t="shared" si="9"/>
        <v>182</v>
      </c>
      <c r="E90" s="74" t="str">
        <f t="shared" ca="1" si="7"/>
        <v>HD_121319C182</v>
      </c>
      <c r="F90" s="75" t="str">
        <f ca="1">_xll.xlqName(E90,tda)</f>
        <v>#N/A</v>
      </c>
      <c r="G90" s="75" t="str">
        <f t="shared" ca="1" si="10"/>
        <v>BAD</v>
      </c>
      <c r="I90" s="83">
        <v>43812</v>
      </c>
      <c r="J90" s="84">
        <v>177</v>
      </c>
      <c r="K90" s="74" t="s">
        <v>298</v>
      </c>
      <c r="L90" s="75" t="s">
        <v>53</v>
      </c>
      <c r="M90" s="75" t="s">
        <v>106</v>
      </c>
    </row>
    <row r="91" spans="1:13" x14ac:dyDescent="0.25">
      <c r="A91" s="48">
        <v>1</v>
      </c>
      <c r="B91" s="48"/>
      <c r="C91" s="83">
        <f t="shared" ca="1" si="8"/>
        <v>43812</v>
      </c>
      <c r="D91" s="84">
        <f t="shared" si="9"/>
        <v>183</v>
      </c>
      <c r="E91" s="74" t="str">
        <f t="shared" ca="1" si="7"/>
        <v>HD_121319C183</v>
      </c>
      <c r="F91" s="75" t="str">
        <f ca="1">_xll.xlqName(E91,tda)</f>
        <v>#N/A</v>
      </c>
      <c r="G91" s="75" t="str">
        <f t="shared" ca="1" si="10"/>
        <v>BAD</v>
      </c>
      <c r="I91" s="83">
        <v>43812</v>
      </c>
      <c r="J91" s="84">
        <v>178</v>
      </c>
      <c r="K91" s="74" t="s">
        <v>299</v>
      </c>
      <c r="L91" s="75" t="s">
        <v>53</v>
      </c>
      <c r="M91" s="75" t="s">
        <v>106</v>
      </c>
    </row>
    <row r="92" spans="1:13" x14ac:dyDescent="0.25">
      <c r="A92" s="48">
        <v>1</v>
      </c>
      <c r="B92" s="48"/>
      <c r="C92" s="83">
        <f t="shared" ca="1" si="8"/>
        <v>43812</v>
      </c>
      <c r="D92" s="84">
        <f t="shared" si="9"/>
        <v>184</v>
      </c>
      <c r="E92" s="74" t="str">
        <f t="shared" ca="1" si="7"/>
        <v>HD_121319C184</v>
      </c>
      <c r="F92" s="75" t="str">
        <f ca="1">_xll.xlqName(E92,tda)</f>
        <v>#N/A</v>
      </c>
      <c r="G92" s="75" t="str">
        <f t="shared" ca="1" si="10"/>
        <v>BAD</v>
      </c>
      <c r="I92" s="83">
        <v>43812</v>
      </c>
      <c r="J92" s="84">
        <v>179</v>
      </c>
      <c r="K92" s="74" t="s">
        <v>300</v>
      </c>
      <c r="L92" s="75" t="s">
        <v>53</v>
      </c>
      <c r="M92" s="75" t="s">
        <v>106</v>
      </c>
    </row>
    <row r="93" spans="1:13" x14ac:dyDescent="0.25">
      <c r="A93" s="48">
        <v>1</v>
      </c>
      <c r="B93" s="48"/>
      <c r="C93" s="83">
        <f t="shared" ca="1" si="8"/>
        <v>43812</v>
      </c>
      <c r="D93" s="84">
        <f t="shared" si="9"/>
        <v>185</v>
      </c>
      <c r="E93" s="74" t="str">
        <f t="shared" ca="1" si="7"/>
        <v>HD_121319C185</v>
      </c>
      <c r="F93" s="75" t="str">
        <f ca="1">_xll.xlqName(E93,tda)</f>
        <v>HD Dec 13 2019 185 Call (Weekly)</v>
      </c>
      <c r="G93" s="75" t="str">
        <f t="shared" ca="1" si="10"/>
        <v/>
      </c>
      <c r="I93" s="83">
        <v>43812</v>
      </c>
      <c r="J93" s="84">
        <v>180</v>
      </c>
      <c r="K93" s="74" t="s">
        <v>301</v>
      </c>
      <c r="L93" s="75" t="s">
        <v>53</v>
      </c>
      <c r="M93" s="75" t="s">
        <v>106</v>
      </c>
    </row>
    <row r="94" spans="1:13" x14ac:dyDescent="0.25">
      <c r="A94" s="48">
        <v>1</v>
      </c>
      <c r="B94" s="48"/>
      <c r="C94" s="83">
        <f t="shared" ca="1" si="8"/>
        <v>43812</v>
      </c>
      <c r="D94" s="84">
        <f t="shared" si="9"/>
        <v>186</v>
      </c>
      <c r="E94" s="74" t="str">
        <f t="shared" ca="1" si="7"/>
        <v>HD_121319C186</v>
      </c>
      <c r="F94" s="75" t="str">
        <f ca="1">_xll.xlqName(E94,tda)</f>
        <v>#N/A</v>
      </c>
      <c r="G94" s="75" t="str">
        <f t="shared" ca="1" si="10"/>
        <v>BAD</v>
      </c>
      <c r="I94" s="83">
        <v>43812</v>
      </c>
      <c r="J94" s="84">
        <v>181</v>
      </c>
      <c r="K94" s="74" t="s">
        <v>302</v>
      </c>
      <c r="L94" s="75" t="s">
        <v>53</v>
      </c>
      <c r="M94" s="75" t="s">
        <v>106</v>
      </c>
    </row>
    <row r="95" spans="1:13" x14ac:dyDescent="0.25">
      <c r="A95" s="48">
        <v>0.5</v>
      </c>
      <c r="B95" s="48"/>
      <c r="C95" s="83">
        <f t="shared" ca="1" si="8"/>
        <v>43812</v>
      </c>
      <c r="D95" s="84">
        <f t="shared" si="9"/>
        <v>186.5</v>
      </c>
      <c r="E95" s="74" t="str">
        <f t="shared" ca="1" si="7"/>
        <v>HD_121319C186.5</v>
      </c>
      <c r="F95" s="75" t="str">
        <f ca="1">_xll.xlqName(E95,tda)</f>
        <v>#N/A</v>
      </c>
      <c r="G95" s="75" t="str">
        <f t="shared" ca="1" si="10"/>
        <v>BAD</v>
      </c>
      <c r="I95" s="83">
        <v>43812</v>
      </c>
      <c r="J95" s="84">
        <v>181.5</v>
      </c>
      <c r="K95" s="74" t="s">
        <v>303</v>
      </c>
      <c r="L95" s="75" t="s">
        <v>53</v>
      </c>
      <c r="M95" s="75" t="s">
        <v>106</v>
      </c>
    </row>
    <row r="96" spans="1:13" x14ac:dyDescent="0.25">
      <c r="A96" s="48">
        <v>0.5</v>
      </c>
      <c r="B96" s="48"/>
      <c r="C96" s="83">
        <f t="shared" ca="1" si="8"/>
        <v>43812</v>
      </c>
      <c r="D96" s="84">
        <f t="shared" si="9"/>
        <v>187</v>
      </c>
      <c r="E96" s="74" t="str">
        <f t="shared" ca="1" si="7"/>
        <v>HD_121319C187</v>
      </c>
      <c r="F96" s="75" t="str">
        <f ca="1">_xll.xlqName(E96,tda)</f>
        <v>#N/A</v>
      </c>
      <c r="G96" s="75" t="str">
        <f t="shared" ca="1" si="10"/>
        <v>BAD</v>
      </c>
      <c r="I96" s="83">
        <v>43812</v>
      </c>
      <c r="J96" s="84">
        <v>182</v>
      </c>
      <c r="K96" s="74" t="s">
        <v>304</v>
      </c>
      <c r="L96" s="75" t="s">
        <v>53</v>
      </c>
      <c r="M96" s="75" t="s">
        <v>106</v>
      </c>
    </row>
    <row r="97" spans="1:13" x14ac:dyDescent="0.25">
      <c r="A97" s="48">
        <v>1</v>
      </c>
      <c r="B97" s="48"/>
      <c r="C97" s="83">
        <f t="shared" ca="1" si="8"/>
        <v>43812</v>
      </c>
      <c r="D97" s="84">
        <f t="shared" si="9"/>
        <v>188</v>
      </c>
      <c r="E97" s="74" t="str">
        <f t="shared" ca="1" si="7"/>
        <v>HD_121319C188</v>
      </c>
      <c r="F97" s="75" t="str">
        <f ca="1">_xll.xlqName(E97,tda)</f>
        <v>#N/A</v>
      </c>
      <c r="G97" s="75" t="str">
        <f t="shared" ca="1" si="10"/>
        <v>BAD</v>
      </c>
      <c r="I97" s="83">
        <v>43812</v>
      </c>
      <c r="J97" s="84">
        <v>183</v>
      </c>
      <c r="K97" s="74" t="s">
        <v>305</v>
      </c>
      <c r="L97" s="75" t="s">
        <v>53</v>
      </c>
      <c r="M97" s="75" t="s">
        <v>106</v>
      </c>
    </row>
    <row r="98" spans="1:13" x14ac:dyDescent="0.25">
      <c r="A98" s="48">
        <v>1</v>
      </c>
      <c r="B98" s="48"/>
      <c r="C98" s="83">
        <f t="shared" ca="1" si="8"/>
        <v>43812</v>
      </c>
      <c r="D98" s="84">
        <f t="shared" si="9"/>
        <v>189</v>
      </c>
      <c r="E98" s="74" t="str">
        <f t="shared" ca="1" si="7"/>
        <v>HD_121319C189</v>
      </c>
      <c r="F98" s="75" t="str">
        <f ca="1">_xll.xlqName(E98,tda)</f>
        <v>#N/A</v>
      </c>
      <c r="G98" s="75" t="str">
        <f t="shared" ca="1" si="10"/>
        <v>BAD</v>
      </c>
      <c r="I98" s="83">
        <v>43812</v>
      </c>
      <c r="J98" s="84">
        <v>184</v>
      </c>
      <c r="K98" s="74" t="s">
        <v>306</v>
      </c>
      <c r="L98" s="75" t="s">
        <v>53</v>
      </c>
      <c r="M98" s="75" t="s">
        <v>106</v>
      </c>
    </row>
    <row r="99" spans="1:13" x14ac:dyDescent="0.25">
      <c r="A99" s="48">
        <v>1</v>
      </c>
      <c r="B99" s="48"/>
      <c r="C99" s="83">
        <f t="shared" ca="1" si="8"/>
        <v>43812</v>
      </c>
      <c r="D99" s="84">
        <f t="shared" si="9"/>
        <v>190</v>
      </c>
      <c r="E99" s="74" t="str">
        <f t="shared" ca="1" si="7"/>
        <v>HD_121319C190</v>
      </c>
      <c r="F99" s="75" t="str">
        <f ca="1">_xll.xlqName(E99,tda)</f>
        <v>HD Dec 13 2019 190 Call (Weekly)</v>
      </c>
      <c r="G99" s="75" t="str">
        <f t="shared" ca="1" si="10"/>
        <v/>
      </c>
      <c r="I99" s="83">
        <v>43812</v>
      </c>
      <c r="J99" s="84">
        <v>185</v>
      </c>
      <c r="K99" s="74" t="s">
        <v>307</v>
      </c>
      <c r="L99" s="75" t="s">
        <v>308</v>
      </c>
      <c r="M99" s="75" t="s">
        <v>111</v>
      </c>
    </row>
    <row r="100" spans="1:13" x14ac:dyDescent="0.25">
      <c r="A100" s="48">
        <v>1</v>
      </c>
      <c r="B100" s="48"/>
      <c r="C100" s="83">
        <f t="shared" ca="1" si="8"/>
        <v>43812</v>
      </c>
      <c r="D100" s="84">
        <f t="shared" si="9"/>
        <v>191</v>
      </c>
      <c r="E100" s="74" t="str">
        <f t="shared" ca="1" si="7"/>
        <v>HD_121319C191</v>
      </c>
      <c r="F100" s="75" t="str">
        <f ca="1">_xll.xlqName(E100,tda)</f>
        <v>#N/A</v>
      </c>
      <c r="G100" s="75" t="str">
        <f t="shared" ca="1" si="10"/>
        <v>BAD</v>
      </c>
      <c r="I100" s="83">
        <v>43812</v>
      </c>
      <c r="J100" s="84">
        <v>186</v>
      </c>
      <c r="K100" s="74" t="s">
        <v>309</v>
      </c>
      <c r="L100" s="75" t="s">
        <v>53</v>
      </c>
      <c r="M100" s="75" t="s">
        <v>106</v>
      </c>
    </row>
    <row r="101" spans="1:13" x14ac:dyDescent="0.25">
      <c r="A101" s="48">
        <v>0.5</v>
      </c>
      <c r="B101" s="48"/>
      <c r="C101" s="83">
        <f t="shared" ca="1" si="8"/>
        <v>43812</v>
      </c>
      <c r="D101" s="84">
        <f t="shared" si="9"/>
        <v>191.5</v>
      </c>
      <c r="E101" s="74" t="str">
        <f t="shared" ca="1" si="7"/>
        <v>HD_121319C191.5</v>
      </c>
      <c r="F101" s="75" t="str">
        <f ca="1">_xll.xlqName(E101,tda)</f>
        <v>#N/A</v>
      </c>
      <c r="G101" s="75" t="str">
        <f t="shared" ca="1" si="10"/>
        <v>BAD</v>
      </c>
      <c r="I101" s="83">
        <v>43812</v>
      </c>
      <c r="J101" s="84">
        <v>186.5</v>
      </c>
      <c r="K101" s="74" t="s">
        <v>310</v>
      </c>
      <c r="L101" s="75" t="s">
        <v>53</v>
      </c>
      <c r="M101" s="75" t="s">
        <v>106</v>
      </c>
    </row>
    <row r="102" spans="1:13" x14ac:dyDescent="0.25">
      <c r="A102" s="48">
        <v>0.5</v>
      </c>
      <c r="B102" s="48"/>
      <c r="C102" s="83">
        <f t="shared" ca="1" si="8"/>
        <v>43812</v>
      </c>
      <c r="D102" s="84">
        <f t="shared" si="9"/>
        <v>192</v>
      </c>
      <c r="E102" s="74" t="str">
        <f t="shared" ca="1" si="7"/>
        <v>HD_121319C192</v>
      </c>
      <c r="F102" s="75" t="str">
        <f ca="1">_xll.xlqName(E102,tda)</f>
        <v>#N/A</v>
      </c>
      <c r="G102" s="75" t="str">
        <f t="shared" ca="1" si="10"/>
        <v>BAD</v>
      </c>
      <c r="I102" s="83">
        <v>43812</v>
      </c>
      <c r="J102" s="84">
        <v>187</v>
      </c>
      <c r="K102" s="74" t="s">
        <v>311</v>
      </c>
      <c r="L102" s="75" t="s">
        <v>53</v>
      </c>
      <c r="M102" s="75" t="s">
        <v>106</v>
      </c>
    </row>
    <row r="103" spans="1:13" x14ac:dyDescent="0.25">
      <c r="A103" s="48">
        <v>1</v>
      </c>
      <c r="B103" s="48"/>
      <c r="C103" s="83">
        <f t="shared" ca="1" si="8"/>
        <v>43812</v>
      </c>
      <c r="D103" s="84">
        <f t="shared" si="9"/>
        <v>193</v>
      </c>
      <c r="E103" s="74" t="str">
        <f t="shared" ca="1" si="7"/>
        <v>HD_121319C193</v>
      </c>
      <c r="F103" s="75" t="str">
        <f ca="1">_xll.xlqName(E103,tda)</f>
        <v>#N/A</v>
      </c>
      <c r="G103" s="75" t="str">
        <f t="shared" ca="1" si="10"/>
        <v>BAD</v>
      </c>
      <c r="I103" s="83">
        <v>43812</v>
      </c>
      <c r="J103" s="84">
        <v>188</v>
      </c>
      <c r="K103" s="74" t="s">
        <v>312</v>
      </c>
      <c r="L103" s="75" t="s">
        <v>53</v>
      </c>
      <c r="M103" s="75" t="s">
        <v>106</v>
      </c>
    </row>
    <row r="104" spans="1:13" x14ac:dyDescent="0.25">
      <c r="A104" s="48">
        <v>1</v>
      </c>
      <c r="B104" s="48"/>
      <c r="C104" s="83">
        <f t="shared" ca="1" si="8"/>
        <v>43812</v>
      </c>
      <c r="D104" s="84">
        <f t="shared" si="9"/>
        <v>194</v>
      </c>
      <c r="E104" s="74" t="str">
        <f t="shared" ca="1" si="7"/>
        <v>HD_121319C194</v>
      </c>
      <c r="F104" s="75" t="str">
        <f ca="1">_xll.xlqName(E104,tda)</f>
        <v>#N/A</v>
      </c>
      <c r="G104" s="75" t="str">
        <f t="shared" ca="1" si="10"/>
        <v>BAD</v>
      </c>
      <c r="I104" s="83">
        <v>43812</v>
      </c>
      <c r="J104" s="84">
        <v>189</v>
      </c>
      <c r="K104" s="74" t="s">
        <v>313</v>
      </c>
      <c r="L104" s="75" t="s">
        <v>53</v>
      </c>
      <c r="M104" s="75" t="s">
        <v>106</v>
      </c>
    </row>
    <row r="105" spans="1:13" x14ac:dyDescent="0.25">
      <c r="A105" s="48">
        <v>1</v>
      </c>
      <c r="B105" s="48"/>
      <c r="C105" s="83">
        <f t="shared" ca="1" si="8"/>
        <v>43812</v>
      </c>
      <c r="D105" s="84">
        <f t="shared" si="9"/>
        <v>195</v>
      </c>
      <c r="E105" s="74" t="str">
        <f t="shared" ca="1" si="7"/>
        <v>HD_121319C195</v>
      </c>
      <c r="F105" s="75" t="str">
        <f ca="1">_xll.xlqName(E105,tda)</f>
        <v>HD Dec 13 2019 195 Call (Weekly)</v>
      </c>
      <c r="G105" s="75" t="str">
        <f t="shared" ca="1" si="10"/>
        <v/>
      </c>
      <c r="I105" s="83">
        <v>43812</v>
      </c>
      <c r="J105" s="84">
        <v>190</v>
      </c>
      <c r="K105" s="74" t="s">
        <v>314</v>
      </c>
      <c r="L105" s="75" t="s">
        <v>315</v>
      </c>
      <c r="M105" s="75" t="s">
        <v>111</v>
      </c>
    </row>
    <row r="106" spans="1:13" x14ac:dyDescent="0.25">
      <c r="A106" s="48">
        <v>1</v>
      </c>
      <c r="B106" s="48"/>
      <c r="C106" s="83">
        <f t="shared" ca="1" si="8"/>
        <v>43812</v>
      </c>
      <c r="D106" s="84">
        <f t="shared" si="9"/>
        <v>196</v>
      </c>
      <c r="E106" s="74" t="str">
        <f t="shared" ca="1" si="7"/>
        <v>HD_121319C196</v>
      </c>
      <c r="F106" s="75" t="str">
        <f ca="1">_xll.xlqName(E106,tda)</f>
        <v>#N/A</v>
      </c>
      <c r="G106" s="75" t="str">
        <f t="shared" ca="1" si="10"/>
        <v>BAD</v>
      </c>
      <c r="I106" s="83">
        <v>43812</v>
      </c>
      <c r="J106" s="84">
        <v>191</v>
      </c>
      <c r="K106" s="74" t="s">
        <v>316</v>
      </c>
      <c r="L106" s="75" t="s">
        <v>53</v>
      </c>
      <c r="M106" s="75" t="s">
        <v>106</v>
      </c>
    </row>
    <row r="107" spans="1:13" x14ac:dyDescent="0.25">
      <c r="A107" s="48">
        <v>0.5</v>
      </c>
      <c r="B107" s="48"/>
      <c r="C107" s="83">
        <f t="shared" ca="1" si="8"/>
        <v>43812</v>
      </c>
      <c r="D107" s="84">
        <f t="shared" si="9"/>
        <v>196.5</v>
      </c>
      <c r="E107" s="74" t="str">
        <f t="shared" ca="1" si="7"/>
        <v>HD_121319C196.5</v>
      </c>
      <c r="F107" s="75" t="str">
        <f ca="1">_xll.xlqName(E107,tda)</f>
        <v>#N/A</v>
      </c>
      <c r="G107" s="75" t="str">
        <f t="shared" ca="1" si="10"/>
        <v>BAD</v>
      </c>
      <c r="I107" s="83">
        <v>43812</v>
      </c>
      <c r="J107" s="84">
        <v>191.5</v>
      </c>
      <c r="K107" s="74" t="s">
        <v>317</v>
      </c>
      <c r="L107" s="75" t="s">
        <v>53</v>
      </c>
      <c r="M107" s="75" t="s">
        <v>106</v>
      </c>
    </row>
    <row r="108" spans="1:13" x14ac:dyDescent="0.25">
      <c r="A108" s="48">
        <v>0.5</v>
      </c>
      <c r="B108" s="48"/>
      <c r="C108" s="83">
        <f t="shared" ca="1" si="8"/>
        <v>43812</v>
      </c>
      <c r="D108" s="84">
        <f t="shared" si="9"/>
        <v>197</v>
      </c>
      <c r="E108" s="74" t="str">
        <f t="shared" ca="1" si="7"/>
        <v>HD_121319C197</v>
      </c>
      <c r="F108" s="75" t="str">
        <f ca="1">_xll.xlqName(E108,tda)</f>
        <v>#N/A</v>
      </c>
      <c r="G108" s="75" t="str">
        <f t="shared" ca="1" si="10"/>
        <v>BAD</v>
      </c>
      <c r="I108" s="83">
        <v>43812</v>
      </c>
      <c r="J108" s="84">
        <v>192</v>
      </c>
      <c r="K108" s="74" t="s">
        <v>318</v>
      </c>
      <c r="L108" s="75" t="s">
        <v>53</v>
      </c>
      <c r="M108" s="75" t="s">
        <v>106</v>
      </c>
    </row>
    <row r="109" spans="1:13" x14ac:dyDescent="0.25">
      <c r="A109" s="48">
        <v>1</v>
      </c>
      <c r="B109" s="48"/>
      <c r="C109" s="83">
        <f t="shared" ca="1" si="8"/>
        <v>43812</v>
      </c>
      <c r="D109" s="84">
        <f t="shared" si="9"/>
        <v>198</v>
      </c>
      <c r="E109" s="74" t="str">
        <f t="shared" ca="1" si="7"/>
        <v>HD_121319C198</v>
      </c>
      <c r="F109" s="75" t="str">
        <f ca="1">_xll.xlqName(E109,tda)</f>
        <v>#N/A</v>
      </c>
      <c r="G109" s="75" t="str">
        <f t="shared" ca="1" si="10"/>
        <v>BAD</v>
      </c>
      <c r="I109" s="83">
        <v>43812</v>
      </c>
      <c r="J109" s="84">
        <v>193</v>
      </c>
      <c r="K109" s="74" t="s">
        <v>319</v>
      </c>
      <c r="L109" s="75" t="s">
        <v>53</v>
      </c>
      <c r="M109" s="75" t="s">
        <v>106</v>
      </c>
    </row>
    <row r="110" spans="1:13" x14ac:dyDescent="0.25">
      <c r="A110" s="48">
        <v>1</v>
      </c>
      <c r="B110" s="48"/>
      <c r="C110" s="83">
        <f t="shared" ca="1" si="8"/>
        <v>43812</v>
      </c>
      <c r="D110" s="84">
        <f t="shared" si="9"/>
        <v>199</v>
      </c>
      <c r="E110" s="74" t="str">
        <f t="shared" ca="1" si="7"/>
        <v>HD_121319C199</v>
      </c>
      <c r="F110" s="75" t="str">
        <f ca="1">_xll.xlqName(E110,tda)</f>
        <v>#N/A</v>
      </c>
      <c r="G110" s="75" t="str">
        <f t="shared" ca="1" si="10"/>
        <v>BAD</v>
      </c>
      <c r="I110" s="83">
        <v>43812</v>
      </c>
      <c r="J110" s="84">
        <v>194</v>
      </c>
      <c r="K110" s="74" t="s">
        <v>320</v>
      </c>
      <c r="L110" s="75" t="s">
        <v>53</v>
      </c>
      <c r="M110" s="75" t="s">
        <v>106</v>
      </c>
    </row>
    <row r="111" spans="1:13" x14ac:dyDescent="0.25">
      <c r="A111" s="48">
        <v>1</v>
      </c>
      <c r="B111" s="48"/>
      <c r="C111" s="83">
        <f t="shared" ca="1" si="8"/>
        <v>43812</v>
      </c>
      <c r="D111" s="84">
        <f t="shared" si="9"/>
        <v>200</v>
      </c>
      <c r="E111" s="74" t="str">
        <f t="shared" ca="1" si="7"/>
        <v>HD_121319C200</v>
      </c>
      <c r="F111" s="75" t="str">
        <f ca="1">_xll.xlqName(E111,tda)</f>
        <v>HD Dec 13 2019 200 Call (Weekly)</v>
      </c>
      <c r="G111" s="75" t="str">
        <f t="shared" ca="1" si="10"/>
        <v/>
      </c>
      <c r="I111" s="83">
        <v>43812</v>
      </c>
      <c r="J111" s="84">
        <v>195</v>
      </c>
      <c r="K111" s="74" t="s">
        <v>321</v>
      </c>
      <c r="L111" s="75" t="s">
        <v>322</v>
      </c>
      <c r="M111" s="75" t="s">
        <v>111</v>
      </c>
    </row>
    <row r="112" spans="1:13" x14ac:dyDescent="0.25">
      <c r="A112" s="48">
        <v>1</v>
      </c>
      <c r="B112" s="48"/>
      <c r="C112" s="83">
        <f t="shared" ca="1" si="8"/>
        <v>43812</v>
      </c>
      <c r="D112" s="84">
        <f t="shared" si="9"/>
        <v>201</v>
      </c>
      <c r="E112" s="74" t="str">
        <f t="shared" ca="1" si="7"/>
        <v>HD_121319C201</v>
      </c>
      <c r="F112" s="75" t="str">
        <f ca="1">_xll.xlqName(E112,tda)</f>
        <v>#N/A</v>
      </c>
      <c r="G112" s="75" t="str">
        <f t="shared" ca="1" si="10"/>
        <v>BAD</v>
      </c>
      <c r="I112" s="83">
        <v>43812</v>
      </c>
      <c r="J112" s="84">
        <v>196</v>
      </c>
      <c r="K112" s="74" t="s">
        <v>323</v>
      </c>
      <c r="L112" s="75" t="s">
        <v>53</v>
      </c>
      <c r="M112" s="75" t="s">
        <v>106</v>
      </c>
    </row>
    <row r="113" spans="1:19" x14ac:dyDescent="0.25">
      <c r="A113" s="48">
        <v>0.5</v>
      </c>
      <c r="B113" s="48"/>
      <c r="C113" s="83">
        <f t="shared" ca="1" si="8"/>
        <v>43812</v>
      </c>
      <c r="D113" s="84">
        <f t="shared" si="9"/>
        <v>201.5</v>
      </c>
      <c r="E113" s="74" t="str">
        <f t="shared" ca="1" si="7"/>
        <v>HD_121319C201.5</v>
      </c>
      <c r="F113" s="75" t="str">
        <f ca="1">_xll.xlqName(E113,tda)</f>
        <v>#N/A</v>
      </c>
      <c r="G113" s="75" t="str">
        <f t="shared" ca="1" si="10"/>
        <v>BAD</v>
      </c>
      <c r="I113" s="83">
        <v>43812</v>
      </c>
      <c r="J113" s="84">
        <v>196.5</v>
      </c>
      <c r="K113" s="74" t="s">
        <v>324</v>
      </c>
      <c r="L113" s="75" t="s">
        <v>53</v>
      </c>
      <c r="M113" s="75" t="s">
        <v>106</v>
      </c>
    </row>
    <row r="114" spans="1:19" x14ac:dyDescent="0.25">
      <c r="A114" s="48">
        <v>0.5</v>
      </c>
      <c r="B114" s="48"/>
      <c r="C114" s="83">
        <f t="shared" ca="1" si="8"/>
        <v>43812</v>
      </c>
      <c r="D114" s="84">
        <f t="shared" si="9"/>
        <v>202</v>
      </c>
      <c r="E114" s="74" t="str">
        <f t="shared" ca="1" si="7"/>
        <v>HD_121319C202</v>
      </c>
      <c r="F114" s="75" t="str">
        <f ca="1">_xll.xlqName(E114,tda)</f>
        <v>#N/A</v>
      </c>
      <c r="G114" s="75" t="str">
        <f t="shared" ca="1" si="10"/>
        <v>BAD</v>
      </c>
      <c r="I114" s="83">
        <v>43812</v>
      </c>
      <c r="J114" s="84">
        <v>197</v>
      </c>
      <c r="K114" s="74" t="s">
        <v>325</v>
      </c>
      <c r="L114" s="75" t="s">
        <v>53</v>
      </c>
      <c r="M114" s="75" t="s">
        <v>106</v>
      </c>
    </row>
    <row r="115" spans="1:19" x14ac:dyDescent="0.25">
      <c r="A115" s="48">
        <v>1</v>
      </c>
      <c r="B115" s="48"/>
      <c r="C115" s="83">
        <f t="shared" ca="1" si="8"/>
        <v>43812</v>
      </c>
      <c r="D115" s="84">
        <f t="shared" si="9"/>
        <v>203</v>
      </c>
      <c r="E115" s="74" t="str">
        <f t="shared" ca="1" si="7"/>
        <v>HD_121319C203</v>
      </c>
      <c r="F115" s="75" t="str">
        <f ca="1">_xll.xlqName(E115,tda)</f>
        <v>#N/A</v>
      </c>
      <c r="G115" s="75" t="str">
        <f t="shared" ca="1" si="10"/>
        <v>BAD</v>
      </c>
      <c r="I115" s="83">
        <v>43812</v>
      </c>
      <c r="J115" s="84">
        <v>198</v>
      </c>
      <c r="K115" s="74" t="s">
        <v>326</v>
      </c>
      <c r="L115" s="75" t="s">
        <v>53</v>
      </c>
      <c r="M115" s="75" t="s">
        <v>106</v>
      </c>
    </row>
    <row r="116" spans="1:19" x14ac:dyDescent="0.25">
      <c r="A116" s="48">
        <v>1</v>
      </c>
      <c r="B116" s="48"/>
      <c r="C116" s="83">
        <f t="shared" ca="1" si="8"/>
        <v>43812</v>
      </c>
      <c r="D116" s="84">
        <f t="shared" si="9"/>
        <v>204</v>
      </c>
      <c r="E116" s="74" t="str">
        <f t="shared" ca="1" si="7"/>
        <v>HD_121319C204</v>
      </c>
      <c r="F116" s="75" t="str">
        <f ca="1">_xll.xlqName(E116,tda)</f>
        <v>#N/A</v>
      </c>
      <c r="G116" s="75" t="str">
        <f t="shared" ca="1" si="10"/>
        <v>BAD</v>
      </c>
      <c r="I116" s="83">
        <v>43812</v>
      </c>
      <c r="J116" s="84">
        <v>199</v>
      </c>
      <c r="K116" s="74" t="s">
        <v>327</v>
      </c>
      <c r="L116" s="75" t="s">
        <v>53</v>
      </c>
      <c r="M116" s="75" t="s">
        <v>106</v>
      </c>
    </row>
    <row r="117" spans="1:19" x14ac:dyDescent="0.25">
      <c r="A117" s="48">
        <v>1</v>
      </c>
      <c r="B117" s="48"/>
      <c r="C117" s="83">
        <f t="shared" ca="1" si="8"/>
        <v>43812</v>
      </c>
      <c r="D117" s="84">
        <f t="shared" si="9"/>
        <v>205</v>
      </c>
      <c r="E117" s="74" t="str">
        <f t="shared" ca="1" si="7"/>
        <v>HD_121319C205</v>
      </c>
      <c r="F117" s="75" t="str">
        <f ca="1">_xll.xlqName(E117,tda)</f>
        <v>HD Dec 13 2019 205 Call (Weekly)</v>
      </c>
      <c r="G117" s="75" t="str">
        <f t="shared" ca="1" si="10"/>
        <v/>
      </c>
      <c r="I117" s="83">
        <v>43812</v>
      </c>
      <c r="J117" s="84">
        <v>200</v>
      </c>
      <c r="K117" s="74" t="s">
        <v>328</v>
      </c>
      <c r="L117" s="75" t="s">
        <v>329</v>
      </c>
      <c r="M117" s="75" t="s">
        <v>111</v>
      </c>
    </row>
    <row r="118" spans="1:19" x14ac:dyDescent="0.25">
      <c r="A118" s="48">
        <v>1</v>
      </c>
      <c r="B118" s="48"/>
      <c r="C118" s="83">
        <f t="shared" ca="1" si="8"/>
        <v>43812</v>
      </c>
      <c r="D118" s="84">
        <f t="shared" si="9"/>
        <v>206</v>
      </c>
      <c r="E118" s="74" t="str">
        <f t="shared" ca="1" si="7"/>
        <v>HD_121319C206</v>
      </c>
      <c r="F118" s="75" t="str">
        <f ca="1">_xll.xlqName(E118,tda)</f>
        <v>#N/A</v>
      </c>
      <c r="G118" s="75" t="str">
        <f t="shared" ca="1" si="10"/>
        <v>BAD</v>
      </c>
      <c r="I118" s="83">
        <v>43812</v>
      </c>
      <c r="J118" s="84">
        <v>201</v>
      </c>
      <c r="K118" s="74" t="s">
        <v>330</v>
      </c>
      <c r="L118" s="75" t="s">
        <v>53</v>
      </c>
      <c r="M118" s="75" t="s">
        <v>106</v>
      </c>
    </row>
    <row r="119" spans="1:19" x14ac:dyDescent="0.25">
      <c r="A119" s="48">
        <v>0.5</v>
      </c>
      <c r="B119" s="48"/>
      <c r="C119" s="83">
        <f t="shared" ca="1" si="8"/>
        <v>43812</v>
      </c>
      <c r="D119" s="84">
        <f t="shared" si="9"/>
        <v>206.5</v>
      </c>
      <c r="E119" s="74" t="str">
        <f t="shared" ca="1" si="7"/>
        <v>HD_121319C206.5</v>
      </c>
      <c r="F119" s="75" t="str">
        <f ca="1">_xll.xlqName(E119,tda)</f>
        <v>#N/A</v>
      </c>
      <c r="G119" s="75" t="str">
        <f t="shared" ca="1" si="10"/>
        <v>BAD</v>
      </c>
      <c r="I119" s="83">
        <v>43812</v>
      </c>
      <c r="J119" s="84">
        <v>201.5</v>
      </c>
      <c r="K119" s="74" t="s">
        <v>331</v>
      </c>
      <c r="L119" s="75" t="s">
        <v>53</v>
      </c>
      <c r="M119" s="75" t="s">
        <v>106</v>
      </c>
    </row>
    <row r="120" spans="1:19" s="13" customFormat="1" x14ac:dyDescent="0.25">
      <c r="A120" s="48">
        <v>0.5</v>
      </c>
      <c r="B120" s="48"/>
      <c r="C120" s="83">
        <f t="shared" ca="1" si="8"/>
        <v>43812</v>
      </c>
      <c r="D120" s="84">
        <f t="shared" si="9"/>
        <v>207</v>
      </c>
      <c r="E120" s="74" t="str">
        <f t="shared" ca="1" si="7"/>
        <v>HD_121319C207</v>
      </c>
      <c r="F120" s="75" t="str">
        <f ca="1">_xll.xlqName(E120,tda)</f>
        <v>#N/A</v>
      </c>
      <c r="G120" s="75" t="str">
        <f t="shared" ca="1" si="10"/>
        <v>BAD</v>
      </c>
      <c r="I120" s="83">
        <v>43812</v>
      </c>
      <c r="J120" s="84">
        <v>202</v>
      </c>
      <c r="K120" s="74" t="s">
        <v>332</v>
      </c>
      <c r="L120" s="75" t="s">
        <v>53</v>
      </c>
      <c r="M120" s="75" t="s">
        <v>106</v>
      </c>
      <c r="N120" s="50"/>
      <c r="O120" s="53"/>
      <c r="P120" s="51"/>
      <c r="Q120" s="51"/>
      <c r="R120" s="50"/>
      <c r="S120" s="50"/>
    </row>
    <row r="121" spans="1:19" x14ac:dyDescent="0.25">
      <c r="A121" s="48">
        <v>1</v>
      </c>
      <c r="B121" s="48"/>
      <c r="C121" s="83">
        <f t="shared" ca="1" si="8"/>
        <v>43812</v>
      </c>
      <c r="D121" s="84">
        <f t="shared" si="9"/>
        <v>208</v>
      </c>
      <c r="E121" s="74" t="str">
        <f t="shared" ca="1" si="7"/>
        <v>HD_121319C208</v>
      </c>
      <c r="F121" s="75" t="str">
        <f ca="1">_xll.xlqName(E121,tda)</f>
        <v>#N/A</v>
      </c>
      <c r="G121" s="75" t="str">
        <f t="shared" ca="1" si="10"/>
        <v>BAD</v>
      </c>
      <c r="I121" s="83">
        <v>43812</v>
      </c>
      <c r="J121" s="84">
        <v>203</v>
      </c>
      <c r="K121" s="74" t="s">
        <v>333</v>
      </c>
      <c r="L121" s="75" t="s">
        <v>53</v>
      </c>
      <c r="M121" s="75" t="s">
        <v>106</v>
      </c>
    </row>
    <row r="122" spans="1:19" x14ac:dyDescent="0.25">
      <c r="A122" s="48">
        <v>1</v>
      </c>
      <c r="B122" s="48"/>
      <c r="C122" s="83">
        <f t="shared" ca="1" si="8"/>
        <v>43812</v>
      </c>
      <c r="D122" s="84">
        <f t="shared" si="9"/>
        <v>209</v>
      </c>
      <c r="E122" s="74" t="str">
        <f t="shared" ca="1" si="7"/>
        <v>HD_121319C209</v>
      </c>
      <c r="F122" s="75" t="str">
        <f ca="1">_xll.xlqName(E122,tda)</f>
        <v>#N/A</v>
      </c>
      <c r="G122" s="75" t="str">
        <f t="shared" ca="1" si="10"/>
        <v>BAD</v>
      </c>
      <c r="I122" s="83">
        <v>43812</v>
      </c>
      <c r="J122" s="84">
        <v>204</v>
      </c>
      <c r="K122" s="74" t="s">
        <v>334</v>
      </c>
      <c r="L122" s="75" t="s">
        <v>53</v>
      </c>
      <c r="M122" s="75" t="s">
        <v>106</v>
      </c>
    </row>
    <row r="123" spans="1:19" x14ac:dyDescent="0.25">
      <c r="A123" s="48">
        <v>1</v>
      </c>
      <c r="B123" s="48"/>
      <c r="C123" s="83">
        <f t="shared" ca="1" si="8"/>
        <v>43812</v>
      </c>
      <c r="D123" s="84">
        <f t="shared" si="9"/>
        <v>210</v>
      </c>
      <c r="E123" s="74" t="str">
        <f t="shared" ca="1" si="7"/>
        <v>HD_121319C210</v>
      </c>
      <c r="F123" s="75" t="str">
        <f ca="1">_xll.xlqName(E123,tda)</f>
        <v>HD Dec 13 2019 210 Call (Weekly)</v>
      </c>
      <c r="G123" s="75" t="str">
        <f t="shared" ca="1" si="10"/>
        <v/>
      </c>
      <c r="I123" s="83">
        <v>43812</v>
      </c>
      <c r="J123" s="84">
        <v>205</v>
      </c>
      <c r="K123" s="74" t="s">
        <v>335</v>
      </c>
      <c r="L123" s="75" t="s">
        <v>336</v>
      </c>
      <c r="M123" s="75" t="s">
        <v>111</v>
      </c>
    </row>
    <row r="124" spans="1:19" x14ac:dyDescent="0.25">
      <c r="A124" s="48">
        <v>1</v>
      </c>
      <c r="B124" s="48"/>
      <c r="C124" s="83">
        <f t="shared" ca="1" si="8"/>
        <v>43812</v>
      </c>
      <c r="D124" s="84">
        <f t="shared" si="9"/>
        <v>211</v>
      </c>
      <c r="E124" s="74" t="str">
        <f t="shared" ca="1" si="7"/>
        <v>HD_121319C211</v>
      </c>
      <c r="F124" s="75" t="str">
        <f ca="1">_xll.xlqName(E124,tda)</f>
        <v>#N/A</v>
      </c>
      <c r="G124" s="75" t="str">
        <f t="shared" ca="1" si="10"/>
        <v>BAD</v>
      </c>
      <c r="I124" s="83">
        <v>43812</v>
      </c>
      <c r="J124" s="84">
        <v>206</v>
      </c>
      <c r="K124" s="74" t="s">
        <v>337</v>
      </c>
      <c r="L124" s="75" t="s">
        <v>53</v>
      </c>
      <c r="M124" s="75" t="s">
        <v>106</v>
      </c>
    </row>
    <row r="125" spans="1:19" x14ac:dyDescent="0.25">
      <c r="A125" s="48">
        <v>0.5</v>
      </c>
      <c r="B125" s="48"/>
      <c r="C125" s="83">
        <f t="shared" ca="1" si="8"/>
        <v>43812</v>
      </c>
      <c r="D125" s="84">
        <f t="shared" si="9"/>
        <v>211.5</v>
      </c>
      <c r="E125" s="74" t="str">
        <f t="shared" ca="1" si="7"/>
        <v>HD_121319C211.5</v>
      </c>
      <c r="F125" s="75" t="str">
        <f ca="1">_xll.xlqName(E125,tda)</f>
        <v>#N/A</v>
      </c>
      <c r="G125" s="75" t="str">
        <f t="shared" ca="1" si="10"/>
        <v>BAD</v>
      </c>
      <c r="I125" s="83">
        <v>43812</v>
      </c>
      <c r="J125" s="84">
        <v>206.5</v>
      </c>
      <c r="K125" s="74" t="s">
        <v>338</v>
      </c>
      <c r="L125" s="75" t="s">
        <v>53</v>
      </c>
      <c r="M125" s="75" t="s">
        <v>106</v>
      </c>
    </row>
    <row r="126" spans="1:19" x14ac:dyDescent="0.25">
      <c r="A126" s="48">
        <v>0.5</v>
      </c>
      <c r="B126" s="48"/>
      <c r="C126" s="83">
        <f t="shared" ca="1" si="8"/>
        <v>43812</v>
      </c>
      <c r="D126" s="84">
        <f t="shared" si="9"/>
        <v>212</v>
      </c>
      <c r="E126" s="74" t="str">
        <f t="shared" ca="1" si="7"/>
        <v>HD_121319C212</v>
      </c>
      <c r="F126" s="75" t="str">
        <f ca="1">_xll.xlqName(E126,tda)</f>
        <v>#N/A</v>
      </c>
      <c r="G126" s="75" t="str">
        <f t="shared" ca="1" si="10"/>
        <v>BAD</v>
      </c>
      <c r="I126" s="83">
        <v>43812</v>
      </c>
      <c r="J126" s="84">
        <v>207</v>
      </c>
      <c r="K126" s="74" t="s">
        <v>339</v>
      </c>
      <c r="L126" s="75" t="s">
        <v>53</v>
      </c>
      <c r="M126" s="75" t="s">
        <v>106</v>
      </c>
    </row>
    <row r="127" spans="1:19" x14ac:dyDescent="0.25">
      <c r="A127" s="48">
        <v>1</v>
      </c>
      <c r="B127" s="48"/>
      <c r="C127" s="83">
        <f t="shared" ca="1" si="8"/>
        <v>43812</v>
      </c>
      <c r="D127" s="84">
        <f t="shared" si="9"/>
        <v>213</v>
      </c>
      <c r="E127" s="74" t="str">
        <f t="shared" ca="1" si="7"/>
        <v>HD_121319C213</v>
      </c>
      <c r="F127" s="75" t="str">
        <f ca="1">_xll.xlqName(E127,tda)</f>
        <v>#N/A</v>
      </c>
      <c r="G127" s="75" t="str">
        <f t="shared" ca="1" si="10"/>
        <v>BAD</v>
      </c>
      <c r="I127" s="83">
        <v>43812</v>
      </c>
      <c r="J127" s="84">
        <v>208</v>
      </c>
      <c r="K127" s="74" t="s">
        <v>340</v>
      </c>
      <c r="L127" s="75" t="s">
        <v>53</v>
      </c>
      <c r="M127" s="75" t="s">
        <v>106</v>
      </c>
    </row>
    <row r="128" spans="1:19" x14ac:dyDescent="0.25">
      <c r="A128" s="48">
        <v>1</v>
      </c>
      <c r="B128" s="48"/>
      <c r="C128" s="83">
        <f t="shared" ca="1" si="8"/>
        <v>43812</v>
      </c>
      <c r="D128" s="84">
        <f t="shared" si="9"/>
        <v>214</v>
      </c>
      <c r="E128" s="74" t="str">
        <f t="shared" ca="1" si="7"/>
        <v>HD_121319C214</v>
      </c>
      <c r="F128" s="75" t="str">
        <f ca="1">_xll.xlqName(E128,tda)</f>
        <v>#N/A</v>
      </c>
      <c r="G128" s="75" t="str">
        <f t="shared" ca="1" si="10"/>
        <v>BAD</v>
      </c>
      <c r="I128" s="83">
        <v>43812</v>
      </c>
      <c r="J128" s="84">
        <v>209</v>
      </c>
      <c r="K128" s="74" t="s">
        <v>341</v>
      </c>
      <c r="L128" s="75" t="s">
        <v>53</v>
      </c>
      <c r="M128" s="75" t="s">
        <v>106</v>
      </c>
    </row>
    <row r="129" spans="1:13" x14ac:dyDescent="0.25">
      <c r="A129" s="48">
        <v>1</v>
      </c>
      <c r="B129" s="48"/>
      <c r="C129" s="83">
        <f t="shared" ca="1" si="8"/>
        <v>43812</v>
      </c>
      <c r="D129" s="84">
        <f t="shared" si="9"/>
        <v>215</v>
      </c>
      <c r="E129" s="74" t="str">
        <f t="shared" ca="1" si="7"/>
        <v>HD_121319C215</v>
      </c>
      <c r="F129" s="75" t="str">
        <f ca="1">_xll.xlqName(E129,tda)</f>
        <v>HD Dec 13 2019 215 Call (Weekly)</v>
      </c>
      <c r="G129" s="75" t="str">
        <f t="shared" ca="1" si="10"/>
        <v/>
      </c>
      <c r="I129" s="83">
        <v>43812</v>
      </c>
      <c r="J129" s="84">
        <v>210</v>
      </c>
      <c r="K129" s="74" t="s">
        <v>342</v>
      </c>
      <c r="L129" s="75" t="s">
        <v>343</v>
      </c>
      <c r="M129" s="75" t="s">
        <v>111</v>
      </c>
    </row>
    <row r="130" spans="1:13" x14ac:dyDescent="0.25">
      <c r="A130" s="48">
        <v>1</v>
      </c>
      <c r="B130" s="48"/>
      <c r="C130" s="83">
        <f t="shared" ca="1" si="8"/>
        <v>43812</v>
      </c>
      <c r="D130" s="84">
        <f t="shared" si="9"/>
        <v>216</v>
      </c>
      <c r="E130" s="74" t="str">
        <f t="shared" ref="E130:E193" ca="1" si="11">CONCATENATE($Q$2,"_",TEXT(MONTH(C130),"00"),TEXT(DAY(C130),"00"),TEXT(MOD(YEAR(C130),100),"00"),$Q$3,D130&amp;"")</f>
        <v>HD_121319C216</v>
      </c>
      <c r="F130" s="75" t="str">
        <f ca="1">_xll.xlqName(E130,tda)</f>
        <v>#N/A</v>
      </c>
      <c r="G130" s="75" t="str">
        <f t="shared" ca="1" si="10"/>
        <v>BAD</v>
      </c>
      <c r="I130" s="83">
        <v>43812</v>
      </c>
      <c r="J130" s="84">
        <v>211</v>
      </c>
      <c r="K130" s="74" t="s">
        <v>344</v>
      </c>
      <c r="L130" s="75" t="s">
        <v>53</v>
      </c>
      <c r="M130" s="75" t="s">
        <v>106</v>
      </c>
    </row>
    <row r="131" spans="1:13" x14ac:dyDescent="0.25">
      <c r="A131" s="48">
        <v>0.5</v>
      </c>
      <c r="B131" s="48"/>
      <c r="C131" s="83">
        <f t="shared" ref="C131:C194" ca="1" si="12">IF(D131&gt;D130,C130,INDEX($O$14:$O$50,VLOOKUP(C130,$O$14:$P$50,2)+1))</f>
        <v>43812</v>
      </c>
      <c r="D131" s="84">
        <f t="shared" ref="D131:D194" si="13">IF(D130+A131&lt;=$Q$8,D130+A131,$Q$6)</f>
        <v>216.5</v>
      </c>
      <c r="E131" s="74" t="str">
        <f t="shared" ca="1" si="11"/>
        <v>HD_121319C216.5</v>
      </c>
      <c r="F131" s="75" t="str">
        <f ca="1">_xll.xlqName(E131,tda)</f>
        <v>#N/A</v>
      </c>
      <c r="G131" s="75" t="str">
        <f t="shared" ref="G131:G194" ca="1" si="14">IF(AND(ISTEXT(F131),(F131&lt;&gt;"#N/A"),(F131&lt;&gt;"Busy...")),"","BAD")</f>
        <v>BAD</v>
      </c>
      <c r="I131" s="83">
        <v>43812</v>
      </c>
      <c r="J131" s="84">
        <v>211.5</v>
      </c>
      <c r="K131" s="74" t="s">
        <v>345</v>
      </c>
      <c r="L131" s="75" t="s">
        <v>53</v>
      </c>
      <c r="M131" s="75" t="s">
        <v>106</v>
      </c>
    </row>
    <row r="132" spans="1:13" x14ac:dyDescent="0.25">
      <c r="A132" s="48">
        <v>0.5</v>
      </c>
      <c r="B132" s="48"/>
      <c r="C132" s="83">
        <f t="shared" ca="1" si="12"/>
        <v>43812</v>
      </c>
      <c r="D132" s="84">
        <f t="shared" si="13"/>
        <v>217</v>
      </c>
      <c r="E132" s="74" t="str">
        <f t="shared" ca="1" si="11"/>
        <v>HD_121319C217</v>
      </c>
      <c r="F132" s="75" t="str">
        <f ca="1">_xll.xlqName(E132,tda)</f>
        <v>#N/A</v>
      </c>
      <c r="G132" s="75" t="str">
        <f t="shared" ca="1" si="14"/>
        <v>BAD</v>
      </c>
      <c r="I132" s="83">
        <v>43812</v>
      </c>
      <c r="J132" s="84">
        <v>212</v>
      </c>
      <c r="K132" s="74" t="s">
        <v>346</v>
      </c>
      <c r="L132" s="75" t="s">
        <v>53</v>
      </c>
      <c r="M132" s="75" t="s">
        <v>106</v>
      </c>
    </row>
    <row r="133" spans="1:13" x14ac:dyDescent="0.25">
      <c r="A133" s="48">
        <v>1</v>
      </c>
      <c r="B133" s="48"/>
      <c r="C133" s="83">
        <f t="shared" ca="1" si="12"/>
        <v>43812</v>
      </c>
      <c r="D133" s="84">
        <f t="shared" si="13"/>
        <v>218</v>
      </c>
      <c r="E133" s="74" t="str">
        <f t="shared" ca="1" si="11"/>
        <v>HD_121319C218</v>
      </c>
      <c r="F133" s="75" t="str">
        <f ca="1">_xll.xlqName(E133,tda)</f>
        <v>#N/A</v>
      </c>
      <c r="G133" s="75" t="str">
        <f t="shared" ca="1" si="14"/>
        <v>BAD</v>
      </c>
      <c r="I133" s="83">
        <v>43812</v>
      </c>
      <c r="J133" s="84">
        <v>213</v>
      </c>
      <c r="K133" s="74" t="s">
        <v>347</v>
      </c>
      <c r="L133" s="75" t="s">
        <v>53</v>
      </c>
      <c r="M133" s="75" t="s">
        <v>106</v>
      </c>
    </row>
    <row r="134" spans="1:13" x14ac:dyDescent="0.25">
      <c r="A134" s="48">
        <v>1</v>
      </c>
      <c r="B134" s="48"/>
      <c r="C134" s="83">
        <f t="shared" ca="1" si="12"/>
        <v>43812</v>
      </c>
      <c r="D134" s="84">
        <f t="shared" si="13"/>
        <v>219</v>
      </c>
      <c r="E134" s="74" t="str">
        <f t="shared" ca="1" si="11"/>
        <v>HD_121319C219</v>
      </c>
      <c r="F134" s="75" t="str">
        <f ca="1">_xll.xlqName(E134,tda)</f>
        <v>#N/A</v>
      </c>
      <c r="G134" s="75" t="str">
        <f t="shared" ca="1" si="14"/>
        <v>BAD</v>
      </c>
      <c r="I134" s="83">
        <v>43812</v>
      </c>
      <c r="J134" s="84">
        <v>214</v>
      </c>
      <c r="K134" s="74" t="s">
        <v>348</v>
      </c>
      <c r="L134" s="75" t="s">
        <v>53</v>
      </c>
      <c r="M134" s="75" t="s">
        <v>106</v>
      </c>
    </row>
    <row r="135" spans="1:13" x14ac:dyDescent="0.25">
      <c r="A135" s="48">
        <v>1</v>
      </c>
      <c r="B135" s="48"/>
      <c r="C135" s="83">
        <f t="shared" ca="1" si="12"/>
        <v>43812</v>
      </c>
      <c r="D135" s="84">
        <f t="shared" si="13"/>
        <v>220</v>
      </c>
      <c r="E135" s="74" t="str">
        <f t="shared" ca="1" si="11"/>
        <v>HD_121319C220</v>
      </c>
      <c r="F135" s="75" t="str">
        <f ca="1">_xll.xlqName(E135,tda)</f>
        <v>HD Dec 13 2019 220 Call (Weekly)</v>
      </c>
      <c r="G135" s="75" t="str">
        <f t="shared" ca="1" si="14"/>
        <v/>
      </c>
      <c r="I135" s="83">
        <v>43812</v>
      </c>
      <c r="J135" s="84">
        <v>215</v>
      </c>
      <c r="K135" s="74" t="s">
        <v>349</v>
      </c>
      <c r="L135" s="75" t="s">
        <v>350</v>
      </c>
      <c r="M135" s="75" t="s">
        <v>111</v>
      </c>
    </row>
    <row r="136" spans="1:13" x14ac:dyDescent="0.25">
      <c r="A136" s="48">
        <v>1</v>
      </c>
      <c r="B136" s="48"/>
      <c r="C136" s="83">
        <f t="shared" ca="1" si="12"/>
        <v>43812</v>
      </c>
      <c r="D136" s="84">
        <f t="shared" si="13"/>
        <v>221</v>
      </c>
      <c r="E136" s="74" t="str">
        <f t="shared" ca="1" si="11"/>
        <v>HD_121319C221</v>
      </c>
      <c r="F136" s="75" t="str">
        <f ca="1">_xll.xlqName(E136,tda)</f>
        <v>#N/A</v>
      </c>
      <c r="G136" s="75" t="str">
        <f t="shared" ca="1" si="14"/>
        <v>BAD</v>
      </c>
      <c r="I136" s="83">
        <v>43812</v>
      </c>
      <c r="J136" s="84">
        <v>216</v>
      </c>
      <c r="K136" s="74" t="s">
        <v>351</v>
      </c>
      <c r="L136" s="75" t="s">
        <v>53</v>
      </c>
      <c r="M136" s="75" t="s">
        <v>106</v>
      </c>
    </row>
    <row r="137" spans="1:13" x14ac:dyDescent="0.25">
      <c r="A137" s="48">
        <v>0.5</v>
      </c>
      <c r="B137" s="48"/>
      <c r="C137" s="83">
        <f t="shared" ca="1" si="12"/>
        <v>43812</v>
      </c>
      <c r="D137" s="84">
        <f t="shared" si="13"/>
        <v>221.5</v>
      </c>
      <c r="E137" s="74" t="str">
        <f t="shared" ca="1" si="11"/>
        <v>HD_121319C221.5</v>
      </c>
      <c r="F137" s="75" t="str">
        <f ca="1">_xll.xlqName(E137,tda)</f>
        <v>#N/A</v>
      </c>
      <c r="G137" s="75" t="str">
        <f t="shared" ca="1" si="14"/>
        <v>BAD</v>
      </c>
      <c r="I137" s="83">
        <v>43812</v>
      </c>
      <c r="J137" s="84">
        <v>216.5</v>
      </c>
      <c r="K137" s="74" t="s">
        <v>352</v>
      </c>
      <c r="L137" s="75" t="s">
        <v>53</v>
      </c>
      <c r="M137" s="75" t="s">
        <v>106</v>
      </c>
    </row>
    <row r="138" spans="1:13" x14ac:dyDescent="0.25">
      <c r="A138" s="48">
        <v>0.5</v>
      </c>
      <c r="B138" s="48"/>
      <c r="C138" s="83">
        <f t="shared" ca="1" si="12"/>
        <v>43812</v>
      </c>
      <c r="D138" s="84">
        <f t="shared" si="13"/>
        <v>222</v>
      </c>
      <c r="E138" s="74" t="str">
        <f t="shared" ca="1" si="11"/>
        <v>HD_121319C222</v>
      </c>
      <c r="F138" s="75" t="str">
        <f ca="1">_xll.xlqName(E138,tda)</f>
        <v>#N/A</v>
      </c>
      <c r="G138" s="75" t="str">
        <f t="shared" ca="1" si="14"/>
        <v>BAD</v>
      </c>
      <c r="I138" s="83">
        <v>43812</v>
      </c>
      <c r="J138" s="84">
        <v>217</v>
      </c>
      <c r="K138" s="74" t="s">
        <v>353</v>
      </c>
      <c r="L138" s="75" t="s">
        <v>53</v>
      </c>
      <c r="M138" s="75" t="s">
        <v>106</v>
      </c>
    </row>
    <row r="139" spans="1:13" x14ac:dyDescent="0.25">
      <c r="A139" s="48">
        <v>1</v>
      </c>
      <c r="B139" s="48"/>
      <c r="C139" s="83">
        <f t="shared" ca="1" si="12"/>
        <v>43812</v>
      </c>
      <c r="D139" s="84">
        <f t="shared" si="13"/>
        <v>223</v>
      </c>
      <c r="E139" s="74" t="str">
        <f t="shared" ca="1" si="11"/>
        <v>HD_121319C223</v>
      </c>
      <c r="F139" s="75" t="str">
        <f ca="1">_xll.xlqName(E139,tda)</f>
        <v>#N/A</v>
      </c>
      <c r="G139" s="75" t="str">
        <f t="shared" ca="1" si="14"/>
        <v>BAD</v>
      </c>
      <c r="I139" s="83">
        <v>43812</v>
      </c>
      <c r="J139" s="84">
        <v>218</v>
      </c>
      <c r="K139" s="74" t="s">
        <v>354</v>
      </c>
      <c r="L139" s="75" t="s">
        <v>53</v>
      </c>
      <c r="M139" s="75" t="s">
        <v>106</v>
      </c>
    </row>
    <row r="140" spans="1:13" x14ac:dyDescent="0.25">
      <c r="A140" s="48">
        <v>1</v>
      </c>
      <c r="B140" s="48"/>
      <c r="C140" s="83">
        <f t="shared" ca="1" si="12"/>
        <v>43812</v>
      </c>
      <c r="D140" s="84">
        <f t="shared" si="13"/>
        <v>224</v>
      </c>
      <c r="E140" s="74" t="str">
        <f t="shared" ca="1" si="11"/>
        <v>HD_121319C224</v>
      </c>
      <c r="F140" s="75" t="str">
        <f ca="1">_xll.xlqName(E140,tda)</f>
        <v>#N/A</v>
      </c>
      <c r="G140" s="75" t="str">
        <f t="shared" ca="1" si="14"/>
        <v>BAD</v>
      </c>
      <c r="I140" s="83">
        <v>43812</v>
      </c>
      <c r="J140" s="84">
        <v>219</v>
      </c>
      <c r="K140" s="74" t="s">
        <v>355</v>
      </c>
      <c r="L140" s="75" t="s">
        <v>53</v>
      </c>
      <c r="M140" s="75" t="s">
        <v>106</v>
      </c>
    </row>
    <row r="141" spans="1:13" x14ac:dyDescent="0.25">
      <c r="A141" s="48">
        <v>1</v>
      </c>
      <c r="B141" s="48"/>
      <c r="C141" s="83">
        <f t="shared" ca="1" si="12"/>
        <v>43812</v>
      </c>
      <c r="D141" s="84">
        <f t="shared" si="13"/>
        <v>225</v>
      </c>
      <c r="E141" s="74" t="str">
        <f t="shared" ca="1" si="11"/>
        <v>HD_121319C225</v>
      </c>
      <c r="F141" s="75" t="str">
        <f ca="1">_xll.xlqName(E141,tda)</f>
        <v>HD Dec 13 2019 225 Call (Weekly)</v>
      </c>
      <c r="G141" s="75" t="str">
        <f t="shared" ca="1" si="14"/>
        <v/>
      </c>
      <c r="I141" s="83">
        <v>43812</v>
      </c>
      <c r="J141" s="84">
        <v>220</v>
      </c>
      <c r="K141" s="74" t="s">
        <v>356</v>
      </c>
      <c r="L141" s="75" t="s">
        <v>357</v>
      </c>
      <c r="M141" s="75" t="s">
        <v>111</v>
      </c>
    </row>
    <row r="142" spans="1:13" x14ac:dyDescent="0.25">
      <c r="A142" s="48">
        <v>1</v>
      </c>
      <c r="B142" s="48"/>
      <c r="C142" s="83">
        <f t="shared" ca="1" si="12"/>
        <v>43812</v>
      </c>
      <c r="D142" s="84">
        <f t="shared" si="13"/>
        <v>226</v>
      </c>
      <c r="E142" s="74" t="str">
        <f t="shared" ca="1" si="11"/>
        <v>HD_121319C226</v>
      </c>
      <c r="F142" s="75" t="str">
        <f ca="1">_xll.xlqName(E142,tda)</f>
        <v>#N/A</v>
      </c>
      <c r="G142" s="75" t="str">
        <f t="shared" ca="1" si="14"/>
        <v>BAD</v>
      </c>
      <c r="I142" s="83">
        <v>43812</v>
      </c>
      <c r="J142" s="84">
        <v>221</v>
      </c>
      <c r="K142" s="74" t="s">
        <v>358</v>
      </c>
      <c r="L142" s="75" t="s">
        <v>53</v>
      </c>
      <c r="M142" s="75" t="s">
        <v>106</v>
      </c>
    </row>
    <row r="143" spans="1:13" x14ac:dyDescent="0.25">
      <c r="A143" s="48">
        <v>0.5</v>
      </c>
      <c r="B143" s="48"/>
      <c r="C143" s="83">
        <f t="shared" ca="1" si="12"/>
        <v>43812</v>
      </c>
      <c r="D143" s="84">
        <f t="shared" si="13"/>
        <v>226.5</v>
      </c>
      <c r="E143" s="74" t="str">
        <f t="shared" ca="1" si="11"/>
        <v>HD_121319C226.5</v>
      </c>
      <c r="F143" s="75" t="str">
        <f ca="1">_xll.xlqName(E143,tda)</f>
        <v>#N/A</v>
      </c>
      <c r="G143" s="75" t="str">
        <f t="shared" ca="1" si="14"/>
        <v>BAD</v>
      </c>
      <c r="I143" s="83">
        <v>43812</v>
      </c>
      <c r="J143" s="84">
        <v>221.5</v>
      </c>
      <c r="K143" s="74" t="s">
        <v>359</v>
      </c>
      <c r="L143" s="75" t="s">
        <v>53</v>
      </c>
      <c r="M143" s="75" t="s">
        <v>106</v>
      </c>
    </row>
    <row r="144" spans="1:13" x14ac:dyDescent="0.25">
      <c r="A144" s="48">
        <v>0.5</v>
      </c>
      <c r="B144" s="48"/>
      <c r="C144" s="83">
        <f t="shared" ca="1" si="12"/>
        <v>43812</v>
      </c>
      <c r="D144" s="84">
        <f t="shared" si="13"/>
        <v>227</v>
      </c>
      <c r="E144" s="74" t="str">
        <f t="shared" ca="1" si="11"/>
        <v>HD_121319C227</v>
      </c>
      <c r="F144" s="75" t="str">
        <f ca="1">_xll.xlqName(E144,tda)</f>
        <v>#N/A</v>
      </c>
      <c r="G144" s="75" t="str">
        <f t="shared" ca="1" si="14"/>
        <v>BAD</v>
      </c>
      <c r="I144" s="83">
        <v>43812</v>
      </c>
      <c r="J144" s="84">
        <v>222</v>
      </c>
      <c r="K144" s="74" t="s">
        <v>360</v>
      </c>
      <c r="L144" s="75" t="s">
        <v>53</v>
      </c>
      <c r="M144" s="75" t="s">
        <v>106</v>
      </c>
    </row>
    <row r="145" spans="1:13" x14ac:dyDescent="0.25">
      <c r="A145" s="48">
        <v>1</v>
      </c>
      <c r="B145" s="48"/>
      <c r="C145" s="83">
        <f t="shared" ca="1" si="12"/>
        <v>43812</v>
      </c>
      <c r="D145" s="84">
        <f t="shared" si="13"/>
        <v>228</v>
      </c>
      <c r="E145" s="74" t="str">
        <f t="shared" ca="1" si="11"/>
        <v>HD_121319C228</v>
      </c>
      <c r="F145" s="75" t="str">
        <f ca="1">_xll.xlqName(E145,tda)</f>
        <v>#N/A</v>
      </c>
      <c r="G145" s="75" t="str">
        <f t="shared" ca="1" si="14"/>
        <v>BAD</v>
      </c>
      <c r="I145" s="83">
        <v>43812</v>
      </c>
      <c r="J145" s="84">
        <v>223</v>
      </c>
      <c r="K145" s="74" t="s">
        <v>361</v>
      </c>
      <c r="L145" s="75" t="s">
        <v>53</v>
      </c>
      <c r="M145" s="75" t="s">
        <v>106</v>
      </c>
    </row>
    <row r="146" spans="1:13" x14ac:dyDescent="0.25">
      <c r="A146" s="48">
        <v>1</v>
      </c>
      <c r="B146" s="48"/>
      <c r="C146" s="83">
        <f t="shared" ca="1" si="12"/>
        <v>43812</v>
      </c>
      <c r="D146" s="84">
        <f t="shared" si="13"/>
        <v>229</v>
      </c>
      <c r="E146" s="74" t="str">
        <f t="shared" ca="1" si="11"/>
        <v>HD_121319C229</v>
      </c>
      <c r="F146" s="75" t="str">
        <f ca="1">_xll.xlqName(E146,tda)</f>
        <v>#N/A</v>
      </c>
      <c r="G146" s="75" t="str">
        <f t="shared" ca="1" si="14"/>
        <v>BAD</v>
      </c>
      <c r="I146" s="83">
        <v>43812</v>
      </c>
      <c r="J146" s="84">
        <v>224</v>
      </c>
      <c r="K146" s="74" t="s">
        <v>362</v>
      </c>
      <c r="L146" s="75" t="s">
        <v>53</v>
      </c>
      <c r="M146" s="75" t="s">
        <v>106</v>
      </c>
    </row>
    <row r="147" spans="1:13" x14ac:dyDescent="0.25">
      <c r="A147" s="48">
        <v>1</v>
      </c>
      <c r="B147" s="48"/>
      <c r="C147" s="83">
        <f t="shared" ca="1" si="12"/>
        <v>43812</v>
      </c>
      <c r="D147" s="84">
        <f t="shared" si="13"/>
        <v>230</v>
      </c>
      <c r="E147" s="74" t="str">
        <f t="shared" ca="1" si="11"/>
        <v>HD_121319C230</v>
      </c>
      <c r="F147" s="75" t="str">
        <f ca="1">_xll.xlqName(E147,tda)</f>
        <v>HD Dec 13 2019 230 Call (Weekly)</v>
      </c>
      <c r="G147" s="75" t="str">
        <f t="shared" ca="1" si="14"/>
        <v/>
      </c>
      <c r="I147" s="83">
        <v>43812</v>
      </c>
      <c r="J147" s="84">
        <v>225</v>
      </c>
      <c r="K147" s="74" t="s">
        <v>363</v>
      </c>
      <c r="L147" s="75" t="s">
        <v>364</v>
      </c>
      <c r="M147" s="75" t="s">
        <v>111</v>
      </c>
    </row>
    <row r="148" spans="1:13" x14ac:dyDescent="0.25">
      <c r="A148" s="48">
        <v>1</v>
      </c>
      <c r="B148" s="48"/>
      <c r="C148" s="83">
        <f t="shared" ca="1" si="12"/>
        <v>43819</v>
      </c>
      <c r="D148" s="84">
        <f t="shared" si="13"/>
        <v>170</v>
      </c>
      <c r="E148" s="74" t="str">
        <f t="shared" ca="1" si="11"/>
        <v>HD_122019C170</v>
      </c>
      <c r="F148" s="75" t="str">
        <f ca="1">_xll.xlqName(E148,tda)</f>
        <v>HD Dec 20 2019 170 Call</v>
      </c>
      <c r="G148" s="75" t="str">
        <f t="shared" ca="1" si="14"/>
        <v/>
      </c>
      <c r="I148" s="83">
        <v>43812</v>
      </c>
      <c r="J148" s="84">
        <v>226</v>
      </c>
      <c r="K148" s="74" t="s">
        <v>365</v>
      </c>
      <c r="L148" s="75" t="s">
        <v>53</v>
      </c>
      <c r="M148" s="75" t="s">
        <v>106</v>
      </c>
    </row>
    <row r="149" spans="1:13" x14ac:dyDescent="0.25">
      <c r="A149" s="48">
        <v>0.5</v>
      </c>
      <c r="B149" s="48"/>
      <c r="C149" s="83">
        <f t="shared" ca="1" si="12"/>
        <v>43819</v>
      </c>
      <c r="D149" s="84">
        <f t="shared" si="13"/>
        <v>170.5</v>
      </c>
      <c r="E149" s="74" t="str">
        <f t="shared" ca="1" si="11"/>
        <v>HD_122019C170.5</v>
      </c>
      <c r="F149" s="75" t="str">
        <f ca="1">_xll.xlqName(E149,tda)</f>
        <v>#N/A</v>
      </c>
      <c r="G149" s="75" t="str">
        <f t="shared" ca="1" si="14"/>
        <v>BAD</v>
      </c>
      <c r="I149" s="83">
        <v>43812</v>
      </c>
      <c r="J149" s="84">
        <v>226.5</v>
      </c>
      <c r="K149" s="74" t="s">
        <v>366</v>
      </c>
      <c r="L149" s="75" t="s">
        <v>53</v>
      </c>
      <c r="M149" s="75" t="s">
        <v>106</v>
      </c>
    </row>
    <row r="150" spans="1:13" x14ac:dyDescent="0.25">
      <c r="A150" s="48">
        <v>0.5</v>
      </c>
      <c r="B150" s="48"/>
      <c r="C150" s="83">
        <f t="shared" ca="1" si="12"/>
        <v>43819</v>
      </c>
      <c r="D150" s="84">
        <f t="shared" si="13"/>
        <v>171</v>
      </c>
      <c r="E150" s="74" t="str">
        <f t="shared" ca="1" si="11"/>
        <v>HD_122019C171</v>
      </c>
      <c r="F150" s="75" t="str">
        <f ca="1">_xll.xlqName(E150,tda)</f>
        <v>#N/A</v>
      </c>
      <c r="G150" s="75" t="str">
        <f t="shared" ca="1" si="14"/>
        <v>BAD</v>
      </c>
      <c r="I150" s="83">
        <v>43812</v>
      </c>
      <c r="J150" s="84">
        <v>227</v>
      </c>
      <c r="K150" s="74" t="s">
        <v>367</v>
      </c>
      <c r="L150" s="75" t="s">
        <v>53</v>
      </c>
      <c r="M150" s="75" t="s">
        <v>106</v>
      </c>
    </row>
    <row r="151" spans="1:13" x14ac:dyDescent="0.25">
      <c r="A151" s="48">
        <v>1</v>
      </c>
      <c r="B151" s="48"/>
      <c r="C151" s="83">
        <f t="shared" ca="1" si="12"/>
        <v>43819</v>
      </c>
      <c r="D151" s="84">
        <f t="shared" si="13"/>
        <v>172</v>
      </c>
      <c r="E151" s="74" t="str">
        <f t="shared" ca="1" si="11"/>
        <v>HD_122019C172</v>
      </c>
      <c r="F151" s="75" t="str">
        <f ca="1">_xll.xlqName(E151,tda)</f>
        <v>#N/A</v>
      </c>
      <c r="G151" s="75" t="str">
        <f t="shared" ca="1" si="14"/>
        <v>BAD</v>
      </c>
      <c r="I151" s="83">
        <v>43812</v>
      </c>
      <c r="J151" s="84">
        <v>228</v>
      </c>
      <c r="K151" s="74" t="s">
        <v>368</v>
      </c>
      <c r="L151" s="75" t="s">
        <v>53</v>
      </c>
      <c r="M151" s="75" t="s">
        <v>106</v>
      </c>
    </row>
    <row r="152" spans="1:13" x14ac:dyDescent="0.25">
      <c r="A152" s="48">
        <v>1</v>
      </c>
      <c r="B152" s="48"/>
      <c r="C152" s="83">
        <f t="shared" ca="1" si="12"/>
        <v>43819</v>
      </c>
      <c r="D152" s="84">
        <f t="shared" si="13"/>
        <v>173</v>
      </c>
      <c r="E152" s="74" t="str">
        <f t="shared" ca="1" si="11"/>
        <v>HD_122019C173</v>
      </c>
      <c r="F152" s="75" t="str">
        <f ca="1">_xll.xlqName(E152,tda)</f>
        <v>#N/A</v>
      </c>
      <c r="G152" s="75" t="str">
        <f t="shared" ca="1" si="14"/>
        <v>BAD</v>
      </c>
      <c r="I152" s="83">
        <v>43812</v>
      </c>
      <c r="J152" s="84">
        <v>229</v>
      </c>
      <c r="K152" s="74" t="s">
        <v>369</v>
      </c>
      <c r="L152" s="75" t="s">
        <v>53</v>
      </c>
      <c r="M152" s="75" t="s">
        <v>106</v>
      </c>
    </row>
    <row r="153" spans="1:13" x14ac:dyDescent="0.25">
      <c r="A153" s="48">
        <v>1</v>
      </c>
      <c r="B153" s="48"/>
      <c r="C153" s="83">
        <f t="shared" ca="1" si="12"/>
        <v>43819</v>
      </c>
      <c r="D153" s="84">
        <f t="shared" si="13"/>
        <v>174</v>
      </c>
      <c r="E153" s="74" t="str">
        <f t="shared" ca="1" si="11"/>
        <v>HD_122019C174</v>
      </c>
      <c r="F153" s="75" t="str">
        <f ca="1">_xll.xlqName(E153,tda)</f>
        <v>#N/A</v>
      </c>
      <c r="G153" s="75" t="str">
        <f t="shared" ca="1" si="14"/>
        <v>BAD</v>
      </c>
      <c r="I153" s="83">
        <v>43812</v>
      </c>
      <c r="J153" s="84">
        <v>230</v>
      </c>
      <c r="K153" s="74" t="s">
        <v>370</v>
      </c>
      <c r="L153" s="75" t="s">
        <v>371</v>
      </c>
      <c r="M153" s="75" t="s">
        <v>111</v>
      </c>
    </row>
    <row r="154" spans="1:13" x14ac:dyDescent="0.25">
      <c r="A154" s="48">
        <v>1</v>
      </c>
      <c r="B154" s="48"/>
      <c r="C154" s="83">
        <f t="shared" ca="1" si="12"/>
        <v>43819</v>
      </c>
      <c r="D154" s="84">
        <f t="shared" si="13"/>
        <v>175</v>
      </c>
      <c r="E154" s="74" t="str">
        <f t="shared" ca="1" si="11"/>
        <v>HD_122019C175</v>
      </c>
      <c r="F154" s="75" t="str">
        <f ca="1">_xll.xlqName(E154,tda)</f>
        <v>HD Dec 20 2019 175 Call</v>
      </c>
      <c r="G154" s="75" t="str">
        <f t="shared" ca="1" si="14"/>
        <v/>
      </c>
      <c r="I154" s="83">
        <v>43812</v>
      </c>
      <c r="J154" s="84">
        <v>231</v>
      </c>
      <c r="K154" s="74" t="s">
        <v>372</v>
      </c>
      <c r="L154" s="75" t="s">
        <v>53</v>
      </c>
      <c r="M154" s="75" t="s">
        <v>106</v>
      </c>
    </row>
    <row r="155" spans="1:13" x14ac:dyDescent="0.25">
      <c r="A155" s="48">
        <v>0.5</v>
      </c>
      <c r="B155" s="48"/>
      <c r="C155" s="83">
        <f t="shared" ca="1" si="12"/>
        <v>43819</v>
      </c>
      <c r="D155" s="84">
        <f t="shared" si="13"/>
        <v>175.5</v>
      </c>
      <c r="E155" s="74" t="str">
        <f t="shared" ca="1" si="11"/>
        <v>HD_122019C175.5</v>
      </c>
      <c r="F155" s="75" t="str">
        <f ca="1">_xll.xlqName(E155,tda)</f>
        <v>#N/A</v>
      </c>
      <c r="G155" s="75" t="str">
        <f t="shared" ca="1" si="14"/>
        <v>BAD</v>
      </c>
      <c r="I155" s="83">
        <v>43812</v>
      </c>
      <c r="J155" s="84">
        <v>231.5</v>
      </c>
      <c r="K155" s="74" t="s">
        <v>373</v>
      </c>
      <c r="L155" s="75" t="s">
        <v>53</v>
      </c>
      <c r="M155" s="75" t="s">
        <v>106</v>
      </c>
    </row>
    <row r="156" spans="1:13" x14ac:dyDescent="0.25">
      <c r="A156" s="48">
        <v>0.5</v>
      </c>
      <c r="B156" s="48"/>
      <c r="C156" s="83">
        <f t="shared" ca="1" si="12"/>
        <v>43819</v>
      </c>
      <c r="D156" s="84">
        <f t="shared" si="13"/>
        <v>176</v>
      </c>
      <c r="E156" s="74" t="str">
        <f t="shared" ca="1" si="11"/>
        <v>HD_122019C176</v>
      </c>
      <c r="F156" s="75" t="str">
        <f ca="1">_xll.xlqName(E156,tda)</f>
        <v>#N/A</v>
      </c>
      <c r="G156" s="75" t="str">
        <f t="shared" ca="1" si="14"/>
        <v>BAD</v>
      </c>
      <c r="I156" s="83">
        <v>43812</v>
      </c>
      <c r="J156" s="84">
        <v>232</v>
      </c>
      <c r="K156" s="74" t="s">
        <v>374</v>
      </c>
      <c r="L156" s="75" t="s">
        <v>53</v>
      </c>
      <c r="M156" s="75" t="s">
        <v>106</v>
      </c>
    </row>
    <row r="157" spans="1:13" x14ac:dyDescent="0.25">
      <c r="A157" s="48">
        <v>1</v>
      </c>
      <c r="B157" s="48"/>
      <c r="C157" s="83">
        <f t="shared" ca="1" si="12"/>
        <v>43819</v>
      </c>
      <c r="D157" s="84">
        <f t="shared" si="13"/>
        <v>177</v>
      </c>
      <c r="E157" s="74" t="str">
        <f t="shared" ca="1" si="11"/>
        <v>HD_122019C177</v>
      </c>
      <c r="F157" s="75" t="str">
        <f ca="1">_xll.xlqName(E157,tda)</f>
        <v>#N/A</v>
      </c>
      <c r="G157" s="75" t="str">
        <f t="shared" ca="1" si="14"/>
        <v>BAD</v>
      </c>
      <c r="I157" s="83">
        <v>43812</v>
      </c>
      <c r="J157" s="84">
        <v>233</v>
      </c>
      <c r="K157" s="74" t="s">
        <v>375</v>
      </c>
      <c r="L157" s="75" t="s">
        <v>53</v>
      </c>
      <c r="M157" s="75" t="s">
        <v>106</v>
      </c>
    </row>
    <row r="158" spans="1:13" x14ac:dyDescent="0.25">
      <c r="A158" s="48">
        <v>1</v>
      </c>
      <c r="B158" s="48"/>
      <c r="C158" s="83">
        <f t="shared" ca="1" si="12"/>
        <v>43819</v>
      </c>
      <c r="D158" s="84">
        <f t="shared" si="13"/>
        <v>178</v>
      </c>
      <c r="E158" s="74" t="str">
        <f t="shared" ca="1" si="11"/>
        <v>HD_122019C178</v>
      </c>
      <c r="F158" s="75" t="str">
        <f ca="1">_xll.xlqName(E158,tda)</f>
        <v>#N/A</v>
      </c>
      <c r="G158" s="75" t="str">
        <f t="shared" ca="1" si="14"/>
        <v>BAD</v>
      </c>
      <c r="I158" s="83">
        <v>43812</v>
      </c>
      <c r="J158" s="84">
        <v>234</v>
      </c>
      <c r="K158" s="74" t="s">
        <v>376</v>
      </c>
      <c r="L158" s="75" t="s">
        <v>53</v>
      </c>
      <c r="M158" s="75" t="s">
        <v>106</v>
      </c>
    </row>
    <row r="159" spans="1:13" x14ac:dyDescent="0.25">
      <c r="A159" s="48">
        <v>1</v>
      </c>
      <c r="B159" s="48"/>
      <c r="C159" s="83">
        <f t="shared" ca="1" si="12"/>
        <v>43819</v>
      </c>
      <c r="D159" s="84">
        <f t="shared" si="13"/>
        <v>179</v>
      </c>
      <c r="E159" s="74" t="str">
        <f t="shared" ca="1" si="11"/>
        <v>HD_122019C179</v>
      </c>
      <c r="F159" s="75" t="str">
        <f ca="1">_xll.xlqName(E159,tda)</f>
        <v>#N/A</v>
      </c>
      <c r="G159" s="75" t="str">
        <f t="shared" ca="1" si="14"/>
        <v>BAD</v>
      </c>
      <c r="I159" s="83">
        <v>43812</v>
      </c>
      <c r="J159" s="84">
        <v>235</v>
      </c>
      <c r="K159" s="74" t="s">
        <v>377</v>
      </c>
      <c r="L159" s="75" t="s">
        <v>378</v>
      </c>
      <c r="M159" s="75" t="s">
        <v>111</v>
      </c>
    </row>
    <row r="160" spans="1:13" x14ac:dyDescent="0.25">
      <c r="A160" s="48">
        <v>1</v>
      </c>
      <c r="B160" s="48"/>
      <c r="C160" s="83">
        <f t="shared" ca="1" si="12"/>
        <v>43819</v>
      </c>
      <c r="D160" s="84">
        <f t="shared" si="13"/>
        <v>180</v>
      </c>
      <c r="E160" s="74" t="str">
        <f t="shared" ca="1" si="11"/>
        <v>HD_122019C180</v>
      </c>
      <c r="F160" s="75" t="str">
        <f ca="1">_xll.xlqName(E160,tda)</f>
        <v>HD Dec 20 2019 180 Call</v>
      </c>
      <c r="G160" s="75" t="str">
        <f t="shared" ca="1" si="14"/>
        <v/>
      </c>
      <c r="I160" s="83">
        <v>43819</v>
      </c>
      <c r="J160" s="84">
        <v>170</v>
      </c>
      <c r="K160" s="74" t="s">
        <v>379</v>
      </c>
      <c r="L160" s="75" t="s">
        <v>380</v>
      </c>
      <c r="M160" s="75" t="s">
        <v>111</v>
      </c>
    </row>
    <row r="161" spans="1:13" x14ac:dyDescent="0.25">
      <c r="A161" s="48">
        <v>0.5</v>
      </c>
      <c r="B161" s="48"/>
      <c r="C161" s="83">
        <f t="shared" ca="1" si="12"/>
        <v>43819</v>
      </c>
      <c r="D161" s="84">
        <f t="shared" si="13"/>
        <v>180.5</v>
      </c>
      <c r="E161" s="74" t="str">
        <f t="shared" ca="1" si="11"/>
        <v>HD_122019C180.5</v>
      </c>
      <c r="F161" s="75" t="str">
        <f ca="1">_xll.xlqName(E161,tda)</f>
        <v>#N/A</v>
      </c>
      <c r="G161" s="75" t="str">
        <f t="shared" ca="1" si="14"/>
        <v>BAD</v>
      </c>
      <c r="I161" s="83">
        <v>43819</v>
      </c>
      <c r="J161" s="84">
        <v>170.5</v>
      </c>
      <c r="K161" s="74" t="s">
        <v>381</v>
      </c>
      <c r="L161" s="75" t="s">
        <v>53</v>
      </c>
      <c r="M161" s="75" t="s">
        <v>106</v>
      </c>
    </row>
    <row r="162" spans="1:13" x14ac:dyDescent="0.25">
      <c r="A162" s="48">
        <v>0.5</v>
      </c>
      <c r="B162" s="48"/>
      <c r="C162" s="83">
        <f t="shared" ca="1" si="12"/>
        <v>43819</v>
      </c>
      <c r="D162" s="84">
        <f t="shared" si="13"/>
        <v>181</v>
      </c>
      <c r="E162" s="74" t="str">
        <f t="shared" ca="1" si="11"/>
        <v>HD_122019C181</v>
      </c>
      <c r="F162" s="75" t="str">
        <f ca="1">_xll.xlqName(E162,tda)</f>
        <v>#N/A</v>
      </c>
      <c r="G162" s="75" t="str">
        <f t="shared" ca="1" si="14"/>
        <v>BAD</v>
      </c>
      <c r="I162" s="83">
        <v>43819</v>
      </c>
      <c r="J162" s="84">
        <v>171</v>
      </c>
      <c r="K162" s="74" t="s">
        <v>382</v>
      </c>
      <c r="L162" s="75" t="s">
        <v>53</v>
      </c>
      <c r="M162" s="75" t="s">
        <v>106</v>
      </c>
    </row>
    <row r="163" spans="1:13" x14ac:dyDescent="0.25">
      <c r="A163" s="48">
        <v>1</v>
      </c>
      <c r="B163" s="48"/>
      <c r="C163" s="83">
        <f t="shared" ca="1" si="12"/>
        <v>43819</v>
      </c>
      <c r="D163" s="84">
        <f t="shared" si="13"/>
        <v>182</v>
      </c>
      <c r="E163" s="74" t="str">
        <f t="shared" ca="1" si="11"/>
        <v>HD_122019C182</v>
      </c>
      <c r="F163" s="75" t="str">
        <f ca="1">_xll.xlqName(E163,tda)</f>
        <v>#N/A</v>
      </c>
      <c r="G163" s="75" t="str">
        <f t="shared" ca="1" si="14"/>
        <v>BAD</v>
      </c>
      <c r="I163" s="83">
        <v>43819</v>
      </c>
      <c r="J163" s="84">
        <v>172</v>
      </c>
      <c r="K163" s="74" t="s">
        <v>383</v>
      </c>
      <c r="L163" s="75" t="s">
        <v>53</v>
      </c>
      <c r="M163" s="75" t="s">
        <v>106</v>
      </c>
    </row>
    <row r="164" spans="1:13" x14ac:dyDescent="0.25">
      <c r="A164" s="48">
        <v>1</v>
      </c>
      <c r="B164" s="48"/>
      <c r="C164" s="83">
        <f t="shared" ca="1" si="12"/>
        <v>43819</v>
      </c>
      <c r="D164" s="84">
        <f t="shared" si="13"/>
        <v>183</v>
      </c>
      <c r="E164" s="74" t="str">
        <f t="shared" ca="1" si="11"/>
        <v>HD_122019C183</v>
      </c>
      <c r="F164" s="75" t="str">
        <f ca="1">_xll.xlqName(E164,tda)</f>
        <v>#N/A</v>
      </c>
      <c r="G164" s="75" t="str">
        <f t="shared" ca="1" si="14"/>
        <v>BAD</v>
      </c>
      <c r="I164" s="83">
        <v>43819</v>
      </c>
      <c r="J164" s="84">
        <v>173</v>
      </c>
      <c r="K164" s="74" t="s">
        <v>384</v>
      </c>
      <c r="L164" s="75" t="s">
        <v>53</v>
      </c>
      <c r="M164" s="75" t="s">
        <v>106</v>
      </c>
    </row>
    <row r="165" spans="1:13" x14ac:dyDescent="0.25">
      <c r="A165" s="48">
        <v>1</v>
      </c>
      <c r="B165" s="48"/>
      <c r="C165" s="83">
        <f t="shared" ca="1" si="12"/>
        <v>43819</v>
      </c>
      <c r="D165" s="84">
        <f t="shared" si="13"/>
        <v>184</v>
      </c>
      <c r="E165" s="74" t="str">
        <f t="shared" ca="1" si="11"/>
        <v>HD_122019C184</v>
      </c>
      <c r="F165" s="75" t="str">
        <f ca="1">_xll.xlqName(E165,tda)</f>
        <v>#N/A</v>
      </c>
      <c r="G165" s="75" t="str">
        <f t="shared" ca="1" si="14"/>
        <v>BAD</v>
      </c>
      <c r="I165" s="83">
        <v>43819</v>
      </c>
      <c r="J165" s="84">
        <v>174</v>
      </c>
      <c r="K165" s="74" t="s">
        <v>385</v>
      </c>
      <c r="L165" s="75" t="s">
        <v>53</v>
      </c>
      <c r="M165" s="75" t="s">
        <v>106</v>
      </c>
    </row>
    <row r="166" spans="1:13" x14ac:dyDescent="0.25">
      <c r="A166" s="48">
        <v>1</v>
      </c>
      <c r="B166" s="48"/>
      <c r="C166" s="83">
        <f t="shared" ca="1" si="12"/>
        <v>43819</v>
      </c>
      <c r="D166" s="84">
        <f t="shared" si="13"/>
        <v>185</v>
      </c>
      <c r="E166" s="74" t="str">
        <f t="shared" ca="1" si="11"/>
        <v>HD_122019C185</v>
      </c>
      <c r="F166" s="75" t="str">
        <f ca="1">_xll.xlqName(E166,tda)</f>
        <v>HD Dec 20 2019 185 Call</v>
      </c>
      <c r="G166" s="75" t="str">
        <f t="shared" ca="1" si="14"/>
        <v/>
      </c>
      <c r="I166" s="83">
        <v>43819</v>
      </c>
      <c r="J166" s="84">
        <v>175</v>
      </c>
      <c r="K166" s="74" t="s">
        <v>386</v>
      </c>
      <c r="L166" s="75" t="s">
        <v>387</v>
      </c>
      <c r="M166" s="75" t="s">
        <v>111</v>
      </c>
    </row>
    <row r="167" spans="1:13" x14ac:dyDescent="0.25">
      <c r="A167" s="48">
        <v>0.5</v>
      </c>
      <c r="B167" s="48"/>
      <c r="C167" s="83">
        <f t="shared" ca="1" si="12"/>
        <v>43819</v>
      </c>
      <c r="D167" s="84">
        <f t="shared" si="13"/>
        <v>185.5</v>
      </c>
      <c r="E167" s="74" t="str">
        <f t="shared" ca="1" si="11"/>
        <v>HD_122019C185.5</v>
      </c>
      <c r="F167" s="75" t="str">
        <f ca="1">_xll.xlqName(E167,tda)</f>
        <v>#N/A</v>
      </c>
      <c r="G167" s="75" t="str">
        <f t="shared" ca="1" si="14"/>
        <v>BAD</v>
      </c>
      <c r="I167" s="83">
        <v>43819</v>
      </c>
      <c r="J167" s="84">
        <v>175.5</v>
      </c>
      <c r="K167" s="74" t="s">
        <v>388</v>
      </c>
      <c r="L167" s="75" t="s">
        <v>53</v>
      </c>
      <c r="M167" s="75" t="s">
        <v>106</v>
      </c>
    </row>
    <row r="168" spans="1:13" x14ac:dyDescent="0.25">
      <c r="A168" s="48">
        <v>0.5</v>
      </c>
      <c r="B168" s="48"/>
      <c r="C168" s="83">
        <f t="shared" ca="1" si="12"/>
        <v>43819</v>
      </c>
      <c r="D168" s="84">
        <f t="shared" si="13"/>
        <v>186</v>
      </c>
      <c r="E168" s="74" t="str">
        <f t="shared" ca="1" si="11"/>
        <v>HD_122019C186</v>
      </c>
      <c r="F168" s="75" t="str">
        <f ca="1">_xll.xlqName(E168,tda)</f>
        <v>#N/A</v>
      </c>
      <c r="G168" s="75" t="str">
        <f t="shared" ca="1" si="14"/>
        <v>BAD</v>
      </c>
      <c r="I168" s="83">
        <v>43819</v>
      </c>
      <c r="J168" s="84">
        <v>176</v>
      </c>
      <c r="K168" s="74" t="s">
        <v>389</v>
      </c>
      <c r="L168" s="75" t="s">
        <v>53</v>
      </c>
      <c r="M168" s="75" t="s">
        <v>106</v>
      </c>
    </row>
    <row r="169" spans="1:13" x14ac:dyDescent="0.25">
      <c r="A169" s="48">
        <v>1</v>
      </c>
      <c r="B169" s="48"/>
      <c r="C169" s="83">
        <f t="shared" ca="1" si="12"/>
        <v>43819</v>
      </c>
      <c r="D169" s="84">
        <f t="shared" si="13"/>
        <v>187</v>
      </c>
      <c r="E169" s="74" t="str">
        <f t="shared" ca="1" si="11"/>
        <v>HD_122019C187</v>
      </c>
      <c r="F169" s="75" t="str">
        <f ca="1">_xll.xlqName(E169,tda)</f>
        <v>#N/A</v>
      </c>
      <c r="G169" s="75" t="str">
        <f t="shared" ca="1" si="14"/>
        <v>BAD</v>
      </c>
      <c r="I169" s="83">
        <v>43819</v>
      </c>
      <c r="J169" s="84">
        <v>177</v>
      </c>
      <c r="K169" s="74" t="s">
        <v>390</v>
      </c>
      <c r="L169" s="75" t="s">
        <v>53</v>
      </c>
      <c r="M169" s="75" t="s">
        <v>106</v>
      </c>
    </row>
    <row r="170" spans="1:13" x14ac:dyDescent="0.25">
      <c r="A170" s="48">
        <v>1</v>
      </c>
      <c r="B170" s="48"/>
      <c r="C170" s="83">
        <f t="shared" ca="1" si="12"/>
        <v>43819</v>
      </c>
      <c r="D170" s="84">
        <f t="shared" si="13"/>
        <v>188</v>
      </c>
      <c r="E170" s="74" t="str">
        <f t="shared" ca="1" si="11"/>
        <v>HD_122019C188</v>
      </c>
      <c r="F170" s="75" t="str">
        <f ca="1">_xll.xlqName(E170,tda)</f>
        <v>#N/A</v>
      </c>
      <c r="G170" s="75" t="str">
        <f t="shared" ca="1" si="14"/>
        <v>BAD</v>
      </c>
      <c r="I170" s="83">
        <v>43819</v>
      </c>
      <c r="J170" s="84">
        <v>178</v>
      </c>
      <c r="K170" s="74" t="s">
        <v>391</v>
      </c>
      <c r="L170" s="75" t="s">
        <v>53</v>
      </c>
      <c r="M170" s="75" t="s">
        <v>106</v>
      </c>
    </row>
    <row r="171" spans="1:13" x14ac:dyDescent="0.25">
      <c r="A171" s="48">
        <v>1</v>
      </c>
      <c r="B171" s="48"/>
      <c r="C171" s="83">
        <f t="shared" ca="1" si="12"/>
        <v>43819</v>
      </c>
      <c r="D171" s="84">
        <f t="shared" si="13"/>
        <v>189</v>
      </c>
      <c r="E171" s="74" t="str">
        <f t="shared" ca="1" si="11"/>
        <v>HD_122019C189</v>
      </c>
      <c r="F171" s="75" t="str">
        <f ca="1">_xll.xlqName(E171,tda)</f>
        <v>#N/A</v>
      </c>
      <c r="G171" s="75" t="str">
        <f t="shared" ca="1" si="14"/>
        <v>BAD</v>
      </c>
      <c r="I171" s="83">
        <v>43819</v>
      </c>
      <c r="J171" s="84">
        <v>179</v>
      </c>
      <c r="K171" s="74" t="s">
        <v>392</v>
      </c>
      <c r="L171" s="75" t="s">
        <v>53</v>
      </c>
      <c r="M171" s="75" t="s">
        <v>106</v>
      </c>
    </row>
    <row r="172" spans="1:13" x14ac:dyDescent="0.25">
      <c r="A172" s="48">
        <v>1</v>
      </c>
      <c r="B172" s="48"/>
      <c r="C172" s="83">
        <f t="shared" ca="1" si="12"/>
        <v>43819</v>
      </c>
      <c r="D172" s="84">
        <f t="shared" si="13"/>
        <v>190</v>
      </c>
      <c r="E172" s="74" t="str">
        <f t="shared" ca="1" si="11"/>
        <v>HD_122019C190</v>
      </c>
      <c r="F172" s="75" t="str">
        <f ca="1">_xll.xlqName(E172,tda)</f>
        <v>HD Dec 20 2019 190 Call</v>
      </c>
      <c r="G172" s="75" t="str">
        <f t="shared" ca="1" si="14"/>
        <v/>
      </c>
      <c r="I172" s="83">
        <v>43819</v>
      </c>
      <c r="J172" s="84">
        <v>180</v>
      </c>
      <c r="K172" s="74" t="s">
        <v>393</v>
      </c>
      <c r="L172" s="75" t="s">
        <v>394</v>
      </c>
      <c r="M172" s="75" t="s">
        <v>111</v>
      </c>
    </row>
    <row r="173" spans="1:13" x14ac:dyDescent="0.25">
      <c r="A173" s="48">
        <v>0.5</v>
      </c>
      <c r="B173" s="48"/>
      <c r="C173" s="83">
        <f t="shared" ca="1" si="12"/>
        <v>43819</v>
      </c>
      <c r="D173" s="84">
        <f t="shared" si="13"/>
        <v>190.5</v>
      </c>
      <c r="E173" s="74" t="str">
        <f t="shared" ca="1" si="11"/>
        <v>HD_122019C190.5</v>
      </c>
      <c r="F173" s="75" t="str">
        <f ca="1">_xll.xlqName(E173,tda)</f>
        <v>#N/A</v>
      </c>
      <c r="G173" s="75" t="str">
        <f t="shared" ca="1" si="14"/>
        <v>BAD</v>
      </c>
      <c r="I173" s="83">
        <v>43819</v>
      </c>
      <c r="J173" s="84">
        <v>180.5</v>
      </c>
      <c r="K173" s="74" t="s">
        <v>395</v>
      </c>
      <c r="L173" s="75" t="s">
        <v>53</v>
      </c>
      <c r="M173" s="75" t="s">
        <v>106</v>
      </c>
    </row>
    <row r="174" spans="1:13" x14ac:dyDescent="0.25">
      <c r="A174" s="48">
        <v>0.5</v>
      </c>
      <c r="B174" s="48"/>
      <c r="C174" s="83">
        <f t="shared" ca="1" si="12"/>
        <v>43819</v>
      </c>
      <c r="D174" s="84">
        <f t="shared" si="13"/>
        <v>191</v>
      </c>
      <c r="E174" s="74" t="str">
        <f t="shared" ca="1" si="11"/>
        <v>HD_122019C191</v>
      </c>
      <c r="F174" s="75" t="str">
        <f ca="1">_xll.xlqName(E174,tda)</f>
        <v>#N/A</v>
      </c>
      <c r="G174" s="75" t="str">
        <f t="shared" ca="1" si="14"/>
        <v>BAD</v>
      </c>
      <c r="I174" s="83">
        <v>43819</v>
      </c>
      <c r="J174" s="84">
        <v>181</v>
      </c>
      <c r="K174" s="74" t="s">
        <v>396</v>
      </c>
      <c r="L174" s="75" t="s">
        <v>53</v>
      </c>
      <c r="M174" s="75" t="s">
        <v>106</v>
      </c>
    </row>
    <row r="175" spans="1:13" x14ac:dyDescent="0.25">
      <c r="A175" s="48">
        <v>1</v>
      </c>
      <c r="B175" s="48"/>
      <c r="C175" s="83">
        <f t="shared" ca="1" si="12"/>
        <v>43819</v>
      </c>
      <c r="D175" s="84">
        <f t="shared" si="13"/>
        <v>192</v>
      </c>
      <c r="E175" s="74" t="str">
        <f t="shared" ca="1" si="11"/>
        <v>HD_122019C192</v>
      </c>
      <c r="F175" s="75" t="str">
        <f ca="1">_xll.xlqName(E175,tda)</f>
        <v>#N/A</v>
      </c>
      <c r="G175" s="75" t="str">
        <f t="shared" ca="1" si="14"/>
        <v>BAD</v>
      </c>
      <c r="I175" s="83">
        <v>43819</v>
      </c>
      <c r="J175" s="84">
        <v>182</v>
      </c>
      <c r="K175" s="74" t="s">
        <v>397</v>
      </c>
      <c r="L175" s="75" t="s">
        <v>53</v>
      </c>
      <c r="M175" s="75" t="s">
        <v>106</v>
      </c>
    </row>
    <row r="176" spans="1:13" x14ac:dyDescent="0.25">
      <c r="A176" s="48">
        <v>1</v>
      </c>
      <c r="B176" s="48"/>
      <c r="C176" s="83">
        <f t="shared" ca="1" si="12"/>
        <v>43819</v>
      </c>
      <c r="D176" s="84">
        <f t="shared" si="13"/>
        <v>193</v>
      </c>
      <c r="E176" s="74" t="str">
        <f t="shared" ca="1" si="11"/>
        <v>HD_122019C193</v>
      </c>
      <c r="F176" s="75" t="str">
        <f ca="1">_xll.xlqName(E176,tda)</f>
        <v>#N/A</v>
      </c>
      <c r="G176" s="75" t="str">
        <f t="shared" ca="1" si="14"/>
        <v>BAD</v>
      </c>
      <c r="I176" s="83">
        <v>43819</v>
      </c>
      <c r="J176" s="84">
        <v>183</v>
      </c>
      <c r="K176" s="74" t="s">
        <v>398</v>
      </c>
      <c r="L176" s="75" t="s">
        <v>53</v>
      </c>
      <c r="M176" s="75" t="s">
        <v>106</v>
      </c>
    </row>
    <row r="177" spans="1:13" x14ac:dyDescent="0.25">
      <c r="A177" s="48">
        <v>1</v>
      </c>
      <c r="B177" s="48"/>
      <c r="C177" s="83">
        <f t="shared" ca="1" si="12"/>
        <v>43819</v>
      </c>
      <c r="D177" s="84">
        <f t="shared" si="13"/>
        <v>194</v>
      </c>
      <c r="E177" s="74" t="str">
        <f t="shared" ca="1" si="11"/>
        <v>HD_122019C194</v>
      </c>
      <c r="F177" s="75" t="str">
        <f ca="1">_xll.xlqName(E177,tda)</f>
        <v>#N/A</v>
      </c>
      <c r="G177" s="75" t="str">
        <f t="shared" ca="1" si="14"/>
        <v>BAD</v>
      </c>
      <c r="I177" s="83">
        <v>43819</v>
      </c>
      <c r="J177" s="84">
        <v>184</v>
      </c>
      <c r="K177" s="74" t="s">
        <v>399</v>
      </c>
      <c r="L177" s="75" t="s">
        <v>53</v>
      </c>
      <c r="M177" s="75" t="s">
        <v>106</v>
      </c>
    </row>
    <row r="178" spans="1:13" x14ac:dyDescent="0.25">
      <c r="A178" s="48">
        <v>1</v>
      </c>
      <c r="B178" s="48"/>
      <c r="C178" s="83">
        <f t="shared" ca="1" si="12"/>
        <v>43819</v>
      </c>
      <c r="D178" s="84">
        <f t="shared" si="13"/>
        <v>195</v>
      </c>
      <c r="E178" s="74" t="str">
        <f t="shared" ca="1" si="11"/>
        <v>HD_122019C195</v>
      </c>
      <c r="F178" s="75" t="str">
        <f ca="1">_xll.xlqName(E178,tda)</f>
        <v>HD Dec 20 2019 195 Call</v>
      </c>
      <c r="G178" s="75" t="str">
        <f t="shared" ca="1" si="14"/>
        <v/>
      </c>
      <c r="I178" s="83">
        <v>43819</v>
      </c>
      <c r="J178" s="84">
        <v>185</v>
      </c>
      <c r="K178" s="74" t="s">
        <v>400</v>
      </c>
      <c r="L178" s="75" t="s">
        <v>401</v>
      </c>
      <c r="M178" s="75" t="s">
        <v>111</v>
      </c>
    </row>
    <row r="179" spans="1:13" x14ac:dyDescent="0.25">
      <c r="A179" s="48">
        <v>0.5</v>
      </c>
      <c r="B179" s="48"/>
      <c r="C179" s="83">
        <f t="shared" ca="1" si="12"/>
        <v>43819</v>
      </c>
      <c r="D179" s="84">
        <f t="shared" si="13"/>
        <v>195.5</v>
      </c>
      <c r="E179" s="74" t="str">
        <f t="shared" ca="1" si="11"/>
        <v>HD_122019C195.5</v>
      </c>
      <c r="F179" s="75" t="str">
        <f ca="1">_xll.xlqName(E179,tda)</f>
        <v>#N/A</v>
      </c>
      <c r="G179" s="75" t="str">
        <f t="shared" ca="1" si="14"/>
        <v>BAD</v>
      </c>
      <c r="I179" s="83">
        <v>43819</v>
      </c>
      <c r="J179" s="84">
        <v>185.5</v>
      </c>
      <c r="K179" s="74" t="s">
        <v>402</v>
      </c>
      <c r="L179" s="75" t="s">
        <v>53</v>
      </c>
      <c r="M179" s="75" t="s">
        <v>106</v>
      </c>
    </row>
    <row r="180" spans="1:13" x14ac:dyDescent="0.25">
      <c r="A180" s="48">
        <v>0.5</v>
      </c>
      <c r="B180" s="48"/>
      <c r="C180" s="83">
        <f t="shared" ca="1" si="12"/>
        <v>43819</v>
      </c>
      <c r="D180" s="84">
        <f t="shared" si="13"/>
        <v>196</v>
      </c>
      <c r="E180" s="74" t="str">
        <f t="shared" ca="1" si="11"/>
        <v>HD_122019C196</v>
      </c>
      <c r="F180" s="75" t="str">
        <f ca="1">_xll.xlqName(E180,tda)</f>
        <v>#N/A</v>
      </c>
      <c r="G180" s="75" t="str">
        <f t="shared" ca="1" si="14"/>
        <v>BAD</v>
      </c>
      <c r="I180" s="83">
        <v>43819</v>
      </c>
      <c r="J180" s="84">
        <v>186</v>
      </c>
      <c r="K180" s="74" t="s">
        <v>403</v>
      </c>
      <c r="L180" s="75" t="s">
        <v>53</v>
      </c>
      <c r="M180" s="75" t="s">
        <v>106</v>
      </c>
    </row>
    <row r="181" spans="1:13" x14ac:dyDescent="0.25">
      <c r="A181" s="48">
        <v>1</v>
      </c>
      <c r="B181" s="48"/>
      <c r="C181" s="83">
        <f t="shared" ca="1" si="12"/>
        <v>43819</v>
      </c>
      <c r="D181" s="84">
        <f t="shared" si="13"/>
        <v>197</v>
      </c>
      <c r="E181" s="74" t="str">
        <f t="shared" ca="1" si="11"/>
        <v>HD_122019C197</v>
      </c>
      <c r="F181" s="75" t="str">
        <f ca="1">_xll.xlqName(E181,tda)</f>
        <v>#N/A</v>
      </c>
      <c r="G181" s="75" t="str">
        <f t="shared" ca="1" si="14"/>
        <v>BAD</v>
      </c>
      <c r="I181" s="83">
        <v>43819</v>
      </c>
      <c r="J181" s="84">
        <v>187</v>
      </c>
      <c r="K181" s="74" t="s">
        <v>404</v>
      </c>
      <c r="L181" s="75" t="s">
        <v>53</v>
      </c>
      <c r="M181" s="75" t="s">
        <v>106</v>
      </c>
    </row>
    <row r="182" spans="1:13" x14ac:dyDescent="0.25">
      <c r="A182" s="48">
        <v>1</v>
      </c>
      <c r="B182" s="48"/>
      <c r="C182" s="83">
        <f t="shared" ca="1" si="12"/>
        <v>43819</v>
      </c>
      <c r="D182" s="84">
        <f t="shared" si="13"/>
        <v>198</v>
      </c>
      <c r="E182" s="74" t="str">
        <f t="shared" ca="1" si="11"/>
        <v>HD_122019C198</v>
      </c>
      <c r="F182" s="75" t="str">
        <f ca="1">_xll.xlqName(E182,tda)</f>
        <v>#N/A</v>
      </c>
      <c r="G182" s="75" t="str">
        <f t="shared" ca="1" si="14"/>
        <v>BAD</v>
      </c>
      <c r="I182" s="83">
        <v>43819</v>
      </c>
      <c r="J182" s="84">
        <v>188</v>
      </c>
      <c r="K182" s="74" t="s">
        <v>405</v>
      </c>
      <c r="L182" s="75" t="s">
        <v>53</v>
      </c>
      <c r="M182" s="75" t="s">
        <v>106</v>
      </c>
    </row>
    <row r="183" spans="1:13" x14ac:dyDescent="0.25">
      <c r="A183" s="48">
        <v>1</v>
      </c>
      <c r="B183" s="48"/>
      <c r="C183" s="83">
        <f t="shared" ca="1" si="12"/>
        <v>43819</v>
      </c>
      <c r="D183" s="84">
        <f t="shared" si="13"/>
        <v>199</v>
      </c>
      <c r="E183" s="74" t="str">
        <f t="shared" ca="1" si="11"/>
        <v>HD_122019C199</v>
      </c>
      <c r="F183" s="75" t="str">
        <f ca="1">_xll.xlqName(E183,tda)</f>
        <v>#N/A</v>
      </c>
      <c r="G183" s="75" t="str">
        <f t="shared" ca="1" si="14"/>
        <v>BAD</v>
      </c>
      <c r="I183" s="83">
        <v>43819</v>
      </c>
      <c r="J183" s="84">
        <v>189</v>
      </c>
      <c r="K183" s="74" t="s">
        <v>406</v>
      </c>
      <c r="L183" s="75" t="s">
        <v>53</v>
      </c>
      <c r="M183" s="75" t="s">
        <v>106</v>
      </c>
    </row>
    <row r="184" spans="1:13" x14ac:dyDescent="0.25">
      <c r="A184" s="48">
        <v>1</v>
      </c>
      <c r="B184" s="48"/>
      <c r="C184" s="83">
        <f t="shared" ca="1" si="12"/>
        <v>43819</v>
      </c>
      <c r="D184" s="84">
        <f t="shared" si="13"/>
        <v>200</v>
      </c>
      <c r="E184" s="74" t="str">
        <f t="shared" ca="1" si="11"/>
        <v>HD_122019C200</v>
      </c>
      <c r="F184" s="75" t="str">
        <f ca="1">_xll.xlqName(E184,tda)</f>
        <v>HD Dec 20 2019 200 Call</v>
      </c>
      <c r="G184" s="75" t="str">
        <f t="shared" ca="1" si="14"/>
        <v/>
      </c>
      <c r="I184" s="83">
        <v>43819</v>
      </c>
      <c r="J184" s="84">
        <v>190</v>
      </c>
      <c r="K184" s="74" t="s">
        <v>407</v>
      </c>
      <c r="L184" s="75" t="s">
        <v>408</v>
      </c>
      <c r="M184" s="75" t="s">
        <v>111</v>
      </c>
    </row>
    <row r="185" spans="1:13" x14ac:dyDescent="0.25">
      <c r="A185" s="48">
        <v>0.5</v>
      </c>
      <c r="B185" s="48"/>
      <c r="C185" s="83">
        <f t="shared" ca="1" si="12"/>
        <v>43819</v>
      </c>
      <c r="D185" s="84">
        <f t="shared" si="13"/>
        <v>200.5</v>
      </c>
      <c r="E185" s="74" t="str">
        <f t="shared" ca="1" si="11"/>
        <v>HD_122019C200.5</v>
      </c>
      <c r="F185" s="75" t="str">
        <f ca="1">_xll.xlqName(E185,tda)</f>
        <v>#N/A</v>
      </c>
      <c r="G185" s="75" t="str">
        <f t="shared" ca="1" si="14"/>
        <v>BAD</v>
      </c>
      <c r="I185" s="83">
        <v>43819</v>
      </c>
      <c r="J185" s="84">
        <v>190.5</v>
      </c>
      <c r="K185" s="74" t="s">
        <v>409</v>
      </c>
      <c r="L185" s="75" t="s">
        <v>53</v>
      </c>
      <c r="M185" s="75" t="s">
        <v>106</v>
      </c>
    </row>
    <row r="186" spans="1:13" x14ac:dyDescent="0.25">
      <c r="A186" s="48">
        <v>0.5</v>
      </c>
      <c r="B186" s="48"/>
      <c r="C186" s="83">
        <f t="shared" ca="1" si="12"/>
        <v>43819</v>
      </c>
      <c r="D186" s="84">
        <f t="shared" si="13"/>
        <v>201</v>
      </c>
      <c r="E186" s="74" t="str">
        <f t="shared" ca="1" si="11"/>
        <v>HD_122019C201</v>
      </c>
      <c r="F186" s="75" t="str">
        <f ca="1">_xll.xlqName(E186,tda)</f>
        <v>#N/A</v>
      </c>
      <c r="G186" s="75" t="str">
        <f t="shared" ca="1" si="14"/>
        <v>BAD</v>
      </c>
      <c r="I186" s="83">
        <v>43819</v>
      </c>
      <c r="J186" s="84">
        <v>191</v>
      </c>
      <c r="K186" s="74" t="s">
        <v>410</v>
      </c>
      <c r="L186" s="75" t="s">
        <v>53</v>
      </c>
      <c r="M186" s="75" t="s">
        <v>106</v>
      </c>
    </row>
    <row r="187" spans="1:13" x14ac:dyDescent="0.25">
      <c r="A187" s="48">
        <v>1</v>
      </c>
      <c r="B187" s="48"/>
      <c r="C187" s="83">
        <f t="shared" ca="1" si="12"/>
        <v>43819</v>
      </c>
      <c r="D187" s="84">
        <f t="shared" si="13"/>
        <v>202</v>
      </c>
      <c r="E187" s="74" t="str">
        <f t="shared" ca="1" si="11"/>
        <v>HD_122019C202</v>
      </c>
      <c r="F187" s="75" t="str">
        <f ca="1">_xll.xlqName(E187,tda)</f>
        <v>#N/A</v>
      </c>
      <c r="G187" s="75" t="str">
        <f t="shared" ca="1" si="14"/>
        <v>BAD</v>
      </c>
      <c r="I187" s="83">
        <v>43819</v>
      </c>
      <c r="J187" s="84">
        <v>192</v>
      </c>
      <c r="K187" s="74" t="s">
        <v>411</v>
      </c>
      <c r="L187" s="75" t="s">
        <v>53</v>
      </c>
      <c r="M187" s="75" t="s">
        <v>106</v>
      </c>
    </row>
    <row r="188" spans="1:13" x14ac:dyDescent="0.25">
      <c r="A188" s="48">
        <v>1</v>
      </c>
      <c r="B188" s="48"/>
      <c r="C188" s="83">
        <f t="shared" ca="1" si="12"/>
        <v>43819</v>
      </c>
      <c r="D188" s="84">
        <f t="shared" si="13"/>
        <v>203</v>
      </c>
      <c r="E188" s="74" t="str">
        <f t="shared" ca="1" si="11"/>
        <v>HD_122019C203</v>
      </c>
      <c r="F188" s="75" t="str">
        <f ca="1">_xll.xlqName(E188,tda)</f>
        <v>#N/A</v>
      </c>
      <c r="G188" s="75" t="str">
        <f t="shared" ca="1" si="14"/>
        <v>BAD</v>
      </c>
      <c r="I188" s="83">
        <v>43819</v>
      </c>
      <c r="J188" s="84">
        <v>193</v>
      </c>
      <c r="K188" s="74" t="s">
        <v>412</v>
      </c>
      <c r="L188" s="75" t="s">
        <v>53</v>
      </c>
      <c r="M188" s="75" t="s">
        <v>106</v>
      </c>
    </row>
    <row r="189" spans="1:13" x14ac:dyDescent="0.25">
      <c r="A189" s="48">
        <v>1</v>
      </c>
      <c r="B189" s="48"/>
      <c r="C189" s="83">
        <f t="shared" ca="1" si="12"/>
        <v>43819</v>
      </c>
      <c r="D189" s="84">
        <f t="shared" si="13"/>
        <v>204</v>
      </c>
      <c r="E189" s="74" t="str">
        <f t="shared" ca="1" si="11"/>
        <v>HD_122019C204</v>
      </c>
      <c r="F189" s="75" t="str">
        <f ca="1">_xll.xlqName(E189,tda)</f>
        <v>#N/A</v>
      </c>
      <c r="G189" s="75" t="str">
        <f t="shared" ca="1" si="14"/>
        <v>BAD</v>
      </c>
      <c r="I189" s="83">
        <v>43819</v>
      </c>
      <c r="J189" s="84">
        <v>194</v>
      </c>
      <c r="K189" s="74" t="s">
        <v>413</v>
      </c>
      <c r="L189" s="75" t="s">
        <v>53</v>
      </c>
      <c r="M189" s="75" t="s">
        <v>106</v>
      </c>
    </row>
    <row r="190" spans="1:13" x14ac:dyDescent="0.25">
      <c r="A190" s="48">
        <v>1</v>
      </c>
      <c r="B190" s="48"/>
      <c r="C190" s="83">
        <f t="shared" ca="1" si="12"/>
        <v>43819</v>
      </c>
      <c r="D190" s="84">
        <f t="shared" si="13"/>
        <v>205</v>
      </c>
      <c r="E190" s="74" t="str">
        <f t="shared" ca="1" si="11"/>
        <v>HD_122019C205</v>
      </c>
      <c r="F190" s="75" t="str">
        <f ca="1">_xll.xlqName(E190,tda)</f>
        <v>HD Dec 20 2019 205 Call</v>
      </c>
      <c r="G190" s="75" t="str">
        <f t="shared" ca="1" si="14"/>
        <v/>
      </c>
      <c r="I190" s="83">
        <v>43819</v>
      </c>
      <c r="J190" s="84">
        <v>195</v>
      </c>
      <c r="K190" s="74" t="s">
        <v>414</v>
      </c>
      <c r="L190" s="75" t="s">
        <v>415</v>
      </c>
      <c r="M190" s="75" t="s">
        <v>111</v>
      </c>
    </row>
    <row r="191" spans="1:13" x14ac:dyDescent="0.25">
      <c r="A191" s="48">
        <v>0.5</v>
      </c>
      <c r="B191" s="48"/>
      <c r="C191" s="83">
        <f t="shared" ca="1" si="12"/>
        <v>43819</v>
      </c>
      <c r="D191" s="84">
        <f t="shared" si="13"/>
        <v>205.5</v>
      </c>
      <c r="E191" s="74" t="str">
        <f t="shared" ca="1" si="11"/>
        <v>HD_122019C205.5</v>
      </c>
      <c r="F191" s="75" t="str">
        <f ca="1">_xll.xlqName(E191,tda)</f>
        <v>#N/A</v>
      </c>
      <c r="G191" s="75" t="str">
        <f t="shared" ca="1" si="14"/>
        <v>BAD</v>
      </c>
      <c r="I191" s="83">
        <v>43819</v>
      </c>
      <c r="J191" s="84">
        <v>195.5</v>
      </c>
      <c r="K191" s="74" t="s">
        <v>416</v>
      </c>
      <c r="L191" s="75" t="s">
        <v>53</v>
      </c>
      <c r="M191" s="75" t="s">
        <v>106</v>
      </c>
    </row>
    <row r="192" spans="1:13" x14ac:dyDescent="0.25">
      <c r="A192" s="48">
        <v>0.5</v>
      </c>
      <c r="B192" s="48"/>
      <c r="C192" s="83">
        <f t="shared" ca="1" si="12"/>
        <v>43819</v>
      </c>
      <c r="D192" s="84">
        <f t="shared" si="13"/>
        <v>206</v>
      </c>
      <c r="E192" s="74" t="str">
        <f t="shared" ca="1" si="11"/>
        <v>HD_122019C206</v>
      </c>
      <c r="F192" s="75" t="str">
        <f ca="1">_xll.xlqName(E192,tda)</f>
        <v>#N/A</v>
      </c>
      <c r="G192" s="75" t="str">
        <f t="shared" ca="1" si="14"/>
        <v>BAD</v>
      </c>
      <c r="I192" s="83">
        <v>43819</v>
      </c>
      <c r="J192" s="84">
        <v>196</v>
      </c>
      <c r="K192" s="74" t="s">
        <v>417</v>
      </c>
      <c r="L192" s="75" t="s">
        <v>53</v>
      </c>
      <c r="M192" s="75" t="s">
        <v>106</v>
      </c>
    </row>
    <row r="193" spans="1:13" x14ac:dyDescent="0.25">
      <c r="A193" s="48">
        <v>1</v>
      </c>
      <c r="B193" s="48"/>
      <c r="C193" s="83">
        <f t="shared" ca="1" si="12"/>
        <v>43819</v>
      </c>
      <c r="D193" s="84">
        <f t="shared" si="13"/>
        <v>207</v>
      </c>
      <c r="E193" s="74" t="str">
        <f t="shared" ca="1" si="11"/>
        <v>HD_122019C207</v>
      </c>
      <c r="F193" s="75" t="str">
        <f ca="1">_xll.xlqName(E193,tda)</f>
        <v>#N/A</v>
      </c>
      <c r="G193" s="75" t="str">
        <f t="shared" ca="1" si="14"/>
        <v>BAD</v>
      </c>
      <c r="I193" s="83">
        <v>43819</v>
      </c>
      <c r="J193" s="84">
        <v>197</v>
      </c>
      <c r="K193" s="74" t="s">
        <v>418</v>
      </c>
      <c r="L193" s="75" t="s">
        <v>53</v>
      </c>
      <c r="M193" s="75" t="s">
        <v>106</v>
      </c>
    </row>
    <row r="194" spans="1:13" x14ac:dyDescent="0.25">
      <c r="A194" s="48">
        <v>1</v>
      </c>
      <c r="B194" s="48"/>
      <c r="C194" s="83">
        <f t="shared" ca="1" si="12"/>
        <v>43819</v>
      </c>
      <c r="D194" s="84">
        <f t="shared" si="13"/>
        <v>208</v>
      </c>
      <c r="E194" s="74" t="str">
        <f t="shared" ref="E194:E257" ca="1" si="15">CONCATENATE($Q$2,"_",TEXT(MONTH(C194),"00"),TEXT(DAY(C194),"00"),TEXT(MOD(YEAR(C194),100),"00"),$Q$3,D194&amp;"")</f>
        <v>HD_122019C208</v>
      </c>
      <c r="F194" s="75" t="str">
        <f ca="1">_xll.xlqName(E194,tda)</f>
        <v>#N/A</v>
      </c>
      <c r="G194" s="75" t="str">
        <f t="shared" ca="1" si="14"/>
        <v>BAD</v>
      </c>
      <c r="I194" s="83">
        <v>43819</v>
      </c>
      <c r="J194" s="84">
        <v>198</v>
      </c>
      <c r="K194" s="74" t="s">
        <v>419</v>
      </c>
      <c r="L194" s="75" t="s">
        <v>53</v>
      </c>
      <c r="M194" s="75" t="s">
        <v>106</v>
      </c>
    </row>
    <row r="195" spans="1:13" x14ac:dyDescent="0.25">
      <c r="A195" s="48">
        <v>1</v>
      </c>
      <c r="B195" s="48"/>
      <c r="C195" s="83">
        <f t="shared" ref="C195:C258" ca="1" si="16">IF(D195&gt;D194,C194,INDEX($O$14:$O$50,VLOOKUP(C194,$O$14:$P$50,2)+1))</f>
        <v>43819</v>
      </c>
      <c r="D195" s="84">
        <f t="shared" ref="D195:D258" si="17">IF(D194+A195&lt;=$Q$8,D194+A195,$Q$6)</f>
        <v>209</v>
      </c>
      <c r="E195" s="74" t="str">
        <f t="shared" ca="1" si="15"/>
        <v>HD_122019C209</v>
      </c>
      <c r="F195" s="75" t="str">
        <f ca="1">_xll.xlqName(E195,tda)</f>
        <v>#N/A</v>
      </c>
      <c r="G195" s="75" t="str">
        <f t="shared" ref="G195:G258" ca="1" si="18">IF(AND(ISTEXT(F195),(F195&lt;&gt;"#N/A"),(F195&lt;&gt;"Busy...")),"","BAD")</f>
        <v>BAD</v>
      </c>
      <c r="I195" s="83">
        <v>43819</v>
      </c>
      <c r="J195" s="84">
        <v>199</v>
      </c>
      <c r="K195" s="74" t="s">
        <v>420</v>
      </c>
      <c r="L195" s="75" t="s">
        <v>53</v>
      </c>
      <c r="M195" s="75" t="s">
        <v>106</v>
      </c>
    </row>
    <row r="196" spans="1:13" x14ac:dyDescent="0.25">
      <c r="A196" s="48">
        <v>1</v>
      </c>
      <c r="B196" s="48"/>
      <c r="C196" s="83">
        <f t="shared" ca="1" si="16"/>
        <v>43819</v>
      </c>
      <c r="D196" s="84">
        <f t="shared" si="17"/>
        <v>210</v>
      </c>
      <c r="E196" s="74" t="str">
        <f t="shared" ca="1" si="15"/>
        <v>HD_122019C210</v>
      </c>
      <c r="F196" s="75" t="str">
        <f ca="1">_xll.xlqName(E196,tda)</f>
        <v>HD Dec 20 2019 210 Call</v>
      </c>
      <c r="G196" s="75" t="str">
        <f t="shared" ca="1" si="18"/>
        <v/>
      </c>
      <c r="I196" s="83">
        <v>43819</v>
      </c>
      <c r="J196" s="84">
        <v>200</v>
      </c>
      <c r="K196" s="74" t="s">
        <v>421</v>
      </c>
      <c r="L196" s="75" t="s">
        <v>422</v>
      </c>
      <c r="M196" s="75" t="s">
        <v>111</v>
      </c>
    </row>
    <row r="197" spans="1:13" x14ac:dyDescent="0.25">
      <c r="A197" s="48">
        <v>0.5</v>
      </c>
      <c r="B197" s="48"/>
      <c r="C197" s="83">
        <f t="shared" ca="1" si="16"/>
        <v>43819</v>
      </c>
      <c r="D197" s="84">
        <f t="shared" si="17"/>
        <v>210.5</v>
      </c>
      <c r="E197" s="74" t="str">
        <f t="shared" ca="1" si="15"/>
        <v>HD_122019C210.5</v>
      </c>
      <c r="F197" s="75" t="str">
        <f ca="1">_xll.xlqName(E197,tda)</f>
        <v>#N/A</v>
      </c>
      <c r="G197" s="75" t="str">
        <f t="shared" ca="1" si="18"/>
        <v>BAD</v>
      </c>
      <c r="I197" s="83">
        <v>43819</v>
      </c>
      <c r="J197" s="84">
        <v>200.5</v>
      </c>
      <c r="K197" s="74" t="s">
        <v>423</v>
      </c>
      <c r="L197" s="75" t="s">
        <v>53</v>
      </c>
      <c r="M197" s="75" t="s">
        <v>106</v>
      </c>
    </row>
    <row r="198" spans="1:13" x14ac:dyDescent="0.25">
      <c r="A198" s="48">
        <v>0.5</v>
      </c>
      <c r="B198" s="48"/>
      <c r="C198" s="83">
        <f t="shared" ca="1" si="16"/>
        <v>43819</v>
      </c>
      <c r="D198" s="84">
        <f t="shared" si="17"/>
        <v>211</v>
      </c>
      <c r="E198" s="74" t="str">
        <f t="shared" ca="1" si="15"/>
        <v>HD_122019C211</v>
      </c>
      <c r="F198" s="75" t="str">
        <f ca="1">_xll.xlqName(E198,tda)</f>
        <v>#N/A</v>
      </c>
      <c r="G198" s="75" t="str">
        <f t="shared" ca="1" si="18"/>
        <v>BAD</v>
      </c>
      <c r="I198" s="83">
        <v>43819</v>
      </c>
      <c r="J198" s="84">
        <v>201</v>
      </c>
      <c r="K198" s="74" t="s">
        <v>424</v>
      </c>
      <c r="L198" s="75" t="s">
        <v>53</v>
      </c>
      <c r="M198" s="75" t="s">
        <v>106</v>
      </c>
    </row>
    <row r="199" spans="1:13" x14ac:dyDescent="0.25">
      <c r="A199" s="48">
        <v>1</v>
      </c>
      <c r="B199" s="48"/>
      <c r="C199" s="83">
        <f t="shared" ca="1" si="16"/>
        <v>43819</v>
      </c>
      <c r="D199" s="84">
        <f t="shared" si="17"/>
        <v>212</v>
      </c>
      <c r="E199" s="74" t="str">
        <f t="shared" ca="1" si="15"/>
        <v>HD_122019C212</v>
      </c>
      <c r="F199" s="75" t="str">
        <f ca="1">_xll.xlqName(E199,tda)</f>
        <v>#N/A</v>
      </c>
      <c r="G199" s="75" t="str">
        <f t="shared" ca="1" si="18"/>
        <v>BAD</v>
      </c>
      <c r="I199" s="83">
        <v>43819</v>
      </c>
      <c r="J199" s="84">
        <v>202</v>
      </c>
      <c r="K199" s="74" t="s">
        <v>425</v>
      </c>
      <c r="L199" s="75" t="s">
        <v>53</v>
      </c>
      <c r="M199" s="75" t="s">
        <v>106</v>
      </c>
    </row>
    <row r="200" spans="1:13" x14ac:dyDescent="0.25">
      <c r="A200" s="48">
        <v>1</v>
      </c>
      <c r="B200" s="48"/>
      <c r="C200" s="83">
        <f t="shared" ca="1" si="16"/>
        <v>43819</v>
      </c>
      <c r="D200" s="84">
        <f t="shared" si="17"/>
        <v>213</v>
      </c>
      <c r="E200" s="74" t="str">
        <f t="shared" ca="1" si="15"/>
        <v>HD_122019C213</v>
      </c>
      <c r="F200" s="75" t="str">
        <f ca="1">_xll.xlqName(E200,tda)</f>
        <v>#N/A</v>
      </c>
      <c r="G200" s="75" t="str">
        <f t="shared" ca="1" si="18"/>
        <v>BAD</v>
      </c>
      <c r="I200" s="83">
        <v>43819</v>
      </c>
      <c r="J200" s="84">
        <v>203</v>
      </c>
      <c r="K200" s="74" t="s">
        <v>426</v>
      </c>
      <c r="L200" s="75" t="s">
        <v>53</v>
      </c>
      <c r="M200" s="75" t="s">
        <v>106</v>
      </c>
    </row>
    <row r="201" spans="1:13" x14ac:dyDescent="0.25">
      <c r="A201" s="48">
        <v>1</v>
      </c>
      <c r="B201" s="48"/>
      <c r="C201" s="83">
        <f t="shared" ca="1" si="16"/>
        <v>43819</v>
      </c>
      <c r="D201" s="84">
        <f t="shared" si="17"/>
        <v>214</v>
      </c>
      <c r="E201" s="74" t="str">
        <f t="shared" ca="1" si="15"/>
        <v>HD_122019C214</v>
      </c>
      <c r="F201" s="75" t="str">
        <f ca="1">_xll.xlqName(E201,tda)</f>
        <v>#N/A</v>
      </c>
      <c r="G201" s="75" t="str">
        <f t="shared" ca="1" si="18"/>
        <v>BAD</v>
      </c>
      <c r="I201" s="83">
        <v>43819</v>
      </c>
      <c r="J201" s="84">
        <v>204</v>
      </c>
      <c r="K201" s="74" t="s">
        <v>427</v>
      </c>
      <c r="L201" s="75" t="s">
        <v>53</v>
      </c>
      <c r="M201" s="75" t="s">
        <v>106</v>
      </c>
    </row>
    <row r="202" spans="1:13" x14ac:dyDescent="0.25">
      <c r="A202" s="48">
        <v>1</v>
      </c>
      <c r="B202" s="48"/>
      <c r="C202" s="83">
        <f t="shared" ca="1" si="16"/>
        <v>43819</v>
      </c>
      <c r="D202" s="84">
        <f t="shared" si="17"/>
        <v>215</v>
      </c>
      <c r="E202" s="74" t="str">
        <f t="shared" ca="1" si="15"/>
        <v>HD_122019C215</v>
      </c>
      <c r="F202" s="75" t="str">
        <f ca="1">_xll.xlqName(E202,tda)</f>
        <v>HD Dec 20 2019 215 Call</v>
      </c>
      <c r="G202" s="75" t="str">
        <f t="shared" ca="1" si="18"/>
        <v/>
      </c>
      <c r="I202" s="83">
        <v>43819</v>
      </c>
      <c r="J202" s="84">
        <v>205</v>
      </c>
      <c r="K202" s="74" t="s">
        <v>428</v>
      </c>
      <c r="L202" s="75" t="s">
        <v>429</v>
      </c>
      <c r="M202" s="75" t="s">
        <v>111</v>
      </c>
    </row>
    <row r="203" spans="1:13" x14ac:dyDescent="0.25">
      <c r="A203" s="48">
        <v>0.5</v>
      </c>
      <c r="B203" s="48"/>
      <c r="C203" s="83">
        <f t="shared" ca="1" si="16"/>
        <v>43819</v>
      </c>
      <c r="D203" s="84">
        <f t="shared" si="17"/>
        <v>215.5</v>
      </c>
      <c r="E203" s="74" t="str">
        <f t="shared" ca="1" si="15"/>
        <v>HD_122019C215.5</v>
      </c>
      <c r="F203" s="75" t="str">
        <f ca="1">_xll.xlqName(E203,tda)</f>
        <v>#N/A</v>
      </c>
      <c r="G203" s="75" t="str">
        <f t="shared" ca="1" si="18"/>
        <v>BAD</v>
      </c>
      <c r="I203" s="83">
        <v>43819</v>
      </c>
      <c r="J203" s="84">
        <v>205.5</v>
      </c>
      <c r="K203" s="74" t="s">
        <v>430</v>
      </c>
      <c r="L203" s="75" t="s">
        <v>53</v>
      </c>
      <c r="M203" s="75" t="s">
        <v>106</v>
      </c>
    </row>
    <row r="204" spans="1:13" x14ac:dyDescent="0.25">
      <c r="A204" s="48">
        <v>0.5</v>
      </c>
      <c r="B204" s="48"/>
      <c r="C204" s="83">
        <f t="shared" ca="1" si="16"/>
        <v>43819</v>
      </c>
      <c r="D204" s="84">
        <f t="shared" si="17"/>
        <v>216</v>
      </c>
      <c r="E204" s="74" t="str">
        <f t="shared" ca="1" si="15"/>
        <v>HD_122019C216</v>
      </c>
      <c r="F204" s="75" t="str">
        <f ca="1">_xll.xlqName(E204,tda)</f>
        <v>#N/A</v>
      </c>
      <c r="G204" s="75" t="str">
        <f t="shared" ca="1" si="18"/>
        <v>BAD</v>
      </c>
      <c r="I204" s="83">
        <v>43819</v>
      </c>
      <c r="J204" s="84">
        <v>206</v>
      </c>
      <c r="K204" s="74" t="s">
        <v>431</v>
      </c>
      <c r="L204" s="75" t="s">
        <v>53</v>
      </c>
      <c r="M204" s="75" t="s">
        <v>106</v>
      </c>
    </row>
    <row r="205" spans="1:13" x14ac:dyDescent="0.25">
      <c r="A205" s="48">
        <v>1</v>
      </c>
      <c r="B205" s="48"/>
      <c r="C205" s="83">
        <f t="shared" ca="1" si="16"/>
        <v>43819</v>
      </c>
      <c r="D205" s="84">
        <f t="shared" si="17"/>
        <v>217</v>
      </c>
      <c r="E205" s="74" t="str">
        <f t="shared" ca="1" si="15"/>
        <v>HD_122019C217</v>
      </c>
      <c r="F205" s="75" t="str">
        <f ca="1">_xll.xlqName(E205,tda)</f>
        <v>#N/A</v>
      </c>
      <c r="G205" s="75" t="str">
        <f t="shared" ca="1" si="18"/>
        <v>BAD</v>
      </c>
      <c r="I205" s="83">
        <v>43819</v>
      </c>
      <c r="J205" s="84">
        <v>207</v>
      </c>
      <c r="K205" s="74" t="s">
        <v>432</v>
      </c>
      <c r="L205" s="75" t="s">
        <v>53</v>
      </c>
      <c r="M205" s="75" t="s">
        <v>106</v>
      </c>
    </row>
    <row r="206" spans="1:13" x14ac:dyDescent="0.25">
      <c r="A206" s="48">
        <v>1</v>
      </c>
      <c r="B206" s="48"/>
      <c r="C206" s="83">
        <f t="shared" ca="1" si="16"/>
        <v>43819</v>
      </c>
      <c r="D206" s="84">
        <f t="shared" si="17"/>
        <v>218</v>
      </c>
      <c r="E206" s="74" t="str">
        <f t="shared" ca="1" si="15"/>
        <v>HD_122019C218</v>
      </c>
      <c r="F206" s="75" t="str">
        <f ca="1">_xll.xlqName(E206,tda)</f>
        <v>#N/A</v>
      </c>
      <c r="G206" s="75" t="str">
        <f t="shared" ca="1" si="18"/>
        <v>BAD</v>
      </c>
      <c r="I206" s="83">
        <v>43819</v>
      </c>
      <c r="J206" s="84">
        <v>208</v>
      </c>
      <c r="K206" s="74" t="s">
        <v>433</v>
      </c>
      <c r="L206" s="75" t="s">
        <v>53</v>
      </c>
      <c r="M206" s="75" t="s">
        <v>106</v>
      </c>
    </row>
    <row r="207" spans="1:13" x14ac:dyDescent="0.25">
      <c r="A207" s="48">
        <v>1</v>
      </c>
      <c r="B207" s="48"/>
      <c r="C207" s="83">
        <f t="shared" ca="1" si="16"/>
        <v>43819</v>
      </c>
      <c r="D207" s="84">
        <f t="shared" si="17"/>
        <v>219</v>
      </c>
      <c r="E207" s="74" t="str">
        <f t="shared" ca="1" si="15"/>
        <v>HD_122019C219</v>
      </c>
      <c r="F207" s="75" t="str">
        <f ca="1">_xll.xlqName(E207,tda)</f>
        <v>#N/A</v>
      </c>
      <c r="G207" s="75" t="str">
        <f t="shared" ca="1" si="18"/>
        <v>BAD</v>
      </c>
      <c r="I207" s="83">
        <v>43819</v>
      </c>
      <c r="J207" s="84">
        <v>209</v>
      </c>
      <c r="K207" s="74" t="s">
        <v>434</v>
      </c>
      <c r="L207" s="75" t="s">
        <v>53</v>
      </c>
      <c r="M207" s="75" t="s">
        <v>106</v>
      </c>
    </row>
    <row r="208" spans="1:13" x14ac:dyDescent="0.25">
      <c r="A208" s="48">
        <v>1</v>
      </c>
      <c r="B208" s="48"/>
      <c r="C208" s="83">
        <f t="shared" ca="1" si="16"/>
        <v>43819</v>
      </c>
      <c r="D208" s="84">
        <f t="shared" si="17"/>
        <v>220</v>
      </c>
      <c r="E208" s="74" t="str">
        <f t="shared" ca="1" si="15"/>
        <v>HD_122019C220</v>
      </c>
      <c r="F208" s="75" t="str">
        <f ca="1">_xll.xlqName(E208,tda)</f>
        <v>HD Dec 20 2019 220 Call</v>
      </c>
      <c r="G208" s="75" t="str">
        <f t="shared" ca="1" si="18"/>
        <v/>
      </c>
      <c r="I208" s="83">
        <v>43819</v>
      </c>
      <c r="J208" s="84">
        <v>210</v>
      </c>
      <c r="K208" s="74" t="s">
        <v>435</v>
      </c>
      <c r="L208" s="75" t="s">
        <v>436</v>
      </c>
      <c r="M208" s="75" t="s">
        <v>111</v>
      </c>
    </row>
    <row r="209" spans="1:13" x14ac:dyDescent="0.25">
      <c r="A209" s="48">
        <v>0.5</v>
      </c>
      <c r="B209" s="48"/>
      <c r="C209" s="83">
        <f t="shared" ca="1" si="16"/>
        <v>43819</v>
      </c>
      <c r="D209" s="84">
        <f t="shared" si="17"/>
        <v>220.5</v>
      </c>
      <c r="E209" s="74" t="str">
        <f t="shared" ca="1" si="15"/>
        <v>HD_122019C220.5</v>
      </c>
      <c r="F209" s="75" t="str">
        <f ca="1">_xll.xlqName(E209,tda)</f>
        <v>#N/A</v>
      </c>
      <c r="G209" s="75" t="str">
        <f t="shared" ca="1" si="18"/>
        <v>BAD</v>
      </c>
      <c r="I209" s="83">
        <v>43819</v>
      </c>
      <c r="J209" s="84">
        <v>210.5</v>
      </c>
      <c r="K209" s="74" t="s">
        <v>437</v>
      </c>
      <c r="L209" s="75" t="s">
        <v>53</v>
      </c>
      <c r="M209" s="75" t="s">
        <v>106</v>
      </c>
    </row>
    <row r="210" spans="1:13" x14ac:dyDescent="0.25">
      <c r="A210" s="48">
        <v>0.5</v>
      </c>
      <c r="B210" s="48"/>
      <c r="C210" s="83">
        <f t="shared" ca="1" si="16"/>
        <v>43819</v>
      </c>
      <c r="D210" s="84">
        <f t="shared" si="17"/>
        <v>221</v>
      </c>
      <c r="E210" s="74" t="str">
        <f t="shared" ca="1" si="15"/>
        <v>HD_122019C221</v>
      </c>
      <c r="F210" s="75" t="str">
        <f ca="1">_xll.xlqName(E210,tda)</f>
        <v>#N/A</v>
      </c>
      <c r="G210" s="75" t="str">
        <f t="shared" ca="1" si="18"/>
        <v>BAD</v>
      </c>
      <c r="I210" s="83">
        <v>43819</v>
      </c>
      <c r="J210" s="84">
        <v>211</v>
      </c>
      <c r="K210" s="74" t="s">
        <v>438</v>
      </c>
      <c r="L210" s="75" t="s">
        <v>53</v>
      </c>
      <c r="M210" s="75" t="s">
        <v>106</v>
      </c>
    </row>
    <row r="211" spans="1:13" x14ac:dyDescent="0.25">
      <c r="A211" s="48">
        <v>1</v>
      </c>
      <c r="B211" s="48"/>
      <c r="C211" s="83">
        <f t="shared" ca="1" si="16"/>
        <v>43819</v>
      </c>
      <c r="D211" s="84">
        <f t="shared" si="17"/>
        <v>222</v>
      </c>
      <c r="E211" s="74" t="str">
        <f t="shared" ca="1" si="15"/>
        <v>HD_122019C222</v>
      </c>
      <c r="F211" s="75" t="str">
        <f ca="1">_xll.xlqName(E211,tda)</f>
        <v>#N/A</v>
      </c>
      <c r="G211" s="75" t="str">
        <f t="shared" ca="1" si="18"/>
        <v>BAD</v>
      </c>
      <c r="I211" s="83">
        <v>43819</v>
      </c>
      <c r="J211" s="84">
        <v>212</v>
      </c>
      <c r="K211" s="74" t="s">
        <v>439</v>
      </c>
      <c r="L211" s="75" t="s">
        <v>53</v>
      </c>
      <c r="M211" s="75" t="s">
        <v>106</v>
      </c>
    </row>
    <row r="212" spans="1:13" x14ac:dyDescent="0.25">
      <c r="A212" s="48">
        <v>1</v>
      </c>
      <c r="B212" s="48"/>
      <c r="C212" s="83">
        <f t="shared" ca="1" si="16"/>
        <v>43819</v>
      </c>
      <c r="D212" s="84">
        <f t="shared" si="17"/>
        <v>223</v>
      </c>
      <c r="E212" s="74" t="str">
        <f t="shared" ca="1" si="15"/>
        <v>HD_122019C223</v>
      </c>
      <c r="F212" s="75" t="str">
        <f ca="1">_xll.xlqName(E212,tda)</f>
        <v>#N/A</v>
      </c>
      <c r="G212" s="75" t="str">
        <f t="shared" ca="1" si="18"/>
        <v>BAD</v>
      </c>
      <c r="I212" s="83">
        <v>43819</v>
      </c>
      <c r="J212" s="84">
        <v>213</v>
      </c>
      <c r="K212" s="74" t="s">
        <v>440</v>
      </c>
      <c r="L212" s="75" t="s">
        <v>53</v>
      </c>
      <c r="M212" s="75" t="s">
        <v>106</v>
      </c>
    </row>
    <row r="213" spans="1:13" x14ac:dyDescent="0.25">
      <c r="A213" s="48">
        <v>1</v>
      </c>
      <c r="B213" s="48"/>
      <c r="C213" s="83">
        <f t="shared" ca="1" si="16"/>
        <v>43819</v>
      </c>
      <c r="D213" s="84">
        <f t="shared" si="17"/>
        <v>224</v>
      </c>
      <c r="E213" s="74" t="str">
        <f t="shared" ca="1" si="15"/>
        <v>HD_122019C224</v>
      </c>
      <c r="F213" s="75" t="str">
        <f ca="1">_xll.xlqName(E213,tda)</f>
        <v>#N/A</v>
      </c>
      <c r="G213" s="75" t="str">
        <f t="shared" ca="1" si="18"/>
        <v>BAD</v>
      </c>
      <c r="I213" s="83">
        <v>43819</v>
      </c>
      <c r="J213" s="84">
        <v>214</v>
      </c>
      <c r="K213" s="74" t="s">
        <v>441</v>
      </c>
      <c r="L213" s="75" t="s">
        <v>53</v>
      </c>
      <c r="M213" s="75" t="s">
        <v>106</v>
      </c>
    </row>
    <row r="214" spans="1:13" x14ac:dyDescent="0.25">
      <c r="A214" s="48">
        <v>1</v>
      </c>
      <c r="B214" s="48"/>
      <c r="C214" s="83">
        <f t="shared" ca="1" si="16"/>
        <v>43819</v>
      </c>
      <c r="D214" s="84">
        <f t="shared" si="17"/>
        <v>225</v>
      </c>
      <c r="E214" s="74" t="str">
        <f t="shared" ca="1" si="15"/>
        <v>HD_122019C225</v>
      </c>
      <c r="F214" s="75" t="str">
        <f ca="1">_xll.xlqName(E214,tda)</f>
        <v>HD Dec 20 2019 225 Call</v>
      </c>
      <c r="G214" s="75" t="str">
        <f t="shared" ca="1" si="18"/>
        <v/>
      </c>
      <c r="I214" s="83">
        <v>43819</v>
      </c>
      <c r="J214" s="84">
        <v>215</v>
      </c>
      <c r="K214" s="74" t="s">
        <v>442</v>
      </c>
      <c r="L214" s="75" t="s">
        <v>443</v>
      </c>
      <c r="M214" s="75" t="s">
        <v>111</v>
      </c>
    </row>
    <row r="215" spans="1:13" x14ac:dyDescent="0.25">
      <c r="A215" s="48">
        <v>0.5</v>
      </c>
      <c r="B215" s="48"/>
      <c r="C215" s="83">
        <f t="shared" ca="1" si="16"/>
        <v>43819</v>
      </c>
      <c r="D215" s="84">
        <f t="shared" si="17"/>
        <v>225.5</v>
      </c>
      <c r="E215" s="74" t="str">
        <f t="shared" ca="1" si="15"/>
        <v>HD_122019C225.5</v>
      </c>
      <c r="F215" s="75" t="str">
        <f ca="1">_xll.xlqName(E215,tda)</f>
        <v>#N/A</v>
      </c>
      <c r="G215" s="75" t="str">
        <f t="shared" ca="1" si="18"/>
        <v>BAD</v>
      </c>
      <c r="I215" s="83">
        <v>43819</v>
      </c>
      <c r="J215" s="84">
        <v>215.5</v>
      </c>
      <c r="K215" s="74" t="s">
        <v>444</v>
      </c>
      <c r="L215" s="75" t="s">
        <v>53</v>
      </c>
      <c r="M215" s="75" t="s">
        <v>106</v>
      </c>
    </row>
    <row r="216" spans="1:13" x14ac:dyDescent="0.25">
      <c r="A216" s="48">
        <v>0.5</v>
      </c>
      <c r="B216" s="48"/>
      <c r="C216" s="83">
        <f t="shared" ca="1" si="16"/>
        <v>43819</v>
      </c>
      <c r="D216" s="84">
        <f t="shared" si="17"/>
        <v>226</v>
      </c>
      <c r="E216" s="74" t="str">
        <f t="shared" ca="1" si="15"/>
        <v>HD_122019C226</v>
      </c>
      <c r="F216" s="75" t="str">
        <f ca="1">_xll.xlqName(E216,tda)</f>
        <v>#N/A</v>
      </c>
      <c r="G216" s="75" t="str">
        <f t="shared" ca="1" si="18"/>
        <v>BAD</v>
      </c>
      <c r="I216" s="83">
        <v>43819</v>
      </c>
      <c r="J216" s="84">
        <v>216</v>
      </c>
      <c r="K216" s="74" t="s">
        <v>445</v>
      </c>
      <c r="L216" s="75" t="s">
        <v>53</v>
      </c>
      <c r="M216" s="75" t="s">
        <v>106</v>
      </c>
    </row>
    <row r="217" spans="1:13" x14ac:dyDescent="0.25">
      <c r="A217" s="48">
        <v>1</v>
      </c>
      <c r="B217" s="48"/>
      <c r="C217" s="83">
        <f t="shared" ca="1" si="16"/>
        <v>43819</v>
      </c>
      <c r="D217" s="84">
        <f t="shared" si="17"/>
        <v>227</v>
      </c>
      <c r="E217" s="74" t="str">
        <f t="shared" ca="1" si="15"/>
        <v>HD_122019C227</v>
      </c>
      <c r="F217" s="75" t="str">
        <f ca="1">_xll.xlqName(E217,tda)</f>
        <v>#N/A</v>
      </c>
      <c r="G217" s="75" t="str">
        <f t="shared" ca="1" si="18"/>
        <v>BAD</v>
      </c>
      <c r="I217" s="83">
        <v>43819</v>
      </c>
      <c r="J217" s="84">
        <v>217</v>
      </c>
      <c r="K217" s="74" t="s">
        <v>446</v>
      </c>
      <c r="L217" s="75" t="s">
        <v>53</v>
      </c>
      <c r="M217" s="75" t="s">
        <v>106</v>
      </c>
    </row>
    <row r="218" spans="1:13" x14ac:dyDescent="0.25">
      <c r="A218" s="48">
        <v>1</v>
      </c>
      <c r="B218" s="48"/>
      <c r="C218" s="83">
        <f t="shared" ca="1" si="16"/>
        <v>43819</v>
      </c>
      <c r="D218" s="84">
        <f t="shared" si="17"/>
        <v>228</v>
      </c>
      <c r="E218" s="74" t="str">
        <f t="shared" ca="1" si="15"/>
        <v>HD_122019C228</v>
      </c>
      <c r="F218" s="75" t="str">
        <f ca="1">_xll.xlqName(E218,tda)</f>
        <v>#N/A</v>
      </c>
      <c r="G218" s="75" t="str">
        <f t="shared" ca="1" si="18"/>
        <v>BAD</v>
      </c>
      <c r="I218" s="83">
        <v>43819</v>
      </c>
      <c r="J218" s="84">
        <v>218</v>
      </c>
      <c r="K218" s="74" t="s">
        <v>447</v>
      </c>
      <c r="L218" s="75" t="s">
        <v>53</v>
      </c>
      <c r="M218" s="75" t="s">
        <v>106</v>
      </c>
    </row>
    <row r="219" spans="1:13" x14ac:dyDescent="0.25">
      <c r="A219" s="48">
        <v>1</v>
      </c>
      <c r="B219" s="48"/>
      <c r="C219" s="83">
        <f t="shared" ca="1" si="16"/>
        <v>43819</v>
      </c>
      <c r="D219" s="84">
        <f t="shared" si="17"/>
        <v>229</v>
      </c>
      <c r="E219" s="74" t="str">
        <f t="shared" ca="1" si="15"/>
        <v>HD_122019C229</v>
      </c>
      <c r="F219" s="75" t="str">
        <f ca="1">_xll.xlqName(E219,tda)</f>
        <v>#N/A</v>
      </c>
      <c r="G219" s="75" t="str">
        <f t="shared" ca="1" si="18"/>
        <v>BAD</v>
      </c>
      <c r="I219" s="83">
        <v>43819</v>
      </c>
      <c r="J219" s="84">
        <v>219</v>
      </c>
      <c r="K219" s="74" t="s">
        <v>448</v>
      </c>
      <c r="L219" s="75" t="s">
        <v>53</v>
      </c>
      <c r="M219" s="75" t="s">
        <v>106</v>
      </c>
    </row>
    <row r="220" spans="1:13" x14ac:dyDescent="0.25">
      <c r="A220" s="48">
        <v>1</v>
      </c>
      <c r="B220" s="48"/>
      <c r="C220" s="83">
        <f t="shared" ca="1" si="16"/>
        <v>43819</v>
      </c>
      <c r="D220" s="84">
        <f t="shared" si="17"/>
        <v>230</v>
      </c>
      <c r="E220" s="74" t="str">
        <f t="shared" ca="1" si="15"/>
        <v>HD_122019C230</v>
      </c>
      <c r="F220" s="75" t="str">
        <f ca="1">_xll.xlqName(E220,tda)</f>
        <v>HD Dec 20 2019 230 Call</v>
      </c>
      <c r="G220" s="75" t="str">
        <f t="shared" ca="1" si="18"/>
        <v/>
      </c>
      <c r="I220" s="83">
        <v>43819</v>
      </c>
      <c r="J220" s="84">
        <v>220</v>
      </c>
      <c r="K220" s="74" t="s">
        <v>449</v>
      </c>
      <c r="L220" s="75" t="s">
        <v>450</v>
      </c>
      <c r="M220" s="75" t="s">
        <v>111</v>
      </c>
    </row>
    <row r="221" spans="1:13" x14ac:dyDescent="0.25">
      <c r="A221" s="48">
        <v>0.5</v>
      </c>
      <c r="B221" s="48"/>
      <c r="C221" s="83">
        <f t="shared" ca="1" si="16"/>
        <v>43826</v>
      </c>
      <c r="D221" s="84">
        <f t="shared" si="17"/>
        <v>170</v>
      </c>
      <c r="E221" s="74" t="str">
        <f t="shared" ca="1" si="15"/>
        <v>HD_122719C170</v>
      </c>
      <c r="F221" s="75" t="str">
        <f ca="1">_xll.xlqName(E221,tda)</f>
        <v>#N/A</v>
      </c>
      <c r="G221" s="75" t="str">
        <f t="shared" ca="1" si="18"/>
        <v>BAD</v>
      </c>
      <c r="I221" s="83">
        <v>43819</v>
      </c>
      <c r="J221" s="84">
        <v>220.5</v>
      </c>
      <c r="K221" s="74" t="s">
        <v>451</v>
      </c>
      <c r="L221" s="75" t="s">
        <v>53</v>
      </c>
      <c r="M221" s="75" t="s">
        <v>106</v>
      </c>
    </row>
    <row r="222" spans="1:13" x14ac:dyDescent="0.25">
      <c r="A222" s="48">
        <v>0.5</v>
      </c>
      <c r="B222" s="48"/>
      <c r="C222" s="83">
        <f t="shared" ca="1" si="16"/>
        <v>43826</v>
      </c>
      <c r="D222" s="84">
        <f t="shared" si="17"/>
        <v>170.5</v>
      </c>
      <c r="E222" s="74" t="str">
        <f t="shared" ca="1" si="15"/>
        <v>HD_122719C170.5</v>
      </c>
      <c r="F222" s="75" t="str">
        <f ca="1">_xll.xlqName(E222,tda)</f>
        <v>#N/A</v>
      </c>
      <c r="G222" s="75" t="str">
        <f t="shared" ca="1" si="18"/>
        <v>BAD</v>
      </c>
      <c r="I222" s="83">
        <v>43819</v>
      </c>
      <c r="J222" s="84">
        <v>221</v>
      </c>
      <c r="K222" s="74" t="s">
        <v>452</v>
      </c>
      <c r="L222" s="75" t="s">
        <v>53</v>
      </c>
      <c r="M222" s="75" t="s">
        <v>106</v>
      </c>
    </row>
    <row r="223" spans="1:13" x14ac:dyDescent="0.25">
      <c r="A223" s="48">
        <v>1</v>
      </c>
      <c r="B223" s="48"/>
      <c r="C223" s="83">
        <f t="shared" ca="1" si="16"/>
        <v>43826</v>
      </c>
      <c r="D223" s="84">
        <f t="shared" si="17"/>
        <v>171.5</v>
      </c>
      <c r="E223" s="74" t="str">
        <f t="shared" ca="1" si="15"/>
        <v>HD_122719C171.5</v>
      </c>
      <c r="F223" s="75" t="str">
        <f ca="1">_xll.xlqName(E223,tda)</f>
        <v>#N/A</v>
      </c>
      <c r="G223" s="75" t="str">
        <f t="shared" ca="1" si="18"/>
        <v>BAD</v>
      </c>
      <c r="I223" s="83">
        <v>43819</v>
      </c>
      <c r="J223" s="84">
        <v>222</v>
      </c>
      <c r="K223" s="74" t="s">
        <v>453</v>
      </c>
      <c r="L223" s="75" t="s">
        <v>53</v>
      </c>
      <c r="M223" s="75" t="s">
        <v>106</v>
      </c>
    </row>
    <row r="224" spans="1:13" x14ac:dyDescent="0.25">
      <c r="A224" s="48">
        <v>1</v>
      </c>
      <c r="B224" s="48"/>
      <c r="C224" s="83">
        <f t="shared" ca="1" si="16"/>
        <v>43826</v>
      </c>
      <c r="D224" s="84">
        <f t="shared" si="17"/>
        <v>172.5</v>
      </c>
      <c r="E224" s="74" t="str">
        <f t="shared" ca="1" si="15"/>
        <v>HD_122719C172.5</v>
      </c>
      <c r="F224" s="75" t="str">
        <f ca="1">_xll.xlqName(E224,tda)</f>
        <v>#N/A</v>
      </c>
      <c r="G224" s="75" t="str">
        <f t="shared" ca="1" si="18"/>
        <v>BAD</v>
      </c>
      <c r="I224" s="83">
        <v>43819</v>
      </c>
      <c r="J224" s="84">
        <v>223</v>
      </c>
      <c r="K224" s="74" t="s">
        <v>454</v>
      </c>
      <c r="L224" s="75" t="s">
        <v>53</v>
      </c>
      <c r="M224" s="75" t="s">
        <v>106</v>
      </c>
    </row>
    <row r="225" spans="1:13" x14ac:dyDescent="0.25">
      <c r="A225" s="48">
        <v>1</v>
      </c>
      <c r="B225" s="48"/>
      <c r="C225" s="83">
        <f t="shared" ca="1" si="16"/>
        <v>43826</v>
      </c>
      <c r="D225" s="84">
        <f t="shared" si="17"/>
        <v>173.5</v>
      </c>
      <c r="E225" s="74" t="str">
        <f t="shared" ca="1" si="15"/>
        <v>HD_122719C173.5</v>
      </c>
      <c r="F225" s="75" t="str">
        <f ca="1">_xll.xlqName(E225,tda)</f>
        <v>#N/A</v>
      </c>
      <c r="G225" s="75" t="str">
        <f t="shared" ca="1" si="18"/>
        <v>BAD</v>
      </c>
      <c r="I225" s="83">
        <v>43819</v>
      </c>
      <c r="J225" s="84">
        <v>224</v>
      </c>
      <c r="K225" s="74" t="s">
        <v>455</v>
      </c>
      <c r="L225" s="75" t="s">
        <v>53</v>
      </c>
      <c r="M225" s="75" t="s">
        <v>106</v>
      </c>
    </row>
    <row r="226" spans="1:13" x14ac:dyDescent="0.25">
      <c r="A226" s="48">
        <v>1</v>
      </c>
      <c r="B226" s="48"/>
      <c r="C226" s="83">
        <f t="shared" ca="1" si="16"/>
        <v>43826</v>
      </c>
      <c r="D226" s="84">
        <f t="shared" si="17"/>
        <v>174.5</v>
      </c>
      <c r="E226" s="74" t="str">
        <f t="shared" ca="1" si="15"/>
        <v>HD_122719C174.5</v>
      </c>
      <c r="F226" s="75" t="str">
        <f ca="1">_xll.xlqName(E226,tda)</f>
        <v>#N/A</v>
      </c>
      <c r="G226" s="75" t="str">
        <f t="shared" ca="1" si="18"/>
        <v>BAD</v>
      </c>
      <c r="I226" s="83">
        <v>43819</v>
      </c>
      <c r="J226" s="84">
        <v>225</v>
      </c>
      <c r="K226" s="74" t="s">
        <v>456</v>
      </c>
      <c r="L226" s="75" t="s">
        <v>457</v>
      </c>
      <c r="M226" s="75" t="s">
        <v>111</v>
      </c>
    </row>
    <row r="227" spans="1:13" x14ac:dyDescent="0.25">
      <c r="A227" s="48">
        <v>0.5</v>
      </c>
      <c r="B227" s="48"/>
      <c r="C227" s="83">
        <f t="shared" ca="1" si="16"/>
        <v>43826</v>
      </c>
      <c r="D227" s="84">
        <f t="shared" si="17"/>
        <v>175</v>
      </c>
      <c r="E227" s="74" t="str">
        <f t="shared" ca="1" si="15"/>
        <v>HD_122719C175</v>
      </c>
      <c r="F227" s="75" t="str">
        <f ca="1">_xll.xlqName(E227,tda)</f>
        <v>#N/A</v>
      </c>
      <c r="G227" s="75" t="str">
        <f t="shared" ca="1" si="18"/>
        <v>BAD</v>
      </c>
      <c r="I227" s="83">
        <v>43819</v>
      </c>
      <c r="J227" s="84">
        <v>225.5</v>
      </c>
      <c r="K227" s="74" t="s">
        <v>458</v>
      </c>
      <c r="L227" s="75" t="s">
        <v>53</v>
      </c>
      <c r="M227" s="75" t="s">
        <v>106</v>
      </c>
    </row>
    <row r="228" spans="1:13" x14ac:dyDescent="0.25">
      <c r="A228" s="48">
        <v>0.5</v>
      </c>
      <c r="B228" s="48"/>
      <c r="C228" s="83">
        <f t="shared" ca="1" si="16"/>
        <v>43826</v>
      </c>
      <c r="D228" s="84">
        <f t="shared" si="17"/>
        <v>175.5</v>
      </c>
      <c r="E228" s="74" t="str">
        <f t="shared" ca="1" si="15"/>
        <v>HD_122719C175.5</v>
      </c>
      <c r="F228" s="75" t="str">
        <f ca="1">_xll.xlqName(E228,tda)</f>
        <v>#N/A</v>
      </c>
      <c r="G228" s="75" t="str">
        <f t="shared" ca="1" si="18"/>
        <v>BAD</v>
      </c>
      <c r="I228" s="83">
        <v>43819</v>
      </c>
      <c r="J228" s="84">
        <v>226</v>
      </c>
      <c r="K228" s="74" t="s">
        <v>459</v>
      </c>
      <c r="L228" s="75" t="s">
        <v>53</v>
      </c>
      <c r="M228" s="75" t="s">
        <v>106</v>
      </c>
    </row>
    <row r="229" spans="1:13" x14ac:dyDescent="0.25">
      <c r="A229" s="48">
        <v>1</v>
      </c>
      <c r="B229" s="48"/>
      <c r="C229" s="83">
        <f t="shared" ca="1" si="16"/>
        <v>43826</v>
      </c>
      <c r="D229" s="84">
        <f t="shared" si="17"/>
        <v>176.5</v>
      </c>
      <c r="E229" s="74" t="str">
        <f t="shared" ca="1" si="15"/>
        <v>HD_122719C176.5</v>
      </c>
      <c r="F229" s="75" t="str">
        <f ca="1">_xll.xlqName(E229,tda)</f>
        <v>#N/A</v>
      </c>
      <c r="G229" s="75" t="str">
        <f t="shared" ca="1" si="18"/>
        <v>BAD</v>
      </c>
      <c r="I229" s="83">
        <v>43819</v>
      </c>
      <c r="J229" s="84">
        <v>227</v>
      </c>
      <c r="K229" s="74" t="s">
        <v>460</v>
      </c>
      <c r="L229" s="75" t="s">
        <v>53</v>
      </c>
      <c r="M229" s="75" t="s">
        <v>106</v>
      </c>
    </row>
    <row r="230" spans="1:13" x14ac:dyDescent="0.25">
      <c r="A230" s="48">
        <v>1</v>
      </c>
      <c r="B230" s="48"/>
      <c r="C230" s="83">
        <f t="shared" ca="1" si="16"/>
        <v>43826</v>
      </c>
      <c r="D230" s="84">
        <f t="shared" si="17"/>
        <v>177.5</v>
      </c>
      <c r="E230" s="74" t="str">
        <f t="shared" ca="1" si="15"/>
        <v>HD_122719C177.5</v>
      </c>
      <c r="F230" s="75" t="str">
        <f ca="1">_xll.xlqName(E230,tda)</f>
        <v>#N/A</v>
      </c>
      <c r="G230" s="75" t="str">
        <f t="shared" ca="1" si="18"/>
        <v>BAD</v>
      </c>
      <c r="I230" s="83">
        <v>43819</v>
      </c>
      <c r="J230" s="84">
        <v>228</v>
      </c>
      <c r="K230" s="74" t="s">
        <v>461</v>
      </c>
      <c r="L230" s="75" t="s">
        <v>53</v>
      </c>
      <c r="M230" s="75" t="s">
        <v>106</v>
      </c>
    </row>
    <row r="231" spans="1:13" x14ac:dyDescent="0.25">
      <c r="A231" s="48">
        <v>1</v>
      </c>
      <c r="B231" s="48"/>
      <c r="C231" s="83">
        <f t="shared" ca="1" si="16"/>
        <v>43826</v>
      </c>
      <c r="D231" s="84">
        <f t="shared" si="17"/>
        <v>178.5</v>
      </c>
      <c r="E231" s="74" t="str">
        <f t="shared" ca="1" si="15"/>
        <v>HD_122719C178.5</v>
      </c>
      <c r="F231" s="75" t="str">
        <f ca="1">_xll.xlqName(E231,tda)</f>
        <v>#N/A</v>
      </c>
      <c r="G231" s="75" t="str">
        <f t="shared" ca="1" si="18"/>
        <v>BAD</v>
      </c>
      <c r="I231" s="83">
        <v>43819</v>
      </c>
      <c r="J231" s="84">
        <v>229</v>
      </c>
      <c r="K231" s="74" t="s">
        <v>462</v>
      </c>
      <c r="L231" s="75" t="s">
        <v>53</v>
      </c>
      <c r="M231" s="75" t="s">
        <v>106</v>
      </c>
    </row>
    <row r="232" spans="1:13" x14ac:dyDescent="0.25">
      <c r="A232" s="48">
        <v>1</v>
      </c>
      <c r="B232" s="48"/>
      <c r="C232" s="83">
        <f t="shared" ca="1" si="16"/>
        <v>43826</v>
      </c>
      <c r="D232" s="84">
        <f t="shared" si="17"/>
        <v>179.5</v>
      </c>
      <c r="E232" s="74" t="str">
        <f t="shared" ca="1" si="15"/>
        <v>HD_122719C179.5</v>
      </c>
      <c r="F232" s="75" t="str">
        <f ca="1">_xll.xlqName(E232,tda)</f>
        <v>#N/A</v>
      </c>
      <c r="G232" s="75" t="str">
        <f t="shared" ca="1" si="18"/>
        <v>BAD</v>
      </c>
      <c r="I232" s="83">
        <v>43819</v>
      </c>
      <c r="J232" s="84">
        <v>230</v>
      </c>
      <c r="K232" s="74" t="s">
        <v>463</v>
      </c>
      <c r="L232" s="75" t="s">
        <v>464</v>
      </c>
      <c r="M232" s="75" t="s">
        <v>111</v>
      </c>
    </row>
    <row r="233" spans="1:13" x14ac:dyDescent="0.25">
      <c r="A233" s="48">
        <v>0.5</v>
      </c>
      <c r="B233" s="48"/>
      <c r="C233" s="83">
        <f t="shared" ca="1" si="16"/>
        <v>43826</v>
      </c>
      <c r="D233" s="84">
        <f t="shared" si="17"/>
        <v>180</v>
      </c>
      <c r="E233" s="74" t="str">
        <f t="shared" ca="1" si="15"/>
        <v>HD_122719C180</v>
      </c>
      <c r="F233" s="75" t="str">
        <f ca="1">_xll.xlqName(E233,tda)</f>
        <v>#N/A</v>
      </c>
      <c r="G233" s="75" t="str">
        <f t="shared" ca="1" si="18"/>
        <v>BAD</v>
      </c>
      <c r="I233" s="83">
        <v>43819</v>
      </c>
      <c r="J233" s="84">
        <v>230.5</v>
      </c>
      <c r="K233" s="74" t="s">
        <v>465</v>
      </c>
      <c r="L233" s="75" t="s">
        <v>53</v>
      </c>
      <c r="M233" s="75" t="s">
        <v>106</v>
      </c>
    </row>
    <row r="234" spans="1:13" x14ac:dyDescent="0.25">
      <c r="A234" s="48">
        <v>0.5</v>
      </c>
      <c r="B234" s="48"/>
      <c r="C234" s="83">
        <f t="shared" ca="1" si="16"/>
        <v>43826</v>
      </c>
      <c r="D234" s="84">
        <f t="shared" si="17"/>
        <v>180.5</v>
      </c>
      <c r="E234" s="74" t="str">
        <f t="shared" ca="1" si="15"/>
        <v>HD_122719C180.5</v>
      </c>
      <c r="F234" s="75" t="str">
        <f ca="1">_xll.xlqName(E234,tda)</f>
        <v>#N/A</v>
      </c>
      <c r="G234" s="75" t="str">
        <f t="shared" ca="1" si="18"/>
        <v>BAD</v>
      </c>
      <c r="I234" s="83">
        <v>43819</v>
      </c>
      <c r="J234" s="84">
        <v>231</v>
      </c>
      <c r="K234" s="74" t="s">
        <v>466</v>
      </c>
      <c r="L234" s="75" t="s">
        <v>53</v>
      </c>
      <c r="M234" s="75" t="s">
        <v>106</v>
      </c>
    </row>
    <row r="235" spans="1:13" x14ac:dyDescent="0.25">
      <c r="A235" s="48">
        <v>1</v>
      </c>
      <c r="B235" s="48"/>
      <c r="C235" s="83">
        <f t="shared" ca="1" si="16"/>
        <v>43826</v>
      </c>
      <c r="D235" s="84">
        <f t="shared" si="17"/>
        <v>181.5</v>
      </c>
      <c r="E235" s="74" t="str">
        <f t="shared" ca="1" si="15"/>
        <v>HD_122719C181.5</v>
      </c>
      <c r="F235" s="75" t="str">
        <f ca="1">_xll.xlqName(E235,tda)</f>
        <v>#N/A</v>
      </c>
      <c r="G235" s="75" t="str">
        <f t="shared" ca="1" si="18"/>
        <v>BAD</v>
      </c>
      <c r="I235" s="83">
        <v>43819</v>
      </c>
      <c r="J235" s="84">
        <v>232</v>
      </c>
      <c r="K235" s="74" t="s">
        <v>467</v>
      </c>
      <c r="L235" s="75" t="s">
        <v>53</v>
      </c>
      <c r="M235" s="75" t="s">
        <v>106</v>
      </c>
    </row>
    <row r="236" spans="1:13" x14ac:dyDescent="0.25">
      <c r="A236" s="48">
        <v>1</v>
      </c>
      <c r="B236" s="48"/>
      <c r="C236" s="83">
        <f t="shared" ca="1" si="16"/>
        <v>43826</v>
      </c>
      <c r="D236" s="84">
        <f t="shared" si="17"/>
        <v>182.5</v>
      </c>
      <c r="E236" s="74" t="str">
        <f t="shared" ca="1" si="15"/>
        <v>HD_122719C182.5</v>
      </c>
      <c r="F236" s="75" t="str">
        <f ca="1">_xll.xlqName(E236,tda)</f>
        <v>#N/A</v>
      </c>
      <c r="G236" s="75" t="str">
        <f t="shared" ca="1" si="18"/>
        <v>BAD</v>
      </c>
      <c r="I236" s="83">
        <v>43819</v>
      </c>
      <c r="J236" s="84">
        <v>233</v>
      </c>
      <c r="K236" s="74" t="s">
        <v>468</v>
      </c>
      <c r="L236" s="75" t="s">
        <v>53</v>
      </c>
      <c r="M236" s="75" t="s">
        <v>106</v>
      </c>
    </row>
    <row r="237" spans="1:13" x14ac:dyDescent="0.25">
      <c r="A237" s="48">
        <v>1</v>
      </c>
      <c r="B237" s="48"/>
      <c r="C237" s="83">
        <f t="shared" ca="1" si="16"/>
        <v>43826</v>
      </c>
      <c r="D237" s="84">
        <f t="shared" si="17"/>
        <v>183.5</v>
      </c>
      <c r="E237" s="74" t="str">
        <f t="shared" ca="1" si="15"/>
        <v>HD_122719C183.5</v>
      </c>
      <c r="F237" s="75" t="str">
        <f ca="1">_xll.xlqName(E237,tda)</f>
        <v>#N/A</v>
      </c>
      <c r="G237" s="75" t="str">
        <f t="shared" ca="1" si="18"/>
        <v>BAD</v>
      </c>
      <c r="I237" s="83">
        <v>43819</v>
      </c>
      <c r="J237" s="84">
        <v>234</v>
      </c>
      <c r="K237" s="74" t="s">
        <v>469</v>
      </c>
      <c r="L237" s="75" t="s">
        <v>53</v>
      </c>
      <c r="M237" s="75" t="s">
        <v>106</v>
      </c>
    </row>
    <row r="238" spans="1:13" x14ac:dyDescent="0.25">
      <c r="A238" s="48">
        <v>1</v>
      </c>
      <c r="B238" s="48"/>
      <c r="C238" s="83">
        <f t="shared" ca="1" si="16"/>
        <v>43826</v>
      </c>
      <c r="D238" s="84">
        <f t="shared" si="17"/>
        <v>184.5</v>
      </c>
      <c r="E238" s="74" t="str">
        <f t="shared" ca="1" si="15"/>
        <v>HD_122719C184.5</v>
      </c>
      <c r="F238" s="75" t="str">
        <f ca="1">_xll.xlqName(E238,tda)</f>
        <v>#N/A</v>
      </c>
      <c r="G238" s="75" t="str">
        <f t="shared" ca="1" si="18"/>
        <v>BAD</v>
      </c>
      <c r="I238" s="83">
        <v>43819</v>
      </c>
      <c r="J238" s="84">
        <v>235</v>
      </c>
      <c r="K238" s="74" t="s">
        <v>470</v>
      </c>
      <c r="L238" s="75" t="s">
        <v>471</v>
      </c>
      <c r="M238" s="75" t="s">
        <v>111</v>
      </c>
    </row>
    <row r="239" spans="1:13" x14ac:dyDescent="0.25">
      <c r="A239" s="48">
        <v>0.5</v>
      </c>
      <c r="B239" s="48"/>
      <c r="C239" s="83">
        <f t="shared" ca="1" si="16"/>
        <v>43826</v>
      </c>
      <c r="D239" s="84">
        <f t="shared" si="17"/>
        <v>185</v>
      </c>
      <c r="E239" s="74" t="str">
        <f t="shared" ca="1" si="15"/>
        <v>HD_122719C185</v>
      </c>
      <c r="F239" s="75" t="str">
        <f ca="1">_xll.xlqName(E239,tda)</f>
        <v>HD Dec 27 2019 185 Call (Weekly)</v>
      </c>
      <c r="G239" s="75" t="str">
        <f t="shared" ca="1" si="18"/>
        <v/>
      </c>
      <c r="I239" s="83">
        <v>43826</v>
      </c>
      <c r="J239" s="84">
        <v>170</v>
      </c>
      <c r="K239" s="74" t="s">
        <v>472</v>
      </c>
      <c r="L239" s="75" t="s">
        <v>53</v>
      </c>
      <c r="M239" s="75" t="s">
        <v>106</v>
      </c>
    </row>
    <row r="240" spans="1:13" x14ac:dyDescent="0.25">
      <c r="A240" s="48">
        <v>0.5</v>
      </c>
      <c r="B240" s="48"/>
      <c r="C240" s="83">
        <f t="shared" ca="1" si="16"/>
        <v>43826</v>
      </c>
      <c r="D240" s="84">
        <f t="shared" si="17"/>
        <v>185.5</v>
      </c>
      <c r="E240" s="74" t="str">
        <f t="shared" ca="1" si="15"/>
        <v>HD_122719C185.5</v>
      </c>
      <c r="F240" s="75" t="str">
        <f ca="1">_xll.xlqName(E240,tda)</f>
        <v>#N/A</v>
      </c>
      <c r="G240" s="75" t="str">
        <f t="shared" ca="1" si="18"/>
        <v>BAD</v>
      </c>
      <c r="I240" s="83">
        <v>43826</v>
      </c>
      <c r="J240" s="84">
        <v>170.5</v>
      </c>
      <c r="K240" s="74" t="s">
        <v>473</v>
      </c>
      <c r="L240" s="75" t="s">
        <v>53</v>
      </c>
      <c r="M240" s="75" t="s">
        <v>106</v>
      </c>
    </row>
    <row r="241" spans="1:13" x14ac:dyDescent="0.25">
      <c r="A241" s="48">
        <v>1</v>
      </c>
      <c r="B241" s="48"/>
      <c r="C241" s="83">
        <f t="shared" ca="1" si="16"/>
        <v>43826</v>
      </c>
      <c r="D241" s="84">
        <f t="shared" si="17"/>
        <v>186.5</v>
      </c>
      <c r="E241" s="74" t="str">
        <f t="shared" ca="1" si="15"/>
        <v>HD_122719C186.5</v>
      </c>
      <c r="F241" s="75" t="str">
        <f ca="1">_xll.xlqName(E241,tda)</f>
        <v>#N/A</v>
      </c>
      <c r="G241" s="75" t="str">
        <f t="shared" ca="1" si="18"/>
        <v>BAD</v>
      </c>
      <c r="I241" s="83">
        <v>43826</v>
      </c>
      <c r="J241" s="84">
        <v>171.5</v>
      </c>
      <c r="K241" s="74" t="s">
        <v>474</v>
      </c>
      <c r="L241" s="75" t="s">
        <v>53</v>
      </c>
      <c r="M241" s="75" t="s">
        <v>106</v>
      </c>
    </row>
    <row r="242" spans="1:13" x14ac:dyDescent="0.25">
      <c r="A242" s="48">
        <v>1</v>
      </c>
      <c r="B242" s="48"/>
      <c r="C242" s="83">
        <f t="shared" ca="1" si="16"/>
        <v>43826</v>
      </c>
      <c r="D242" s="84">
        <f t="shared" si="17"/>
        <v>187.5</v>
      </c>
      <c r="E242" s="74" t="str">
        <f t="shared" ca="1" si="15"/>
        <v>HD_122719C187.5</v>
      </c>
      <c r="F242" s="75" t="str">
        <f ca="1">_xll.xlqName(E242,tda)</f>
        <v>#N/A</v>
      </c>
      <c r="G242" s="75" t="str">
        <f t="shared" ca="1" si="18"/>
        <v>BAD</v>
      </c>
      <c r="I242" s="83">
        <v>43826</v>
      </c>
      <c r="J242" s="84">
        <v>172.5</v>
      </c>
      <c r="K242" s="74" t="s">
        <v>475</v>
      </c>
      <c r="L242" s="75" t="s">
        <v>53</v>
      </c>
      <c r="M242" s="75" t="s">
        <v>106</v>
      </c>
    </row>
    <row r="243" spans="1:13" x14ac:dyDescent="0.25">
      <c r="A243" s="48">
        <v>1</v>
      </c>
      <c r="B243" s="48"/>
      <c r="C243" s="83">
        <f t="shared" ca="1" si="16"/>
        <v>43826</v>
      </c>
      <c r="D243" s="84">
        <f t="shared" si="17"/>
        <v>188.5</v>
      </c>
      <c r="E243" s="74" t="str">
        <f t="shared" ca="1" si="15"/>
        <v>HD_122719C188.5</v>
      </c>
      <c r="F243" s="75" t="str">
        <f ca="1">_xll.xlqName(E243,tda)</f>
        <v>#N/A</v>
      </c>
      <c r="G243" s="75" t="str">
        <f t="shared" ca="1" si="18"/>
        <v>BAD</v>
      </c>
      <c r="I243" s="83">
        <v>43826</v>
      </c>
      <c r="J243" s="84">
        <v>173.5</v>
      </c>
      <c r="K243" s="74" t="s">
        <v>476</v>
      </c>
      <c r="L243" s="75" t="s">
        <v>53</v>
      </c>
      <c r="M243" s="75" t="s">
        <v>106</v>
      </c>
    </row>
    <row r="244" spans="1:13" x14ac:dyDescent="0.25">
      <c r="A244" s="48">
        <v>1</v>
      </c>
      <c r="B244" s="48"/>
      <c r="C244" s="83">
        <f t="shared" ca="1" si="16"/>
        <v>43826</v>
      </c>
      <c r="D244" s="84">
        <f t="shared" si="17"/>
        <v>189.5</v>
      </c>
      <c r="E244" s="74" t="str">
        <f t="shared" ca="1" si="15"/>
        <v>HD_122719C189.5</v>
      </c>
      <c r="F244" s="75" t="str">
        <f ca="1">_xll.xlqName(E244,tda)</f>
        <v>#N/A</v>
      </c>
      <c r="G244" s="75" t="str">
        <f t="shared" ca="1" si="18"/>
        <v>BAD</v>
      </c>
      <c r="I244" s="83">
        <v>43826</v>
      </c>
      <c r="J244" s="84">
        <v>174.5</v>
      </c>
      <c r="K244" s="74" t="s">
        <v>477</v>
      </c>
      <c r="L244" s="75" t="s">
        <v>53</v>
      </c>
      <c r="M244" s="75" t="s">
        <v>106</v>
      </c>
    </row>
    <row r="245" spans="1:13" x14ac:dyDescent="0.25">
      <c r="A245" s="48">
        <v>0.5</v>
      </c>
      <c r="B245" s="48"/>
      <c r="C245" s="83">
        <f t="shared" ca="1" si="16"/>
        <v>43826</v>
      </c>
      <c r="D245" s="84">
        <f t="shared" si="17"/>
        <v>190</v>
      </c>
      <c r="E245" s="74" t="str">
        <f t="shared" ca="1" si="15"/>
        <v>HD_122719C190</v>
      </c>
      <c r="F245" s="75" t="str">
        <f ca="1">_xll.xlqName(E245,tda)</f>
        <v>HD Dec 27 2019 190 Call (Weekly)</v>
      </c>
      <c r="G245" s="75" t="str">
        <f t="shared" ca="1" si="18"/>
        <v/>
      </c>
      <c r="I245" s="83">
        <v>43826</v>
      </c>
      <c r="J245" s="84">
        <v>175</v>
      </c>
      <c r="K245" s="74" t="s">
        <v>478</v>
      </c>
      <c r="L245" s="75" t="s">
        <v>53</v>
      </c>
      <c r="M245" s="75" t="s">
        <v>106</v>
      </c>
    </row>
    <row r="246" spans="1:13" x14ac:dyDescent="0.25">
      <c r="A246" s="48">
        <v>0.5</v>
      </c>
      <c r="B246" s="48"/>
      <c r="C246" s="83">
        <f t="shared" ca="1" si="16"/>
        <v>43826</v>
      </c>
      <c r="D246" s="84">
        <f t="shared" si="17"/>
        <v>190.5</v>
      </c>
      <c r="E246" s="74" t="str">
        <f t="shared" ca="1" si="15"/>
        <v>HD_122719C190.5</v>
      </c>
      <c r="F246" s="75" t="str">
        <f ca="1">_xll.xlqName(E246,tda)</f>
        <v>#N/A</v>
      </c>
      <c r="G246" s="75" t="str">
        <f t="shared" ca="1" si="18"/>
        <v>BAD</v>
      </c>
      <c r="I246" s="83">
        <v>43826</v>
      </c>
      <c r="J246" s="84">
        <v>175.5</v>
      </c>
      <c r="K246" s="74" t="s">
        <v>479</v>
      </c>
      <c r="L246" s="75" t="s">
        <v>53</v>
      </c>
      <c r="M246" s="75" t="s">
        <v>106</v>
      </c>
    </row>
    <row r="247" spans="1:13" x14ac:dyDescent="0.25">
      <c r="A247" s="48">
        <v>1</v>
      </c>
      <c r="B247" s="48"/>
      <c r="C247" s="83">
        <f t="shared" ca="1" si="16"/>
        <v>43826</v>
      </c>
      <c r="D247" s="84">
        <f t="shared" si="17"/>
        <v>191.5</v>
      </c>
      <c r="E247" s="74" t="str">
        <f t="shared" ca="1" si="15"/>
        <v>HD_122719C191.5</v>
      </c>
      <c r="F247" s="75" t="str">
        <f ca="1">_xll.xlqName(E247,tda)</f>
        <v>#N/A</v>
      </c>
      <c r="G247" s="75" t="str">
        <f t="shared" ca="1" si="18"/>
        <v>BAD</v>
      </c>
      <c r="I247" s="83">
        <v>43826</v>
      </c>
      <c r="J247" s="84">
        <v>176.5</v>
      </c>
      <c r="K247" s="74" t="s">
        <v>480</v>
      </c>
      <c r="L247" s="75" t="s">
        <v>53</v>
      </c>
      <c r="M247" s="75" t="s">
        <v>106</v>
      </c>
    </row>
    <row r="248" spans="1:13" x14ac:dyDescent="0.25">
      <c r="A248" s="48">
        <v>1</v>
      </c>
      <c r="B248" s="48"/>
      <c r="C248" s="83">
        <f t="shared" ca="1" si="16"/>
        <v>43826</v>
      </c>
      <c r="D248" s="84">
        <f t="shared" si="17"/>
        <v>192.5</v>
      </c>
      <c r="E248" s="74" t="str">
        <f t="shared" ca="1" si="15"/>
        <v>HD_122719C192.5</v>
      </c>
      <c r="F248" s="75" t="str">
        <f ca="1">_xll.xlqName(E248,tda)</f>
        <v>#N/A</v>
      </c>
      <c r="G248" s="75" t="str">
        <f t="shared" ca="1" si="18"/>
        <v>BAD</v>
      </c>
      <c r="I248" s="83">
        <v>43826</v>
      </c>
      <c r="J248" s="84">
        <v>177.5</v>
      </c>
      <c r="K248" s="74" t="s">
        <v>481</v>
      </c>
      <c r="L248" s="75" t="s">
        <v>53</v>
      </c>
      <c r="M248" s="75" t="s">
        <v>106</v>
      </c>
    </row>
    <row r="249" spans="1:13" x14ac:dyDescent="0.25">
      <c r="A249" s="48">
        <v>1</v>
      </c>
      <c r="B249" s="48"/>
      <c r="C249" s="83">
        <f t="shared" ca="1" si="16"/>
        <v>43826</v>
      </c>
      <c r="D249" s="84">
        <f t="shared" si="17"/>
        <v>193.5</v>
      </c>
      <c r="E249" s="74" t="str">
        <f t="shared" ca="1" si="15"/>
        <v>HD_122719C193.5</v>
      </c>
      <c r="F249" s="75" t="str">
        <f ca="1">_xll.xlqName(E249,tda)</f>
        <v>#N/A</v>
      </c>
      <c r="G249" s="75" t="str">
        <f t="shared" ca="1" si="18"/>
        <v>BAD</v>
      </c>
      <c r="I249" s="83">
        <v>43826</v>
      </c>
      <c r="J249" s="84">
        <v>178.5</v>
      </c>
      <c r="K249" s="74" t="s">
        <v>482</v>
      </c>
      <c r="L249" s="75" t="s">
        <v>53</v>
      </c>
      <c r="M249" s="75" t="s">
        <v>106</v>
      </c>
    </row>
    <row r="250" spans="1:13" x14ac:dyDescent="0.25">
      <c r="A250" s="48">
        <v>1</v>
      </c>
      <c r="B250" s="48"/>
      <c r="C250" s="83">
        <f t="shared" ca="1" si="16"/>
        <v>43826</v>
      </c>
      <c r="D250" s="84">
        <f t="shared" si="17"/>
        <v>194.5</v>
      </c>
      <c r="E250" s="74" t="str">
        <f t="shared" ca="1" si="15"/>
        <v>HD_122719C194.5</v>
      </c>
      <c r="F250" s="75" t="str">
        <f ca="1">_xll.xlqName(E250,tda)</f>
        <v>#N/A</v>
      </c>
      <c r="G250" s="75" t="str">
        <f t="shared" ca="1" si="18"/>
        <v>BAD</v>
      </c>
      <c r="I250" s="83">
        <v>43826</v>
      </c>
      <c r="J250" s="84">
        <v>179.5</v>
      </c>
      <c r="K250" s="74" t="s">
        <v>483</v>
      </c>
      <c r="L250" s="75" t="s">
        <v>53</v>
      </c>
      <c r="M250" s="75" t="s">
        <v>106</v>
      </c>
    </row>
    <row r="251" spans="1:13" x14ac:dyDescent="0.25">
      <c r="A251" s="48">
        <v>0.5</v>
      </c>
      <c r="B251" s="48"/>
      <c r="C251" s="83">
        <f t="shared" ca="1" si="16"/>
        <v>43826</v>
      </c>
      <c r="D251" s="84">
        <f t="shared" si="17"/>
        <v>195</v>
      </c>
      <c r="E251" s="74" t="str">
        <f t="shared" ca="1" si="15"/>
        <v>HD_122719C195</v>
      </c>
      <c r="F251" s="75" t="str">
        <f ca="1">_xll.xlqName(E251,tda)</f>
        <v>HD Dec 27 2019 195 Call (Weekly)</v>
      </c>
      <c r="G251" s="75" t="str">
        <f t="shared" ca="1" si="18"/>
        <v/>
      </c>
      <c r="I251" s="83">
        <v>43826</v>
      </c>
      <c r="J251" s="84">
        <v>180</v>
      </c>
      <c r="K251" s="74" t="s">
        <v>484</v>
      </c>
      <c r="L251" s="75" t="s">
        <v>53</v>
      </c>
      <c r="M251" s="75" t="s">
        <v>106</v>
      </c>
    </row>
    <row r="252" spans="1:13" x14ac:dyDescent="0.25">
      <c r="A252" s="48">
        <v>0.5</v>
      </c>
      <c r="B252" s="48"/>
      <c r="C252" s="83">
        <f t="shared" ca="1" si="16"/>
        <v>43826</v>
      </c>
      <c r="D252" s="84">
        <f t="shared" si="17"/>
        <v>195.5</v>
      </c>
      <c r="E252" s="74" t="str">
        <f t="shared" ca="1" si="15"/>
        <v>HD_122719C195.5</v>
      </c>
      <c r="F252" s="75" t="str">
        <f ca="1">_xll.xlqName(E252,tda)</f>
        <v>#N/A</v>
      </c>
      <c r="G252" s="75" t="str">
        <f t="shared" ca="1" si="18"/>
        <v>BAD</v>
      </c>
      <c r="I252" s="83">
        <v>43826</v>
      </c>
      <c r="J252" s="84">
        <v>180.5</v>
      </c>
      <c r="K252" s="74" t="s">
        <v>485</v>
      </c>
      <c r="L252" s="75" t="s">
        <v>53</v>
      </c>
      <c r="M252" s="75" t="s">
        <v>106</v>
      </c>
    </row>
    <row r="253" spans="1:13" x14ac:dyDescent="0.25">
      <c r="A253" s="48">
        <v>1</v>
      </c>
      <c r="B253" s="48"/>
      <c r="C253" s="83">
        <f t="shared" ca="1" si="16"/>
        <v>43826</v>
      </c>
      <c r="D253" s="84">
        <f t="shared" si="17"/>
        <v>196.5</v>
      </c>
      <c r="E253" s="74" t="str">
        <f t="shared" ca="1" si="15"/>
        <v>HD_122719C196.5</v>
      </c>
      <c r="F253" s="75" t="str">
        <f ca="1">_xll.xlqName(E253,tda)</f>
        <v>#N/A</v>
      </c>
      <c r="G253" s="75" t="str">
        <f t="shared" ca="1" si="18"/>
        <v>BAD</v>
      </c>
      <c r="I253" s="83">
        <v>43826</v>
      </c>
      <c r="J253" s="84">
        <v>181.5</v>
      </c>
      <c r="K253" s="74" t="s">
        <v>486</v>
      </c>
      <c r="L253" s="75" t="s">
        <v>53</v>
      </c>
      <c r="M253" s="75" t="s">
        <v>106</v>
      </c>
    </row>
    <row r="254" spans="1:13" x14ac:dyDescent="0.25">
      <c r="A254" s="48">
        <v>1</v>
      </c>
      <c r="B254" s="48"/>
      <c r="C254" s="83">
        <f t="shared" ca="1" si="16"/>
        <v>43826</v>
      </c>
      <c r="D254" s="84">
        <f t="shared" si="17"/>
        <v>197.5</v>
      </c>
      <c r="E254" s="74" t="str">
        <f t="shared" ca="1" si="15"/>
        <v>HD_122719C197.5</v>
      </c>
      <c r="F254" s="75" t="str">
        <f ca="1">_xll.xlqName(E254,tda)</f>
        <v>HD Dec 27 2019 197.5 Call (Weekly)</v>
      </c>
      <c r="G254" s="75" t="str">
        <f t="shared" ca="1" si="18"/>
        <v/>
      </c>
      <c r="I254" s="83">
        <v>43826</v>
      </c>
      <c r="J254" s="84">
        <v>182.5</v>
      </c>
      <c r="K254" s="74" t="s">
        <v>487</v>
      </c>
      <c r="L254" s="75" t="s">
        <v>53</v>
      </c>
      <c r="M254" s="75" t="s">
        <v>106</v>
      </c>
    </row>
    <row r="255" spans="1:13" x14ac:dyDescent="0.25">
      <c r="A255" s="48">
        <v>1</v>
      </c>
      <c r="B255" s="48"/>
      <c r="C255" s="83">
        <f t="shared" ca="1" si="16"/>
        <v>43826</v>
      </c>
      <c r="D255" s="84">
        <f t="shared" si="17"/>
        <v>198.5</v>
      </c>
      <c r="E255" s="74" t="str">
        <f t="shared" ca="1" si="15"/>
        <v>HD_122719C198.5</v>
      </c>
      <c r="F255" s="75" t="str">
        <f ca="1">_xll.xlqName(E255,tda)</f>
        <v>#N/A</v>
      </c>
      <c r="G255" s="75" t="str">
        <f t="shared" ca="1" si="18"/>
        <v>BAD</v>
      </c>
      <c r="I255" s="83">
        <v>43826</v>
      </c>
      <c r="J255" s="84">
        <v>183.5</v>
      </c>
      <c r="K255" s="74" t="s">
        <v>488</v>
      </c>
      <c r="L255" s="75" t="s">
        <v>53</v>
      </c>
      <c r="M255" s="75" t="s">
        <v>106</v>
      </c>
    </row>
    <row r="256" spans="1:13" x14ac:dyDescent="0.25">
      <c r="A256" s="48">
        <v>1</v>
      </c>
      <c r="B256" s="48"/>
      <c r="C256" s="83">
        <f t="shared" ca="1" si="16"/>
        <v>43826</v>
      </c>
      <c r="D256" s="84">
        <f t="shared" si="17"/>
        <v>199.5</v>
      </c>
      <c r="E256" s="74" t="str">
        <f t="shared" ca="1" si="15"/>
        <v>HD_122719C199.5</v>
      </c>
      <c r="F256" s="75" t="str">
        <f ca="1">_xll.xlqName(E256,tda)</f>
        <v>#N/A</v>
      </c>
      <c r="G256" s="75" t="str">
        <f t="shared" ca="1" si="18"/>
        <v>BAD</v>
      </c>
      <c r="I256" s="83">
        <v>43826</v>
      </c>
      <c r="J256" s="84">
        <v>184.5</v>
      </c>
      <c r="K256" s="74" t="s">
        <v>489</v>
      </c>
      <c r="L256" s="75" t="s">
        <v>53</v>
      </c>
      <c r="M256" s="75" t="s">
        <v>106</v>
      </c>
    </row>
    <row r="257" spans="1:13" x14ac:dyDescent="0.25">
      <c r="A257" s="48">
        <v>0.5</v>
      </c>
      <c r="B257" s="48"/>
      <c r="C257" s="83">
        <f t="shared" ca="1" si="16"/>
        <v>43826</v>
      </c>
      <c r="D257" s="84">
        <f t="shared" si="17"/>
        <v>200</v>
      </c>
      <c r="E257" s="74" t="str">
        <f t="shared" ca="1" si="15"/>
        <v>HD_122719C200</v>
      </c>
      <c r="F257" s="75" t="str">
        <f ca="1">_xll.xlqName(E257,tda)</f>
        <v>HD Dec 27 2019 200 Call (Weekly)</v>
      </c>
      <c r="G257" s="75" t="str">
        <f t="shared" ca="1" si="18"/>
        <v/>
      </c>
      <c r="I257" s="83">
        <v>43826</v>
      </c>
      <c r="J257" s="84">
        <v>185</v>
      </c>
      <c r="K257" s="74" t="s">
        <v>490</v>
      </c>
      <c r="L257" s="75" t="s">
        <v>491</v>
      </c>
      <c r="M257" s="75" t="s">
        <v>111</v>
      </c>
    </row>
    <row r="258" spans="1:13" x14ac:dyDescent="0.25">
      <c r="A258" s="48">
        <v>0.5</v>
      </c>
      <c r="B258" s="48"/>
      <c r="C258" s="83">
        <f t="shared" ca="1" si="16"/>
        <v>43826</v>
      </c>
      <c r="D258" s="84">
        <f t="shared" si="17"/>
        <v>200.5</v>
      </c>
      <c r="E258" s="74" t="str">
        <f t="shared" ref="E258:E321" ca="1" si="19">CONCATENATE($Q$2,"_",TEXT(MONTH(C258),"00"),TEXT(DAY(C258),"00"),TEXT(MOD(YEAR(C258),100),"00"),$Q$3,D258&amp;"")</f>
        <v>HD_122719C200.5</v>
      </c>
      <c r="F258" s="75" t="str">
        <f ca="1">_xll.xlqName(E258,tda)</f>
        <v>#N/A</v>
      </c>
      <c r="G258" s="75" t="str">
        <f t="shared" ca="1" si="18"/>
        <v>BAD</v>
      </c>
      <c r="I258" s="83">
        <v>43826</v>
      </c>
      <c r="J258" s="84">
        <v>185.5</v>
      </c>
      <c r="K258" s="74" t="s">
        <v>492</v>
      </c>
      <c r="L258" s="75" t="s">
        <v>53</v>
      </c>
      <c r="M258" s="75" t="s">
        <v>106</v>
      </c>
    </row>
    <row r="259" spans="1:13" x14ac:dyDescent="0.25">
      <c r="A259" s="48">
        <v>1</v>
      </c>
      <c r="B259" s="48"/>
      <c r="C259" s="83">
        <f t="shared" ref="C259:C322" ca="1" si="20">IF(D259&gt;D258,C258,INDEX($O$14:$O$50,VLOOKUP(C258,$O$14:$P$50,2)+1))</f>
        <v>43826</v>
      </c>
      <c r="D259" s="84">
        <f t="shared" ref="D259:D322" si="21">IF(D258+A259&lt;=$Q$8,D258+A259,$Q$6)</f>
        <v>201.5</v>
      </c>
      <c r="E259" s="74" t="str">
        <f t="shared" ca="1" si="19"/>
        <v>HD_122719C201.5</v>
      </c>
      <c r="F259" s="75" t="str">
        <f ca="1">_xll.xlqName(E259,tda)</f>
        <v>#N/A</v>
      </c>
      <c r="G259" s="75" t="str">
        <f t="shared" ref="G259:G322" ca="1" si="22">IF(AND(ISTEXT(F259),(F259&lt;&gt;"#N/A"),(F259&lt;&gt;"Busy...")),"","BAD")</f>
        <v>BAD</v>
      </c>
      <c r="I259" s="83">
        <v>43826</v>
      </c>
      <c r="J259" s="84">
        <v>186.5</v>
      </c>
      <c r="K259" s="74" t="s">
        <v>493</v>
      </c>
      <c r="L259" s="75" t="s">
        <v>53</v>
      </c>
      <c r="M259" s="75" t="s">
        <v>106</v>
      </c>
    </row>
    <row r="260" spans="1:13" x14ac:dyDescent="0.25">
      <c r="A260" s="48">
        <v>1</v>
      </c>
      <c r="B260" s="48"/>
      <c r="C260" s="83">
        <f t="shared" ca="1" si="20"/>
        <v>43826</v>
      </c>
      <c r="D260" s="84">
        <f t="shared" si="21"/>
        <v>202.5</v>
      </c>
      <c r="E260" s="74" t="str">
        <f t="shared" ca="1" si="19"/>
        <v>HD_122719C202.5</v>
      </c>
      <c r="F260" s="75" t="str">
        <f ca="1">_xll.xlqName(E260,tda)</f>
        <v>HD Dec 27 2019 202.5 Call (Weekly)</v>
      </c>
      <c r="G260" s="75" t="str">
        <f t="shared" ca="1" si="22"/>
        <v/>
      </c>
      <c r="I260" s="83">
        <v>43826</v>
      </c>
      <c r="J260" s="84">
        <v>187.5</v>
      </c>
      <c r="K260" s="74" t="s">
        <v>494</v>
      </c>
      <c r="L260" s="75" t="s">
        <v>53</v>
      </c>
      <c r="M260" s="75" t="s">
        <v>106</v>
      </c>
    </row>
    <row r="261" spans="1:13" x14ac:dyDescent="0.25">
      <c r="A261" s="48">
        <v>1</v>
      </c>
      <c r="B261" s="48"/>
      <c r="C261" s="83">
        <f t="shared" ca="1" si="20"/>
        <v>43826</v>
      </c>
      <c r="D261" s="84">
        <f t="shared" si="21"/>
        <v>203.5</v>
      </c>
      <c r="E261" s="74" t="str">
        <f t="shared" ca="1" si="19"/>
        <v>HD_122719C203.5</v>
      </c>
      <c r="F261" s="75" t="str">
        <f ca="1">_xll.xlqName(E261,tda)</f>
        <v>#N/A</v>
      </c>
      <c r="G261" s="75" t="str">
        <f t="shared" ca="1" si="22"/>
        <v>BAD</v>
      </c>
      <c r="I261" s="83">
        <v>43826</v>
      </c>
      <c r="J261" s="84">
        <v>188.5</v>
      </c>
      <c r="K261" s="74" t="s">
        <v>495</v>
      </c>
      <c r="L261" s="75" t="s">
        <v>53</v>
      </c>
      <c r="M261" s="75" t="s">
        <v>106</v>
      </c>
    </row>
    <row r="262" spans="1:13" x14ac:dyDescent="0.25">
      <c r="A262" s="48">
        <v>1</v>
      </c>
      <c r="B262" s="48"/>
      <c r="C262" s="83">
        <f t="shared" ca="1" si="20"/>
        <v>43826</v>
      </c>
      <c r="D262" s="84">
        <f t="shared" si="21"/>
        <v>204.5</v>
      </c>
      <c r="E262" s="74" t="str">
        <f t="shared" ca="1" si="19"/>
        <v>HD_122719C204.5</v>
      </c>
      <c r="F262" s="75" t="str">
        <f ca="1">_xll.xlqName(E262,tda)</f>
        <v>#N/A</v>
      </c>
      <c r="G262" s="75" t="str">
        <f t="shared" ca="1" si="22"/>
        <v>BAD</v>
      </c>
      <c r="I262" s="83">
        <v>43826</v>
      </c>
      <c r="J262" s="84">
        <v>189.5</v>
      </c>
      <c r="K262" s="74" t="s">
        <v>496</v>
      </c>
      <c r="L262" s="75" t="s">
        <v>53</v>
      </c>
      <c r="M262" s="75" t="s">
        <v>106</v>
      </c>
    </row>
    <row r="263" spans="1:13" x14ac:dyDescent="0.25">
      <c r="A263" s="48">
        <v>0.5</v>
      </c>
      <c r="B263" s="48"/>
      <c r="C263" s="83">
        <f t="shared" ca="1" si="20"/>
        <v>43826</v>
      </c>
      <c r="D263" s="84">
        <f t="shared" si="21"/>
        <v>205</v>
      </c>
      <c r="E263" s="74" t="str">
        <f t="shared" ca="1" si="19"/>
        <v>HD_122719C205</v>
      </c>
      <c r="F263" s="75" t="str">
        <f ca="1">_xll.xlqName(E263,tda)</f>
        <v>HD Dec 27 2019 205 Call (Weekly)</v>
      </c>
      <c r="G263" s="75" t="str">
        <f t="shared" ca="1" si="22"/>
        <v/>
      </c>
      <c r="I263" s="83">
        <v>43826</v>
      </c>
      <c r="J263" s="84">
        <v>190</v>
      </c>
      <c r="K263" s="74" t="s">
        <v>497</v>
      </c>
      <c r="L263" s="75" t="s">
        <v>498</v>
      </c>
      <c r="M263" s="75" t="s">
        <v>111</v>
      </c>
    </row>
    <row r="264" spans="1:13" x14ac:dyDescent="0.25">
      <c r="A264" s="48">
        <v>0.5</v>
      </c>
      <c r="B264" s="48"/>
      <c r="C264" s="83">
        <f t="shared" ca="1" si="20"/>
        <v>43826</v>
      </c>
      <c r="D264" s="84">
        <f t="shared" si="21"/>
        <v>205.5</v>
      </c>
      <c r="E264" s="74" t="str">
        <f t="shared" ca="1" si="19"/>
        <v>HD_122719C205.5</v>
      </c>
      <c r="F264" s="75" t="str">
        <f ca="1">_xll.xlqName(E264,tda)</f>
        <v>#N/A</v>
      </c>
      <c r="G264" s="75" t="str">
        <f t="shared" ca="1" si="22"/>
        <v>BAD</v>
      </c>
      <c r="I264" s="83">
        <v>43826</v>
      </c>
      <c r="J264" s="84">
        <v>190.5</v>
      </c>
      <c r="K264" s="74" t="s">
        <v>499</v>
      </c>
      <c r="L264" s="75" t="s">
        <v>53</v>
      </c>
      <c r="M264" s="75" t="s">
        <v>106</v>
      </c>
    </row>
    <row r="265" spans="1:13" x14ac:dyDescent="0.25">
      <c r="A265" s="48">
        <v>1</v>
      </c>
      <c r="B265" s="48"/>
      <c r="C265" s="83">
        <f t="shared" ca="1" si="20"/>
        <v>43826</v>
      </c>
      <c r="D265" s="84">
        <f t="shared" si="21"/>
        <v>206.5</v>
      </c>
      <c r="E265" s="74" t="str">
        <f t="shared" ca="1" si="19"/>
        <v>HD_122719C206.5</v>
      </c>
      <c r="F265" s="75" t="str">
        <f ca="1">_xll.xlqName(E265,tda)</f>
        <v>#N/A</v>
      </c>
      <c r="G265" s="75" t="str">
        <f t="shared" ca="1" si="22"/>
        <v>BAD</v>
      </c>
      <c r="I265" s="83">
        <v>43826</v>
      </c>
      <c r="J265" s="84">
        <v>191.5</v>
      </c>
      <c r="K265" s="74" t="s">
        <v>500</v>
      </c>
      <c r="L265" s="75" t="s">
        <v>53</v>
      </c>
      <c r="M265" s="75" t="s">
        <v>106</v>
      </c>
    </row>
    <row r="266" spans="1:13" x14ac:dyDescent="0.25">
      <c r="A266" s="48">
        <v>1</v>
      </c>
      <c r="B266" s="48"/>
      <c r="C266" s="83">
        <f t="shared" ca="1" si="20"/>
        <v>43826</v>
      </c>
      <c r="D266" s="84">
        <f t="shared" si="21"/>
        <v>207.5</v>
      </c>
      <c r="E266" s="74" t="str">
        <f t="shared" ca="1" si="19"/>
        <v>HD_122719C207.5</v>
      </c>
      <c r="F266" s="75" t="str">
        <f ca="1">_xll.xlqName(E266,tda)</f>
        <v>HD Dec 27 2019 207.5 Call (Weekly)</v>
      </c>
      <c r="G266" s="75" t="str">
        <f t="shared" ca="1" si="22"/>
        <v/>
      </c>
      <c r="I266" s="83">
        <v>43826</v>
      </c>
      <c r="J266" s="84">
        <v>192.5</v>
      </c>
      <c r="K266" s="74" t="s">
        <v>501</v>
      </c>
      <c r="L266" s="75" t="s">
        <v>53</v>
      </c>
      <c r="M266" s="75" t="s">
        <v>106</v>
      </c>
    </row>
    <row r="267" spans="1:13" x14ac:dyDescent="0.25">
      <c r="A267" s="48">
        <v>1</v>
      </c>
      <c r="B267" s="48"/>
      <c r="C267" s="83">
        <f t="shared" ca="1" si="20"/>
        <v>43826</v>
      </c>
      <c r="D267" s="84">
        <f t="shared" si="21"/>
        <v>208.5</v>
      </c>
      <c r="E267" s="74" t="str">
        <f t="shared" ca="1" si="19"/>
        <v>HD_122719C208.5</v>
      </c>
      <c r="F267" s="75" t="str">
        <f ca="1">_xll.xlqName(E267,tda)</f>
        <v>#N/A</v>
      </c>
      <c r="G267" s="75" t="str">
        <f t="shared" ca="1" si="22"/>
        <v>BAD</v>
      </c>
      <c r="I267" s="83">
        <v>43826</v>
      </c>
      <c r="J267" s="84">
        <v>193.5</v>
      </c>
      <c r="K267" s="74" t="s">
        <v>502</v>
      </c>
      <c r="L267" s="75" t="s">
        <v>53</v>
      </c>
      <c r="M267" s="75" t="s">
        <v>106</v>
      </c>
    </row>
    <row r="268" spans="1:13" x14ac:dyDescent="0.25">
      <c r="A268" s="48">
        <v>1</v>
      </c>
      <c r="B268" s="48"/>
      <c r="C268" s="83">
        <f t="shared" ca="1" si="20"/>
        <v>43826</v>
      </c>
      <c r="D268" s="84">
        <f t="shared" si="21"/>
        <v>209.5</v>
      </c>
      <c r="E268" s="74" t="str">
        <f t="shared" ca="1" si="19"/>
        <v>HD_122719C209.5</v>
      </c>
      <c r="F268" s="75" t="str">
        <f ca="1">_xll.xlqName(E268,tda)</f>
        <v>#N/A</v>
      </c>
      <c r="G268" s="75" t="str">
        <f t="shared" ca="1" si="22"/>
        <v>BAD</v>
      </c>
      <c r="I268" s="83">
        <v>43826</v>
      </c>
      <c r="J268" s="84">
        <v>194.5</v>
      </c>
      <c r="K268" s="74" t="s">
        <v>503</v>
      </c>
      <c r="L268" s="75" t="s">
        <v>53</v>
      </c>
      <c r="M268" s="75" t="s">
        <v>106</v>
      </c>
    </row>
    <row r="269" spans="1:13" x14ac:dyDescent="0.25">
      <c r="A269" s="48">
        <v>0.5</v>
      </c>
      <c r="B269" s="48"/>
      <c r="C269" s="83">
        <f t="shared" ca="1" si="20"/>
        <v>43826</v>
      </c>
      <c r="D269" s="84">
        <f t="shared" si="21"/>
        <v>210</v>
      </c>
      <c r="E269" s="74" t="str">
        <f t="shared" ca="1" si="19"/>
        <v>HD_122719C210</v>
      </c>
      <c r="F269" s="75" t="str">
        <f ca="1">_xll.xlqName(E269,tda)</f>
        <v>HD Dec 27 2019 210 Call (Weekly)</v>
      </c>
      <c r="G269" s="75" t="str">
        <f t="shared" ca="1" si="22"/>
        <v/>
      </c>
      <c r="I269" s="83">
        <v>43826</v>
      </c>
      <c r="J269" s="84">
        <v>195</v>
      </c>
      <c r="K269" s="74" t="s">
        <v>504</v>
      </c>
      <c r="L269" s="75" t="s">
        <v>505</v>
      </c>
      <c r="M269" s="75" t="s">
        <v>111</v>
      </c>
    </row>
    <row r="270" spans="1:13" x14ac:dyDescent="0.25">
      <c r="A270" s="48">
        <v>0.5</v>
      </c>
      <c r="B270" s="48"/>
      <c r="C270" s="83">
        <f t="shared" ca="1" si="20"/>
        <v>43826</v>
      </c>
      <c r="D270" s="84">
        <f t="shared" si="21"/>
        <v>210.5</v>
      </c>
      <c r="E270" s="74" t="str">
        <f t="shared" ca="1" si="19"/>
        <v>HD_122719C210.5</v>
      </c>
      <c r="F270" s="75" t="str">
        <f ca="1">_xll.xlqName(E270,tda)</f>
        <v>#N/A</v>
      </c>
      <c r="G270" s="75" t="str">
        <f t="shared" ca="1" si="22"/>
        <v>BAD</v>
      </c>
      <c r="I270" s="83">
        <v>43826</v>
      </c>
      <c r="J270" s="84">
        <v>195.5</v>
      </c>
      <c r="K270" s="74" t="s">
        <v>506</v>
      </c>
      <c r="L270" s="75" t="s">
        <v>53</v>
      </c>
      <c r="M270" s="75" t="s">
        <v>106</v>
      </c>
    </row>
    <row r="271" spans="1:13" x14ac:dyDescent="0.25">
      <c r="A271" s="48">
        <v>1</v>
      </c>
      <c r="B271" s="48"/>
      <c r="C271" s="83">
        <f t="shared" ca="1" si="20"/>
        <v>43826</v>
      </c>
      <c r="D271" s="84">
        <f t="shared" si="21"/>
        <v>211.5</v>
      </c>
      <c r="E271" s="74" t="str">
        <f t="shared" ca="1" si="19"/>
        <v>HD_122719C211.5</v>
      </c>
      <c r="F271" s="75" t="str">
        <f ca="1">_xll.xlqName(E271,tda)</f>
        <v>#N/A</v>
      </c>
      <c r="G271" s="75" t="str">
        <f t="shared" ca="1" si="22"/>
        <v>BAD</v>
      </c>
      <c r="I271" s="83">
        <v>43826</v>
      </c>
      <c r="J271" s="84">
        <v>196.5</v>
      </c>
      <c r="K271" s="74" t="s">
        <v>507</v>
      </c>
      <c r="L271" s="75" t="s">
        <v>53</v>
      </c>
      <c r="M271" s="75" t="s">
        <v>106</v>
      </c>
    </row>
    <row r="272" spans="1:13" x14ac:dyDescent="0.25">
      <c r="A272" s="48">
        <v>1</v>
      </c>
      <c r="B272" s="48"/>
      <c r="C272" s="83">
        <f t="shared" ca="1" si="20"/>
        <v>43826</v>
      </c>
      <c r="D272" s="84">
        <f t="shared" si="21"/>
        <v>212.5</v>
      </c>
      <c r="E272" s="74" t="str">
        <f t="shared" ca="1" si="19"/>
        <v>HD_122719C212.5</v>
      </c>
      <c r="F272" s="75" t="str">
        <f ca="1">_xll.xlqName(E272,tda)</f>
        <v>HD Dec 27 2019 212.5 Call (Weekly)</v>
      </c>
      <c r="G272" s="75" t="str">
        <f t="shared" ca="1" si="22"/>
        <v/>
      </c>
      <c r="I272" s="83">
        <v>43826</v>
      </c>
      <c r="J272" s="84">
        <v>197.5</v>
      </c>
      <c r="K272" s="74" t="s">
        <v>508</v>
      </c>
      <c r="L272" s="75" t="s">
        <v>509</v>
      </c>
      <c r="M272" s="75" t="s">
        <v>111</v>
      </c>
    </row>
    <row r="273" spans="1:13" x14ac:dyDescent="0.25">
      <c r="A273" s="48">
        <v>1</v>
      </c>
      <c r="B273" s="48"/>
      <c r="C273" s="83">
        <f t="shared" ca="1" si="20"/>
        <v>43826</v>
      </c>
      <c r="D273" s="84">
        <f t="shared" si="21"/>
        <v>213.5</v>
      </c>
      <c r="E273" s="74" t="str">
        <f t="shared" ca="1" si="19"/>
        <v>HD_122719C213.5</v>
      </c>
      <c r="F273" s="75" t="str">
        <f ca="1">_xll.xlqName(E273,tda)</f>
        <v>#N/A</v>
      </c>
      <c r="G273" s="75" t="str">
        <f t="shared" ca="1" si="22"/>
        <v>BAD</v>
      </c>
      <c r="I273" s="83">
        <v>43826</v>
      </c>
      <c r="J273" s="84">
        <v>198.5</v>
      </c>
      <c r="K273" s="74" t="s">
        <v>510</v>
      </c>
      <c r="L273" s="75" t="s">
        <v>53</v>
      </c>
      <c r="M273" s="75" t="s">
        <v>106</v>
      </c>
    </row>
    <row r="274" spans="1:13" x14ac:dyDescent="0.25">
      <c r="A274" s="48">
        <v>1</v>
      </c>
      <c r="B274" s="48"/>
      <c r="C274" s="83">
        <f t="shared" ca="1" si="20"/>
        <v>43826</v>
      </c>
      <c r="D274" s="84">
        <f t="shared" si="21"/>
        <v>214.5</v>
      </c>
      <c r="E274" s="74" t="str">
        <f t="shared" ca="1" si="19"/>
        <v>HD_122719C214.5</v>
      </c>
      <c r="F274" s="75" t="str">
        <f ca="1">_xll.xlqName(E274,tda)</f>
        <v>#N/A</v>
      </c>
      <c r="G274" s="75" t="str">
        <f t="shared" ca="1" si="22"/>
        <v>BAD</v>
      </c>
      <c r="I274" s="83">
        <v>43826</v>
      </c>
      <c r="J274" s="84">
        <v>199.5</v>
      </c>
      <c r="K274" s="74" t="s">
        <v>511</v>
      </c>
      <c r="L274" s="75" t="s">
        <v>53</v>
      </c>
      <c r="M274" s="75" t="s">
        <v>106</v>
      </c>
    </row>
    <row r="275" spans="1:13" x14ac:dyDescent="0.25">
      <c r="A275" s="48">
        <v>0.5</v>
      </c>
      <c r="B275" s="48"/>
      <c r="C275" s="83">
        <f t="shared" ca="1" si="20"/>
        <v>43826</v>
      </c>
      <c r="D275" s="84">
        <f t="shared" si="21"/>
        <v>215</v>
      </c>
      <c r="E275" s="74" t="str">
        <f t="shared" ca="1" si="19"/>
        <v>HD_122719C215</v>
      </c>
      <c r="F275" s="75" t="str">
        <f ca="1">_xll.xlqName(E275,tda)</f>
        <v>HD Dec 27 2019 215 Call (Weekly)</v>
      </c>
      <c r="G275" s="75" t="str">
        <f t="shared" ca="1" si="22"/>
        <v/>
      </c>
      <c r="I275" s="83">
        <v>43826</v>
      </c>
      <c r="J275" s="84">
        <v>200</v>
      </c>
      <c r="K275" s="74" t="s">
        <v>512</v>
      </c>
      <c r="L275" s="75" t="s">
        <v>513</v>
      </c>
      <c r="M275" s="75" t="s">
        <v>111</v>
      </c>
    </row>
    <row r="276" spans="1:13" x14ac:dyDescent="0.25">
      <c r="A276" s="48">
        <v>0.5</v>
      </c>
      <c r="B276" s="48"/>
      <c r="C276" s="83">
        <f t="shared" ca="1" si="20"/>
        <v>43826</v>
      </c>
      <c r="D276" s="84">
        <f t="shared" si="21"/>
        <v>215.5</v>
      </c>
      <c r="E276" s="74" t="str">
        <f t="shared" ca="1" si="19"/>
        <v>HD_122719C215.5</v>
      </c>
      <c r="F276" s="75" t="str">
        <f ca="1">_xll.xlqName(E276,tda)</f>
        <v>#N/A</v>
      </c>
      <c r="G276" s="75" t="str">
        <f t="shared" ca="1" si="22"/>
        <v>BAD</v>
      </c>
      <c r="I276" s="83">
        <v>43826</v>
      </c>
      <c r="J276" s="84">
        <v>200.5</v>
      </c>
      <c r="K276" s="74" t="s">
        <v>514</v>
      </c>
      <c r="L276" s="75" t="s">
        <v>53</v>
      </c>
      <c r="M276" s="75" t="s">
        <v>106</v>
      </c>
    </row>
    <row r="277" spans="1:13" x14ac:dyDescent="0.25">
      <c r="A277" s="48">
        <v>1</v>
      </c>
      <c r="B277" s="48"/>
      <c r="C277" s="83">
        <f t="shared" ca="1" si="20"/>
        <v>43826</v>
      </c>
      <c r="D277" s="84">
        <f t="shared" si="21"/>
        <v>216.5</v>
      </c>
      <c r="E277" s="74" t="str">
        <f t="shared" ca="1" si="19"/>
        <v>HD_122719C216.5</v>
      </c>
      <c r="F277" s="75" t="str">
        <f ca="1">_xll.xlqName(E277,tda)</f>
        <v>#N/A</v>
      </c>
      <c r="G277" s="75" t="str">
        <f t="shared" ca="1" si="22"/>
        <v>BAD</v>
      </c>
      <c r="I277" s="83">
        <v>43826</v>
      </c>
      <c r="J277" s="84">
        <v>201.5</v>
      </c>
      <c r="K277" s="74" t="s">
        <v>515</v>
      </c>
      <c r="L277" s="75" t="s">
        <v>53</v>
      </c>
      <c r="M277" s="75" t="s">
        <v>106</v>
      </c>
    </row>
    <row r="278" spans="1:13" x14ac:dyDescent="0.25">
      <c r="A278" s="48">
        <v>1</v>
      </c>
      <c r="B278" s="48"/>
      <c r="C278" s="83">
        <f t="shared" ca="1" si="20"/>
        <v>43826</v>
      </c>
      <c r="D278" s="84">
        <f t="shared" si="21"/>
        <v>217.5</v>
      </c>
      <c r="E278" s="74" t="str">
        <f t="shared" ca="1" si="19"/>
        <v>HD_122719C217.5</v>
      </c>
      <c r="F278" s="75" t="str">
        <f ca="1">_xll.xlqName(E278,tda)</f>
        <v>HD Dec 27 2019 217.5 Call (Weekly)</v>
      </c>
      <c r="G278" s="75" t="str">
        <f t="shared" ca="1" si="22"/>
        <v/>
      </c>
      <c r="I278" s="83">
        <v>43826</v>
      </c>
      <c r="J278" s="84">
        <v>202.5</v>
      </c>
      <c r="K278" s="74" t="s">
        <v>516</v>
      </c>
      <c r="L278" s="75" t="s">
        <v>517</v>
      </c>
      <c r="M278" s="75" t="s">
        <v>111</v>
      </c>
    </row>
    <row r="279" spans="1:13" x14ac:dyDescent="0.25">
      <c r="A279" s="48">
        <v>1</v>
      </c>
      <c r="B279" s="48"/>
      <c r="C279" s="83">
        <f t="shared" ca="1" si="20"/>
        <v>43826</v>
      </c>
      <c r="D279" s="84">
        <f t="shared" si="21"/>
        <v>218.5</v>
      </c>
      <c r="E279" s="74" t="str">
        <f t="shared" ca="1" si="19"/>
        <v>HD_122719C218.5</v>
      </c>
      <c r="F279" s="75" t="str">
        <f ca="1">_xll.xlqName(E279,tda)</f>
        <v>#N/A</v>
      </c>
      <c r="G279" s="75" t="str">
        <f t="shared" ca="1" si="22"/>
        <v>BAD</v>
      </c>
      <c r="I279" s="83">
        <v>43826</v>
      </c>
      <c r="J279" s="84">
        <v>203.5</v>
      </c>
      <c r="K279" s="74" t="s">
        <v>518</v>
      </c>
      <c r="L279" s="75" t="s">
        <v>53</v>
      </c>
      <c r="M279" s="75" t="s">
        <v>106</v>
      </c>
    </row>
    <row r="280" spans="1:13" x14ac:dyDescent="0.25">
      <c r="A280" s="48">
        <v>1</v>
      </c>
      <c r="B280" s="48"/>
      <c r="C280" s="83">
        <f t="shared" ca="1" si="20"/>
        <v>43826</v>
      </c>
      <c r="D280" s="84">
        <f t="shared" si="21"/>
        <v>219.5</v>
      </c>
      <c r="E280" s="74" t="str">
        <f t="shared" ca="1" si="19"/>
        <v>HD_122719C219.5</v>
      </c>
      <c r="F280" s="75" t="str">
        <f ca="1">_xll.xlqName(E280,tda)</f>
        <v>#N/A</v>
      </c>
      <c r="G280" s="75" t="str">
        <f t="shared" ca="1" si="22"/>
        <v>BAD</v>
      </c>
      <c r="I280" s="83">
        <v>43826</v>
      </c>
      <c r="J280" s="84">
        <v>204.5</v>
      </c>
      <c r="K280" s="74" t="s">
        <v>519</v>
      </c>
      <c r="L280" s="75" t="s">
        <v>53</v>
      </c>
      <c r="M280" s="75" t="s">
        <v>106</v>
      </c>
    </row>
    <row r="281" spans="1:13" x14ac:dyDescent="0.25">
      <c r="A281" s="48">
        <v>0.5</v>
      </c>
      <c r="B281" s="48"/>
      <c r="C281" s="83">
        <f t="shared" ca="1" si="20"/>
        <v>43826</v>
      </c>
      <c r="D281" s="84">
        <f t="shared" si="21"/>
        <v>220</v>
      </c>
      <c r="E281" s="74" t="str">
        <f t="shared" ca="1" si="19"/>
        <v>HD_122719C220</v>
      </c>
      <c r="F281" s="75" t="str">
        <f ca="1">_xll.xlqName(E281,tda)</f>
        <v>HD Dec 27 2019 220 Call (Weekly)</v>
      </c>
      <c r="G281" s="75" t="str">
        <f t="shared" ca="1" si="22"/>
        <v/>
      </c>
      <c r="I281" s="83">
        <v>43826</v>
      </c>
      <c r="J281" s="84">
        <v>205</v>
      </c>
      <c r="K281" s="74" t="s">
        <v>520</v>
      </c>
      <c r="L281" s="75" t="s">
        <v>521</v>
      </c>
      <c r="M281" s="75" t="s">
        <v>111</v>
      </c>
    </row>
    <row r="282" spans="1:13" x14ac:dyDescent="0.25">
      <c r="A282" s="48">
        <v>0.5</v>
      </c>
      <c r="B282" s="48"/>
      <c r="C282" s="83">
        <f t="shared" ca="1" si="20"/>
        <v>43826</v>
      </c>
      <c r="D282" s="84">
        <f t="shared" si="21"/>
        <v>220.5</v>
      </c>
      <c r="E282" s="74" t="str">
        <f t="shared" ca="1" si="19"/>
        <v>HD_122719C220.5</v>
      </c>
      <c r="F282" s="75" t="str">
        <f ca="1">_xll.xlqName(E282,tda)</f>
        <v>#N/A</v>
      </c>
      <c r="G282" s="75" t="str">
        <f t="shared" ca="1" si="22"/>
        <v>BAD</v>
      </c>
      <c r="I282" s="83">
        <v>43826</v>
      </c>
      <c r="J282" s="84">
        <v>205.5</v>
      </c>
      <c r="K282" s="74" t="s">
        <v>522</v>
      </c>
      <c r="L282" s="75" t="s">
        <v>53</v>
      </c>
      <c r="M282" s="75" t="s">
        <v>106</v>
      </c>
    </row>
    <row r="283" spans="1:13" x14ac:dyDescent="0.25">
      <c r="A283" s="48">
        <v>1</v>
      </c>
      <c r="B283" s="48"/>
      <c r="C283" s="83">
        <f t="shared" ca="1" si="20"/>
        <v>43826</v>
      </c>
      <c r="D283" s="84">
        <f t="shared" si="21"/>
        <v>221.5</v>
      </c>
      <c r="E283" s="74" t="str">
        <f t="shared" ca="1" si="19"/>
        <v>HD_122719C221.5</v>
      </c>
      <c r="F283" s="75" t="str">
        <f ca="1">_xll.xlqName(E283,tda)</f>
        <v>#N/A</v>
      </c>
      <c r="G283" s="75" t="str">
        <f t="shared" ca="1" si="22"/>
        <v>BAD</v>
      </c>
      <c r="I283" s="83">
        <v>43826</v>
      </c>
      <c r="J283" s="84">
        <v>206.5</v>
      </c>
      <c r="K283" s="74" t="s">
        <v>523</v>
      </c>
      <c r="L283" s="75" t="s">
        <v>53</v>
      </c>
      <c r="M283" s="75" t="s">
        <v>106</v>
      </c>
    </row>
    <row r="284" spans="1:13" x14ac:dyDescent="0.25">
      <c r="A284" s="48">
        <v>1</v>
      </c>
      <c r="B284" s="48"/>
      <c r="C284" s="83">
        <f t="shared" ca="1" si="20"/>
        <v>43826</v>
      </c>
      <c r="D284" s="84">
        <f t="shared" si="21"/>
        <v>222.5</v>
      </c>
      <c r="E284" s="74" t="str">
        <f t="shared" ca="1" si="19"/>
        <v>HD_122719C222.5</v>
      </c>
      <c r="F284" s="75" t="str">
        <f ca="1">_xll.xlqName(E284,tda)</f>
        <v>HD Dec 27 2019 222.5 Call (Weekly)</v>
      </c>
      <c r="G284" s="75" t="str">
        <f t="shared" ca="1" si="22"/>
        <v/>
      </c>
      <c r="I284" s="83">
        <v>43826</v>
      </c>
      <c r="J284" s="84">
        <v>207.5</v>
      </c>
      <c r="K284" s="74" t="s">
        <v>524</v>
      </c>
      <c r="L284" s="75" t="s">
        <v>525</v>
      </c>
      <c r="M284" s="75" t="s">
        <v>111</v>
      </c>
    </row>
    <row r="285" spans="1:13" x14ac:dyDescent="0.25">
      <c r="A285" s="48">
        <v>1</v>
      </c>
      <c r="B285" s="48"/>
      <c r="C285" s="83">
        <f t="shared" ca="1" si="20"/>
        <v>43826</v>
      </c>
      <c r="D285" s="84">
        <f t="shared" si="21"/>
        <v>223.5</v>
      </c>
      <c r="E285" s="74" t="str">
        <f t="shared" ca="1" si="19"/>
        <v>HD_122719C223.5</v>
      </c>
      <c r="F285" s="75" t="str">
        <f ca="1">_xll.xlqName(E285,tda)</f>
        <v>#N/A</v>
      </c>
      <c r="G285" s="75" t="str">
        <f t="shared" ca="1" si="22"/>
        <v>BAD</v>
      </c>
      <c r="I285" s="83">
        <v>43826</v>
      </c>
      <c r="J285" s="84">
        <v>208.5</v>
      </c>
      <c r="K285" s="74" t="s">
        <v>526</v>
      </c>
      <c r="L285" s="75" t="s">
        <v>53</v>
      </c>
      <c r="M285" s="75" t="s">
        <v>106</v>
      </c>
    </row>
    <row r="286" spans="1:13" x14ac:dyDescent="0.25">
      <c r="A286" s="48">
        <v>1</v>
      </c>
      <c r="B286" s="48"/>
      <c r="C286" s="83">
        <f t="shared" ca="1" si="20"/>
        <v>43826</v>
      </c>
      <c r="D286" s="84">
        <f t="shared" si="21"/>
        <v>224.5</v>
      </c>
      <c r="E286" s="74" t="str">
        <f t="shared" ca="1" si="19"/>
        <v>HD_122719C224.5</v>
      </c>
      <c r="F286" s="75" t="str">
        <f ca="1">_xll.xlqName(E286,tda)</f>
        <v>#N/A</v>
      </c>
      <c r="G286" s="75" t="str">
        <f t="shared" ca="1" si="22"/>
        <v>BAD</v>
      </c>
      <c r="I286" s="83">
        <v>43826</v>
      </c>
      <c r="J286" s="84">
        <v>209.5</v>
      </c>
      <c r="K286" s="74" t="s">
        <v>527</v>
      </c>
      <c r="L286" s="75" t="s">
        <v>53</v>
      </c>
      <c r="M286" s="75" t="s">
        <v>106</v>
      </c>
    </row>
    <row r="287" spans="1:13" x14ac:dyDescent="0.25">
      <c r="A287" s="48">
        <v>0.5</v>
      </c>
      <c r="B287" s="48"/>
      <c r="C287" s="83">
        <f t="shared" ca="1" si="20"/>
        <v>43826</v>
      </c>
      <c r="D287" s="84">
        <f t="shared" si="21"/>
        <v>225</v>
      </c>
      <c r="E287" s="74" t="str">
        <f t="shared" ca="1" si="19"/>
        <v>HD_122719C225</v>
      </c>
      <c r="F287" s="75" t="str">
        <f ca="1">_xll.xlqName(E287,tda)</f>
        <v>HD Dec 27 2019 225 Call (Weekly)</v>
      </c>
      <c r="G287" s="75" t="str">
        <f t="shared" ca="1" si="22"/>
        <v/>
      </c>
      <c r="I287" s="83">
        <v>43826</v>
      </c>
      <c r="J287" s="84">
        <v>210</v>
      </c>
      <c r="K287" s="74" t="s">
        <v>528</v>
      </c>
      <c r="L287" s="75" t="s">
        <v>529</v>
      </c>
      <c r="M287" s="75" t="s">
        <v>111</v>
      </c>
    </row>
    <row r="288" spans="1:13" x14ac:dyDescent="0.25">
      <c r="A288" s="48">
        <v>0.5</v>
      </c>
      <c r="B288" s="48"/>
      <c r="C288" s="83">
        <f t="shared" ca="1" si="20"/>
        <v>43826</v>
      </c>
      <c r="D288" s="84">
        <f t="shared" si="21"/>
        <v>225.5</v>
      </c>
      <c r="E288" s="74" t="str">
        <f t="shared" ca="1" si="19"/>
        <v>HD_122719C225.5</v>
      </c>
      <c r="F288" s="75" t="str">
        <f ca="1">_xll.xlqName(E288,tda)</f>
        <v>#N/A</v>
      </c>
      <c r="G288" s="75" t="str">
        <f t="shared" ca="1" si="22"/>
        <v>BAD</v>
      </c>
      <c r="I288" s="83">
        <v>43826</v>
      </c>
      <c r="J288" s="84">
        <v>210.5</v>
      </c>
      <c r="K288" s="74" t="s">
        <v>530</v>
      </c>
      <c r="L288" s="75" t="s">
        <v>53</v>
      </c>
      <c r="M288" s="75" t="s">
        <v>106</v>
      </c>
    </row>
    <row r="289" spans="1:13" x14ac:dyDescent="0.25">
      <c r="A289" s="48">
        <v>1</v>
      </c>
      <c r="B289" s="48"/>
      <c r="C289" s="83">
        <f t="shared" ca="1" si="20"/>
        <v>43826</v>
      </c>
      <c r="D289" s="84">
        <f t="shared" si="21"/>
        <v>226.5</v>
      </c>
      <c r="E289" s="74" t="str">
        <f t="shared" ca="1" si="19"/>
        <v>HD_122719C226.5</v>
      </c>
      <c r="F289" s="75" t="str">
        <f ca="1">_xll.xlqName(E289,tda)</f>
        <v>#N/A</v>
      </c>
      <c r="G289" s="75" t="str">
        <f t="shared" ca="1" si="22"/>
        <v>BAD</v>
      </c>
      <c r="I289" s="83">
        <v>43826</v>
      </c>
      <c r="J289" s="84">
        <v>211.5</v>
      </c>
      <c r="K289" s="74" t="s">
        <v>531</v>
      </c>
      <c r="L289" s="75" t="s">
        <v>53</v>
      </c>
      <c r="M289" s="75" t="s">
        <v>106</v>
      </c>
    </row>
    <row r="290" spans="1:13" x14ac:dyDescent="0.25">
      <c r="A290" s="48">
        <v>1</v>
      </c>
      <c r="B290" s="48"/>
      <c r="C290" s="83">
        <f t="shared" ca="1" si="20"/>
        <v>43826</v>
      </c>
      <c r="D290" s="84">
        <f t="shared" si="21"/>
        <v>227.5</v>
      </c>
      <c r="E290" s="74" t="str">
        <f t="shared" ca="1" si="19"/>
        <v>HD_122719C227.5</v>
      </c>
      <c r="F290" s="75" t="str">
        <f ca="1">_xll.xlqName(E290,tda)</f>
        <v>HD Dec 27 2019 227.5 Call (Weekly)</v>
      </c>
      <c r="G290" s="75" t="str">
        <f t="shared" ca="1" si="22"/>
        <v/>
      </c>
      <c r="I290" s="83">
        <v>43826</v>
      </c>
      <c r="J290" s="84">
        <v>212.5</v>
      </c>
      <c r="K290" s="74" t="s">
        <v>532</v>
      </c>
      <c r="L290" s="75" t="s">
        <v>533</v>
      </c>
      <c r="M290" s="75" t="s">
        <v>111</v>
      </c>
    </row>
    <row r="291" spans="1:13" x14ac:dyDescent="0.25">
      <c r="A291" s="48">
        <v>1</v>
      </c>
      <c r="B291" s="48"/>
      <c r="C291" s="83">
        <f t="shared" ca="1" si="20"/>
        <v>43826</v>
      </c>
      <c r="D291" s="84">
        <f t="shared" si="21"/>
        <v>228.5</v>
      </c>
      <c r="E291" s="74" t="str">
        <f t="shared" ca="1" si="19"/>
        <v>HD_122719C228.5</v>
      </c>
      <c r="F291" s="75" t="str">
        <f ca="1">_xll.xlqName(E291,tda)</f>
        <v>#N/A</v>
      </c>
      <c r="G291" s="75" t="str">
        <f t="shared" ca="1" si="22"/>
        <v>BAD</v>
      </c>
      <c r="I291" s="83">
        <v>43826</v>
      </c>
      <c r="J291" s="84">
        <v>213.5</v>
      </c>
      <c r="K291" s="74" t="s">
        <v>534</v>
      </c>
      <c r="L291" s="75" t="s">
        <v>53</v>
      </c>
      <c r="M291" s="75" t="s">
        <v>106</v>
      </c>
    </row>
    <row r="292" spans="1:13" x14ac:dyDescent="0.25">
      <c r="A292" s="48">
        <v>1</v>
      </c>
      <c r="B292" s="48"/>
      <c r="C292" s="83">
        <f t="shared" ca="1" si="20"/>
        <v>43826</v>
      </c>
      <c r="D292" s="84">
        <f t="shared" si="21"/>
        <v>229.5</v>
      </c>
      <c r="E292" s="74" t="str">
        <f t="shared" ca="1" si="19"/>
        <v>HD_122719C229.5</v>
      </c>
      <c r="F292" s="75" t="str">
        <f ca="1">_xll.xlqName(E292,tda)</f>
        <v>#N/A</v>
      </c>
      <c r="G292" s="75" t="str">
        <f t="shared" ca="1" si="22"/>
        <v>BAD</v>
      </c>
      <c r="I292" s="83">
        <v>43826</v>
      </c>
      <c r="J292" s="84">
        <v>214.5</v>
      </c>
      <c r="K292" s="74" t="s">
        <v>535</v>
      </c>
      <c r="L292" s="75" t="s">
        <v>53</v>
      </c>
      <c r="M292" s="75" t="s">
        <v>106</v>
      </c>
    </row>
    <row r="293" spans="1:13" x14ac:dyDescent="0.25">
      <c r="A293" s="48">
        <v>0.5</v>
      </c>
      <c r="B293" s="48"/>
      <c r="C293" s="83">
        <f t="shared" ca="1" si="20"/>
        <v>43826</v>
      </c>
      <c r="D293" s="84">
        <f t="shared" si="21"/>
        <v>230</v>
      </c>
      <c r="E293" s="74" t="str">
        <f t="shared" ca="1" si="19"/>
        <v>HD_122719C230</v>
      </c>
      <c r="F293" s="75" t="str">
        <f ca="1">_xll.xlqName(E293,tda)</f>
        <v>HD Dec 27 2019 230 Call (Weekly)</v>
      </c>
      <c r="G293" s="75" t="str">
        <f t="shared" ca="1" si="22"/>
        <v/>
      </c>
      <c r="I293" s="83">
        <v>43826</v>
      </c>
      <c r="J293" s="84">
        <v>215</v>
      </c>
      <c r="K293" s="74" t="s">
        <v>536</v>
      </c>
      <c r="L293" s="75" t="s">
        <v>537</v>
      </c>
      <c r="M293" s="75" t="s">
        <v>111</v>
      </c>
    </row>
    <row r="294" spans="1:13" x14ac:dyDescent="0.25">
      <c r="A294" s="48">
        <v>0.5</v>
      </c>
      <c r="B294" s="48"/>
      <c r="C294" s="83">
        <f t="shared" ca="1" si="20"/>
        <v>43833</v>
      </c>
      <c r="D294" s="84">
        <f t="shared" si="21"/>
        <v>170</v>
      </c>
      <c r="E294" s="74" t="str">
        <f t="shared" ca="1" si="19"/>
        <v>HD_010320C170</v>
      </c>
      <c r="F294" s="75" t="str">
        <f ca="1">_xll.xlqName(E294,tda)</f>
        <v>#N/A</v>
      </c>
      <c r="G294" s="75" t="str">
        <f t="shared" ca="1" si="22"/>
        <v>BAD</v>
      </c>
      <c r="I294" s="83">
        <v>43826</v>
      </c>
      <c r="J294" s="84">
        <v>215.5</v>
      </c>
      <c r="K294" s="74" t="s">
        <v>538</v>
      </c>
      <c r="L294" s="75" t="s">
        <v>53</v>
      </c>
      <c r="M294" s="75" t="s">
        <v>106</v>
      </c>
    </row>
    <row r="295" spans="1:13" x14ac:dyDescent="0.25">
      <c r="A295" s="48">
        <v>1</v>
      </c>
      <c r="B295" s="48"/>
      <c r="C295" s="83">
        <f t="shared" ca="1" si="20"/>
        <v>43833</v>
      </c>
      <c r="D295" s="84">
        <f t="shared" si="21"/>
        <v>171</v>
      </c>
      <c r="E295" s="74" t="str">
        <f t="shared" ca="1" si="19"/>
        <v>HD_010320C171</v>
      </c>
      <c r="F295" s="75" t="str">
        <f ca="1">_xll.xlqName(E295,tda)</f>
        <v>#N/A</v>
      </c>
      <c r="G295" s="75" t="str">
        <f t="shared" ca="1" si="22"/>
        <v>BAD</v>
      </c>
      <c r="I295" s="83">
        <v>43826</v>
      </c>
      <c r="J295" s="84">
        <v>216.5</v>
      </c>
      <c r="K295" s="74" t="s">
        <v>539</v>
      </c>
      <c r="L295" s="75" t="s">
        <v>53</v>
      </c>
      <c r="M295" s="75" t="s">
        <v>106</v>
      </c>
    </row>
    <row r="296" spans="1:13" x14ac:dyDescent="0.25">
      <c r="A296" s="48">
        <v>1</v>
      </c>
      <c r="B296" s="48"/>
      <c r="C296" s="83">
        <f t="shared" ca="1" si="20"/>
        <v>43833</v>
      </c>
      <c r="D296" s="84">
        <f t="shared" si="21"/>
        <v>172</v>
      </c>
      <c r="E296" s="74" t="str">
        <f t="shared" ca="1" si="19"/>
        <v>HD_010320C172</v>
      </c>
      <c r="F296" s="75" t="str">
        <f ca="1">_xll.xlqName(E296,tda)</f>
        <v>#N/A</v>
      </c>
      <c r="G296" s="75" t="str">
        <f t="shared" ca="1" si="22"/>
        <v>BAD</v>
      </c>
      <c r="I296" s="83">
        <v>43826</v>
      </c>
      <c r="J296" s="84">
        <v>217.5</v>
      </c>
      <c r="K296" s="74" t="s">
        <v>540</v>
      </c>
      <c r="L296" s="75" t="s">
        <v>541</v>
      </c>
      <c r="M296" s="75" t="s">
        <v>111</v>
      </c>
    </row>
    <row r="297" spans="1:13" x14ac:dyDescent="0.25">
      <c r="A297" s="48">
        <v>1</v>
      </c>
      <c r="B297" s="48"/>
      <c r="C297" s="83">
        <f t="shared" ca="1" si="20"/>
        <v>43833</v>
      </c>
      <c r="D297" s="84">
        <f t="shared" si="21"/>
        <v>173</v>
      </c>
      <c r="E297" s="74" t="str">
        <f t="shared" ca="1" si="19"/>
        <v>HD_010320C173</v>
      </c>
      <c r="F297" s="75" t="str">
        <f ca="1">_xll.xlqName(E297,tda)</f>
        <v>#N/A</v>
      </c>
      <c r="G297" s="75" t="str">
        <f t="shared" ca="1" si="22"/>
        <v>BAD</v>
      </c>
      <c r="I297" s="83">
        <v>43826</v>
      </c>
      <c r="J297" s="84">
        <v>218.5</v>
      </c>
      <c r="K297" s="74" t="s">
        <v>542</v>
      </c>
      <c r="L297" s="75" t="s">
        <v>53</v>
      </c>
      <c r="M297" s="75" t="s">
        <v>106</v>
      </c>
    </row>
    <row r="298" spans="1:13" x14ac:dyDescent="0.25">
      <c r="A298" s="48">
        <v>1</v>
      </c>
      <c r="B298" s="48"/>
      <c r="C298" s="83">
        <f t="shared" ca="1" si="20"/>
        <v>43833</v>
      </c>
      <c r="D298" s="84">
        <f t="shared" si="21"/>
        <v>174</v>
      </c>
      <c r="E298" s="74" t="str">
        <f t="shared" ca="1" si="19"/>
        <v>HD_010320C174</v>
      </c>
      <c r="F298" s="75" t="str">
        <f ca="1">_xll.xlqName(E298,tda)</f>
        <v>#N/A</v>
      </c>
      <c r="G298" s="75" t="str">
        <f t="shared" ca="1" si="22"/>
        <v>BAD</v>
      </c>
      <c r="I298" s="83">
        <v>43826</v>
      </c>
      <c r="J298" s="84">
        <v>219.5</v>
      </c>
      <c r="K298" s="74" t="s">
        <v>543</v>
      </c>
      <c r="L298" s="75" t="s">
        <v>53</v>
      </c>
      <c r="M298" s="75" t="s">
        <v>106</v>
      </c>
    </row>
    <row r="299" spans="1:13" x14ac:dyDescent="0.25">
      <c r="A299" s="48">
        <v>0.5</v>
      </c>
      <c r="B299" s="48"/>
      <c r="C299" s="83">
        <f t="shared" ca="1" si="20"/>
        <v>43833</v>
      </c>
      <c r="D299" s="84">
        <f t="shared" si="21"/>
        <v>174.5</v>
      </c>
      <c r="E299" s="74" t="str">
        <f t="shared" ca="1" si="19"/>
        <v>HD_010320C174.5</v>
      </c>
      <c r="F299" s="75" t="str">
        <f ca="1">_xll.xlqName(E299,tda)</f>
        <v>#N/A</v>
      </c>
      <c r="G299" s="75" t="str">
        <f t="shared" ca="1" si="22"/>
        <v>BAD</v>
      </c>
      <c r="I299" s="83">
        <v>43826</v>
      </c>
      <c r="J299" s="84">
        <v>220</v>
      </c>
      <c r="K299" s="74" t="s">
        <v>544</v>
      </c>
      <c r="L299" s="75" t="s">
        <v>545</v>
      </c>
      <c r="M299" s="75" t="s">
        <v>111</v>
      </c>
    </row>
    <row r="300" spans="1:13" x14ac:dyDescent="0.25">
      <c r="A300" s="48">
        <v>0.5</v>
      </c>
      <c r="B300" s="48"/>
      <c r="C300" s="83">
        <f t="shared" ca="1" si="20"/>
        <v>43833</v>
      </c>
      <c r="D300" s="84">
        <f t="shared" si="21"/>
        <v>175</v>
      </c>
      <c r="E300" s="74" t="str">
        <f t="shared" ca="1" si="19"/>
        <v>HD_010320C175</v>
      </c>
      <c r="F300" s="75" t="str">
        <f ca="1">_xll.xlqName(E300,tda)</f>
        <v>#N/A</v>
      </c>
      <c r="G300" s="75" t="str">
        <f t="shared" ca="1" si="22"/>
        <v>BAD</v>
      </c>
      <c r="I300" s="83">
        <v>43826</v>
      </c>
      <c r="J300" s="84">
        <v>220.5</v>
      </c>
      <c r="K300" s="74" t="s">
        <v>546</v>
      </c>
      <c r="L300" s="75" t="s">
        <v>53</v>
      </c>
      <c r="M300" s="75" t="s">
        <v>106</v>
      </c>
    </row>
    <row r="301" spans="1:13" x14ac:dyDescent="0.25">
      <c r="A301" s="48">
        <v>1</v>
      </c>
      <c r="B301" s="48"/>
      <c r="C301" s="83">
        <f t="shared" ca="1" si="20"/>
        <v>43833</v>
      </c>
      <c r="D301" s="84">
        <f t="shared" si="21"/>
        <v>176</v>
      </c>
      <c r="E301" s="74" t="str">
        <f t="shared" ca="1" si="19"/>
        <v>HD_010320C176</v>
      </c>
      <c r="F301" s="75" t="str">
        <f ca="1">_xll.xlqName(E301,tda)</f>
        <v>#N/A</v>
      </c>
      <c r="G301" s="75" t="str">
        <f t="shared" ca="1" si="22"/>
        <v>BAD</v>
      </c>
      <c r="I301" s="83">
        <v>43826</v>
      </c>
      <c r="J301" s="84">
        <v>221.5</v>
      </c>
      <c r="K301" s="74" t="s">
        <v>547</v>
      </c>
      <c r="L301" s="75" t="s">
        <v>53</v>
      </c>
      <c r="M301" s="75" t="s">
        <v>106</v>
      </c>
    </row>
    <row r="302" spans="1:13" x14ac:dyDescent="0.25">
      <c r="A302" s="48">
        <v>1</v>
      </c>
      <c r="B302" s="48"/>
      <c r="C302" s="83">
        <f t="shared" ca="1" si="20"/>
        <v>43833</v>
      </c>
      <c r="D302" s="84">
        <f t="shared" si="21"/>
        <v>177</v>
      </c>
      <c r="E302" s="74" t="str">
        <f t="shared" ca="1" si="19"/>
        <v>HD_010320C177</v>
      </c>
      <c r="F302" s="75" t="str">
        <f ca="1">_xll.xlqName(E302,tda)</f>
        <v>#N/A</v>
      </c>
      <c r="G302" s="75" t="str">
        <f t="shared" ca="1" si="22"/>
        <v>BAD</v>
      </c>
      <c r="I302" s="83">
        <v>43826</v>
      </c>
      <c r="J302" s="84">
        <v>222.5</v>
      </c>
      <c r="K302" s="74" t="s">
        <v>548</v>
      </c>
      <c r="L302" s="75" t="s">
        <v>549</v>
      </c>
      <c r="M302" s="75" t="s">
        <v>111</v>
      </c>
    </row>
    <row r="303" spans="1:13" x14ac:dyDescent="0.25">
      <c r="A303" s="48">
        <v>1</v>
      </c>
      <c r="B303" s="48"/>
      <c r="C303" s="83">
        <f t="shared" ca="1" si="20"/>
        <v>43833</v>
      </c>
      <c r="D303" s="84">
        <f t="shared" si="21"/>
        <v>178</v>
      </c>
      <c r="E303" s="74" t="str">
        <f t="shared" ca="1" si="19"/>
        <v>HD_010320C178</v>
      </c>
      <c r="F303" s="75" t="str">
        <f ca="1">_xll.xlqName(E303,tda)</f>
        <v>#N/A</v>
      </c>
      <c r="G303" s="75" t="str">
        <f t="shared" ca="1" si="22"/>
        <v>BAD</v>
      </c>
      <c r="I303" s="83">
        <v>43826</v>
      </c>
      <c r="J303" s="84">
        <v>223.5</v>
      </c>
      <c r="K303" s="74" t="s">
        <v>550</v>
      </c>
      <c r="L303" s="75" t="s">
        <v>53</v>
      </c>
      <c r="M303" s="75" t="s">
        <v>106</v>
      </c>
    </row>
    <row r="304" spans="1:13" x14ac:dyDescent="0.25">
      <c r="A304" s="48">
        <v>1</v>
      </c>
      <c r="B304" s="48"/>
      <c r="C304" s="83">
        <f t="shared" ca="1" si="20"/>
        <v>43833</v>
      </c>
      <c r="D304" s="84">
        <f t="shared" si="21"/>
        <v>179</v>
      </c>
      <c r="E304" s="74" t="str">
        <f t="shared" ca="1" si="19"/>
        <v>HD_010320C179</v>
      </c>
      <c r="F304" s="75" t="str">
        <f ca="1">_xll.xlqName(E304,tda)</f>
        <v>#N/A</v>
      </c>
      <c r="G304" s="75" t="str">
        <f t="shared" ca="1" si="22"/>
        <v>BAD</v>
      </c>
      <c r="I304" s="83">
        <v>43826</v>
      </c>
      <c r="J304" s="84">
        <v>224.5</v>
      </c>
      <c r="K304" s="74" t="s">
        <v>551</v>
      </c>
      <c r="L304" s="75" t="s">
        <v>53</v>
      </c>
      <c r="M304" s="75" t="s">
        <v>106</v>
      </c>
    </row>
    <row r="305" spans="1:13" x14ac:dyDescent="0.25">
      <c r="A305" s="48">
        <v>0.5</v>
      </c>
      <c r="B305" s="48"/>
      <c r="C305" s="83">
        <f t="shared" ca="1" si="20"/>
        <v>43833</v>
      </c>
      <c r="D305" s="84">
        <f t="shared" si="21"/>
        <v>179.5</v>
      </c>
      <c r="E305" s="74" t="str">
        <f t="shared" ca="1" si="19"/>
        <v>HD_010320C179.5</v>
      </c>
      <c r="F305" s="75" t="str">
        <f ca="1">_xll.xlqName(E305,tda)</f>
        <v>#N/A</v>
      </c>
      <c r="G305" s="75" t="str">
        <f t="shared" ca="1" si="22"/>
        <v>BAD</v>
      </c>
      <c r="I305" s="83">
        <v>43826</v>
      </c>
      <c r="J305" s="84">
        <v>225</v>
      </c>
      <c r="K305" s="74" t="s">
        <v>552</v>
      </c>
      <c r="L305" s="75" t="s">
        <v>553</v>
      </c>
      <c r="M305" s="75" t="s">
        <v>111</v>
      </c>
    </row>
    <row r="306" spans="1:13" x14ac:dyDescent="0.25">
      <c r="A306" s="48">
        <v>0.5</v>
      </c>
      <c r="B306" s="48"/>
      <c r="C306" s="83">
        <f t="shared" ca="1" si="20"/>
        <v>43833</v>
      </c>
      <c r="D306" s="84">
        <f t="shared" si="21"/>
        <v>180</v>
      </c>
      <c r="E306" s="74" t="str">
        <f t="shared" ca="1" si="19"/>
        <v>HD_010320C180</v>
      </c>
      <c r="F306" s="75" t="str">
        <f ca="1">_xll.xlqName(E306,tda)</f>
        <v>#N/A</v>
      </c>
      <c r="G306" s="75" t="str">
        <f t="shared" ca="1" si="22"/>
        <v>BAD</v>
      </c>
      <c r="I306" s="83">
        <v>43826</v>
      </c>
      <c r="J306" s="84">
        <v>225.5</v>
      </c>
      <c r="K306" s="74" t="s">
        <v>554</v>
      </c>
      <c r="L306" s="75" t="s">
        <v>53</v>
      </c>
      <c r="M306" s="75" t="s">
        <v>106</v>
      </c>
    </row>
    <row r="307" spans="1:13" x14ac:dyDescent="0.25">
      <c r="A307" s="48">
        <v>1</v>
      </c>
      <c r="B307" s="48"/>
      <c r="C307" s="83">
        <f t="shared" ca="1" si="20"/>
        <v>43833</v>
      </c>
      <c r="D307" s="84">
        <f t="shared" si="21"/>
        <v>181</v>
      </c>
      <c r="E307" s="74" t="str">
        <f t="shared" ca="1" si="19"/>
        <v>HD_010320C181</v>
      </c>
      <c r="F307" s="75" t="str">
        <f ca="1">_xll.xlqName(E307,tda)</f>
        <v>#N/A</v>
      </c>
      <c r="G307" s="75" t="str">
        <f t="shared" ca="1" si="22"/>
        <v>BAD</v>
      </c>
      <c r="I307" s="83">
        <v>43826</v>
      </c>
      <c r="J307" s="84">
        <v>226.5</v>
      </c>
      <c r="K307" s="74" t="s">
        <v>555</v>
      </c>
      <c r="L307" s="75" t="s">
        <v>53</v>
      </c>
      <c r="M307" s="75" t="s">
        <v>106</v>
      </c>
    </row>
    <row r="308" spans="1:13" x14ac:dyDescent="0.25">
      <c r="A308" s="48">
        <v>1</v>
      </c>
      <c r="B308" s="48"/>
      <c r="C308" s="83">
        <f t="shared" ca="1" si="20"/>
        <v>43833</v>
      </c>
      <c r="D308" s="84">
        <f t="shared" si="21"/>
        <v>182</v>
      </c>
      <c r="E308" s="74" t="str">
        <f t="shared" ca="1" si="19"/>
        <v>HD_010320C182</v>
      </c>
      <c r="F308" s="75" t="str">
        <f ca="1">_xll.xlqName(E308,tda)</f>
        <v>#N/A</v>
      </c>
      <c r="G308" s="75" t="str">
        <f t="shared" ca="1" si="22"/>
        <v>BAD</v>
      </c>
      <c r="I308" s="83">
        <v>43826</v>
      </c>
      <c r="J308" s="84">
        <v>227.5</v>
      </c>
      <c r="K308" s="74" t="s">
        <v>556</v>
      </c>
      <c r="L308" s="75" t="s">
        <v>557</v>
      </c>
      <c r="M308" s="75" t="s">
        <v>111</v>
      </c>
    </row>
    <row r="309" spans="1:13" x14ac:dyDescent="0.25">
      <c r="A309" s="48">
        <v>1</v>
      </c>
      <c r="B309" s="48"/>
      <c r="C309" s="83">
        <f t="shared" ca="1" si="20"/>
        <v>43833</v>
      </c>
      <c r="D309" s="84">
        <f t="shared" si="21"/>
        <v>183</v>
      </c>
      <c r="E309" s="74" t="str">
        <f t="shared" ca="1" si="19"/>
        <v>HD_010320C183</v>
      </c>
      <c r="F309" s="75" t="str">
        <f ca="1">_xll.xlqName(E309,tda)</f>
        <v>#N/A</v>
      </c>
      <c r="G309" s="75" t="str">
        <f t="shared" ca="1" si="22"/>
        <v>BAD</v>
      </c>
      <c r="I309" s="83">
        <v>43826</v>
      </c>
      <c r="J309" s="84">
        <v>228.5</v>
      </c>
      <c r="K309" s="74" t="s">
        <v>558</v>
      </c>
      <c r="L309" s="75" t="s">
        <v>53</v>
      </c>
      <c r="M309" s="75" t="s">
        <v>106</v>
      </c>
    </row>
    <row r="310" spans="1:13" x14ac:dyDescent="0.25">
      <c r="A310" s="48">
        <v>1</v>
      </c>
      <c r="B310" s="48"/>
      <c r="C310" s="83">
        <f t="shared" ca="1" si="20"/>
        <v>43833</v>
      </c>
      <c r="D310" s="84">
        <f t="shared" si="21"/>
        <v>184</v>
      </c>
      <c r="E310" s="74" t="str">
        <f t="shared" ca="1" si="19"/>
        <v>HD_010320C184</v>
      </c>
      <c r="F310" s="75" t="str">
        <f ca="1">_xll.xlqName(E310,tda)</f>
        <v>#N/A</v>
      </c>
      <c r="G310" s="75" t="str">
        <f t="shared" ca="1" si="22"/>
        <v>BAD</v>
      </c>
      <c r="I310" s="83">
        <v>43826</v>
      </c>
      <c r="J310" s="84">
        <v>229.5</v>
      </c>
      <c r="K310" s="74" t="s">
        <v>559</v>
      </c>
      <c r="L310" s="75" t="s">
        <v>53</v>
      </c>
      <c r="M310" s="75" t="s">
        <v>106</v>
      </c>
    </row>
    <row r="311" spans="1:13" x14ac:dyDescent="0.25">
      <c r="A311" s="48">
        <v>0.5</v>
      </c>
      <c r="B311" s="48"/>
      <c r="C311" s="83">
        <f t="shared" ca="1" si="20"/>
        <v>43833</v>
      </c>
      <c r="D311" s="84">
        <f t="shared" si="21"/>
        <v>184.5</v>
      </c>
      <c r="E311" s="74" t="str">
        <f t="shared" ca="1" si="19"/>
        <v>HD_010320C184.5</v>
      </c>
      <c r="F311" s="75" t="str">
        <f ca="1">_xll.xlqName(E311,tda)</f>
        <v>#N/A</v>
      </c>
      <c r="G311" s="75" t="str">
        <f t="shared" ca="1" si="22"/>
        <v>BAD</v>
      </c>
      <c r="I311" s="83">
        <v>43826</v>
      </c>
      <c r="J311" s="84">
        <v>230</v>
      </c>
      <c r="K311" s="74" t="s">
        <v>560</v>
      </c>
      <c r="L311" s="75" t="s">
        <v>561</v>
      </c>
      <c r="M311" s="75" t="s">
        <v>111</v>
      </c>
    </row>
    <row r="312" spans="1:13" x14ac:dyDescent="0.25">
      <c r="A312" s="48">
        <v>0.5</v>
      </c>
      <c r="B312" s="48"/>
      <c r="C312" s="83">
        <f t="shared" ca="1" si="20"/>
        <v>43833</v>
      </c>
      <c r="D312" s="84">
        <f t="shared" si="21"/>
        <v>185</v>
      </c>
      <c r="E312" s="74" t="str">
        <f t="shared" ca="1" si="19"/>
        <v>HD_010320C185</v>
      </c>
      <c r="F312" s="75" t="str">
        <f ca="1">_xll.xlqName(E312,tda)</f>
        <v>HD Jan 3 2020 185 Call (Weekly)</v>
      </c>
      <c r="G312" s="75" t="str">
        <f t="shared" ca="1" si="22"/>
        <v/>
      </c>
      <c r="I312" s="83">
        <v>43826</v>
      </c>
      <c r="J312" s="84">
        <v>230.5</v>
      </c>
      <c r="K312" s="74" t="s">
        <v>562</v>
      </c>
      <c r="L312" s="75" t="s">
        <v>53</v>
      </c>
      <c r="M312" s="75" t="s">
        <v>106</v>
      </c>
    </row>
    <row r="313" spans="1:13" x14ac:dyDescent="0.25">
      <c r="A313" s="48">
        <v>1</v>
      </c>
      <c r="B313" s="48"/>
      <c r="C313" s="83">
        <f t="shared" ca="1" si="20"/>
        <v>43833</v>
      </c>
      <c r="D313" s="84">
        <f t="shared" si="21"/>
        <v>186</v>
      </c>
      <c r="E313" s="74" t="str">
        <f t="shared" ca="1" si="19"/>
        <v>HD_010320C186</v>
      </c>
      <c r="F313" s="75" t="str">
        <f ca="1">_xll.xlqName(E313,tda)</f>
        <v>#N/A</v>
      </c>
      <c r="G313" s="75" t="str">
        <f t="shared" ca="1" si="22"/>
        <v>BAD</v>
      </c>
      <c r="I313" s="83">
        <v>43826</v>
      </c>
      <c r="J313" s="84">
        <v>231.5</v>
      </c>
      <c r="K313" s="74" t="s">
        <v>563</v>
      </c>
      <c r="L313" s="75" t="s">
        <v>53</v>
      </c>
      <c r="M313" s="75" t="s">
        <v>106</v>
      </c>
    </row>
    <row r="314" spans="1:13" x14ac:dyDescent="0.25">
      <c r="A314" s="48">
        <v>1</v>
      </c>
      <c r="B314" s="48"/>
      <c r="C314" s="83">
        <f t="shared" ca="1" si="20"/>
        <v>43833</v>
      </c>
      <c r="D314" s="84">
        <f t="shared" si="21"/>
        <v>187</v>
      </c>
      <c r="E314" s="74" t="str">
        <f t="shared" ca="1" si="19"/>
        <v>HD_010320C187</v>
      </c>
      <c r="F314" s="75" t="str">
        <f ca="1">_xll.xlqName(E314,tda)</f>
        <v>#N/A</v>
      </c>
      <c r="G314" s="75" t="str">
        <f t="shared" ca="1" si="22"/>
        <v>BAD</v>
      </c>
      <c r="I314" s="83">
        <v>43826</v>
      </c>
      <c r="J314" s="84">
        <v>232.5</v>
      </c>
      <c r="K314" s="74" t="s">
        <v>564</v>
      </c>
      <c r="L314" s="75" t="s">
        <v>565</v>
      </c>
      <c r="M314" s="75" t="s">
        <v>111</v>
      </c>
    </row>
    <row r="315" spans="1:13" x14ac:dyDescent="0.25">
      <c r="A315" s="48">
        <v>1</v>
      </c>
      <c r="B315" s="48"/>
      <c r="C315" s="83">
        <f t="shared" ca="1" si="20"/>
        <v>43833</v>
      </c>
      <c r="D315" s="84">
        <f t="shared" si="21"/>
        <v>188</v>
      </c>
      <c r="E315" s="74" t="str">
        <f t="shared" ca="1" si="19"/>
        <v>HD_010320C188</v>
      </c>
      <c r="F315" s="75" t="str">
        <f ca="1">_xll.xlqName(E315,tda)</f>
        <v>#N/A</v>
      </c>
      <c r="G315" s="75" t="str">
        <f t="shared" ca="1" si="22"/>
        <v>BAD</v>
      </c>
      <c r="I315" s="83">
        <v>43826</v>
      </c>
      <c r="J315" s="84">
        <v>233.5</v>
      </c>
      <c r="K315" s="74" t="s">
        <v>566</v>
      </c>
      <c r="L315" s="75" t="s">
        <v>53</v>
      </c>
      <c r="M315" s="75" t="s">
        <v>106</v>
      </c>
    </row>
    <row r="316" spans="1:13" x14ac:dyDescent="0.25">
      <c r="A316" s="48">
        <v>1</v>
      </c>
      <c r="B316" s="48"/>
      <c r="C316" s="83">
        <f t="shared" ca="1" si="20"/>
        <v>43833</v>
      </c>
      <c r="D316" s="84">
        <f t="shared" si="21"/>
        <v>189</v>
      </c>
      <c r="E316" s="74" t="str">
        <f t="shared" ca="1" si="19"/>
        <v>HD_010320C189</v>
      </c>
      <c r="F316" s="75" t="str">
        <f ca="1">_xll.xlqName(E316,tda)</f>
        <v>#N/A</v>
      </c>
      <c r="G316" s="75" t="str">
        <f t="shared" ca="1" si="22"/>
        <v>BAD</v>
      </c>
      <c r="I316" s="83">
        <v>43826</v>
      </c>
      <c r="J316" s="84">
        <v>234.5</v>
      </c>
      <c r="K316" s="74" t="s">
        <v>567</v>
      </c>
      <c r="L316" s="75" t="s">
        <v>53</v>
      </c>
      <c r="M316" s="75" t="s">
        <v>106</v>
      </c>
    </row>
    <row r="317" spans="1:13" x14ac:dyDescent="0.25">
      <c r="A317" s="48">
        <v>0.5</v>
      </c>
      <c r="B317" s="48"/>
      <c r="C317" s="83">
        <f t="shared" ca="1" si="20"/>
        <v>43833</v>
      </c>
      <c r="D317" s="84">
        <f t="shared" si="21"/>
        <v>189.5</v>
      </c>
      <c r="E317" s="74" t="str">
        <f t="shared" ca="1" si="19"/>
        <v>HD_010320C189.5</v>
      </c>
      <c r="F317" s="75" t="str">
        <f ca="1">_xll.xlqName(E317,tda)</f>
        <v>#N/A</v>
      </c>
      <c r="G317" s="75" t="str">
        <f t="shared" ca="1" si="22"/>
        <v>BAD</v>
      </c>
      <c r="I317" s="83">
        <v>43826</v>
      </c>
      <c r="J317" s="84">
        <v>235</v>
      </c>
      <c r="K317" s="74" t="s">
        <v>568</v>
      </c>
      <c r="L317" s="75" t="s">
        <v>569</v>
      </c>
      <c r="M317" s="75" t="s">
        <v>111</v>
      </c>
    </row>
    <row r="318" spans="1:13" x14ac:dyDescent="0.25">
      <c r="A318" s="48">
        <v>0.5</v>
      </c>
      <c r="B318" s="48"/>
      <c r="C318" s="83">
        <f t="shared" ca="1" si="20"/>
        <v>43833</v>
      </c>
      <c r="D318" s="84">
        <f t="shared" si="21"/>
        <v>190</v>
      </c>
      <c r="E318" s="74" t="str">
        <f t="shared" ca="1" si="19"/>
        <v>HD_010320C190</v>
      </c>
      <c r="F318" s="75" t="str">
        <f ca="1">_xll.xlqName(E318,tda)</f>
        <v>HD Jan 3 2020 190 Call (Weekly)</v>
      </c>
      <c r="G318" s="75" t="str">
        <f t="shared" ca="1" si="22"/>
        <v/>
      </c>
      <c r="I318" s="83">
        <v>43833</v>
      </c>
      <c r="J318" s="84">
        <v>170</v>
      </c>
      <c r="K318" s="74" t="s">
        <v>570</v>
      </c>
      <c r="L318" s="75" t="s">
        <v>53</v>
      </c>
      <c r="M318" s="75" t="s">
        <v>106</v>
      </c>
    </row>
    <row r="319" spans="1:13" x14ac:dyDescent="0.25">
      <c r="A319" s="48">
        <v>1</v>
      </c>
      <c r="B319" s="48"/>
      <c r="C319" s="83">
        <f t="shared" ca="1" si="20"/>
        <v>43833</v>
      </c>
      <c r="D319" s="84">
        <f t="shared" si="21"/>
        <v>191</v>
      </c>
      <c r="E319" s="74" t="str">
        <f t="shared" ca="1" si="19"/>
        <v>HD_010320C191</v>
      </c>
      <c r="F319" s="75" t="str">
        <f ca="1">_xll.xlqName(E319,tda)</f>
        <v>#N/A</v>
      </c>
      <c r="G319" s="75" t="str">
        <f t="shared" ca="1" si="22"/>
        <v>BAD</v>
      </c>
      <c r="I319" s="83">
        <v>43833</v>
      </c>
      <c r="J319" s="84">
        <v>171</v>
      </c>
      <c r="K319" s="74" t="s">
        <v>571</v>
      </c>
      <c r="L319" s="75" t="s">
        <v>53</v>
      </c>
      <c r="M319" s="75" t="s">
        <v>106</v>
      </c>
    </row>
    <row r="320" spans="1:13" x14ac:dyDescent="0.25">
      <c r="A320" s="48">
        <v>1</v>
      </c>
      <c r="B320" s="48"/>
      <c r="C320" s="83">
        <f t="shared" ca="1" si="20"/>
        <v>43833</v>
      </c>
      <c r="D320" s="84">
        <f t="shared" si="21"/>
        <v>192</v>
      </c>
      <c r="E320" s="74" t="str">
        <f t="shared" ca="1" si="19"/>
        <v>HD_010320C192</v>
      </c>
      <c r="F320" s="75" t="str">
        <f ca="1">_xll.xlqName(E320,tda)</f>
        <v>#N/A</v>
      </c>
      <c r="G320" s="75" t="str">
        <f t="shared" ca="1" si="22"/>
        <v>BAD</v>
      </c>
      <c r="I320" s="83">
        <v>43833</v>
      </c>
      <c r="J320" s="84">
        <v>172</v>
      </c>
      <c r="K320" s="74" t="s">
        <v>572</v>
      </c>
      <c r="L320" s="75" t="s">
        <v>53</v>
      </c>
      <c r="M320" s="75" t="s">
        <v>106</v>
      </c>
    </row>
    <row r="321" spans="1:13" x14ac:dyDescent="0.25">
      <c r="A321" s="48">
        <v>1</v>
      </c>
      <c r="B321" s="48"/>
      <c r="C321" s="83">
        <f t="shared" ca="1" si="20"/>
        <v>43833</v>
      </c>
      <c r="D321" s="84">
        <f t="shared" si="21"/>
        <v>193</v>
      </c>
      <c r="E321" s="74" t="str">
        <f t="shared" ca="1" si="19"/>
        <v>HD_010320C193</v>
      </c>
      <c r="F321" s="75" t="str">
        <f ca="1">_xll.xlqName(E321,tda)</f>
        <v>#N/A</v>
      </c>
      <c r="G321" s="75" t="str">
        <f t="shared" ca="1" si="22"/>
        <v>BAD</v>
      </c>
      <c r="I321" s="83">
        <v>43833</v>
      </c>
      <c r="J321" s="84">
        <v>173</v>
      </c>
      <c r="K321" s="74" t="s">
        <v>573</v>
      </c>
      <c r="L321" s="75" t="s">
        <v>53</v>
      </c>
      <c r="M321" s="75" t="s">
        <v>106</v>
      </c>
    </row>
    <row r="322" spans="1:13" x14ac:dyDescent="0.25">
      <c r="A322" s="48">
        <v>1</v>
      </c>
      <c r="B322" s="48"/>
      <c r="C322" s="83">
        <f t="shared" ca="1" si="20"/>
        <v>43833</v>
      </c>
      <c r="D322" s="84">
        <f t="shared" si="21"/>
        <v>194</v>
      </c>
      <c r="E322" s="74" t="str">
        <f t="shared" ref="E322:E385" ca="1" si="23">CONCATENATE($Q$2,"_",TEXT(MONTH(C322),"00"),TEXT(DAY(C322),"00"),TEXT(MOD(YEAR(C322),100),"00"),$Q$3,D322&amp;"")</f>
        <v>HD_010320C194</v>
      </c>
      <c r="F322" s="75" t="str">
        <f ca="1">_xll.xlqName(E322,tda)</f>
        <v>#N/A</v>
      </c>
      <c r="G322" s="75" t="str">
        <f t="shared" ca="1" si="22"/>
        <v>BAD</v>
      </c>
      <c r="I322" s="83">
        <v>43833</v>
      </c>
      <c r="J322" s="84">
        <v>174</v>
      </c>
      <c r="K322" s="74" t="s">
        <v>574</v>
      </c>
      <c r="L322" s="75" t="s">
        <v>53</v>
      </c>
      <c r="M322" s="75" t="s">
        <v>106</v>
      </c>
    </row>
    <row r="323" spans="1:13" x14ac:dyDescent="0.25">
      <c r="A323" s="48">
        <v>0.5</v>
      </c>
      <c r="B323" s="48"/>
      <c r="C323" s="83">
        <f t="shared" ref="C323:C386" ca="1" si="24">IF(D323&gt;D322,C322,INDEX($O$14:$O$50,VLOOKUP(C322,$O$14:$P$50,2)+1))</f>
        <v>43833</v>
      </c>
      <c r="D323" s="84">
        <f t="shared" ref="D323:D386" si="25">IF(D322+A323&lt;=$Q$8,D322+A323,$Q$6)</f>
        <v>194.5</v>
      </c>
      <c r="E323" s="74" t="str">
        <f t="shared" ca="1" si="23"/>
        <v>HD_010320C194.5</v>
      </c>
      <c r="F323" s="75" t="str">
        <f ca="1">_xll.xlqName(E323,tda)</f>
        <v>#N/A</v>
      </c>
      <c r="G323" s="75" t="str">
        <f t="shared" ref="G323:G386" ca="1" si="26">IF(AND(ISTEXT(F323),(F323&lt;&gt;"#N/A"),(F323&lt;&gt;"Busy...")),"","BAD")</f>
        <v>BAD</v>
      </c>
      <c r="I323" s="83">
        <v>43833</v>
      </c>
      <c r="J323" s="84">
        <v>174.5</v>
      </c>
      <c r="K323" s="74" t="s">
        <v>575</v>
      </c>
      <c r="L323" s="75" t="s">
        <v>53</v>
      </c>
      <c r="M323" s="75" t="s">
        <v>106</v>
      </c>
    </row>
    <row r="324" spans="1:13" x14ac:dyDescent="0.25">
      <c r="A324" s="48">
        <v>0.5</v>
      </c>
      <c r="B324" s="48"/>
      <c r="C324" s="83">
        <f t="shared" ca="1" si="24"/>
        <v>43833</v>
      </c>
      <c r="D324" s="84">
        <f t="shared" si="25"/>
        <v>195</v>
      </c>
      <c r="E324" s="74" t="str">
        <f t="shared" ca="1" si="23"/>
        <v>HD_010320C195</v>
      </c>
      <c r="F324" s="75" t="str">
        <f ca="1">_xll.xlqName(E324,tda)</f>
        <v>HD Jan 3 2020 195 Call (Weekly)</v>
      </c>
      <c r="G324" s="75" t="str">
        <f t="shared" ca="1" si="26"/>
        <v/>
      </c>
      <c r="I324" s="83">
        <v>43833</v>
      </c>
      <c r="J324" s="84">
        <v>175</v>
      </c>
      <c r="K324" s="74" t="s">
        <v>576</v>
      </c>
      <c r="L324" s="75" t="s">
        <v>53</v>
      </c>
      <c r="M324" s="75" t="s">
        <v>106</v>
      </c>
    </row>
    <row r="325" spans="1:13" x14ac:dyDescent="0.25">
      <c r="A325" s="48">
        <v>1</v>
      </c>
      <c r="B325" s="48"/>
      <c r="C325" s="83">
        <f t="shared" ca="1" si="24"/>
        <v>43833</v>
      </c>
      <c r="D325" s="84">
        <f t="shared" si="25"/>
        <v>196</v>
      </c>
      <c r="E325" s="74" t="str">
        <f t="shared" ca="1" si="23"/>
        <v>HD_010320C196</v>
      </c>
      <c r="F325" s="75" t="str">
        <f ca="1">_xll.xlqName(E325,tda)</f>
        <v>#N/A</v>
      </c>
      <c r="G325" s="75" t="str">
        <f t="shared" ca="1" si="26"/>
        <v>BAD</v>
      </c>
      <c r="I325" s="83">
        <v>43833</v>
      </c>
      <c r="J325" s="84">
        <v>176</v>
      </c>
      <c r="K325" s="74" t="s">
        <v>577</v>
      </c>
      <c r="L325" s="75" t="s">
        <v>53</v>
      </c>
      <c r="M325" s="75" t="s">
        <v>106</v>
      </c>
    </row>
    <row r="326" spans="1:13" x14ac:dyDescent="0.25">
      <c r="A326" s="48">
        <v>1</v>
      </c>
      <c r="B326" s="48"/>
      <c r="C326" s="83">
        <f t="shared" ca="1" si="24"/>
        <v>43833</v>
      </c>
      <c r="D326" s="84">
        <f t="shared" si="25"/>
        <v>197</v>
      </c>
      <c r="E326" s="74" t="str">
        <f t="shared" ca="1" si="23"/>
        <v>HD_010320C197</v>
      </c>
      <c r="F326" s="75" t="str">
        <f ca="1">_xll.xlqName(E326,tda)</f>
        <v>#N/A</v>
      </c>
      <c r="G326" s="75" t="str">
        <f t="shared" ca="1" si="26"/>
        <v>BAD</v>
      </c>
      <c r="I326" s="83">
        <v>43833</v>
      </c>
      <c r="J326" s="84">
        <v>177</v>
      </c>
      <c r="K326" s="74" t="s">
        <v>578</v>
      </c>
      <c r="L326" s="75" t="s">
        <v>53</v>
      </c>
      <c r="M326" s="75" t="s">
        <v>106</v>
      </c>
    </row>
    <row r="327" spans="1:13" x14ac:dyDescent="0.25">
      <c r="A327" s="48">
        <v>1</v>
      </c>
      <c r="B327" s="48"/>
      <c r="C327" s="83">
        <f t="shared" ca="1" si="24"/>
        <v>43833</v>
      </c>
      <c r="D327" s="84">
        <f t="shared" si="25"/>
        <v>198</v>
      </c>
      <c r="E327" s="74" t="str">
        <f t="shared" ca="1" si="23"/>
        <v>HD_010320C198</v>
      </c>
      <c r="F327" s="75" t="str">
        <f ca="1">_xll.xlqName(E327,tda)</f>
        <v>#N/A</v>
      </c>
      <c r="G327" s="75" t="str">
        <f t="shared" ca="1" si="26"/>
        <v>BAD</v>
      </c>
      <c r="I327" s="83">
        <v>43833</v>
      </c>
      <c r="J327" s="84">
        <v>178</v>
      </c>
      <c r="K327" s="74" t="s">
        <v>579</v>
      </c>
      <c r="L327" s="75" t="s">
        <v>53</v>
      </c>
      <c r="M327" s="75" t="s">
        <v>106</v>
      </c>
    </row>
    <row r="328" spans="1:13" x14ac:dyDescent="0.25">
      <c r="A328" s="48">
        <v>1</v>
      </c>
      <c r="B328" s="48"/>
      <c r="C328" s="83">
        <f t="shared" ca="1" si="24"/>
        <v>43833</v>
      </c>
      <c r="D328" s="84">
        <f t="shared" si="25"/>
        <v>199</v>
      </c>
      <c r="E328" s="74" t="str">
        <f t="shared" ca="1" si="23"/>
        <v>HD_010320C199</v>
      </c>
      <c r="F328" s="75" t="str">
        <f ca="1">_xll.xlqName(E328,tda)</f>
        <v>#N/A</v>
      </c>
      <c r="G328" s="75" t="str">
        <f t="shared" ca="1" si="26"/>
        <v>BAD</v>
      </c>
      <c r="I328" s="83">
        <v>43833</v>
      </c>
      <c r="J328" s="84">
        <v>179</v>
      </c>
      <c r="K328" s="74" t="s">
        <v>580</v>
      </c>
      <c r="L328" s="75" t="s">
        <v>53</v>
      </c>
      <c r="M328" s="75" t="s">
        <v>106</v>
      </c>
    </row>
    <row r="329" spans="1:13" x14ac:dyDescent="0.25">
      <c r="A329" s="48">
        <v>0.5</v>
      </c>
      <c r="B329" s="48"/>
      <c r="C329" s="83">
        <f t="shared" ca="1" si="24"/>
        <v>43833</v>
      </c>
      <c r="D329" s="84">
        <f t="shared" si="25"/>
        <v>199.5</v>
      </c>
      <c r="E329" s="74" t="str">
        <f t="shared" ca="1" si="23"/>
        <v>HD_010320C199.5</v>
      </c>
      <c r="F329" s="75" t="str">
        <f ca="1">_xll.xlqName(E329,tda)</f>
        <v>#N/A</v>
      </c>
      <c r="G329" s="75" t="str">
        <f t="shared" ca="1" si="26"/>
        <v>BAD</v>
      </c>
      <c r="I329" s="83">
        <v>43833</v>
      </c>
      <c r="J329" s="84">
        <v>179.5</v>
      </c>
      <c r="K329" s="74" t="s">
        <v>581</v>
      </c>
      <c r="L329" s="75" t="s">
        <v>53</v>
      </c>
      <c r="M329" s="75" t="s">
        <v>106</v>
      </c>
    </row>
    <row r="330" spans="1:13" x14ac:dyDescent="0.25">
      <c r="A330" s="48">
        <v>0.5</v>
      </c>
      <c r="B330" s="48"/>
      <c r="C330" s="83">
        <f t="shared" ca="1" si="24"/>
        <v>43833</v>
      </c>
      <c r="D330" s="84">
        <f t="shared" si="25"/>
        <v>200</v>
      </c>
      <c r="E330" s="74" t="str">
        <f t="shared" ca="1" si="23"/>
        <v>HD_010320C200</v>
      </c>
      <c r="F330" s="75" t="str">
        <f ca="1">_xll.xlqName(E330,tda)</f>
        <v>HD Jan 3 2020 200 Call (Weekly)</v>
      </c>
      <c r="G330" s="75" t="str">
        <f t="shared" ca="1" si="26"/>
        <v/>
      </c>
      <c r="I330" s="83">
        <v>43833</v>
      </c>
      <c r="J330" s="84">
        <v>180</v>
      </c>
      <c r="K330" s="74" t="s">
        <v>582</v>
      </c>
      <c r="L330" s="75" t="s">
        <v>53</v>
      </c>
      <c r="M330" s="75" t="s">
        <v>106</v>
      </c>
    </row>
    <row r="331" spans="1:13" x14ac:dyDescent="0.25">
      <c r="A331" s="48">
        <v>1</v>
      </c>
      <c r="B331" s="48"/>
      <c r="C331" s="83">
        <f t="shared" ca="1" si="24"/>
        <v>43833</v>
      </c>
      <c r="D331" s="84">
        <f t="shared" si="25"/>
        <v>201</v>
      </c>
      <c r="E331" s="74" t="str">
        <f t="shared" ca="1" si="23"/>
        <v>HD_010320C201</v>
      </c>
      <c r="F331" s="75" t="str">
        <f ca="1">_xll.xlqName(E331,tda)</f>
        <v>#N/A</v>
      </c>
      <c r="G331" s="75" t="str">
        <f t="shared" ca="1" si="26"/>
        <v>BAD</v>
      </c>
      <c r="I331" s="83">
        <v>43833</v>
      </c>
      <c r="J331" s="84">
        <v>181</v>
      </c>
      <c r="K331" s="74" t="s">
        <v>583</v>
      </c>
      <c r="L331" s="75" t="s">
        <v>53</v>
      </c>
      <c r="M331" s="75" t="s">
        <v>106</v>
      </c>
    </row>
    <row r="332" spans="1:13" x14ac:dyDescent="0.25">
      <c r="A332" s="48">
        <v>1</v>
      </c>
      <c r="B332" s="48"/>
      <c r="C332" s="83">
        <f t="shared" ca="1" si="24"/>
        <v>43833</v>
      </c>
      <c r="D332" s="84">
        <f t="shared" si="25"/>
        <v>202</v>
      </c>
      <c r="E332" s="74" t="str">
        <f t="shared" ca="1" si="23"/>
        <v>HD_010320C202</v>
      </c>
      <c r="F332" s="75" t="str">
        <f ca="1">_xll.xlqName(E332,tda)</f>
        <v>#N/A</v>
      </c>
      <c r="G332" s="75" t="str">
        <f t="shared" ca="1" si="26"/>
        <v>BAD</v>
      </c>
      <c r="I332" s="83">
        <v>43833</v>
      </c>
      <c r="J332" s="84">
        <v>182</v>
      </c>
      <c r="K332" s="74" t="s">
        <v>584</v>
      </c>
      <c r="L332" s="75" t="s">
        <v>53</v>
      </c>
      <c r="M332" s="75" t="s">
        <v>106</v>
      </c>
    </row>
    <row r="333" spans="1:13" x14ac:dyDescent="0.25">
      <c r="A333" s="48">
        <v>1</v>
      </c>
      <c r="B333" s="48"/>
      <c r="C333" s="83">
        <f t="shared" ca="1" si="24"/>
        <v>43833</v>
      </c>
      <c r="D333" s="84">
        <f t="shared" si="25"/>
        <v>203</v>
      </c>
      <c r="E333" s="74" t="str">
        <f t="shared" ca="1" si="23"/>
        <v>HD_010320C203</v>
      </c>
      <c r="F333" s="75" t="str">
        <f ca="1">_xll.xlqName(E333,tda)</f>
        <v>#N/A</v>
      </c>
      <c r="G333" s="75" t="str">
        <f t="shared" ca="1" si="26"/>
        <v>BAD</v>
      </c>
      <c r="I333" s="83">
        <v>43833</v>
      </c>
      <c r="J333" s="84">
        <v>183</v>
      </c>
      <c r="K333" s="74" t="s">
        <v>585</v>
      </c>
      <c r="L333" s="75" t="s">
        <v>53</v>
      </c>
      <c r="M333" s="75" t="s">
        <v>106</v>
      </c>
    </row>
    <row r="334" spans="1:13" x14ac:dyDescent="0.25">
      <c r="A334" s="48">
        <v>1</v>
      </c>
      <c r="B334" s="48"/>
      <c r="C334" s="83">
        <f t="shared" ca="1" si="24"/>
        <v>43833</v>
      </c>
      <c r="D334" s="84">
        <f t="shared" si="25"/>
        <v>204</v>
      </c>
      <c r="E334" s="74" t="str">
        <f t="shared" ca="1" si="23"/>
        <v>HD_010320C204</v>
      </c>
      <c r="F334" s="75" t="str">
        <f ca="1">_xll.xlqName(E334,tda)</f>
        <v>#N/A</v>
      </c>
      <c r="G334" s="75" t="str">
        <f t="shared" ca="1" si="26"/>
        <v>BAD</v>
      </c>
      <c r="I334" s="83">
        <v>43833</v>
      </c>
      <c r="J334" s="84">
        <v>184</v>
      </c>
      <c r="K334" s="74" t="s">
        <v>586</v>
      </c>
      <c r="L334" s="75" t="s">
        <v>53</v>
      </c>
      <c r="M334" s="75" t="s">
        <v>106</v>
      </c>
    </row>
    <row r="335" spans="1:13" x14ac:dyDescent="0.25">
      <c r="A335" s="48">
        <v>0.5</v>
      </c>
      <c r="B335" s="48"/>
      <c r="C335" s="83">
        <f t="shared" ca="1" si="24"/>
        <v>43833</v>
      </c>
      <c r="D335" s="84">
        <f t="shared" si="25"/>
        <v>204.5</v>
      </c>
      <c r="E335" s="74" t="str">
        <f t="shared" ca="1" si="23"/>
        <v>HD_010320C204.5</v>
      </c>
      <c r="F335" s="75" t="str">
        <f ca="1">_xll.xlqName(E335,tda)</f>
        <v>#N/A</v>
      </c>
      <c r="G335" s="75" t="str">
        <f t="shared" ca="1" si="26"/>
        <v>BAD</v>
      </c>
      <c r="I335" s="83">
        <v>43833</v>
      </c>
      <c r="J335" s="84">
        <v>184.5</v>
      </c>
      <c r="K335" s="74" t="s">
        <v>587</v>
      </c>
      <c r="L335" s="75" t="s">
        <v>53</v>
      </c>
      <c r="M335" s="75" t="s">
        <v>106</v>
      </c>
    </row>
    <row r="336" spans="1:13" x14ac:dyDescent="0.25">
      <c r="A336" s="48">
        <v>0.5</v>
      </c>
      <c r="B336" s="48"/>
      <c r="C336" s="83">
        <f t="shared" ca="1" si="24"/>
        <v>43833</v>
      </c>
      <c r="D336" s="84">
        <f t="shared" si="25"/>
        <v>205</v>
      </c>
      <c r="E336" s="74" t="str">
        <f t="shared" ca="1" si="23"/>
        <v>HD_010320C205</v>
      </c>
      <c r="F336" s="75" t="str">
        <f ca="1">_xll.xlqName(E336,tda)</f>
        <v>HD Jan 3 2020 205 Call (Weekly)</v>
      </c>
      <c r="G336" s="75" t="str">
        <f t="shared" ca="1" si="26"/>
        <v/>
      </c>
      <c r="I336" s="83">
        <v>43833</v>
      </c>
      <c r="J336" s="84">
        <v>185</v>
      </c>
      <c r="K336" s="74" t="s">
        <v>588</v>
      </c>
      <c r="L336" s="75" t="s">
        <v>589</v>
      </c>
      <c r="M336" s="75" t="s">
        <v>111</v>
      </c>
    </row>
    <row r="337" spans="1:13" x14ac:dyDescent="0.25">
      <c r="A337" s="48">
        <v>1</v>
      </c>
      <c r="B337" s="48"/>
      <c r="C337" s="83">
        <f t="shared" ca="1" si="24"/>
        <v>43833</v>
      </c>
      <c r="D337" s="84">
        <f t="shared" si="25"/>
        <v>206</v>
      </c>
      <c r="E337" s="74" t="str">
        <f t="shared" ca="1" si="23"/>
        <v>HD_010320C206</v>
      </c>
      <c r="F337" s="75" t="str">
        <f ca="1">_xll.xlqName(E337,tda)</f>
        <v>#N/A</v>
      </c>
      <c r="G337" s="75" t="str">
        <f t="shared" ca="1" si="26"/>
        <v>BAD</v>
      </c>
      <c r="I337" s="83">
        <v>43833</v>
      </c>
      <c r="J337" s="84">
        <v>186</v>
      </c>
      <c r="K337" s="74" t="s">
        <v>590</v>
      </c>
      <c r="L337" s="75" t="s">
        <v>53</v>
      </c>
      <c r="M337" s="75" t="s">
        <v>106</v>
      </c>
    </row>
    <row r="338" spans="1:13" x14ac:dyDescent="0.25">
      <c r="A338" s="48">
        <v>1</v>
      </c>
      <c r="B338" s="48"/>
      <c r="C338" s="83">
        <f t="shared" ca="1" si="24"/>
        <v>43833</v>
      </c>
      <c r="D338" s="84">
        <f t="shared" si="25"/>
        <v>207</v>
      </c>
      <c r="E338" s="74" t="str">
        <f t="shared" ca="1" si="23"/>
        <v>HD_010320C207</v>
      </c>
      <c r="F338" s="75" t="str">
        <f ca="1">_xll.xlqName(E338,tda)</f>
        <v>#N/A</v>
      </c>
      <c r="G338" s="75" t="str">
        <f t="shared" ca="1" si="26"/>
        <v>BAD</v>
      </c>
      <c r="I338" s="83">
        <v>43833</v>
      </c>
      <c r="J338" s="84">
        <v>187</v>
      </c>
      <c r="K338" s="74" t="s">
        <v>591</v>
      </c>
      <c r="L338" s="75" t="s">
        <v>53</v>
      </c>
      <c r="M338" s="75" t="s">
        <v>106</v>
      </c>
    </row>
    <row r="339" spans="1:13" x14ac:dyDescent="0.25">
      <c r="A339" s="48">
        <v>1</v>
      </c>
      <c r="B339" s="48"/>
      <c r="C339" s="83">
        <f t="shared" ca="1" si="24"/>
        <v>43833</v>
      </c>
      <c r="D339" s="84">
        <f t="shared" si="25"/>
        <v>208</v>
      </c>
      <c r="E339" s="74" t="str">
        <f t="shared" ca="1" si="23"/>
        <v>HD_010320C208</v>
      </c>
      <c r="F339" s="75" t="str">
        <f ca="1">_xll.xlqName(E339,tda)</f>
        <v>#N/A</v>
      </c>
      <c r="G339" s="75" t="str">
        <f t="shared" ca="1" si="26"/>
        <v>BAD</v>
      </c>
      <c r="I339" s="83">
        <v>43833</v>
      </c>
      <c r="J339" s="84">
        <v>188</v>
      </c>
      <c r="K339" s="74" t="s">
        <v>592</v>
      </c>
      <c r="L339" s="75" t="s">
        <v>53</v>
      </c>
      <c r="M339" s="75" t="s">
        <v>106</v>
      </c>
    </row>
    <row r="340" spans="1:13" x14ac:dyDescent="0.25">
      <c r="A340" s="48">
        <v>1</v>
      </c>
      <c r="B340" s="48"/>
      <c r="C340" s="83">
        <f t="shared" ca="1" si="24"/>
        <v>43833</v>
      </c>
      <c r="D340" s="84">
        <f t="shared" si="25"/>
        <v>209</v>
      </c>
      <c r="E340" s="74" t="str">
        <f t="shared" ca="1" si="23"/>
        <v>HD_010320C209</v>
      </c>
      <c r="F340" s="75" t="str">
        <f ca="1">_xll.xlqName(E340,tda)</f>
        <v>#N/A</v>
      </c>
      <c r="G340" s="75" t="str">
        <f t="shared" ca="1" si="26"/>
        <v>BAD</v>
      </c>
      <c r="I340" s="83">
        <v>43833</v>
      </c>
      <c r="J340" s="84">
        <v>189</v>
      </c>
      <c r="K340" s="74" t="s">
        <v>593</v>
      </c>
      <c r="L340" s="75" t="s">
        <v>53</v>
      </c>
      <c r="M340" s="75" t="s">
        <v>106</v>
      </c>
    </row>
    <row r="341" spans="1:13" x14ac:dyDescent="0.25">
      <c r="A341" s="48">
        <v>0.5</v>
      </c>
      <c r="B341" s="48"/>
      <c r="C341" s="83">
        <f t="shared" ca="1" si="24"/>
        <v>43833</v>
      </c>
      <c r="D341" s="84">
        <f t="shared" si="25"/>
        <v>209.5</v>
      </c>
      <c r="E341" s="74" t="str">
        <f t="shared" ca="1" si="23"/>
        <v>HD_010320C209.5</v>
      </c>
      <c r="F341" s="75" t="str">
        <f ca="1">_xll.xlqName(E341,tda)</f>
        <v>#N/A</v>
      </c>
      <c r="G341" s="75" t="str">
        <f t="shared" ca="1" si="26"/>
        <v>BAD</v>
      </c>
      <c r="I341" s="83">
        <v>43833</v>
      </c>
      <c r="J341" s="84">
        <v>189.5</v>
      </c>
      <c r="K341" s="74" t="s">
        <v>594</v>
      </c>
      <c r="L341" s="75" t="s">
        <v>53</v>
      </c>
      <c r="M341" s="75" t="s">
        <v>106</v>
      </c>
    </row>
    <row r="342" spans="1:13" x14ac:dyDescent="0.25">
      <c r="A342" s="48">
        <v>0.5</v>
      </c>
      <c r="B342" s="48"/>
      <c r="C342" s="83">
        <f t="shared" ca="1" si="24"/>
        <v>43833</v>
      </c>
      <c r="D342" s="84">
        <f t="shared" si="25"/>
        <v>210</v>
      </c>
      <c r="E342" s="74" t="str">
        <f t="shared" ca="1" si="23"/>
        <v>HD_010320C210</v>
      </c>
      <c r="F342" s="75" t="str">
        <f ca="1">_xll.xlqName(E342,tda)</f>
        <v>HD Jan 3 2020 210 Call (Weekly)</v>
      </c>
      <c r="G342" s="75" t="str">
        <f t="shared" ca="1" si="26"/>
        <v/>
      </c>
      <c r="I342" s="83">
        <v>43833</v>
      </c>
      <c r="J342" s="84">
        <v>190</v>
      </c>
      <c r="K342" s="74" t="s">
        <v>595</v>
      </c>
      <c r="L342" s="75" t="s">
        <v>596</v>
      </c>
      <c r="M342" s="75" t="s">
        <v>111</v>
      </c>
    </row>
    <row r="343" spans="1:13" x14ac:dyDescent="0.25">
      <c r="A343" s="48">
        <v>1</v>
      </c>
      <c r="B343" s="48"/>
      <c r="C343" s="83">
        <f t="shared" ca="1" si="24"/>
        <v>43833</v>
      </c>
      <c r="D343" s="84">
        <f t="shared" si="25"/>
        <v>211</v>
      </c>
      <c r="E343" s="74" t="str">
        <f t="shared" ca="1" si="23"/>
        <v>HD_010320C211</v>
      </c>
      <c r="F343" s="75" t="str">
        <f ca="1">_xll.xlqName(E343,tda)</f>
        <v>#N/A</v>
      </c>
      <c r="G343" s="75" t="str">
        <f t="shared" ca="1" si="26"/>
        <v>BAD</v>
      </c>
      <c r="I343" s="83">
        <v>43833</v>
      </c>
      <c r="J343" s="84">
        <v>191</v>
      </c>
      <c r="K343" s="74" t="s">
        <v>597</v>
      </c>
      <c r="L343" s="75" t="s">
        <v>53</v>
      </c>
      <c r="M343" s="75" t="s">
        <v>106</v>
      </c>
    </row>
    <row r="344" spans="1:13" x14ac:dyDescent="0.25">
      <c r="A344" s="48">
        <v>1</v>
      </c>
      <c r="B344" s="48"/>
      <c r="C344" s="83">
        <f t="shared" ca="1" si="24"/>
        <v>43833</v>
      </c>
      <c r="D344" s="84">
        <f t="shared" si="25"/>
        <v>212</v>
      </c>
      <c r="E344" s="74" t="str">
        <f t="shared" ca="1" si="23"/>
        <v>HD_010320C212</v>
      </c>
      <c r="F344" s="75" t="str">
        <f ca="1">_xll.xlqName(E344,tda)</f>
        <v>#N/A</v>
      </c>
      <c r="G344" s="75" t="str">
        <f t="shared" ca="1" si="26"/>
        <v>BAD</v>
      </c>
      <c r="I344" s="83">
        <v>43833</v>
      </c>
      <c r="J344" s="84">
        <v>192</v>
      </c>
      <c r="K344" s="74" t="s">
        <v>598</v>
      </c>
      <c r="L344" s="75" t="s">
        <v>53</v>
      </c>
      <c r="M344" s="75" t="s">
        <v>106</v>
      </c>
    </row>
    <row r="345" spans="1:13" x14ac:dyDescent="0.25">
      <c r="A345" s="48">
        <v>1</v>
      </c>
      <c r="B345" s="48"/>
      <c r="C345" s="83">
        <f t="shared" ca="1" si="24"/>
        <v>43833</v>
      </c>
      <c r="D345" s="84">
        <f t="shared" si="25"/>
        <v>213</v>
      </c>
      <c r="E345" s="74" t="str">
        <f t="shared" ca="1" si="23"/>
        <v>HD_010320C213</v>
      </c>
      <c r="F345" s="75" t="str">
        <f ca="1">_xll.xlqName(E345,tda)</f>
        <v>#N/A</v>
      </c>
      <c r="G345" s="75" t="str">
        <f t="shared" ca="1" si="26"/>
        <v>BAD</v>
      </c>
      <c r="I345" s="83">
        <v>43833</v>
      </c>
      <c r="J345" s="84">
        <v>193</v>
      </c>
      <c r="K345" s="74" t="s">
        <v>599</v>
      </c>
      <c r="L345" s="75" t="s">
        <v>53</v>
      </c>
      <c r="M345" s="75" t="s">
        <v>106</v>
      </c>
    </row>
    <row r="346" spans="1:13" x14ac:dyDescent="0.25">
      <c r="A346" s="48">
        <v>1</v>
      </c>
      <c r="B346" s="48"/>
      <c r="C346" s="83">
        <f t="shared" ca="1" si="24"/>
        <v>43833</v>
      </c>
      <c r="D346" s="84">
        <f t="shared" si="25"/>
        <v>214</v>
      </c>
      <c r="E346" s="74" t="str">
        <f t="shared" ca="1" si="23"/>
        <v>HD_010320C214</v>
      </c>
      <c r="F346" s="75" t="str">
        <f ca="1">_xll.xlqName(E346,tda)</f>
        <v>#N/A</v>
      </c>
      <c r="G346" s="75" t="str">
        <f t="shared" ca="1" si="26"/>
        <v>BAD</v>
      </c>
      <c r="I346" s="83">
        <v>43833</v>
      </c>
      <c r="J346" s="84">
        <v>194</v>
      </c>
      <c r="K346" s="74" t="s">
        <v>600</v>
      </c>
      <c r="L346" s="75" t="s">
        <v>53</v>
      </c>
      <c r="M346" s="75" t="s">
        <v>106</v>
      </c>
    </row>
    <row r="347" spans="1:13" x14ac:dyDescent="0.25">
      <c r="A347" s="48">
        <v>0.5</v>
      </c>
      <c r="B347" s="48"/>
      <c r="C347" s="83">
        <f t="shared" ca="1" si="24"/>
        <v>43833</v>
      </c>
      <c r="D347" s="84">
        <f t="shared" si="25"/>
        <v>214.5</v>
      </c>
      <c r="E347" s="74" t="str">
        <f t="shared" ca="1" si="23"/>
        <v>HD_010320C214.5</v>
      </c>
      <c r="F347" s="75" t="str">
        <f ca="1">_xll.xlqName(E347,tda)</f>
        <v>#N/A</v>
      </c>
      <c r="G347" s="75" t="str">
        <f t="shared" ca="1" si="26"/>
        <v>BAD</v>
      </c>
      <c r="I347" s="83">
        <v>43833</v>
      </c>
      <c r="J347" s="84">
        <v>194.5</v>
      </c>
      <c r="K347" s="74" t="s">
        <v>601</v>
      </c>
      <c r="L347" s="75" t="s">
        <v>53</v>
      </c>
      <c r="M347" s="75" t="s">
        <v>106</v>
      </c>
    </row>
    <row r="348" spans="1:13" x14ac:dyDescent="0.25">
      <c r="A348" s="48">
        <v>0.5</v>
      </c>
      <c r="B348" s="48"/>
      <c r="C348" s="83">
        <f t="shared" ca="1" si="24"/>
        <v>43833</v>
      </c>
      <c r="D348" s="84">
        <f t="shared" si="25"/>
        <v>215</v>
      </c>
      <c r="E348" s="74" t="str">
        <f t="shared" ca="1" si="23"/>
        <v>HD_010320C215</v>
      </c>
      <c r="F348" s="75" t="str">
        <f ca="1">_xll.xlqName(E348,tda)</f>
        <v>HD Jan 3 2020 215 Call (Weekly)</v>
      </c>
      <c r="G348" s="75" t="str">
        <f t="shared" ca="1" si="26"/>
        <v/>
      </c>
      <c r="I348" s="83">
        <v>43833</v>
      </c>
      <c r="J348" s="84">
        <v>195</v>
      </c>
      <c r="K348" s="74" t="s">
        <v>602</v>
      </c>
      <c r="L348" s="75" t="s">
        <v>603</v>
      </c>
      <c r="M348" s="75" t="s">
        <v>111</v>
      </c>
    </row>
    <row r="349" spans="1:13" x14ac:dyDescent="0.25">
      <c r="A349" s="48">
        <v>1</v>
      </c>
      <c r="B349" s="48"/>
      <c r="C349" s="83">
        <f t="shared" ca="1" si="24"/>
        <v>43833</v>
      </c>
      <c r="D349" s="84">
        <f t="shared" si="25"/>
        <v>216</v>
      </c>
      <c r="E349" s="74" t="str">
        <f t="shared" ca="1" si="23"/>
        <v>HD_010320C216</v>
      </c>
      <c r="F349" s="75" t="str">
        <f ca="1">_xll.xlqName(E349,tda)</f>
        <v>#N/A</v>
      </c>
      <c r="G349" s="75" t="str">
        <f t="shared" ca="1" si="26"/>
        <v>BAD</v>
      </c>
      <c r="I349" s="83">
        <v>43833</v>
      </c>
      <c r="J349" s="84">
        <v>196</v>
      </c>
      <c r="K349" s="74" t="s">
        <v>604</v>
      </c>
      <c r="L349" s="75" t="s">
        <v>53</v>
      </c>
      <c r="M349" s="75" t="s">
        <v>106</v>
      </c>
    </row>
    <row r="350" spans="1:13" x14ac:dyDescent="0.25">
      <c r="A350" s="48">
        <v>1</v>
      </c>
      <c r="B350" s="48"/>
      <c r="C350" s="83">
        <f t="shared" ca="1" si="24"/>
        <v>43833</v>
      </c>
      <c r="D350" s="84">
        <f t="shared" si="25"/>
        <v>217</v>
      </c>
      <c r="E350" s="74" t="str">
        <f t="shared" ca="1" si="23"/>
        <v>HD_010320C217</v>
      </c>
      <c r="F350" s="75" t="str">
        <f ca="1">_xll.xlqName(E350,tda)</f>
        <v>#N/A</v>
      </c>
      <c r="G350" s="75" t="str">
        <f t="shared" ca="1" si="26"/>
        <v>BAD</v>
      </c>
      <c r="I350" s="83">
        <v>43833</v>
      </c>
      <c r="J350" s="84">
        <v>197</v>
      </c>
      <c r="K350" s="74" t="s">
        <v>605</v>
      </c>
      <c r="L350" s="75" t="s">
        <v>53</v>
      </c>
      <c r="M350" s="75" t="s">
        <v>106</v>
      </c>
    </row>
    <row r="351" spans="1:13" x14ac:dyDescent="0.25">
      <c r="A351" s="48">
        <v>1</v>
      </c>
      <c r="B351" s="48"/>
      <c r="C351" s="83">
        <f t="shared" ca="1" si="24"/>
        <v>43833</v>
      </c>
      <c r="D351" s="84">
        <f t="shared" si="25"/>
        <v>218</v>
      </c>
      <c r="E351" s="74" t="str">
        <f t="shared" ca="1" si="23"/>
        <v>HD_010320C218</v>
      </c>
      <c r="F351" s="75" t="str">
        <f ca="1">_xll.xlqName(E351,tda)</f>
        <v>#N/A</v>
      </c>
      <c r="G351" s="75" t="str">
        <f t="shared" ca="1" si="26"/>
        <v>BAD</v>
      </c>
      <c r="I351" s="83">
        <v>43833</v>
      </c>
      <c r="J351" s="84">
        <v>198</v>
      </c>
      <c r="K351" s="74" t="s">
        <v>606</v>
      </c>
      <c r="L351" s="75" t="s">
        <v>53</v>
      </c>
      <c r="M351" s="75" t="s">
        <v>106</v>
      </c>
    </row>
    <row r="352" spans="1:13" x14ac:dyDescent="0.25">
      <c r="A352" s="48">
        <v>1</v>
      </c>
      <c r="B352" s="48"/>
      <c r="C352" s="83">
        <f t="shared" ca="1" si="24"/>
        <v>43833</v>
      </c>
      <c r="D352" s="84">
        <f t="shared" si="25"/>
        <v>219</v>
      </c>
      <c r="E352" s="74" t="str">
        <f t="shared" ca="1" si="23"/>
        <v>HD_010320C219</v>
      </c>
      <c r="F352" s="75" t="str">
        <f ca="1">_xll.xlqName(E352,tda)</f>
        <v>#N/A</v>
      </c>
      <c r="G352" s="75" t="str">
        <f t="shared" ca="1" si="26"/>
        <v>BAD</v>
      </c>
      <c r="I352" s="83">
        <v>43833</v>
      </c>
      <c r="J352" s="84">
        <v>199</v>
      </c>
      <c r="K352" s="74" t="s">
        <v>607</v>
      </c>
      <c r="L352" s="75" t="s">
        <v>53</v>
      </c>
      <c r="M352" s="75" t="s">
        <v>106</v>
      </c>
    </row>
    <row r="353" spans="1:13" x14ac:dyDescent="0.25">
      <c r="A353" s="48">
        <v>0.5</v>
      </c>
      <c r="B353" s="48"/>
      <c r="C353" s="83">
        <f t="shared" ca="1" si="24"/>
        <v>43833</v>
      </c>
      <c r="D353" s="84">
        <f t="shared" si="25"/>
        <v>219.5</v>
      </c>
      <c r="E353" s="74" t="str">
        <f t="shared" ca="1" si="23"/>
        <v>HD_010320C219.5</v>
      </c>
      <c r="F353" s="75" t="str">
        <f ca="1">_xll.xlqName(E353,tda)</f>
        <v>#N/A</v>
      </c>
      <c r="G353" s="75" t="str">
        <f t="shared" ca="1" si="26"/>
        <v>BAD</v>
      </c>
      <c r="I353" s="83">
        <v>43833</v>
      </c>
      <c r="J353" s="84">
        <v>199.5</v>
      </c>
      <c r="K353" s="74" t="s">
        <v>608</v>
      </c>
      <c r="L353" s="75" t="s">
        <v>53</v>
      </c>
      <c r="M353" s="75" t="s">
        <v>106</v>
      </c>
    </row>
    <row r="354" spans="1:13" x14ac:dyDescent="0.25">
      <c r="A354" s="48">
        <v>0.5</v>
      </c>
      <c r="B354" s="48"/>
      <c r="C354" s="83">
        <f t="shared" ca="1" si="24"/>
        <v>43833</v>
      </c>
      <c r="D354" s="84">
        <f t="shared" si="25"/>
        <v>220</v>
      </c>
      <c r="E354" s="74" t="str">
        <f t="shared" ca="1" si="23"/>
        <v>HD_010320C220</v>
      </c>
      <c r="F354" s="75" t="str">
        <f ca="1">_xll.xlqName(E354,tda)</f>
        <v>HD Jan 3 2020 220 Call (Weekly)</v>
      </c>
      <c r="G354" s="75" t="str">
        <f t="shared" ca="1" si="26"/>
        <v/>
      </c>
      <c r="I354" s="83">
        <v>43833</v>
      </c>
      <c r="J354" s="84">
        <v>200</v>
      </c>
      <c r="K354" s="74" t="s">
        <v>609</v>
      </c>
      <c r="L354" s="75" t="s">
        <v>610</v>
      </c>
      <c r="M354" s="75" t="s">
        <v>111</v>
      </c>
    </row>
    <row r="355" spans="1:13" x14ac:dyDescent="0.25">
      <c r="A355" s="48">
        <v>1</v>
      </c>
      <c r="B355" s="48"/>
      <c r="C355" s="83">
        <f t="shared" ca="1" si="24"/>
        <v>43833</v>
      </c>
      <c r="D355" s="84">
        <f t="shared" si="25"/>
        <v>221</v>
      </c>
      <c r="E355" s="74" t="str">
        <f t="shared" ca="1" si="23"/>
        <v>HD_010320C221</v>
      </c>
      <c r="F355" s="75" t="str">
        <f ca="1">_xll.xlqName(E355,tda)</f>
        <v>#N/A</v>
      </c>
      <c r="G355" s="75" t="str">
        <f t="shared" ca="1" si="26"/>
        <v>BAD</v>
      </c>
      <c r="I355" s="83">
        <v>43833</v>
      </c>
      <c r="J355" s="84">
        <v>201</v>
      </c>
      <c r="K355" s="74" t="s">
        <v>611</v>
      </c>
      <c r="L355" s="75" t="s">
        <v>53</v>
      </c>
      <c r="M355" s="75" t="s">
        <v>106</v>
      </c>
    </row>
    <row r="356" spans="1:13" x14ac:dyDescent="0.25">
      <c r="A356" s="48">
        <v>1</v>
      </c>
      <c r="B356" s="48"/>
      <c r="C356" s="83">
        <f t="shared" ca="1" si="24"/>
        <v>43833</v>
      </c>
      <c r="D356" s="84">
        <f t="shared" si="25"/>
        <v>222</v>
      </c>
      <c r="E356" s="74" t="str">
        <f t="shared" ca="1" si="23"/>
        <v>HD_010320C222</v>
      </c>
      <c r="F356" s="75" t="str">
        <f ca="1">_xll.xlqName(E356,tda)</f>
        <v>#N/A</v>
      </c>
      <c r="G356" s="75" t="str">
        <f t="shared" ca="1" si="26"/>
        <v>BAD</v>
      </c>
      <c r="I356" s="83">
        <v>43833</v>
      </c>
      <c r="J356" s="84">
        <v>202</v>
      </c>
      <c r="K356" s="74" t="s">
        <v>612</v>
      </c>
      <c r="L356" s="75" t="s">
        <v>53</v>
      </c>
      <c r="M356" s="75" t="s">
        <v>106</v>
      </c>
    </row>
    <row r="357" spans="1:13" x14ac:dyDescent="0.25">
      <c r="A357" s="48">
        <v>1</v>
      </c>
      <c r="B357" s="48"/>
      <c r="C357" s="83">
        <f t="shared" ca="1" si="24"/>
        <v>43833</v>
      </c>
      <c r="D357" s="84">
        <f t="shared" si="25"/>
        <v>223</v>
      </c>
      <c r="E357" s="74" t="str">
        <f t="shared" ca="1" si="23"/>
        <v>HD_010320C223</v>
      </c>
      <c r="F357" s="75" t="str">
        <f ca="1">_xll.xlqName(E357,tda)</f>
        <v>#N/A</v>
      </c>
      <c r="G357" s="75" t="str">
        <f t="shared" ca="1" si="26"/>
        <v>BAD</v>
      </c>
      <c r="I357" s="83">
        <v>43833</v>
      </c>
      <c r="J357" s="84">
        <v>203</v>
      </c>
      <c r="K357" s="74" t="s">
        <v>613</v>
      </c>
      <c r="L357" s="75" t="s">
        <v>53</v>
      </c>
      <c r="M357" s="75" t="s">
        <v>106</v>
      </c>
    </row>
    <row r="358" spans="1:13" x14ac:dyDescent="0.25">
      <c r="A358" s="48">
        <v>1</v>
      </c>
      <c r="B358" s="48"/>
      <c r="C358" s="83">
        <f t="shared" ca="1" si="24"/>
        <v>43833</v>
      </c>
      <c r="D358" s="84">
        <f t="shared" si="25"/>
        <v>224</v>
      </c>
      <c r="E358" s="74" t="str">
        <f t="shared" ca="1" si="23"/>
        <v>HD_010320C224</v>
      </c>
      <c r="F358" s="75" t="str">
        <f ca="1">_xll.xlqName(E358,tda)</f>
        <v>#N/A</v>
      </c>
      <c r="G358" s="75" t="str">
        <f t="shared" ca="1" si="26"/>
        <v>BAD</v>
      </c>
      <c r="I358" s="83">
        <v>43833</v>
      </c>
      <c r="J358" s="84">
        <v>204</v>
      </c>
      <c r="K358" s="74" t="s">
        <v>614</v>
      </c>
      <c r="L358" s="75" t="s">
        <v>53</v>
      </c>
      <c r="M358" s="75" t="s">
        <v>106</v>
      </c>
    </row>
    <row r="359" spans="1:13" x14ac:dyDescent="0.25">
      <c r="A359" s="48">
        <v>0.5</v>
      </c>
      <c r="B359" s="48"/>
      <c r="C359" s="83">
        <f t="shared" ca="1" si="24"/>
        <v>43833</v>
      </c>
      <c r="D359" s="84">
        <f t="shared" si="25"/>
        <v>224.5</v>
      </c>
      <c r="E359" s="74" t="str">
        <f t="shared" ca="1" si="23"/>
        <v>HD_010320C224.5</v>
      </c>
      <c r="F359" s="75" t="str">
        <f ca="1">_xll.xlqName(E359,tda)</f>
        <v>#N/A</v>
      </c>
      <c r="G359" s="75" t="str">
        <f t="shared" ca="1" si="26"/>
        <v>BAD</v>
      </c>
      <c r="I359" s="83">
        <v>43833</v>
      </c>
      <c r="J359" s="84">
        <v>204.5</v>
      </c>
      <c r="K359" s="74" t="s">
        <v>615</v>
      </c>
      <c r="L359" s="75" t="s">
        <v>53</v>
      </c>
      <c r="M359" s="75" t="s">
        <v>106</v>
      </c>
    </row>
    <row r="360" spans="1:13" x14ac:dyDescent="0.25">
      <c r="A360" s="48">
        <v>0.5</v>
      </c>
      <c r="B360" s="48"/>
      <c r="C360" s="83">
        <f t="shared" ca="1" si="24"/>
        <v>43833</v>
      </c>
      <c r="D360" s="84">
        <f t="shared" si="25"/>
        <v>225</v>
      </c>
      <c r="E360" s="74" t="str">
        <f t="shared" ca="1" si="23"/>
        <v>HD_010320C225</v>
      </c>
      <c r="F360" s="75" t="str">
        <f ca="1">_xll.xlqName(E360,tda)</f>
        <v>HD Jan 3 2020 225 Call (Weekly)</v>
      </c>
      <c r="G360" s="75" t="str">
        <f t="shared" ca="1" si="26"/>
        <v/>
      </c>
      <c r="I360" s="83">
        <v>43833</v>
      </c>
      <c r="J360" s="84">
        <v>205</v>
      </c>
      <c r="K360" s="74" t="s">
        <v>616</v>
      </c>
      <c r="L360" s="75" t="s">
        <v>617</v>
      </c>
      <c r="M360" s="75" t="s">
        <v>111</v>
      </c>
    </row>
    <row r="361" spans="1:13" x14ac:dyDescent="0.25">
      <c r="A361" s="48">
        <v>1</v>
      </c>
      <c r="B361" s="48"/>
      <c r="C361" s="83">
        <f t="shared" ca="1" si="24"/>
        <v>43833</v>
      </c>
      <c r="D361" s="84">
        <f t="shared" si="25"/>
        <v>226</v>
      </c>
      <c r="E361" s="74" t="str">
        <f t="shared" ca="1" si="23"/>
        <v>HD_010320C226</v>
      </c>
      <c r="F361" s="75" t="str">
        <f ca="1">_xll.xlqName(E361,tda)</f>
        <v>#N/A</v>
      </c>
      <c r="G361" s="75" t="str">
        <f t="shared" ca="1" si="26"/>
        <v>BAD</v>
      </c>
      <c r="I361" s="83">
        <v>43833</v>
      </c>
      <c r="J361" s="84">
        <v>206</v>
      </c>
      <c r="K361" s="74" t="s">
        <v>618</v>
      </c>
      <c r="L361" s="75" t="s">
        <v>53</v>
      </c>
      <c r="M361" s="75" t="s">
        <v>106</v>
      </c>
    </row>
    <row r="362" spans="1:13" x14ac:dyDescent="0.25">
      <c r="A362" s="48">
        <v>1</v>
      </c>
      <c r="B362" s="48"/>
      <c r="C362" s="83">
        <f t="shared" ca="1" si="24"/>
        <v>43833</v>
      </c>
      <c r="D362" s="84">
        <f t="shared" si="25"/>
        <v>227</v>
      </c>
      <c r="E362" s="74" t="str">
        <f t="shared" ca="1" si="23"/>
        <v>HD_010320C227</v>
      </c>
      <c r="F362" s="75" t="str">
        <f ca="1">_xll.xlqName(E362,tda)</f>
        <v>#N/A</v>
      </c>
      <c r="G362" s="75" t="str">
        <f t="shared" ca="1" si="26"/>
        <v>BAD</v>
      </c>
      <c r="I362" s="83">
        <v>43833</v>
      </c>
      <c r="J362" s="84">
        <v>207</v>
      </c>
      <c r="K362" s="74" t="s">
        <v>619</v>
      </c>
      <c r="L362" s="75" t="s">
        <v>53</v>
      </c>
      <c r="M362" s="75" t="s">
        <v>106</v>
      </c>
    </row>
    <row r="363" spans="1:13" x14ac:dyDescent="0.25">
      <c r="A363" s="48">
        <v>1</v>
      </c>
      <c r="B363" s="48"/>
      <c r="C363" s="83">
        <f t="shared" ca="1" si="24"/>
        <v>43833</v>
      </c>
      <c r="D363" s="84">
        <f t="shared" si="25"/>
        <v>228</v>
      </c>
      <c r="E363" s="74" t="str">
        <f t="shared" ca="1" si="23"/>
        <v>HD_010320C228</v>
      </c>
      <c r="F363" s="75" t="str">
        <f ca="1">_xll.xlqName(E363,tda)</f>
        <v>#N/A</v>
      </c>
      <c r="G363" s="75" t="str">
        <f t="shared" ca="1" si="26"/>
        <v>BAD</v>
      </c>
      <c r="I363" s="83">
        <v>43833</v>
      </c>
      <c r="J363" s="84">
        <v>208</v>
      </c>
      <c r="K363" s="74" t="s">
        <v>620</v>
      </c>
      <c r="L363" s="75" t="s">
        <v>53</v>
      </c>
      <c r="M363" s="75" t="s">
        <v>106</v>
      </c>
    </row>
    <row r="364" spans="1:13" x14ac:dyDescent="0.25">
      <c r="A364" s="48">
        <v>1</v>
      </c>
      <c r="B364" s="48"/>
      <c r="C364" s="83">
        <f t="shared" ca="1" si="24"/>
        <v>43833</v>
      </c>
      <c r="D364" s="84">
        <f t="shared" si="25"/>
        <v>229</v>
      </c>
      <c r="E364" s="74" t="str">
        <f t="shared" ca="1" si="23"/>
        <v>HD_010320C229</v>
      </c>
      <c r="F364" s="75" t="str">
        <f ca="1">_xll.xlqName(E364,tda)</f>
        <v>#N/A</v>
      </c>
      <c r="G364" s="75" t="str">
        <f t="shared" ca="1" si="26"/>
        <v>BAD</v>
      </c>
      <c r="I364" s="83">
        <v>43833</v>
      </c>
      <c r="J364" s="84">
        <v>209</v>
      </c>
      <c r="K364" s="74" t="s">
        <v>621</v>
      </c>
      <c r="L364" s="75" t="s">
        <v>53</v>
      </c>
      <c r="M364" s="75" t="s">
        <v>106</v>
      </c>
    </row>
    <row r="365" spans="1:13" x14ac:dyDescent="0.25">
      <c r="A365" s="48">
        <v>0.5</v>
      </c>
      <c r="B365" s="48"/>
      <c r="C365" s="83">
        <f t="shared" ca="1" si="24"/>
        <v>43833</v>
      </c>
      <c r="D365" s="84">
        <f t="shared" si="25"/>
        <v>229.5</v>
      </c>
      <c r="E365" s="74" t="str">
        <f t="shared" ca="1" si="23"/>
        <v>HD_010320C229.5</v>
      </c>
      <c r="F365" s="75" t="str">
        <f ca="1">_xll.xlqName(E365,tda)</f>
        <v>#N/A</v>
      </c>
      <c r="G365" s="75" t="str">
        <f t="shared" ca="1" si="26"/>
        <v>BAD</v>
      </c>
      <c r="I365" s="83">
        <v>43833</v>
      </c>
      <c r="J365" s="84">
        <v>209.5</v>
      </c>
      <c r="K365" s="74" t="s">
        <v>622</v>
      </c>
      <c r="L365" s="75" t="s">
        <v>53</v>
      </c>
      <c r="M365" s="75" t="s">
        <v>106</v>
      </c>
    </row>
    <row r="366" spans="1:13" x14ac:dyDescent="0.25">
      <c r="A366" s="48">
        <v>0.5</v>
      </c>
      <c r="B366" s="48"/>
      <c r="C366" s="83">
        <f t="shared" ca="1" si="24"/>
        <v>43833</v>
      </c>
      <c r="D366" s="84">
        <f t="shared" si="25"/>
        <v>230</v>
      </c>
      <c r="E366" s="74" t="str">
        <f t="shared" ca="1" si="23"/>
        <v>HD_010320C230</v>
      </c>
      <c r="F366" s="75" t="str">
        <f ca="1">_xll.xlqName(E366,tda)</f>
        <v>HD Jan 3 2020 230 Call (Weekly)</v>
      </c>
      <c r="G366" s="75" t="str">
        <f t="shared" ca="1" si="26"/>
        <v/>
      </c>
      <c r="I366" s="83">
        <v>43833</v>
      </c>
      <c r="J366" s="84">
        <v>210</v>
      </c>
      <c r="K366" s="74" t="s">
        <v>623</v>
      </c>
      <c r="L366" s="75" t="s">
        <v>624</v>
      </c>
      <c r="M366" s="75" t="s">
        <v>111</v>
      </c>
    </row>
    <row r="367" spans="1:13" x14ac:dyDescent="0.25">
      <c r="A367" s="48">
        <v>1</v>
      </c>
      <c r="B367" s="48"/>
      <c r="C367" s="83">
        <f t="shared" ca="1" si="24"/>
        <v>43840</v>
      </c>
      <c r="D367" s="84">
        <f t="shared" si="25"/>
        <v>170</v>
      </c>
      <c r="E367" s="74" t="str">
        <f t="shared" ca="1" si="23"/>
        <v>HD_011020C170</v>
      </c>
      <c r="F367" s="75" t="str">
        <f ca="1">_xll.xlqName(E367,tda)</f>
        <v>#N/A</v>
      </c>
      <c r="G367" s="75" t="str">
        <f t="shared" ca="1" si="26"/>
        <v>BAD</v>
      </c>
      <c r="I367" s="83">
        <v>43833</v>
      </c>
      <c r="J367" s="84">
        <v>211</v>
      </c>
      <c r="K367" s="74" t="s">
        <v>625</v>
      </c>
      <c r="L367" s="75" t="s">
        <v>53</v>
      </c>
      <c r="M367" s="75" t="s">
        <v>106</v>
      </c>
    </row>
    <row r="368" spans="1:13" x14ac:dyDescent="0.25">
      <c r="A368" s="48">
        <v>1</v>
      </c>
      <c r="B368" s="48"/>
      <c r="C368" s="83">
        <f t="shared" ca="1" si="24"/>
        <v>43840</v>
      </c>
      <c r="D368" s="84">
        <f t="shared" si="25"/>
        <v>171</v>
      </c>
      <c r="E368" s="74" t="str">
        <f t="shared" ca="1" si="23"/>
        <v>HD_011020C171</v>
      </c>
      <c r="F368" s="75" t="str">
        <f ca="1">_xll.xlqName(E368,tda)</f>
        <v>#N/A</v>
      </c>
      <c r="G368" s="75" t="str">
        <f t="shared" ca="1" si="26"/>
        <v>BAD</v>
      </c>
      <c r="I368" s="83">
        <v>43833</v>
      </c>
      <c r="J368" s="84">
        <v>212</v>
      </c>
      <c r="K368" s="74" t="s">
        <v>626</v>
      </c>
      <c r="L368" s="75" t="s">
        <v>53</v>
      </c>
      <c r="M368" s="75" t="s">
        <v>106</v>
      </c>
    </row>
    <row r="369" spans="1:13" x14ac:dyDescent="0.25">
      <c r="A369" s="48">
        <v>1</v>
      </c>
      <c r="B369" s="48"/>
      <c r="C369" s="83">
        <f t="shared" ca="1" si="24"/>
        <v>43840</v>
      </c>
      <c r="D369" s="84">
        <f t="shared" si="25"/>
        <v>172</v>
      </c>
      <c r="E369" s="74" t="str">
        <f t="shared" ca="1" si="23"/>
        <v>HD_011020C172</v>
      </c>
      <c r="F369" s="75" t="str">
        <f ca="1">_xll.xlqName(E369,tda)</f>
        <v>#N/A</v>
      </c>
      <c r="G369" s="75" t="str">
        <f t="shared" ca="1" si="26"/>
        <v>BAD</v>
      </c>
      <c r="I369" s="83">
        <v>43833</v>
      </c>
      <c r="J369" s="84">
        <v>213</v>
      </c>
      <c r="K369" s="74" t="s">
        <v>627</v>
      </c>
      <c r="L369" s="75" t="s">
        <v>53</v>
      </c>
      <c r="M369" s="75" t="s">
        <v>106</v>
      </c>
    </row>
    <row r="370" spans="1:13" x14ac:dyDescent="0.25">
      <c r="A370" s="48">
        <v>1</v>
      </c>
      <c r="B370" s="48"/>
      <c r="C370" s="83">
        <f t="shared" ca="1" si="24"/>
        <v>43840</v>
      </c>
      <c r="D370" s="84">
        <f t="shared" si="25"/>
        <v>173</v>
      </c>
      <c r="E370" s="74" t="str">
        <f t="shared" ca="1" si="23"/>
        <v>HD_011020C173</v>
      </c>
      <c r="F370" s="75" t="str">
        <f ca="1">_xll.xlqName(E370,tda)</f>
        <v>#N/A</v>
      </c>
      <c r="G370" s="75" t="str">
        <f t="shared" ca="1" si="26"/>
        <v>BAD</v>
      </c>
      <c r="I370" s="83">
        <v>43833</v>
      </c>
      <c r="J370" s="84">
        <v>214</v>
      </c>
      <c r="K370" s="74" t="s">
        <v>628</v>
      </c>
      <c r="L370" s="75" t="s">
        <v>53</v>
      </c>
      <c r="M370" s="75" t="s">
        <v>106</v>
      </c>
    </row>
    <row r="371" spans="1:13" x14ac:dyDescent="0.25">
      <c r="A371" s="48">
        <v>0.5</v>
      </c>
      <c r="B371" s="48"/>
      <c r="C371" s="83">
        <f t="shared" ca="1" si="24"/>
        <v>43840</v>
      </c>
      <c r="D371" s="84">
        <f t="shared" si="25"/>
        <v>173.5</v>
      </c>
      <c r="E371" s="74" t="str">
        <f t="shared" ca="1" si="23"/>
        <v>HD_011020C173.5</v>
      </c>
      <c r="F371" s="75" t="str">
        <f ca="1">_xll.xlqName(E371,tda)</f>
        <v>#N/A</v>
      </c>
      <c r="G371" s="75" t="str">
        <f t="shared" ca="1" si="26"/>
        <v>BAD</v>
      </c>
      <c r="I371" s="83">
        <v>43833</v>
      </c>
      <c r="J371" s="84">
        <v>214.5</v>
      </c>
      <c r="K371" s="74" t="s">
        <v>629</v>
      </c>
      <c r="L371" s="75" t="s">
        <v>53</v>
      </c>
      <c r="M371" s="75" t="s">
        <v>106</v>
      </c>
    </row>
    <row r="372" spans="1:13" x14ac:dyDescent="0.25">
      <c r="A372" s="48">
        <v>0.5</v>
      </c>
      <c r="B372" s="48"/>
      <c r="C372" s="83">
        <f t="shared" ca="1" si="24"/>
        <v>43840</v>
      </c>
      <c r="D372" s="84">
        <f t="shared" si="25"/>
        <v>174</v>
      </c>
      <c r="E372" s="74" t="str">
        <f t="shared" ca="1" si="23"/>
        <v>HD_011020C174</v>
      </c>
      <c r="F372" s="75" t="str">
        <f ca="1">_xll.xlqName(E372,tda)</f>
        <v>#N/A</v>
      </c>
      <c r="G372" s="75" t="str">
        <f t="shared" ca="1" si="26"/>
        <v>BAD</v>
      </c>
      <c r="I372" s="83">
        <v>43833</v>
      </c>
      <c r="J372" s="84">
        <v>215</v>
      </c>
      <c r="K372" s="74" t="s">
        <v>630</v>
      </c>
      <c r="L372" s="75" t="s">
        <v>631</v>
      </c>
      <c r="M372" s="75" t="s">
        <v>111</v>
      </c>
    </row>
    <row r="373" spans="1:13" x14ac:dyDescent="0.25">
      <c r="A373" s="48">
        <v>1</v>
      </c>
      <c r="B373" s="48"/>
      <c r="C373" s="83">
        <f t="shared" ca="1" si="24"/>
        <v>43840</v>
      </c>
      <c r="D373" s="84">
        <f t="shared" si="25"/>
        <v>175</v>
      </c>
      <c r="E373" s="74" t="str">
        <f t="shared" ca="1" si="23"/>
        <v>HD_011020C175</v>
      </c>
      <c r="F373" s="75" t="str">
        <f ca="1">_xll.xlqName(E373,tda)</f>
        <v>#N/A</v>
      </c>
      <c r="G373" s="75" t="str">
        <f t="shared" ca="1" si="26"/>
        <v>BAD</v>
      </c>
      <c r="I373" s="83">
        <v>43833</v>
      </c>
      <c r="J373" s="84">
        <v>216</v>
      </c>
      <c r="K373" s="74" t="s">
        <v>632</v>
      </c>
      <c r="L373" s="75" t="s">
        <v>53</v>
      </c>
      <c r="M373" s="75" t="s">
        <v>106</v>
      </c>
    </row>
    <row r="374" spans="1:13" x14ac:dyDescent="0.25">
      <c r="A374" s="48">
        <v>1</v>
      </c>
      <c r="B374" s="48"/>
      <c r="C374" s="83">
        <f t="shared" ca="1" si="24"/>
        <v>43840</v>
      </c>
      <c r="D374" s="84">
        <f t="shared" si="25"/>
        <v>176</v>
      </c>
      <c r="E374" s="74" t="str">
        <f t="shared" ca="1" si="23"/>
        <v>HD_011020C176</v>
      </c>
      <c r="F374" s="75" t="str">
        <f ca="1">_xll.xlqName(E374,tda)</f>
        <v>#N/A</v>
      </c>
      <c r="G374" s="75" t="str">
        <f t="shared" ca="1" si="26"/>
        <v>BAD</v>
      </c>
      <c r="I374" s="83">
        <v>43833</v>
      </c>
      <c r="J374" s="84">
        <v>217</v>
      </c>
      <c r="K374" s="74" t="s">
        <v>633</v>
      </c>
      <c r="L374" s="75" t="s">
        <v>53</v>
      </c>
      <c r="M374" s="75" t="s">
        <v>106</v>
      </c>
    </row>
    <row r="375" spans="1:13" x14ac:dyDescent="0.25">
      <c r="A375" s="48">
        <v>1</v>
      </c>
      <c r="B375" s="48"/>
      <c r="C375" s="83">
        <f t="shared" ca="1" si="24"/>
        <v>43840</v>
      </c>
      <c r="D375" s="84">
        <f t="shared" si="25"/>
        <v>177</v>
      </c>
      <c r="E375" s="74" t="str">
        <f t="shared" ca="1" si="23"/>
        <v>HD_011020C177</v>
      </c>
      <c r="F375" s="75" t="str">
        <f ca="1">_xll.xlqName(E375,tda)</f>
        <v>#N/A</v>
      </c>
      <c r="G375" s="75" t="str">
        <f t="shared" ca="1" si="26"/>
        <v>BAD</v>
      </c>
      <c r="I375" s="83">
        <v>43833</v>
      </c>
      <c r="J375" s="84">
        <v>218</v>
      </c>
      <c r="K375" s="74" t="s">
        <v>634</v>
      </c>
      <c r="L375" s="75" t="s">
        <v>53</v>
      </c>
      <c r="M375" s="75" t="s">
        <v>106</v>
      </c>
    </row>
    <row r="376" spans="1:13" x14ac:dyDescent="0.25">
      <c r="A376" s="48">
        <v>1</v>
      </c>
      <c r="B376" s="48"/>
      <c r="C376" s="83">
        <f t="shared" ca="1" si="24"/>
        <v>43840</v>
      </c>
      <c r="D376" s="84">
        <f t="shared" si="25"/>
        <v>178</v>
      </c>
      <c r="E376" s="74" t="str">
        <f t="shared" ca="1" si="23"/>
        <v>HD_011020C178</v>
      </c>
      <c r="F376" s="75" t="str">
        <f ca="1">_xll.xlqName(E376,tda)</f>
        <v>#N/A</v>
      </c>
      <c r="G376" s="75" t="str">
        <f t="shared" ca="1" si="26"/>
        <v>BAD</v>
      </c>
      <c r="I376" s="83">
        <v>43833</v>
      </c>
      <c r="J376" s="84">
        <v>219</v>
      </c>
      <c r="K376" s="74" t="s">
        <v>635</v>
      </c>
      <c r="L376" s="75" t="s">
        <v>53</v>
      </c>
      <c r="M376" s="75" t="s">
        <v>106</v>
      </c>
    </row>
    <row r="377" spans="1:13" x14ac:dyDescent="0.25">
      <c r="A377" s="48">
        <v>0.5</v>
      </c>
      <c r="B377" s="48"/>
      <c r="C377" s="83">
        <f t="shared" ca="1" si="24"/>
        <v>43840</v>
      </c>
      <c r="D377" s="84">
        <f t="shared" si="25"/>
        <v>178.5</v>
      </c>
      <c r="E377" s="74" t="str">
        <f t="shared" ca="1" si="23"/>
        <v>HD_011020C178.5</v>
      </c>
      <c r="F377" s="75" t="str">
        <f ca="1">_xll.xlqName(E377,tda)</f>
        <v>#N/A</v>
      </c>
      <c r="G377" s="75" t="str">
        <f t="shared" ca="1" si="26"/>
        <v>BAD</v>
      </c>
      <c r="I377" s="83">
        <v>43833</v>
      </c>
      <c r="J377" s="84">
        <v>219.5</v>
      </c>
      <c r="K377" s="74" t="s">
        <v>636</v>
      </c>
      <c r="L377" s="75" t="s">
        <v>53</v>
      </c>
      <c r="M377" s="75" t="s">
        <v>106</v>
      </c>
    </row>
    <row r="378" spans="1:13" x14ac:dyDescent="0.25">
      <c r="A378" s="48">
        <v>0.5</v>
      </c>
      <c r="B378" s="48"/>
      <c r="C378" s="83">
        <f t="shared" ca="1" si="24"/>
        <v>43840</v>
      </c>
      <c r="D378" s="84">
        <f t="shared" si="25"/>
        <v>179</v>
      </c>
      <c r="E378" s="74" t="str">
        <f t="shared" ca="1" si="23"/>
        <v>HD_011020C179</v>
      </c>
      <c r="F378" s="75" t="str">
        <f ca="1">_xll.xlqName(E378,tda)</f>
        <v>#N/A</v>
      </c>
      <c r="G378" s="75" t="str">
        <f t="shared" ca="1" si="26"/>
        <v>BAD</v>
      </c>
      <c r="I378" s="83">
        <v>43833</v>
      </c>
      <c r="J378" s="84">
        <v>220</v>
      </c>
      <c r="K378" s="74" t="s">
        <v>637</v>
      </c>
      <c r="L378" s="75" t="s">
        <v>638</v>
      </c>
      <c r="M378" s="75" t="s">
        <v>111</v>
      </c>
    </row>
    <row r="379" spans="1:13" x14ac:dyDescent="0.25">
      <c r="A379" s="48">
        <v>1</v>
      </c>
      <c r="B379" s="48"/>
      <c r="C379" s="83">
        <f t="shared" ca="1" si="24"/>
        <v>43840</v>
      </c>
      <c r="D379" s="84">
        <f t="shared" si="25"/>
        <v>180</v>
      </c>
      <c r="E379" s="74" t="str">
        <f t="shared" ca="1" si="23"/>
        <v>HD_011020C180</v>
      </c>
      <c r="F379" s="75" t="str">
        <f ca="1">_xll.xlqName(E379,tda)</f>
        <v>#N/A</v>
      </c>
      <c r="G379" s="75" t="str">
        <f t="shared" ca="1" si="26"/>
        <v>BAD</v>
      </c>
      <c r="I379" s="83">
        <v>43833</v>
      </c>
      <c r="J379" s="84">
        <v>221</v>
      </c>
      <c r="K379" s="74" t="s">
        <v>639</v>
      </c>
      <c r="L379" s="75" t="s">
        <v>53</v>
      </c>
      <c r="M379" s="75" t="s">
        <v>106</v>
      </c>
    </row>
    <row r="380" spans="1:13" x14ac:dyDescent="0.25">
      <c r="A380" s="48">
        <v>1</v>
      </c>
      <c r="B380" s="48"/>
      <c r="C380" s="83">
        <f t="shared" ca="1" si="24"/>
        <v>43840</v>
      </c>
      <c r="D380" s="84">
        <f t="shared" si="25"/>
        <v>181</v>
      </c>
      <c r="E380" s="74" t="str">
        <f t="shared" ca="1" si="23"/>
        <v>HD_011020C181</v>
      </c>
      <c r="F380" s="75" t="str">
        <f ca="1">_xll.xlqName(E380,tda)</f>
        <v>#N/A</v>
      </c>
      <c r="G380" s="75" t="str">
        <f t="shared" ca="1" si="26"/>
        <v>BAD</v>
      </c>
      <c r="I380" s="83">
        <v>43833</v>
      </c>
      <c r="J380" s="84">
        <v>222</v>
      </c>
      <c r="K380" s="74" t="s">
        <v>640</v>
      </c>
      <c r="L380" s="75" t="s">
        <v>53</v>
      </c>
      <c r="M380" s="75" t="s">
        <v>106</v>
      </c>
    </row>
    <row r="381" spans="1:13" x14ac:dyDescent="0.25">
      <c r="A381" s="48">
        <v>1</v>
      </c>
      <c r="B381" s="48"/>
      <c r="C381" s="83">
        <f t="shared" ca="1" si="24"/>
        <v>43840</v>
      </c>
      <c r="D381" s="84">
        <f t="shared" si="25"/>
        <v>182</v>
      </c>
      <c r="E381" s="74" t="str">
        <f t="shared" ca="1" si="23"/>
        <v>HD_011020C182</v>
      </c>
      <c r="F381" s="75" t="str">
        <f ca="1">_xll.xlqName(E381,tda)</f>
        <v>#N/A</v>
      </c>
      <c r="G381" s="75" t="str">
        <f t="shared" ca="1" si="26"/>
        <v>BAD</v>
      </c>
      <c r="I381" s="83">
        <v>43833</v>
      </c>
      <c r="J381" s="84">
        <v>223</v>
      </c>
      <c r="K381" s="74" t="s">
        <v>641</v>
      </c>
      <c r="L381" s="75" t="s">
        <v>53</v>
      </c>
      <c r="M381" s="75" t="s">
        <v>106</v>
      </c>
    </row>
    <row r="382" spans="1:13" x14ac:dyDescent="0.25">
      <c r="A382" s="48">
        <v>1</v>
      </c>
      <c r="B382" s="48"/>
      <c r="C382" s="83">
        <f t="shared" ca="1" si="24"/>
        <v>43840</v>
      </c>
      <c r="D382" s="84">
        <f t="shared" si="25"/>
        <v>183</v>
      </c>
      <c r="E382" s="74" t="str">
        <f t="shared" ca="1" si="23"/>
        <v>HD_011020C183</v>
      </c>
      <c r="F382" s="75" t="str">
        <f ca="1">_xll.xlqName(E382,tda)</f>
        <v>#N/A</v>
      </c>
      <c r="G382" s="75" t="str">
        <f t="shared" ca="1" si="26"/>
        <v>BAD</v>
      </c>
      <c r="I382" s="83">
        <v>43833</v>
      </c>
      <c r="J382" s="84">
        <v>224</v>
      </c>
      <c r="K382" s="74" t="s">
        <v>642</v>
      </c>
      <c r="L382" s="75" t="s">
        <v>53</v>
      </c>
      <c r="M382" s="75" t="s">
        <v>106</v>
      </c>
    </row>
    <row r="383" spans="1:13" x14ac:dyDescent="0.25">
      <c r="A383" s="48">
        <v>0.5</v>
      </c>
      <c r="B383" s="48"/>
      <c r="C383" s="83">
        <f t="shared" ca="1" si="24"/>
        <v>43840</v>
      </c>
      <c r="D383" s="84">
        <f t="shared" si="25"/>
        <v>183.5</v>
      </c>
      <c r="E383" s="74" t="str">
        <f t="shared" ca="1" si="23"/>
        <v>HD_011020C183.5</v>
      </c>
      <c r="F383" s="75" t="str">
        <f ca="1">_xll.xlqName(E383,tda)</f>
        <v>#N/A</v>
      </c>
      <c r="G383" s="75" t="str">
        <f t="shared" ca="1" si="26"/>
        <v>BAD</v>
      </c>
      <c r="I383" s="83">
        <v>43833</v>
      </c>
      <c r="J383" s="84">
        <v>224.5</v>
      </c>
      <c r="K383" s="74" t="s">
        <v>643</v>
      </c>
      <c r="L383" s="75" t="s">
        <v>53</v>
      </c>
      <c r="M383" s="75" t="s">
        <v>106</v>
      </c>
    </row>
    <row r="384" spans="1:13" x14ac:dyDescent="0.25">
      <c r="A384" s="48">
        <v>0.5</v>
      </c>
      <c r="B384" s="48"/>
      <c r="C384" s="83">
        <f t="shared" ca="1" si="24"/>
        <v>43840</v>
      </c>
      <c r="D384" s="84">
        <f t="shared" si="25"/>
        <v>184</v>
      </c>
      <c r="E384" s="74" t="str">
        <f t="shared" ca="1" si="23"/>
        <v>HD_011020C184</v>
      </c>
      <c r="F384" s="75" t="str">
        <f ca="1">_xll.xlqName(E384,tda)</f>
        <v>#N/A</v>
      </c>
      <c r="G384" s="75" t="str">
        <f t="shared" ca="1" si="26"/>
        <v>BAD</v>
      </c>
      <c r="I384" s="83">
        <v>43833</v>
      </c>
      <c r="J384" s="84">
        <v>225</v>
      </c>
      <c r="K384" s="74" t="s">
        <v>644</v>
      </c>
      <c r="L384" s="75" t="s">
        <v>645</v>
      </c>
      <c r="M384" s="75" t="s">
        <v>111</v>
      </c>
    </row>
    <row r="385" spans="1:13" x14ac:dyDescent="0.25">
      <c r="A385" s="48">
        <v>1</v>
      </c>
      <c r="B385" s="48"/>
      <c r="C385" s="83">
        <f t="shared" ca="1" si="24"/>
        <v>43840</v>
      </c>
      <c r="D385" s="84">
        <f t="shared" si="25"/>
        <v>185</v>
      </c>
      <c r="E385" s="74" t="str">
        <f t="shared" ca="1" si="23"/>
        <v>HD_011020C185</v>
      </c>
      <c r="F385" s="75" t="str">
        <f ca="1">_xll.xlqName(E385,tda)</f>
        <v>HD Jan 10 2020 185 Call (Weekly)</v>
      </c>
      <c r="G385" s="75" t="str">
        <f t="shared" ca="1" si="26"/>
        <v/>
      </c>
      <c r="I385" s="83">
        <v>43833</v>
      </c>
      <c r="J385" s="84">
        <v>226</v>
      </c>
      <c r="K385" s="74" t="s">
        <v>646</v>
      </c>
      <c r="L385" s="75" t="s">
        <v>53</v>
      </c>
      <c r="M385" s="75" t="s">
        <v>106</v>
      </c>
    </row>
    <row r="386" spans="1:13" x14ac:dyDescent="0.25">
      <c r="A386" s="48">
        <v>1</v>
      </c>
      <c r="B386" s="48"/>
      <c r="C386" s="83">
        <f t="shared" ca="1" si="24"/>
        <v>43840</v>
      </c>
      <c r="D386" s="84">
        <f t="shared" si="25"/>
        <v>186</v>
      </c>
      <c r="E386" s="74" t="str">
        <f t="shared" ref="E386:E449" ca="1" si="27">CONCATENATE($Q$2,"_",TEXT(MONTH(C386),"00"),TEXT(DAY(C386),"00"),TEXT(MOD(YEAR(C386),100),"00"),$Q$3,D386&amp;"")</f>
        <v>HD_011020C186</v>
      </c>
      <c r="F386" s="75" t="str">
        <f ca="1">_xll.xlqName(E386,tda)</f>
        <v>#N/A</v>
      </c>
      <c r="G386" s="75" t="str">
        <f t="shared" ca="1" si="26"/>
        <v>BAD</v>
      </c>
      <c r="I386" s="83">
        <v>43833</v>
      </c>
      <c r="J386" s="84">
        <v>227</v>
      </c>
      <c r="K386" s="74" t="s">
        <v>647</v>
      </c>
      <c r="L386" s="75" t="s">
        <v>53</v>
      </c>
      <c r="M386" s="75" t="s">
        <v>106</v>
      </c>
    </row>
    <row r="387" spans="1:13" x14ac:dyDescent="0.25">
      <c r="A387" s="48">
        <v>1</v>
      </c>
      <c r="B387" s="48"/>
      <c r="C387" s="83">
        <f t="shared" ref="C387:C450" ca="1" si="28">IF(D387&gt;D386,C386,INDEX($O$14:$O$50,VLOOKUP(C386,$O$14:$P$50,2)+1))</f>
        <v>43840</v>
      </c>
      <c r="D387" s="84">
        <f t="shared" ref="D387:D450" si="29">IF(D386+A387&lt;=$Q$8,D386+A387,$Q$6)</f>
        <v>187</v>
      </c>
      <c r="E387" s="74" t="str">
        <f t="shared" ca="1" si="27"/>
        <v>HD_011020C187</v>
      </c>
      <c r="F387" s="75" t="str">
        <f ca="1">_xll.xlqName(E387,tda)</f>
        <v>#N/A</v>
      </c>
      <c r="G387" s="75" t="str">
        <f t="shared" ref="G387:G450" ca="1" si="30">IF(AND(ISTEXT(F387),(F387&lt;&gt;"#N/A"),(F387&lt;&gt;"Busy...")),"","BAD")</f>
        <v>BAD</v>
      </c>
      <c r="I387" s="83">
        <v>43833</v>
      </c>
      <c r="J387" s="84">
        <v>228</v>
      </c>
      <c r="K387" s="74" t="s">
        <v>648</v>
      </c>
      <c r="L387" s="75" t="s">
        <v>53</v>
      </c>
      <c r="M387" s="75" t="s">
        <v>106</v>
      </c>
    </row>
    <row r="388" spans="1:13" x14ac:dyDescent="0.25">
      <c r="A388" s="48">
        <v>1</v>
      </c>
      <c r="B388" s="48"/>
      <c r="C388" s="83">
        <f t="shared" ca="1" si="28"/>
        <v>43840</v>
      </c>
      <c r="D388" s="84">
        <f t="shared" si="29"/>
        <v>188</v>
      </c>
      <c r="E388" s="74" t="str">
        <f t="shared" ca="1" si="27"/>
        <v>HD_011020C188</v>
      </c>
      <c r="F388" s="75" t="str">
        <f ca="1">_xll.xlqName(E388,tda)</f>
        <v>#N/A</v>
      </c>
      <c r="G388" s="75" t="str">
        <f t="shared" ca="1" si="30"/>
        <v>BAD</v>
      </c>
      <c r="I388" s="83">
        <v>43833</v>
      </c>
      <c r="J388" s="84">
        <v>229</v>
      </c>
      <c r="K388" s="74" t="s">
        <v>649</v>
      </c>
      <c r="L388" s="75" t="s">
        <v>53</v>
      </c>
      <c r="M388" s="75" t="s">
        <v>106</v>
      </c>
    </row>
    <row r="389" spans="1:13" x14ac:dyDescent="0.25">
      <c r="A389" s="48">
        <v>0.5</v>
      </c>
      <c r="B389" s="48"/>
      <c r="C389" s="83">
        <f t="shared" ca="1" si="28"/>
        <v>43840</v>
      </c>
      <c r="D389" s="84">
        <f t="shared" si="29"/>
        <v>188.5</v>
      </c>
      <c r="E389" s="74" t="str">
        <f t="shared" ca="1" si="27"/>
        <v>HD_011020C188.5</v>
      </c>
      <c r="F389" s="75" t="str">
        <f ca="1">_xll.xlqName(E389,tda)</f>
        <v>#N/A</v>
      </c>
      <c r="G389" s="75" t="str">
        <f t="shared" ca="1" si="30"/>
        <v>BAD</v>
      </c>
      <c r="I389" s="83">
        <v>43833</v>
      </c>
      <c r="J389" s="84">
        <v>229.5</v>
      </c>
      <c r="K389" s="74" t="s">
        <v>650</v>
      </c>
      <c r="L389" s="75" t="s">
        <v>53</v>
      </c>
      <c r="M389" s="75" t="s">
        <v>106</v>
      </c>
    </row>
    <row r="390" spans="1:13" x14ac:dyDescent="0.25">
      <c r="A390" s="48">
        <v>0.5</v>
      </c>
      <c r="B390" s="48"/>
      <c r="C390" s="83">
        <f t="shared" ca="1" si="28"/>
        <v>43840</v>
      </c>
      <c r="D390" s="84">
        <f t="shared" si="29"/>
        <v>189</v>
      </c>
      <c r="E390" s="74" t="str">
        <f t="shared" ca="1" si="27"/>
        <v>HD_011020C189</v>
      </c>
      <c r="F390" s="75" t="str">
        <f ca="1">_xll.xlqName(E390,tda)</f>
        <v>#N/A</v>
      </c>
      <c r="G390" s="75" t="str">
        <f t="shared" ca="1" si="30"/>
        <v>BAD</v>
      </c>
      <c r="I390" s="83">
        <v>43833</v>
      </c>
      <c r="J390" s="84">
        <v>230</v>
      </c>
      <c r="K390" s="74" t="s">
        <v>651</v>
      </c>
      <c r="L390" s="75" t="s">
        <v>652</v>
      </c>
      <c r="M390" s="75" t="s">
        <v>111</v>
      </c>
    </row>
    <row r="391" spans="1:13" x14ac:dyDescent="0.25">
      <c r="A391" s="48">
        <v>1</v>
      </c>
      <c r="B391" s="48"/>
      <c r="C391" s="83">
        <f t="shared" ca="1" si="28"/>
        <v>43840</v>
      </c>
      <c r="D391" s="84">
        <f t="shared" si="29"/>
        <v>190</v>
      </c>
      <c r="E391" s="74" t="str">
        <f t="shared" ca="1" si="27"/>
        <v>HD_011020C190</v>
      </c>
      <c r="F391" s="75" t="str">
        <f ca="1">_xll.xlqName(E391,tda)</f>
        <v>HD Jan 10 2020 190 Call (Weekly)</v>
      </c>
      <c r="G391" s="75" t="str">
        <f t="shared" ca="1" si="30"/>
        <v/>
      </c>
      <c r="I391" s="83">
        <v>43833</v>
      </c>
      <c r="J391" s="84">
        <v>231</v>
      </c>
      <c r="K391" s="74" t="s">
        <v>653</v>
      </c>
      <c r="L391" s="75" t="s">
        <v>53</v>
      </c>
      <c r="M391" s="75" t="s">
        <v>106</v>
      </c>
    </row>
    <row r="392" spans="1:13" x14ac:dyDescent="0.25">
      <c r="A392" s="48">
        <v>1</v>
      </c>
      <c r="B392" s="48"/>
      <c r="C392" s="83">
        <f t="shared" ca="1" si="28"/>
        <v>43840</v>
      </c>
      <c r="D392" s="84">
        <f t="shared" si="29"/>
        <v>191</v>
      </c>
      <c r="E392" s="74" t="str">
        <f t="shared" ca="1" si="27"/>
        <v>HD_011020C191</v>
      </c>
      <c r="F392" s="75" t="str">
        <f ca="1">_xll.xlqName(E392,tda)</f>
        <v>#N/A</v>
      </c>
      <c r="G392" s="75" t="str">
        <f t="shared" ca="1" si="30"/>
        <v>BAD</v>
      </c>
      <c r="I392" s="83">
        <v>43833</v>
      </c>
      <c r="J392" s="84">
        <v>232</v>
      </c>
      <c r="K392" s="74" t="s">
        <v>654</v>
      </c>
      <c r="L392" s="75" t="s">
        <v>53</v>
      </c>
      <c r="M392" s="75" t="s">
        <v>106</v>
      </c>
    </row>
    <row r="393" spans="1:13" x14ac:dyDescent="0.25">
      <c r="A393" s="48">
        <v>1</v>
      </c>
      <c r="B393" s="48"/>
      <c r="C393" s="83">
        <f t="shared" ca="1" si="28"/>
        <v>43840</v>
      </c>
      <c r="D393" s="84">
        <f t="shared" si="29"/>
        <v>192</v>
      </c>
      <c r="E393" s="74" t="str">
        <f t="shared" ca="1" si="27"/>
        <v>HD_011020C192</v>
      </c>
      <c r="F393" s="75" t="str">
        <f ca="1">_xll.xlqName(E393,tda)</f>
        <v>#N/A</v>
      </c>
      <c r="G393" s="75" t="str">
        <f t="shared" ca="1" si="30"/>
        <v>BAD</v>
      </c>
      <c r="I393" s="83">
        <v>43833</v>
      </c>
      <c r="J393" s="84">
        <v>233</v>
      </c>
      <c r="K393" s="74" t="s">
        <v>655</v>
      </c>
      <c r="L393" s="75" t="s">
        <v>53</v>
      </c>
      <c r="M393" s="75" t="s">
        <v>106</v>
      </c>
    </row>
    <row r="394" spans="1:13" x14ac:dyDescent="0.25">
      <c r="A394" s="48">
        <v>1</v>
      </c>
      <c r="B394" s="48"/>
      <c r="C394" s="83">
        <f t="shared" ca="1" si="28"/>
        <v>43840</v>
      </c>
      <c r="D394" s="84">
        <f t="shared" si="29"/>
        <v>193</v>
      </c>
      <c r="E394" s="74" t="str">
        <f t="shared" ca="1" si="27"/>
        <v>HD_011020C193</v>
      </c>
      <c r="F394" s="75" t="str">
        <f ca="1">_xll.xlqName(E394,tda)</f>
        <v>#N/A</v>
      </c>
      <c r="G394" s="75" t="str">
        <f t="shared" ca="1" si="30"/>
        <v>BAD</v>
      </c>
      <c r="I394" s="83">
        <v>43833</v>
      </c>
      <c r="J394" s="84">
        <v>234</v>
      </c>
      <c r="K394" s="74" t="s">
        <v>656</v>
      </c>
      <c r="L394" s="75" t="s">
        <v>53</v>
      </c>
      <c r="M394" s="75" t="s">
        <v>106</v>
      </c>
    </row>
    <row r="395" spans="1:13" x14ac:dyDescent="0.25">
      <c r="A395" s="48">
        <v>0.5</v>
      </c>
      <c r="B395" s="48"/>
      <c r="C395" s="83">
        <f t="shared" ca="1" si="28"/>
        <v>43840</v>
      </c>
      <c r="D395" s="84">
        <f t="shared" si="29"/>
        <v>193.5</v>
      </c>
      <c r="E395" s="74" t="str">
        <f t="shared" ca="1" si="27"/>
        <v>HD_011020C193.5</v>
      </c>
      <c r="F395" s="75" t="str">
        <f ca="1">_xll.xlqName(E395,tda)</f>
        <v>#N/A</v>
      </c>
      <c r="G395" s="75" t="str">
        <f t="shared" ca="1" si="30"/>
        <v>BAD</v>
      </c>
      <c r="I395" s="83">
        <v>43833</v>
      </c>
      <c r="J395" s="84">
        <v>234.5</v>
      </c>
      <c r="K395" s="74" t="s">
        <v>657</v>
      </c>
      <c r="L395" s="75" t="s">
        <v>53</v>
      </c>
      <c r="M395" s="75" t="s">
        <v>106</v>
      </c>
    </row>
    <row r="396" spans="1:13" x14ac:dyDescent="0.25">
      <c r="A396" s="48">
        <v>0.5</v>
      </c>
      <c r="B396" s="48"/>
      <c r="C396" s="83">
        <f t="shared" ca="1" si="28"/>
        <v>43840</v>
      </c>
      <c r="D396" s="84">
        <f t="shared" si="29"/>
        <v>194</v>
      </c>
      <c r="E396" s="74" t="str">
        <f t="shared" ca="1" si="27"/>
        <v>HD_011020C194</v>
      </c>
      <c r="F396" s="75" t="str">
        <f ca="1">_xll.xlqName(E396,tda)</f>
        <v>#N/A</v>
      </c>
      <c r="G396" s="75" t="str">
        <f t="shared" ca="1" si="30"/>
        <v>BAD</v>
      </c>
      <c r="I396" s="83">
        <v>43833</v>
      </c>
      <c r="J396" s="84">
        <v>235</v>
      </c>
      <c r="K396" s="74" t="s">
        <v>658</v>
      </c>
      <c r="L396" s="75" t="s">
        <v>659</v>
      </c>
      <c r="M396" s="75" t="s">
        <v>111</v>
      </c>
    </row>
    <row r="397" spans="1:13" x14ac:dyDescent="0.25">
      <c r="A397" s="48">
        <v>1</v>
      </c>
      <c r="B397" s="48"/>
      <c r="C397" s="83">
        <f t="shared" ca="1" si="28"/>
        <v>43840</v>
      </c>
      <c r="D397" s="84">
        <f t="shared" si="29"/>
        <v>195</v>
      </c>
      <c r="E397" s="74" t="str">
        <f t="shared" ca="1" si="27"/>
        <v>HD_011020C195</v>
      </c>
      <c r="F397" s="75" t="str">
        <f ca="1">_xll.xlqName(E397,tda)</f>
        <v>HD Jan 10 2020 195 Call (Weekly)</v>
      </c>
      <c r="G397" s="75" t="str">
        <f t="shared" ca="1" si="30"/>
        <v/>
      </c>
      <c r="I397" s="83">
        <v>43840</v>
      </c>
      <c r="J397" s="84">
        <v>170</v>
      </c>
      <c r="K397" s="74" t="s">
        <v>660</v>
      </c>
      <c r="L397" s="75" t="s">
        <v>53</v>
      </c>
      <c r="M397" s="75" t="s">
        <v>106</v>
      </c>
    </row>
    <row r="398" spans="1:13" x14ac:dyDescent="0.25">
      <c r="A398" s="48">
        <v>1</v>
      </c>
      <c r="B398" s="48"/>
      <c r="C398" s="83">
        <f t="shared" ca="1" si="28"/>
        <v>43840</v>
      </c>
      <c r="D398" s="84">
        <f t="shared" si="29"/>
        <v>196</v>
      </c>
      <c r="E398" s="74" t="str">
        <f t="shared" ca="1" si="27"/>
        <v>HD_011020C196</v>
      </c>
      <c r="F398" s="75" t="str">
        <f ca="1">_xll.xlqName(E398,tda)</f>
        <v>#N/A</v>
      </c>
      <c r="G398" s="75" t="str">
        <f t="shared" ca="1" si="30"/>
        <v>BAD</v>
      </c>
      <c r="I398" s="83">
        <v>43840</v>
      </c>
      <c r="J398" s="84">
        <v>171</v>
      </c>
      <c r="K398" s="74" t="s">
        <v>661</v>
      </c>
      <c r="L398" s="75" t="s">
        <v>53</v>
      </c>
      <c r="M398" s="75" t="s">
        <v>106</v>
      </c>
    </row>
    <row r="399" spans="1:13" x14ac:dyDescent="0.25">
      <c r="A399" s="48">
        <v>1</v>
      </c>
      <c r="B399" s="48"/>
      <c r="C399" s="83">
        <f t="shared" ca="1" si="28"/>
        <v>43840</v>
      </c>
      <c r="D399" s="84">
        <f t="shared" si="29"/>
        <v>197</v>
      </c>
      <c r="E399" s="74" t="str">
        <f t="shared" ca="1" si="27"/>
        <v>HD_011020C197</v>
      </c>
      <c r="F399" s="75" t="str">
        <f ca="1">_xll.xlqName(E399,tda)</f>
        <v>#N/A</v>
      </c>
      <c r="G399" s="75" t="str">
        <f t="shared" ca="1" si="30"/>
        <v>BAD</v>
      </c>
      <c r="I399" s="83">
        <v>43840</v>
      </c>
      <c r="J399" s="84">
        <v>172</v>
      </c>
      <c r="K399" s="74" t="s">
        <v>662</v>
      </c>
      <c r="L399" s="75" t="s">
        <v>53</v>
      </c>
      <c r="M399" s="75" t="s">
        <v>106</v>
      </c>
    </row>
    <row r="400" spans="1:13" x14ac:dyDescent="0.25">
      <c r="A400" s="48">
        <v>1</v>
      </c>
      <c r="B400" s="48"/>
      <c r="C400" s="83">
        <f t="shared" ca="1" si="28"/>
        <v>43840</v>
      </c>
      <c r="D400" s="84">
        <f t="shared" si="29"/>
        <v>198</v>
      </c>
      <c r="E400" s="74" t="str">
        <f t="shared" ca="1" si="27"/>
        <v>HD_011020C198</v>
      </c>
      <c r="F400" s="75" t="str">
        <f ca="1">_xll.xlqName(E400,tda)</f>
        <v>#N/A</v>
      </c>
      <c r="G400" s="75" t="str">
        <f t="shared" ca="1" si="30"/>
        <v>BAD</v>
      </c>
      <c r="I400" s="83">
        <v>43840</v>
      </c>
      <c r="J400" s="84">
        <v>173</v>
      </c>
      <c r="K400" s="74" t="s">
        <v>663</v>
      </c>
      <c r="L400" s="75" t="s">
        <v>53</v>
      </c>
      <c r="M400" s="75" t="s">
        <v>106</v>
      </c>
    </row>
    <row r="401" spans="1:13" x14ac:dyDescent="0.25">
      <c r="A401" s="48">
        <v>0.5</v>
      </c>
      <c r="B401" s="48"/>
      <c r="C401" s="83">
        <f t="shared" ca="1" si="28"/>
        <v>43840</v>
      </c>
      <c r="D401" s="84">
        <f t="shared" si="29"/>
        <v>198.5</v>
      </c>
      <c r="E401" s="74" t="str">
        <f t="shared" ca="1" si="27"/>
        <v>HD_011020C198.5</v>
      </c>
      <c r="F401" s="75" t="str">
        <f ca="1">_xll.xlqName(E401,tda)</f>
        <v>#N/A</v>
      </c>
      <c r="G401" s="75" t="str">
        <f t="shared" ca="1" si="30"/>
        <v>BAD</v>
      </c>
      <c r="I401" s="83">
        <v>43840</v>
      </c>
      <c r="J401" s="84">
        <v>173.5</v>
      </c>
      <c r="K401" s="74" t="s">
        <v>664</v>
      </c>
      <c r="L401" s="75" t="s">
        <v>53</v>
      </c>
      <c r="M401" s="75" t="s">
        <v>106</v>
      </c>
    </row>
    <row r="402" spans="1:13" x14ac:dyDescent="0.25">
      <c r="A402" s="48">
        <v>0.5</v>
      </c>
      <c r="B402" s="48"/>
      <c r="C402" s="83">
        <f t="shared" ca="1" si="28"/>
        <v>43840</v>
      </c>
      <c r="D402" s="84">
        <f t="shared" si="29"/>
        <v>199</v>
      </c>
      <c r="E402" s="74" t="str">
        <f t="shared" ca="1" si="27"/>
        <v>HD_011020C199</v>
      </c>
      <c r="F402" s="75" t="str">
        <f ca="1">_xll.xlqName(E402,tda)</f>
        <v>#N/A</v>
      </c>
      <c r="G402" s="75" t="str">
        <f t="shared" ca="1" si="30"/>
        <v>BAD</v>
      </c>
      <c r="I402" s="83">
        <v>43840</v>
      </c>
      <c r="J402" s="84">
        <v>174</v>
      </c>
      <c r="K402" s="74" t="s">
        <v>665</v>
      </c>
      <c r="L402" s="75" t="s">
        <v>53</v>
      </c>
      <c r="M402" s="75" t="s">
        <v>106</v>
      </c>
    </row>
    <row r="403" spans="1:13" x14ac:dyDescent="0.25">
      <c r="A403" s="48">
        <v>1</v>
      </c>
      <c r="B403" s="48"/>
      <c r="C403" s="83">
        <f t="shared" ca="1" si="28"/>
        <v>43840</v>
      </c>
      <c r="D403" s="84">
        <f t="shared" si="29"/>
        <v>200</v>
      </c>
      <c r="E403" s="74" t="str">
        <f t="shared" ca="1" si="27"/>
        <v>HD_011020C200</v>
      </c>
      <c r="F403" s="75" t="str">
        <f ca="1">_xll.xlqName(E403,tda)</f>
        <v>HD Jan 10 2020 200 Call (Weekly)</v>
      </c>
      <c r="G403" s="75" t="str">
        <f t="shared" ca="1" si="30"/>
        <v/>
      </c>
      <c r="I403" s="83">
        <v>43840</v>
      </c>
      <c r="J403" s="84">
        <v>175</v>
      </c>
      <c r="K403" s="74" t="s">
        <v>666</v>
      </c>
      <c r="L403" s="75" t="s">
        <v>53</v>
      </c>
      <c r="M403" s="75" t="s">
        <v>106</v>
      </c>
    </row>
    <row r="404" spans="1:13" x14ac:dyDescent="0.25">
      <c r="A404" s="48">
        <v>1</v>
      </c>
      <c r="B404" s="48"/>
      <c r="C404" s="83">
        <f t="shared" ca="1" si="28"/>
        <v>43840</v>
      </c>
      <c r="D404" s="84">
        <f t="shared" si="29"/>
        <v>201</v>
      </c>
      <c r="E404" s="74" t="str">
        <f t="shared" ca="1" si="27"/>
        <v>HD_011020C201</v>
      </c>
      <c r="F404" s="75" t="str">
        <f ca="1">_xll.xlqName(E404,tda)</f>
        <v>#N/A</v>
      </c>
      <c r="G404" s="75" t="str">
        <f t="shared" ca="1" si="30"/>
        <v>BAD</v>
      </c>
      <c r="I404" s="83">
        <v>43840</v>
      </c>
      <c r="J404" s="84">
        <v>176</v>
      </c>
      <c r="K404" s="74" t="s">
        <v>667</v>
      </c>
      <c r="L404" s="75" t="s">
        <v>53</v>
      </c>
      <c r="M404" s="75" t="s">
        <v>106</v>
      </c>
    </row>
    <row r="405" spans="1:13" x14ac:dyDescent="0.25">
      <c r="A405" s="48">
        <v>1</v>
      </c>
      <c r="B405" s="48"/>
      <c r="C405" s="83">
        <f t="shared" ca="1" si="28"/>
        <v>43840</v>
      </c>
      <c r="D405" s="84">
        <f t="shared" si="29"/>
        <v>202</v>
      </c>
      <c r="E405" s="74" t="str">
        <f t="shared" ca="1" si="27"/>
        <v>HD_011020C202</v>
      </c>
      <c r="F405" s="75" t="str">
        <f ca="1">_xll.xlqName(E405,tda)</f>
        <v>#N/A</v>
      </c>
      <c r="G405" s="75" t="str">
        <f t="shared" ca="1" si="30"/>
        <v>BAD</v>
      </c>
      <c r="I405" s="83">
        <v>43840</v>
      </c>
      <c r="J405" s="84">
        <v>177</v>
      </c>
      <c r="K405" s="74" t="s">
        <v>668</v>
      </c>
      <c r="L405" s="75" t="s">
        <v>53</v>
      </c>
      <c r="M405" s="75" t="s">
        <v>106</v>
      </c>
    </row>
    <row r="406" spans="1:13" x14ac:dyDescent="0.25">
      <c r="A406" s="48">
        <v>1</v>
      </c>
      <c r="B406" s="48"/>
      <c r="C406" s="83">
        <f t="shared" ca="1" si="28"/>
        <v>43840</v>
      </c>
      <c r="D406" s="84">
        <f t="shared" si="29"/>
        <v>203</v>
      </c>
      <c r="E406" s="74" t="str">
        <f t="shared" ca="1" si="27"/>
        <v>HD_011020C203</v>
      </c>
      <c r="F406" s="75" t="str">
        <f ca="1">_xll.xlqName(E406,tda)</f>
        <v>#N/A</v>
      </c>
      <c r="G406" s="75" t="str">
        <f t="shared" ca="1" si="30"/>
        <v>BAD</v>
      </c>
      <c r="I406" s="83">
        <v>43840</v>
      </c>
      <c r="J406" s="84">
        <v>178</v>
      </c>
      <c r="K406" s="74" t="s">
        <v>669</v>
      </c>
      <c r="L406" s="75" t="s">
        <v>53</v>
      </c>
      <c r="M406" s="75" t="s">
        <v>106</v>
      </c>
    </row>
    <row r="407" spans="1:13" x14ac:dyDescent="0.25">
      <c r="A407" s="48">
        <v>0.5</v>
      </c>
      <c r="B407" s="48"/>
      <c r="C407" s="83">
        <f t="shared" ca="1" si="28"/>
        <v>43840</v>
      </c>
      <c r="D407" s="84">
        <f t="shared" si="29"/>
        <v>203.5</v>
      </c>
      <c r="E407" s="74" t="str">
        <f t="shared" ca="1" si="27"/>
        <v>HD_011020C203.5</v>
      </c>
      <c r="F407" s="75" t="str">
        <f ca="1">_xll.xlqName(E407,tda)</f>
        <v>#N/A</v>
      </c>
      <c r="G407" s="75" t="str">
        <f t="shared" ca="1" si="30"/>
        <v>BAD</v>
      </c>
      <c r="I407" s="83">
        <v>43840</v>
      </c>
      <c r="J407" s="84">
        <v>178.5</v>
      </c>
      <c r="K407" s="74" t="s">
        <v>670</v>
      </c>
      <c r="L407" s="75" t="s">
        <v>53</v>
      </c>
      <c r="M407" s="75" t="s">
        <v>106</v>
      </c>
    </row>
    <row r="408" spans="1:13" x14ac:dyDescent="0.25">
      <c r="A408" s="48">
        <v>0.5</v>
      </c>
      <c r="B408" s="48"/>
      <c r="C408" s="83">
        <f t="shared" ca="1" si="28"/>
        <v>43840</v>
      </c>
      <c r="D408" s="84">
        <f t="shared" si="29"/>
        <v>204</v>
      </c>
      <c r="E408" s="74" t="str">
        <f t="shared" ca="1" si="27"/>
        <v>HD_011020C204</v>
      </c>
      <c r="F408" s="75" t="str">
        <f ca="1">_xll.xlqName(E408,tda)</f>
        <v>#N/A</v>
      </c>
      <c r="G408" s="75" t="str">
        <f t="shared" ca="1" si="30"/>
        <v>BAD</v>
      </c>
      <c r="I408" s="83">
        <v>43840</v>
      </c>
      <c r="J408" s="84">
        <v>179</v>
      </c>
      <c r="K408" s="74" t="s">
        <v>671</v>
      </c>
      <c r="L408" s="75" t="s">
        <v>53</v>
      </c>
      <c r="M408" s="75" t="s">
        <v>106</v>
      </c>
    </row>
    <row r="409" spans="1:13" x14ac:dyDescent="0.25">
      <c r="A409" s="48">
        <v>1</v>
      </c>
      <c r="B409" s="48"/>
      <c r="C409" s="83">
        <f t="shared" ca="1" si="28"/>
        <v>43840</v>
      </c>
      <c r="D409" s="84">
        <f t="shared" si="29"/>
        <v>205</v>
      </c>
      <c r="E409" s="74" t="str">
        <f t="shared" ca="1" si="27"/>
        <v>HD_011020C205</v>
      </c>
      <c r="F409" s="75" t="str">
        <f ca="1">_xll.xlqName(E409,tda)</f>
        <v>HD Jan 10 2020 205 Call (Weekly)</v>
      </c>
      <c r="G409" s="75" t="str">
        <f t="shared" ca="1" si="30"/>
        <v/>
      </c>
      <c r="I409" s="83">
        <v>43840</v>
      </c>
      <c r="J409" s="84">
        <v>180</v>
      </c>
      <c r="K409" s="74" t="s">
        <v>672</v>
      </c>
      <c r="L409" s="75" t="s">
        <v>53</v>
      </c>
      <c r="M409" s="75" t="s">
        <v>106</v>
      </c>
    </row>
    <row r="410" spans="1:13" x14ac:dyDescent="0.25">
      <c r="A410" s="48">
        <v>1</v>
      </c>
      <c r="B410" s="48"/>
      <c r="C410" s="83">
        <f t="shared" ca="1" si="28"/>
        <v>43840</v>
      </c>
      <c r="D410" s="84">
        <f t="shared" si="29"/>
        <v>206</v>
      </c>
      <c r="E410" s="74" t="str">
        <f t="shared" ca="1" si="27"/>
        <v>HD_011020C206</v>
      </c>
      <c r="F410" s="75" t="str">
        <f ca="1">_xll.xlqName(E410,tda)</f>
        <v>#N/A</v>
      </c>
      <c r="G410" s="75" t="str">
        <f t="shared" ca="1" si="30"/>
        <v>BAD</v>
      </c>
      <c r="I410" s="83">
        <v>43840</v>
      </c>
      <c r="J410" s="84">
        <v>181</v>
      </c>
      <c r="K410" s="74" t="s">
        <v>673</v>
      </c>
      <c r="L410" s="75" t="s">
        <v>53</v>
      </c>
      <c r="M410" s="75" t="s">
        <v>106</v>
      </c>
    </row>
    <row r="411" spans="1:13" x14ac:dyDescent="0.25">
      <c r="A411" s="48">
        <v>1</v>
      </c>
      <c r="B411" s="48"/>
      <c r="C411" s="83">
        <f t="shared" ca="1" si="28"/>
        <v>43840</v>
      </c>
      <c r="D411" s="84">
        <f t="shared" si="29"/>
        <v>207</v>
      </c>
      <c r="E411" s="74" t="str">
        <f t="shared" ca="1" si="27"/>
        <v>HD_011020C207</v>
      </c>
      <c r="F411" s="75" t="str">
        <f ca="1">_xll.xlqName(E411,tda)</f>
        <v>#N/A</v>
      </c>
      <c r="G411" s="75" t="str">
        <f t="shared" ca="1" si="30"/>
        <v>BAD</v>
      </c>
      <c r="I411" s="83">
        <v>43840</v>
      </c>
      <c r="J411" s="84">
        <v>182</v>
      </c>
      <c r="K411" s="74" t="s">
        <v>674</v>
      </c>
      <c r="L411" s="75" t="s">
        <v>53</v>
      </c>
      <c r="M411" s="75" t="s">
        <v>106</v>
      </c>
    </row>
    <row r="412" spans="1:13" x14ac:dyDescent="0.25">
      <c r="A412" s="48">
        <v>1</v>
      </c>
      <c r="B412" s="48"/>
      <c r="C412" s="83">
        <f t="shared" ca="1" si="28"/>
        <v>43840</v>
      </c>
      <c r="D412" s="84">
        <f t="shared" si="29"/>
        <v>208</v>
      </c>
      <c r="E412" s="74" t="str">
        <f t="shared" ca="1" si="27"/>
        <v>HD_011020C208</v>
      </c>
      <c r="F412" s="75" t="str">
        <f ca="1">_xll.xlqName(E412,tda)</f>
        <v>#N/A</v>
      </c>
      <c r="G412" s="75" t="str">
        <f t="shared" ca="1" si="30"/>
        <v>BAD</v>
      </c>
      <c r="I412" s="83">
        <v>43840</v>
      </c>
      <c r="J412" s="84">
        <v>183</v>
      </c>
      <c r="K412" s="74" t="s">
        <v>675</v>
      </c>
      <c r="L412" s="75" t="s">
        <v>53</v>
      </c>
      <c r="M412" s="75" t="s">
        <v>106</v>
      </c>
    </row>
    <row r="413" spans="1:13" x14ac:dyDescent="0.25">
      <c r="A413" s="48">
        <v>0.5</v>
      </c>
      <c r="B413" s="48"/>
      <c r="C413" s="83">
        <f t="shared" ca="1" si="28"/>
        <v>43840</v>
      </c>
      <c r="D413" s="84">
        <f t="shared" si="29"/>
        <v>208.5</v>
      </c>
      <c r="E413" s="74" t="str">
        <f t="shared" ca="1" si="27"/>
        <v>HD_011020C208.5</v>
      </c>
      <c r="F413" s="75" t="str">
        <f ca="1">_xll.xlqName(E413,tda)</f>
        <v>#N/A</v>
      </c>
      <c r="G413" s="75" t="str">
        <f t="shared" ca="1" si="30"/>
        <v>BAD</v>
      </c>
      <c r="I413" s="83">
        <v>43840</v>
      </c>
      <c r="J413" s="84">
        <v>183.5</v>
      </c>
      <c r="K413" s="74" t="s">
        <v>676</v>
      </c>
      <c r="L413" s="75" t="s">
        <v>53</v>
      </c>
      <c r="M413" s="75" t="s">
        <v>106</v>
      </c>
    </row>
    <row r="414" spans="1:13" x14ac:dyDescent="0.25">
      <c r="A414" s="48">
        <v>0.5</v>
      </c>
      <c r="B414" s="48"/>
      <c r="C414" s="83">
        <f t="shared" ca="1" si="28"/>
        <v>43840</v>
      </c>
      <c r="D414" s="84">
        <f t="shared" si="29"/>
        <v>209</v>
      </c>
      <c r="E414" s="74" t="str">
        <f t="shared" ca="1" si="27"/>
        <v>HD_011020C209</v>
      </c>
      <c r="F414" s="75" t="str">
        <f ca="1">_xll.xlqName(E414,tda)</f>
        <v>#N/A</v>
      </c>
      <c r="G414" s="75" t="str">
        <f t="shared" ca="1" si="30"/>
        <v>BAD</v>
      </c>
      <c r="I414" s="83">
        <v>43840</v>
      </c>
      <c r="J414" s="84">
        <v>184</v>
      </c>
      <c r="K414" s="74" t="s">
        <v>677</v>
      </c>
      <c r="L414" s="75" t="s">
        <v>53</v>
      </c>
      <c r="M414" s="75" t="s">
        <v>106</v>
      </c>
    </row>
    <row r="415" spans="1:13" x14ac:dyDescent="0.25">
      <c r="A415" s="48">
        <v>1</v>
      </c>
      <c r="B415" s="48"/>
      <c r="C415" s="83">
        <f t="shared" ca="1" si="28"/>
        <v>43840</v>
      </c>
      <c r="D415" s="84">
        <f t="shared" si="29"/>
        <v>210</v>
      </c>
      <c r="E415" s="74" t="str">
        <f t="shared" ca="1" si="27"/>
        <v>HD_011020C210</v>
      </c>
      <c r="F415" s="75" t="str">
        <f ca="1">_xll.xlqName(E415,tda)</f>
        <v>HD Jan 10 2020 210 Call (Weekly)</v>
      </c>
      <c r="G415" s="75" t="str">
        <f t="shared" ca="1" si="30"/>
        <v/>
      </c>
      <c r="I415" s="83">
        <v>43840</v>
      </c>
      <c r="J415" s="84">
        <v>185</v>
      </c>
      <c r="K415" s="74" t="s">
        <v>678</v>
      </c>
      <c r="L415" s="75" t="s">
        <v>679</v>
      </c>
      <c r="M415" s="75" t="s">
        <v>111</v>
      </c>
    </row>
    <row r="416" spans="1:13" x14ac:dyDescent="0.25">
      <c r="A416" s="48">
        <v>1</v>
      </c>
      <c r="B416" s="48"/>
      <c r="C416" s="83">
        <f t="shared" ca="1" si="28"/>
        <v>43840</v>
      </c>
      <c r="D416" s="84">
        <f t="shared" si="29"/>
        <v>211</v>
      </c>
      <c r="E416" s="74" t="str">
        <f t="shared" ca="1" si="27"/>
        <v>HD_011020C211</v>
      </c>
      <c r="F416" s="75" t="str">
        <f ca="1">_xll.xlqName(E416,tda)</f>
        <v>#N/A</v>
      </c>
      <c r="G416" s="75" t="str">
        <f t="shared" ca="1" si="30"/>
        <v>BAD</v>
      </c>
      <c r="I416" s="83">
        <v>43840</v>
      </c>
      <c r="J416" s="84">
        <v>186</v>
      </c>
      <c r="K416" s="74" t="s">
        <v>680</v>
      </c>
      <c r="L416" s="75" t="s">
        <v>53</v>
      </c>
      <c r="M416" s="75" t="s">
        <v>106</v>
      </c>
    </row>
    <row r="417" spans="1:13" x14ac:dyDescent="0.25">
      <c r="A417" s="48">
        <v>1</v>
      </c>
      <c r="B417" s="48"/>
      <c r="C417" s="83">
        <f t="shared" ca="1" si="28"/>
        <v>43840</v>
      </c>
      <c r="D417" s="84">
        <f t="shared" si="29"/>
        <v>212</v>
      </c>
      <c r="E417" s="74" t="str">
        <f t="shared" ca="1" si="27"/>
        <v>HD_011020C212</v>
      </c>
      <c r="F417" s="75" t="str">
        <f ca="1">_xll.xlqName(E417,tda)</f>
        <v>#N/A</v>
      </c>
      <c r="G417" s="75" t="str">
        <f t="shared" ca="1" si="30"/>
        <v>BAD</v>
      </c>
      <c r="I417" s="83">
        <v>43840</v>
      </c>
      <c r="J417" s="84">
        <v>187</v>
      </c>
      <c r="K417" s="74" t="s">
        <v>681</v>
      </c>
      <c r="L417" s="75" t="s">
        <v>53</v>
      </c>
      <c r="M417" s="75" t="s">
        <v>106</v>
      </c>
    </row>
    <row r="418" spans="1:13" x14ac:dyDescent="0.25">
      <c r="A418" s="48">
        <v>1</v>
      </c>
      <c r="B418" s="48"/>
      <c r="C418" s="83">
        <f t="shared" ca="1" si="28"/>
        <v>43840</v>
      </c>
      <c r="D418" s="84">
        <f t="shared" si="29"/>
        <v>213</v>
      </c>
      <c r="E418" s="74" t="str">
        <f t="shared" ca="1" si="27"/>
        <v>HD_011020C213</v>
      </c>
      <c r="F418" s="75" t="str">
        <f ca="1">_xll.xlqName(E418,tda)</f>
        <v>#N/A</v>
      </c>
      <c r="G418" s="75" t="str">
        <f t="shared" ca="1" si="30"/>
        <v>BAD</v>
      </c>
      <c r="I418" s="83">
        <v>43840</v>
      </c>
      <c r="J418" s="84">
        <v>188</v>
      </c>
      <c r="K418" s="74" t="s">
        <v>682</v>
      </c>
      <c r="L418" s="75" t="s">
        <v>53</v>
      </c>
      <c r="M418" s="75" t="s">
        <v>106</v>
      </c>
    </row>
    <row r="419" spans="1:13" x14ac:dyDescent="0.25">
      <c r="A419" s="48">
        <v>0.5</v>
      </c>
      <c r="B419" s="48"/>
      <c r="C419" s="83">
        <f t="shared" ca="1" si="28"/>
        <v>43840</v>
      </c>
      <c r="D419" s="84">
        <f t="shared" si="29"/>
        <v>213.5</v>
      </c>
      <c r="E419" s="74" t="str">
        <f t="shared" ca="1" si="27"/>
        <v>HD_011020C213.5</v>
      </c>
      <c r="F419" s="75" t="str">
        <f ca="1">_xll.xlqName(E419,tda)</f>
        <v>#N/A</v>
      </c>
      <c r="G419" s="75" t="str">
        <f t="shared" ca="1" si="30"/>
        <v>BAD</v>
      </c>
      <c r="I419" s="83">
        <v>43840</v>
      </c>
      <c r="J419" s="84">
        <v>188.5</v>
      </c>
      <c r="K419" s="74" t="s">
        <v>683</v>
      </c>
      <c r="L419" s="75" t="s">
        <v>53</v>
      </c>
      <c r="M419" s="75" t="s">
        <v>106</v>
      </c>
    </row>
    <row r="420" spans="1:13" x14ac:dyDescent="0.25">
      <c r="A420" s="48">
        <v>0.5</v>
      </c>
      <c r="B420" s="48"/>
      <c r="C420" s="83">
        <f t="shared" ca="1" si="28"/>
        <v>43840</v>
      </c>
      <c r="D420" s="84">
        <f t="shared" si="29"/>
        <v>214</v>
      </c>
      <c r="E420" s="74" t="str">
        <f t="shared" ca="1" si="27"/>
        <v>HD_011020C214</v>
      </c>
      <c r="F420" s="75" t="str">
        <f ca="1">_xll.xlqName(E420,tda)</f>
        <v>#N/A</v>
      </c>
      <c r="G420" s="75" t="str">
        <f t="shared" ca="1" si="30"/>
        <v>BAD</v>
      </c>
      <c r="I420" s="83">
        <v>43840</v>
      </c>
      <c r="J420" s="84">
        <v>189</v>
      </c>
      <c r="K420" s="74" t="s">
        <v>684</v>
      </c>
      <c r="L420" s="75" t="s">
        <v>53</v>
      </c>
      <c r="M420" s="75" t="s">
        <v>106</v>
      </c>
    </row>
    <row r="421" spans="1:13" x14ac:dyDescent="0.25">
      <c r="A421" s="48">
        <v>1</v>
      </c>
      <c r="B421" s="48"/>
      <c r="C421" s="83">
        <f t="shared" ca="1" si="28"/>
        <v>43840</v>
      </c>
      <c r="D421" s="84">
        <f t="shared" si="29"/>
        <v>215</v>
      </c>
      <c r="E421" s="74" t="str">
        <f t="shared" ca="1" si="27"/>
        <v>HD_011020C215</v>
      </c>
      <c r="F421" s="75" t="str">
        <f ca="1">_xll.xlqName(E421,tda)</f>
        <v>HD Jan 10 2020 215 Call (Weekly)</v>
      </c>
      <c r="G421" s="75" t="str">
        <f t="shared" ca="1" si="30"/>
        <v/>
      </c>
      <c r="I421" s="83">
        <v>43840</v>
      </c>
      <c r="J421" s="84">
        <v>190</v>
      </c>
      <c r="K421" s="74" t="s">
        <v>685</v>
      </c>
      <c r="L421" s="75" t="s">
        <v>686</v>
      </c>
      <c r="M421" s="75" t="s">
        <v>111</v>
      </c>
    </row>
    <row r="422" spans="1:13" x14ac:dyDescent="0.25">
      <c r="A422" s="48">
        <v>1</v>
      </c>
      <c r="B422" s="48"/>
      <c r="C422" s="83">
        <f t="shared" ca="1" si="28"/>
        <v>43840</v>
      </c>
      <c r="D422" s="84">
        <f t="shared" si="29"/>
        <v>216</v>
      </c>
      <c r="E422" s="74" t="str">
        <f t="shared" ca="1" si="27"/>
        <v>HD_011020C216</v>
      </c>
      <c r="F422" s="75" t="str">
        <f ca="1">_xll.xlqName(E422,tda)</f>
        <v>#N/A</v>
      </c>
      <c r="G422" s="75" t="str">
        <f t="shared" ca="1" si="30"/>
        <v>BAD</v>
      </c>
      <c r="I422" s="83">
        <v>43840</v>
      </c>
      <c r="J422" s="84">
        <v>191</v>
      </c>
      <c r="K422" s="74" t="s">
        <v>687</v>
      </c>
      <c r="L422" s="75" t="s">
        <v>53</v>
      </c>
      <c r="M422" s="75" t="s">
        <v>106</v>
      </c>
    </row>
    <row r="423" spans="1:13" x14ac:dyDescent="0.25">
      <c r="A423" s="48">
        <v>1</v>
      </c>
      <c r="B423" s="48"/>
      <c r="C423" s="83">
        <f t="shared" ca="1" si="28"/>
        <v>43840</v>
      </c>
      <c r="D423" s="84">
        <f t="shared" si="29"/>
        <v>217</v>
      </c>
      <c r="E423" s="74" t="str">
        <f t="shared" ca="1" si="27"/>
        <v>HD_011020C217</v>
      </c>
      <c r="F423" s="75" t="str">
        <f ca="1">_xll.xlqName(E423,tda)</f>
        <v>#N/A</v>
      </c>
      <c r="G423" s="75" t="str">
        <f t="shared" ca="1" si="30"/>
        <v>BAD</v>
      </c>
      <c r="I423" s="83">
        <v>43840</v>
      </c>
      <c r="J423" s="84">
        <v>192</v>
      </c>
      <c r="K423" s="74" t="s">
        <v>688</v>
      </c>
      <c r="L423" s="75" t="s">
        <v>53</v>
      </c>
      <c r="M423" s="75" t="s">
        <v>106</v>
      </c>
    </row>
    <row r="424" spans="1:13" x14ac:dyDescent="0.25">
      <c r="A424" s="48">
        <v>1</v>
      </c>
      <c r="B424" s="48"/>
      <c r="C424" s="83">
        <f t="shared" ca="1" si="28"/>
        <v>43840</v>
      </c>
      <c r="D424" s="84">
        <f t="shared" si="29"/>
        <v>218</v>
      </c>
      <c r="E424" s="74" t="str">
        <f t="shared" ca="1" si="27"/>
        <v>HD_011020C218</v>
      </c>
      <c r="F424" s="75" t="str">
        <f ca="1">_xll.xlqName(E424,tda)</f>
        <v>#N/A</v>
      </c>
      <c r="G424" s="75" t="str">
        <f t="shared" ca="1" si="30"/>
        <v>BAD</v>
      </c>
      <c r="I424" s="83">
        <v>43840</v>
      </c>
      <c r="J424" s="84">
        <v>193</v>
      </c>
      <c r="K424" s="74" t="s">
        <v>689</v>
      </c>
      <c r="L424" s="75" t="s">
        <v>53</v>
      </c>
      <c r="M424" s="75" t="s">
        <v>106</v>
      </c>
    </row>
    <row r="425" spans="1:13" x14ac:dyDescent="0.25">
      <c r="A425" s="48">
        <v>0.5</v>
      </c>
      <c r="B425" s="48"/>
      <c r="C425" s="83">
        <f t="shared" ca="1" si="28"/>
        <v>43840</v>
      </c>
      <c r="D425" s="84">
        <f t="shared" si="29"/>
        <v>218.5</v>
      </c>
      <c r="E425" s="74" t="str">
        <f t="shared" ca="1" si="27"/>
        <v>HD_011020C218.5</v>
      </c>
      <c r="F425" s="75" t="str">
        <f ca="1">_xll.xlqName(E425,tda)</f>
        <v>#N/A</v>
      </c>
      <c r="G425" s="75" t="str">
        <f t="shared" ca="1" si="30"/>
        <v>BAD</v>
      </c>
      <c r="I425" s="83">
        <v>43840</v>
      </c>
      <c r="J425" s="84">
        <v>193.5</v>
      </c>
      <c r="K425" s="74" t="s">
        <v>690</v>
      </c>
      <c r="L425" s="75" t="s">
        <v>53</v>
      </c>
      <c r="M425" s="75" t="s">
        <v>106</v>
      </c>
    </row>
    <row r="426" spans="1:13" x14ac:dyDescent="0.25">
      <c r="A426" s="48">
        <v>0.5</v>
      </c>
      <c r="B426" s="48"/>
      <c r="C426" s="83">
        <f t="shared" ca="1" si="28"/>
        <v>43840</v>
      </c>
      <c r="D426" s="84">
        <f t="shared" si="29"/>
        <v>219</v>
      </c>
      <c r="E426" s="74" t="str">
        <f t="shared" ca="1" si="27"/>
        <v>HD_011020C219</v>
      </c>
      <c r="F426" s="75" t="str">
        <f ca="1">_xll.xlqName(E426,tda)</f>
        <v>#N/A</v>
      </c>
      <c r="G426" s="75" t="str">
        <f t="shared" ca="1" si="30"/>
        <v>BAD</v>
      </c>
      <c r="I426" s="83">
        <v>43840</v>
      </c>
      <c r="J426" s="84">
        <v>194</v>
      </c>
      <c r="K426" s="74" t="s">
        <v>691</v>
      </c>
      <c r="L426" s="75" t="s">
        <v>53</v>
      </c>
      <c r="M426" s="75" t="s">
        <v>106</v>
      </c>
    </row>
    <row r="427" spans="1:13" x14ac:dyDescent="0.25">
      <c r="A427" s="48">
        <v>1</v>
      </c>
      <c r="B427" s="48"/>
      <c r="C427" s="83">
        <f t="shared" ca="1" si="28"/>
        <v>43840</v>
      </c>
      <c r="D427" s="84">
        <f t="shared" si="29"/>
        <v>220</v>
      </c>
      <c r="E427" s="74" t="str">
        <f t="shared" ca="1" si="27"/>
        <v>HD_011020C220</v>
      </c>
      <c r="F427" s="75" t="str">
        <f ca="1">_xll.xlqName(E427,tda)</f>
        <v>HD Jan 10 2020 220 Call (Weekly)</v>
      </c>
      <c r="G427" s="75" t="str">
        <f t="shared" ca="1" si="30"/>
        <v/>
      </c>
      <c r="I427" s="83">
        <v>43840</v>
      </c>
      <c r="J427" s="84">
        <v>195</v>
      </c>
      <c r="K427" s="74" t="s">
        <v>692</v>
      </c>
      <c r="L427" s="75" t="s">
        <v>693</v>
      </c>
      <c r="M427" s="75" t="s">
        <v>111</v>
      </c>
    </row>
    <row r="428" spans="1:13" x14ac:dyDescent="0.25">
      <c r="A428" s="48">
        <v>1</v>
      </c>
      <c r="B428" s="48"/>
      <c r="C428" s="83">
        <f t="shared" ca="1" si="28"/>
        <v>43840</v>
      </c>
      <c r="D428" s="84">
        <f t="shared" si="29"/>
        <v>221</v>
      </c>
      <c r="E428" s="74" t="str">
        <f t="shared" ca="1" si="27"/>
        <v>HD_011020C221</v>
      </c>
      <c r="F428" s="75" t="str">
        <f ca="1">_xll.xlqName(E428,tda)</f>
        <v>#N/A</v>
      </c>
      <c r="G428" s="75" t="str">
        <f t="shared" ca="1" si="30"/>
        <v>BAD</v>
      </c>
      <c r="I428" s="83">
        <v>43840</v>
      </c>
      <c r="J428" s="84">
        <v>196</v>
      </c>
      <c r="K428" s="74" t="s">
        <v>694</v>
      </c>
      <c r="L428" s="75" t="s">
        <v>53</v>
      </c>
      <c r="M428" s="75" t="s">
        <v>106</v>
      </c>
    </row>
    <row r="429" spans="1:13" x14ac:dyDescent="0.25">
      <c r="A429" s="48">
        <v>1</v>
      </c>
      <c r="B429" s="48"/>
      <c r="C429" s="83">
        <f t="shared" ca="1" si="28"/>
        <v>43840</v>
      </c>
      <c r="D429" s="84">
        <f t="shared" si="29"/>
        <v>222</v>
      </c>
      <c r="E429" s="74" t="str">
        <f t="shared" ca="1" si="27"/>
        <v>HD_011020C222</v>
      </c>
      <c r="F429" s="75" t="str">
        <f ca="1">_xll.xlqName(E429,tda)</f>
        <v>#N/A</v>
      </c>
      <c r="G429" s="75" t="str">
        <f t="shared" ca="1" si="30"/>
        <v>BAD</v>
      </c>
      <c r="I429" s="83">
        <v>43840</v>
      </c>
      <c r="J429" s="84">
        <v>197</v>
      </c>
      <c r="K429" s="74" t="s">
        <v>695</v>
      </c>
      <c r="L429" s="75" t="s">
        <v>53</v>
      </c>
      <c r="M429" s="75" t="s">
        <v>106</v>
      </c>
    </row>
    <row r="430" spans="1:13" x14ac:dyDescent="0.25">
      <c r="A430" s="48">
        <v>1</v>
      </c>
      <c r="B430" s="48"/>
      <c r="C430" s="83">
        <f t="shared" ca="1" si="28"/>
        <v>43840</v>
      </c>
      <c r="D430" s="84">
        <f t="shared" si="29"/>
        <v>223</v>
      </c>
      <c r="E430" s="74" t="str">
        <f t="shared" ca="1" si="27"/>
        <v>HD_011020C223</v>
      </c>
      <c r="F430" s="75" t="str">
        <f ca="1">_xll.xlqName(E430,tda)</f>
        <v>#N/A</v>
      </c>
      <c r="G430" s="75" t="str">
        <f t="shared" ca="1" si="30"/>
        <v>BAD</v>
      </c>
      <c r="I430" s="83">
        <v>43840</v>
      </c>
      <c r="J430" s="84">
        <v>198</v>
      </c>
      <c r="K430" s="74" t="s">
        <v>696</v>
      </c>
      <c r="L430" s="75" t="s">
        <v>53</v>
      </c>
      <c r="M430" s="75" t="s">
        <v>106</v>
      </c>
    </row>
    <row r="431" spans="1:13" x14ac:dyDescent="0.25">
      <c r="A431" s="48">
        <v>0.5</v>
      </c>
      <c r="B431" s="48"/>
      <c r="C431" s="83">
        <f t="shared" ca="1" si="28"/>
        <v>43840</v>
      </c>
      <c r="D431" s="84">
        <f t="shared" si="29"/>
        <v>223.5</v>
      </c>
      <c r="E431" s="74" t="str">
        <f t="shared" ca="1" si="27"/>
        <v>HD_011020C223.5</v>
      </c>
      <c r="F431" s="75" t="str">
        <f ca="1">_xll.xlqName(E431,tda)</f>
        <v>#N/A</v>
      </c>
      <c r="G431" s="75" t="str">
        <f t="shared" ca="1" si="30"/>
        <v>BAD</v>
      </c>
      <c r="I431" s="83">
        <v>43840</v>
      </c>
      <c r="J431" s="84">
        <v>198.5</v>
      </c>
      <c r="K431" s="74" t="s">
        <v>697</v>
      </c>
      <c r="L431" s="75" t="s">
        <v>53</v>
      </c>
      <c r="M431" s="75" t="s">
        <v>106</v>
      </c>
    </row>
    <row r="432" spans="1:13" x14ac:dyDescent="0.25">
      <c r="A432" s="48">
        <v>0.5</v>
      </c>
      <c r="B432" s="48"/>
      <c r="C432" s="83">
        <f t="shared" ca="1" si="28"/>
        <v>43840</v>
      </c>
      <c r="D432" s="84">
        <f t="shared" si="29"/>
        <v>224</v>
      </c>
      <c r="E432" s="74" t="str">
        <f t="shared" ca="1" si="27"/>
        <v>HD_011020C224</v>
      </c>
      <c r="F432" s="75" t="str">
        <f ca="1">_xll.xlqName(E432,tda)</f>
        <v>#N/A</v>
      </c>
      <c r="G432" s="75" t="str">
        <f t="shared" ca="1" si="30"/>
        <v>BAD</v>
      </c>
      <c r="I432" s="83">
        <v>43840</v>
      </c>
      <c r="J432" s="84">
        <v>199</v>
      </c>
      <c r="K432" s="74" t="s">
        <v>698</v>
      </c>
      <c r="L432" s="75" t="s">
        <v>53</v>
      </c>
      <c r="M432" s="75" t="s">
        <v>106</v>
      </c>
    </row>
    <row r="433" spans="1:13" x14ac:dyDescent="0.25">
      <c r="A433" s="48">
        <v>1</v>
      </c>
      <c r="B433" s="48"/>
      <c r="C433" s="83">
        <f t="shared" ca="1" si="28"/>
        <v>43840</v>
      </c>
      <c r="D433" s="84">
        <f t="shared" si="29"/>
        <v>225</v>
      </c>
      <c r="E433" s="74" t="str">
        <f t="shared" ca="1" si="27"/>
        <v>HD_011020C225</v>
      </c>
      <c r="F433" s="75" t="str">
        <f ca="1">_xll.xlqName(E433,tda)</f>
        <v>HD Jan 10 2020 225 Call (Weekly)</v>
      </c>
      <c r="G433" s="75" t="str">
        <f t="shared" ca="1" si="30"/>
        <v/>
      </c>
      <c r="I433" s="83">
        <v>43840</v>
      </c>
      <c r="J433" s="84">
        <v>200</v>
      </c>
      <c r="K433" s="74" t="s">
        <v>699</v>
      </c>
      <c r="L433" s="75" t="s">
        <v>700</v>
      </c>
      <c r="M433" s="75" t="s">
        <v>111</v>
      </c>
    </row>
    <row r="434" spans="1:13" x14ac:dyDescent="0.25">
      <c r="A434" s="48">
        <v>1</v>
      </c>
      <c r="B434" s="48"/>
      <c r="C434" s="83">
        <f t="shared" ca="1" si="28"/>
        <v>43840</v>
      </c>
      <c r="D434" s="84">
        <f t="shared" si="29"/>
        <v>226</v>
      </c>
      <c r="E434" s="74" t="str">
        <f t="shared" ca="1" si="27"/>
        <v>HD_011020C226</v>
      </c>
      <c r="F434" s="75" t="str">
        <f ca="1">_xll.xlqName(E434,tda)</f>
        <v>#N/A</v>
      </c>
      <c r="G434" s="75" t="str">
        <f t="shared" ca="1" si="30"/>
        <v>BAD</v>
      </c>
      <c r="I434" s="83">
        <v>43840</v>
      </c>
      <c r="J434" s="84">
        <v>201</v>
      </c>
      <c r="K434" s="74" t="s">
        <v>701</v>
      </c>
      <c r="L434" s="75" t="s">
        <v>53</v>
      </c>
      <c r="M434" s="75" t="s">
        <v>106</v>
      </c>
    </row>
    <row r="435" spans="1:13" x14ac:dyDescent="0.25">
      <c r="A435" s="48">
        <v>1</v>
      </c>
      <c r="B435" s="48"/>
      <c r="C435" s="83">
        <f t="shared" ca="1" si="28"/>
        <v>43840</v>
      </c>
      <c r="D435" s="84">
        <f t="shared" si="29"/>
        <v>227</v>
      </c>
      <c r="E435" s="74" t="str">
        <f t="shared" ca="1" si="27"/>
        <v>HD_011020C227</v>
      </c>
      <c r="F435" s="75" t="str">
        <f ca="1">_xll.xlqName(E435,tda)</f>
        <v>#N/A</v>
      </c>
      <c r="G435" s="75" t="str">
        <f t="shared" ca="1" si="30"/>
        <v>BAD</v>
      </c>
      <c r="I435" s="83">
        <v>43840</v>
      </c>
      <c r="J435" s="84">
        <v>202</v>
      </c>
      <c r="K435" s="74" t="s">
        <v>702</v>
      </c>
      <c r="L435" s="75" t="s">
        <v>53</v>
      </c>
      <c r="M435" s="75" t="s">
        <v>106</v>
      </c>
    </row>
    <row r="436" spans="1:13" x14ac:dyDescent="0.25">
      <c r="A436" s="48">
        <v>1</v>
      </c>
      <c r="B436" s="48"/>
      <c r="C436" s="83">
        <f t="shared" ca="1" si="28"/>
        <v>43840</v>
      </c>
      <c r="D436" s="84">
        <f t="shared" si="29"/>
        <v>228</v>
      </c>
      <c r="E436" s="74" t="str">
        <f t="shared" ca="1" si="27"/>
        <v>HD_011020C228</v>
      </c>
      <c r="F436" s="75" t="str">
        <f ca="1">_xll.xlqName(E436,tda)</f>
        <v>#N/A</v>
      </c>
      <c r="G436" s="75" t="str">
        <f t="shared" ca="1" si="30"/>
        <v>BAD</v>
      </c>
      <c r="I436" s="83">
        <v>43840</v>
      </c>
      <c r="J436" s="84">
        <v>203</v>
      </c>
      <c r="K436" s="74" t="s">
        <v>703</v>
      </c>
      <c r="L436" s="75" t="s">
        <v>53</v>
      </c>
      <c r="M436" s="75" t="s">
        <v>106</v>
      </c>
    </row>
    <row r="437" spans="1:13" x14ac:dyDescent="0.25">
      <c r="A437" s="48">
        <v>0.5</v>
      </c>
      <c r="B437" s="48"/>
      <c r="C437" s="83">
        <f t="shared" ca="1" si="28"/>
        <v>43840</v>
      </c>
      <c r="D437" s="84">
        <f t="shared" si="29"/>
        <v>228.5</v>
      </c>
      <c r="E437" s="74" t="str">
        <f t="shared" ca="1" si="27"/>
        <v>HD_011020C228.5</v>
      </c>
      <c r="F437" s="75" t="str">
        <f ca="1">_xll.xlqName(E437,tda)</f>
        <v>#N/A</v>
      </c>
      <c r="G437" s="75" t="str">
        <f t="shared" ca="1" si="30"/>
        <v>BAD</v>
      </c>
      <c r="I437" s="83">
        <v>43840</v>
      </c>
      <c r="J437" s="84">
        <v>203.5</v>
      </c>
      <c r="K437" s="74" t="s">
        <v>704</v>
      </c>
      <c r="L437" s="75" t="s">
        <v>53</v>
      </c>
      <c r="M437" s="75" t="s">
        <v>106</v>
      </c>
    </row>
    <row r="438" spans="1:13" x14ac:dyDescent="0.25">
      <c r="A438" s="48">
        <v>0.5</v>
      </c>
      <c r="B438" s="48"/>
      <c r="C438" s="83">
        <f t="shared" ca="1" si="28"/>
        <v>43840</v>
      </c>
      <c r="D438" s="84">
        <f t="shared" si="29"/>
        <v>229</v>
      </c>
      <c r="E438" s="74" t="str">
        <f t="shared" ca="1" si="27"/>
        <v>HD_011020C229</v>
      </c>
      <c r="F438" s="75" t="str">
        <f ca="1">_xll.xlqName(E438,tda)</f>
        <v>#N/A</v>
      </c>
      <c r="G438" s="75" t="str">
        <f t="shared" ca="1" si="30"/>
        <v>BAD</v>
      </c>
      <c r="I438" s="83">
        <v>43840</v>
      </c>
      <c r="J438" s="84">
        <v>204</v>
      </c>
      <c r="K438" s="74" t="s">
        <v>705</v>
      </c>
      <c r="L438" s="75" t="s">
        <v>53</v>
      </c>
      <c r="M438" s="75" t="s">
        <v>106</v>
      </c>
    </row>
    <row r="439" spans="1:13" x14ac:dyDescent="0.25">
      <c r="A439" s="48">
        <v>1</v>
      </c>
      <c r="B439" s="48"/>
      <c r="C439" s="83">
        <f t="shared" ca="1" si="28"/>
        <v>43840</v>
      </c>
      <c r="D439" s="84">
        <f t="shared" si="29"/>
        <v>230</v>
      </c>
      <c r="E439" s="74" t="str">
        <f t="shared" ca="1" si="27"/>
        <v>HD_011020C230</v>
      </c>
      <c r="F439" s="75" t="str">
        <f ca="1">_xll.xlqName(E439,tda)</f>
        <v>HD Jan 10 2020 230 Call (Weekly)</v>
      </c>
      <c r="G439" s="75" t="str">
        <f t="shared" ca="1" si="30"/>
        <v/>
      </c>
      <c r="I439" s="83">
        <v>43840</v>
      </c>
      <c r="J439" s="84">
        <v>205</v>
      </c>
      <c r="K439" s="74" t="s">
        <v>706</v>
      </c>
      <c r="L439" s="75" t="s">
        <v>707</v>
      </c>
      <c r="M439" s="75" t="s">
        <v>111</v>
      </c>
    </row>
    <row r="440" spans="1:13" x14ac:dyDescent="0.25">
      <c r="A440" s="48">
        <v>1</v>
      </c>
      <c r="B440" s="48"/>
      <c r="C440" s="83">
        <f t="shared" ca="1" si="28"/>
        <v>43847</v>
      </c>
      <c r="D440" s="84">
        <f t="shared" si="29"/>
        <v>170</v>
      </c>
      <c r="E440" s="74" t="str">
        <f t="shared" ca="1" si="27"/>
        <v>HD_011720C170</v>
      </c>
      <c r="F440" s="75" t="str">
        <f ca="1">_xll.xlqName(E440,tda)</f>
        <v>HD Jan 17 2020 170 Call</v>
      </c>
      <c r="G440" s="75" t="str">
        <f t="shared" ca="1" si="30"/>
        <v/>
      </c>
      <c r="I440" s="83">
        <v>43840</v>
      </c>
      <c r="J440" s="84">
        <v>206</v>
      </c>
      <c r="K440" s="74" t="s">
        <v>708</v>
      </c>
      <c r="L440" s="75" t="s">
        <v>53</v>
      </c>
      <c r="M440" s="75" t="s">
        <v>106</v>
      </c>
    </row>
    <row r="441" spans="1:13" x14ac:dyDescent="0.25">
      <c r="A441" s="48">
        <v>1</v>
      </c>
      <c r="B441" s="48"/>
      <c r="C441" s="83">
        <f t="shared" ca="1" si="28"/>
        <v>43847</v>
      </c>
      <c r="D441" s="84">
        <f t="shared" si="29"/>
        <v>171</v>
      </c>
      <c r="E441" s="74" t="str">
        <f t="shared" ca="1" si="27"/>
        <v>HD_011720C171</v>
      </c>
      <c r="F441" s="75" t="str">
        <f ca="1">_xll.xlqName(E441,tda)</f>
        <v>#N/A</v>
      </c>
      <c r="G441" s="75" t="str">
        <f t="shared" ca="1" si="30"/>
        <v>BAD</v>
      </c>
      <c r="I441" s="83">
        <v>43840</v>
      </c>
      <c r="J441" s="84">
        <v>207</v>
      </c>
      <c r="K441" s="74" t="s">
        <v>709</v>
      </c>
      <c r="L441" s="75" t="s">
        <v>53</v>
      </c>
      <c r="M441" s="75" t="s">
        <v>106</v>
      </c>
    </row>
    <row r="442" spans="1:13" x14ac:dyDescent="0.25">
      <c r="A442" s="48">
        <v>1</v>
      </c>
      <c r="B442" s="48"/>
      <c r="C442" s="83">
        <f t="shared" ca="1" si="28"/>
        <v>43847</v>
      </c>
      <c r="D442" s="84">
        <f t="shared" si="29"/>
        <v>172</v>
      </c>
      <c r="E442" s="74" t="str">
        <f t="shared" ca="1" si="27"/>
        <v>HD_011720C172</v>
      </c>
      <c r="F442" s="75" t="str">
        <f ca="1">_xll.xlqName(E442,tda)</f>
        <v>#N/A</v>
      </c>
      <c r="G442" s="75" t="str">
        <f t="shared" ca="1" si="30"/>
        <v>BAD</v>
      </c>
      <c r="I442" s="83">
        <v>43840</v>
      </c>
      <c r="J442" s="84">
        <v>208</v>
      </c>
      <c r="K442" s="74" t="s">
        <v>710</v>
      </c>
      <c r="L442" s="75" t="s">
        <v>53</v>
      </c>
      <c r="M442" s="75" t="s">
        <v>106</v>
      </c>
    </row>
    <row r="443" spans="1:13" x14ac:dyDescent="0.25">
      <c r="A443" s="48">
        <v>0.5</v>
      </c>
      <c r="B443" s="48"/>
      <c r="C443" s="83">
        <f t="shared" ca="1" si="28"/>
        <v>43847</v>
      </c>
      <c r="D443" s="84">
        <f t="shared" si="29"/>
        <v>172.5</v>
      </c>
      <c r="E443" s="74" t="str">
        <f t="shared" ca="1" si="27"/>
        <v>HD_011720C172.5</v>
      </c>
      <c r="F443" s="75" t="str">
        <f ca="1">_xll.xlqName(E443,tda)</f>
        <v>#N/A</v>
      </c>
      <c r="G443" s="75" t="str">
        <f t="shared" ca="1" si="30"/>
        <v>BAD</v>
      </c>
      <c r="I443" s="83">
        <v>43840</v>
      </c>
      <c r="J443" s="84">
        <v>208.5</v>
      </c>
      <c r="K443" s="74" t="s">
        <v>711</v>
      </c>
      <c r="L443" s="75" t="s">
        <v>53</v>
      </c>
      <c r="M443" s="75" t="s">
        <v>106</v>
      </c>
    </row>
    <row r="444" spans="1:13" x14ac:dyDescent="0.25">
      <c r="A444" s="48">
        <v>0.5</v>
      </c>
      <c r="B444" s="48"/>
      <c r="C444" s="83">
        <f t="shared" ca="1" si="28"/>
        <v>43847</v>
      </c>
      <c r="D444" s="84">
        <f t="shared" si="29"/>
        <v>173</v>
      </c>
      <c r="E444" s="74" t="str">
        <f t="shared" ca="1" si="27"/>
        <v>HD_011720C173</v>
      </c>
      <c r="F444" s="75" t="str">
        <f ca="1">_xll.xlqName(E444,tda)</f>
        <v>#N/A</v>
      </c>
      <c r="G444" s="75" t="str">
        <f t="shared" ca="1" si="30"/>
        <v>BAD</v>
      </c>
      <c r="I444" s="83">
        <v>43840</v>
      </c>
      <c r="J444" s="84">
        <v>209</v>
      </c>
      <c r="K444" s="74" t="s">
        <v>712</v>
      </c>
      <c r="L444" s="75" t="s">
        <v>53</v>
      </c>
      <c r="M444" s="75" t="s">
        <v>106</v>
      </c>
    </row>
    <row r="445" spans="1:13" x14ac:dyDescent="0.25">
      <c r="A445" s="48">
        <v>1</v>
      </c>
      <c r="B445" s="48"/>
      <c r="C445" s="83">
        <f t="shared" ca="1" si="28"/>
        <v>43847</v>
      </c>
      <c r="D445" s="84">
        <f t="shared" si="29"/>
        <v>174</v>
      </c>
      <c r="E445" s="74" t="str">
        <f t="shared" ca="1" si="27"/>
        <v>HD_011720C174</v>
      </c>
      <c r="F445" s="75" t="str">
        <f ca="1">_xll.xlqName(E445,tda)</f>
        <v>#N/A</v>
      </c>
      <c r="G445" s="75" t="str">
        <f t="shared" ca="1" si="30"/>
        <v>BAD</v>
      </c>
      <c r="I445" s="83">
        <v>43840</v>
      </c>
      <c r="J445" s="84">
        <v>210</v>
      </c>
      <c r="K445" s="74" t="s">
        <v>713</v>
      </c>
      <c r="L445" s="75" t="s">
        <v>714</v>
      </c>
      <c r="M445" s="75" t="s">
        <v>111</v>
      </c>
    </row>
    <row r="446" spans="1:13" x14ac:dyDescent="0.25">
      <c r="A446" s="48">
        <v>1</v>
      </c>
      <c r="B446" s="48"/>
      <c r="C446" s="83">
        <f t="shared" ca="1" si="28"/>
        <v>43847</v>
      </c>
      <c r="D446" s="84">
        <f t="shared" si="29"/>
        <v>175</v>
      </c>
      <c r="E446" s="74" t="str">
        <f t="shared" ca="1" si="27"/>
        <v>HD_011720C175</v>
      </c>
      <c r="F446" s="75" t="str">
        <f ca="1">_xll.xlqName(E446,tda)</f>
        <v>HD Jan 17 2020 175 Call</v>
      </c>
      <c r="G446" s="75" t="str">
        <f t="shared" ca="1" si="30"/>
        <v/>
      </c>
      <c r="I446" s="83">
        <v>43840</v>
      </c>
      <c r="J446" s="84">
        <v>211</v>
      </c>
      <c r="K446" s="74" t="s">
        <v>715</v>
      </c>
      <c r="L446" s="75" t="s">
        <v>53</v>
      </c>
      <c r="M446" s="75" t="s">
        <v>106</v>
      </c>
    </row>
    <row r="447" spans="1:13" x14ac:dyDescent="0.25">
      <c r="A447" s="48">
        <v>1</v>
      </c>
      <c r="B447" s="48"/>
      <c r="C447" s="83">
        <f t="shared" ca="1" si="28"/>
        <v>43847</v>
      </c>
      <c r="D447" s="84">
        <f t="shared" si="29"/>
        <v>176</v>
      </c>
      <c r="E447" s="74" t="str">
        <f t="shared" ca="1" si="27"/>
        <v>HD_011720C176</v>
      </c>
      <c r="F447" s="75" t="str">
        <f ca="1">_xll.xlqName(E447,tda)</f>
        <v>#N/A</v>
      </c>
      <c r="G447" s="75" t="str">
        <f t="shared" ca="1" si="30"/>
        <v>BAD</v>
      </c>
      <c r="I447" s="83">
        <v>43840</v>
      </c>
      <c r="J447" s="84">
        <v>212</v>
      </c>
      <c r="K447" s="74" t="s">
        <v>716</v>
      </c>
      <c r="L447" s="75" t="s">
        <v>53</v>
      </c>
      <c r="M447" s="75" t="s">
        <v>106</v>
      </c>
    </row>
    <row r="448" spans="1:13" x14ac:dyDescent="0.25">
      <c r="A448" s="48">
        <v>1</v>
      </c>
      <c r="B448" s="48"/>
      <c r="C448" s="83">
        <f t="shared" ca="1" si="28"/>
        <v>43847</v>
      </c>
      <c r="D448" s="84">
        <f t="shared" si="29"/>
        <v>177</v>
      </c>
      <c r="E448" s="74" t="str">
        <f t="shared" ca="1" si="27"/>
        <v>HD_011720C177</v>
      </c>
      <c r="F448" s="75" t="str">
        <f ca="1">_xll.xlqName(E448,tda)</f>
        <v>#N/A</v>
      </c>
      <c r="G448" s="75" t="str">
        <f t="shared" ca="1" si="30"/>
        <v>BAD</v>
      </c>
      <c r="I448" s="83">
        <v>43840</v>
      </c>
      <c r="J448" s="84">
        <v>213</v>
      </c>
      <c r="K448" s="74" t="s">
        <v>717</v>
      </c>
      <c r="L448" s="75" t="s">
        <v>53</v>
      </c>
      <c r="M448" s="75" t="s">
        <v>106</v>
      </c>
    </row>
    <row r="449" spans="1:13" x14ac:dyDescent="0.25">
      <c r="A449" s="48">
        <v>0.5</v>
      </c>
      <c r="B449" s="48"/>
      <c r="C449" s="83">
        <f t="shared" ca="1" si="28"/>
        <v>43847</v>
      </c>
      <c r="D449" s="84">
        <f t="shared" si="29"/>
        <v>177.5</v>
      </c>
      <c r="E449" s="74" t="str">
        <f t="shared" ca="1" si="27"/>
        <v>HD_011720C177.5</v>
      </c>
      <c r="F449" s="75" t="str">
        <f ca="1">_xll.xlqName(E449,tda)</f>
        <v>#N/A</v>
      </c>
      <c r="G449" s="75" t="str">
        <f t="shared" ca="1" si="30"/>
        <v>BAD</v>
      </c>
      <c r="I449" s="83">
        <v>43840</v>
      </c>
      <c r="J449" s="84">
        <v>213.5</v>
      </c>
      <c r="K449" s="74" t="s">
        <v>718</v>
      </c>
      <c r="L449" s="75" t="s">
        <v>53</v>
      </c>
      <c r="M449" s="75" t="s">
        <v>106</v>
      </c>
    </row>
    <row r="450" spans="1:13" x14ac:dyDescent="0.25">
      <c r="A450" s="48">
        <v>0.5</v>
      </c>
      <c r="B450" s="48"/>
      <c r="C450" s="83">
        <f t="shared" ca="1" si="28"/>
        <v>43847</v>
      </c>
      <c r="D450" s="84">
        <f t="shared" si="29"/>
        <v>178</v>
      </c>
      <c r="E450" s="74" t="str">
        <f t="shared" ref="E450:E513" ca="1" si="31">CONCATENATE($Q$2,"_",TEXT(MONTH(C450),"00"),TEXT(DAY(C450),"00"),TEXT(MOD(YEAR(C450),100),"00"),$Q$3,D450&amp;"")</f>
        <v>HD_011720C178</v>
      </c>
      <c r="F450" s="75" t="str">
        <f ca="1">_xll.xlqName(E450,tda)</f>
        <v>#N/A</v>
      </c>
      <c r="G450" s="75" t="str">
        <f t="shared" ca="1" si="30"/>
        <v>BAD</v>
      </c>
      <c r="I450" s="83">
        <v>43840</v>
      </c>
      <c r="J450" s="84">
        <v>214</v>
      </c>
      <c r="K450" s="74" t="s">
        <v>719</v>
      </c>
      <c r="L450" s="75" t="s">
        <v>53</v>
      </c>
      <c r="M450" s="75" t="s">
        <v>106</v>
      </c>
    </row>
    <row r="451" spans="1:13" x14ac:dyDescent="0.25">
      <c r="A451" s="48">
        <v>1</v>
      </c>
      <c r="B451" s="48"/>
      <c r="C451" s="83">
        <f t="shared" ref="C451:C514" ca="1" si="32">IF(D451&gt;D450,C450,INDEX($O$14:$O$50,VLOOKUP(C450,$O$14:$P$50,2)+1))</f>
        <v>43847</v>
      </c>
      <c r="D451" s="84">
        <f t="shared" ref="D451:D514" si="33">IF(D450+A451&lt;=$Q$8,D450+A451,$Q$6)</f>
        <v>179</v>
      </c>
      <c r="E451" s="74" t="str">
        <f t="shared" ca="1" si="31"/>
        <v>HD_011720C179</v>
      </c>
      <c r="F451" s="75" t="str">
        <f ca="1">_xll.xlqName(E451,tda)</f>
        <v>#N/A</v>
      </c>
      <c r="G451" s="75" t="str">
        <f t="shared" ref="G451:G514" ca="1" si="34">IF(AND(ISTEXT(F451),(F451&lt;&gt;"#N/A"),(F451&lt;&gt;"Busy...")),"","BAD")</f>
        <v>BAD</v>
      </c>
      <c r="I451" s="83">
        <v>43840</v>
      </c>
      <c r="J451" s="84">
        <v>215</v>
      </c>
      <c r="K451" s="74" t="s">
        <v>720</v>
      </c>
      <c r="L451" s="75" t="s">
        <v>721</v>
      </c>
      <c r="M451" s="75" t="s">
        <v>111</v>
      </c>
    </row>
    <row r="452" spans="1:13" x14ac:dyDescent="0.25">
      <c r="A452" s="48">
        <v>1</v>
      </c>
      <c r="B452" s="48"/>
      <c r="C452" s="83">
        <f t="shared" ca="1" si="32"/>
        <v>43847</v>
      </c>
      <c r="D452" s="84">
        <f t="shared" si="33"/>
        <v>180</v>
      </c>
      <c r="E452" s="74" t="str">
        <f t="shared" ca="1" si="31"/>
        <v>HD_011720C180</v>
      </c>
      <c r="F452" s="75" t="str">
        <f ca="1">_xll.xlqName(E452,tda)</f>
        <v>HD Jan 17 2020 180 Call</v>
      </c>
      <c r="G452" s="75" t="str">
        <f t="shared" ca="1" si="34"/>
        <v/>
      </c>
      <c r="I452" s="83">
        <v>43840</v>
      </c>
      <c r="J452" s="84">
        <v>216</v>
      </c>
      <c r="K452" s="74" t="s">
        <v>722</v>
      </c>
      <c r="L452" s="75" t="s">
        <v>53</v>
      </c>
      <c r="M452" s="75" t="s">
        <v>106</v>
      </c>
    </row>
    <row r="453" spans="1:13" x14ac:dyDescent="0.25">
      <c r="A453" s="48">
        <v>1</v>
      </c>
      <c r="B453" s="48"/>
      <c r="C453" s="83">
        <f t="shared" ca="1" si="32"/>
        <v>43847</v>
      </c>
      <c r="D453" s="84">
        <f t="shared" si="33"/>
        <v>181</v>
      </c>
      <c r="E453" s="74" t="str">
        <f t="shared" ca="1" si="31"/>
        <v>HD_011720C181</v>
      </c>
      <c r="F453" s="75" t="str">
        <f ca="1">_xll.xlqName(E453,tda)</f>
        <v>#N/A</v>
      </c>
      <c r="G453" s="75" t="str">
        <f t="shared" ca="1" si="34"/>
        <v>BAD</v>
      </c>
      <c r="I453" s="83">
        <v>43840</v>
      </c>
      <c r="J453" s="84">
        <v>217</v>
      </c>
      <c r="K453" s="74" t="s">
        <v>723</v>
      </c>
      <c r="L453" s="75" t="s">
        <v>53</v>
      </c>
      <c r="M453" s="75" t="s">
        <v>106</v>
      </c>
    </row>
    <row r="454" spans="1:13" x14ac:dyDescent="0.25">
      <c r="A454" s="48">
        <v>1</v>
      </c>
      <c r="B454" s="48"/>
      <c r="C454" s="83">
        <f t="shared" ca="1" si="32"/>
        <v>43847</v>
      </c>
      <c r="D454" s="84">
        <f t="shared" si="33"/>
        <v>182</v>
      </c>
      <c r="E454" s="74" t="str">
        <f t="shared" ca="1" si="31"/>
        <v>HD_011720C182</v>
      </c>
      <c r="F454" s="75" t="str">
        <f ca="1">_xll.xlqName(E454,tda)</f>
        <v>#N/A</v>
      </c>
      <c r="G454" s="75" t="str">
        <f t="shared" ca="1" si="34"/>
        <v>BAD</v>
      </c>
      <c r="I454" s="83">
        <v>43840</v>
      </c>
      <c r="J454" s="84">
        <v>218</v>
      </c>
      <c r="K454" s="74" t="s">
        <v>724</v>
      </c>
      <c r="L454" s="75" t="s">
        <v>53</v>
      </c>
      <c r="M454" s="75" t="s">
        <v>106</v>
      </c>
    </row>
    <row r="455" spans="1:13" x14ac:dyDescent="0.25">
      <c r="A455" s="48">
        <v>0.5</v>
      </c>
      <c r="B455" s="48"/>
      <c r="C455" s="83">
        <f t="shared" ca="1" si="32"/>
        <v>43847</v>
      </c>
      <c r="D455" s="84">
        <f t="shared" si="33"/>
        <v>182.5</v>
      </c>
      <c r="E455" s="74" t="str">
        <f t="shared" ca="1" si="31"/>
        <v>HD_011720C182.5</v>
      </c>
      <c r="F455" s="75" t="str">
        <f ca="1">_xll.xlqName(E455,tda)</f>
        <v>#N/A</v>
      </c>
      <c r="G455" s="75" t="str">
        <f t="shared" ca="1" si="34"/>
        <v>BAD</v>
      </c>
      <c r="I455" s="83">
        <v>43840</v>
      </c>
      <c r="J455" s="84">
        <v>218.5</v>
      </c>
      <c r="K455" s="74" t="s">
        <v>725</v>
      </c>
      <c r="L455" s="75" t="s">
        <v>53</v>
      </c>
      <c r="M455" s="75" t="s">
        <v>106</v>
      </c>
    </row>
    <row r="456" spans="1:13" x14ac:dyDescent="0.25">
      <c r="A456" s="48">
        <v>0.5</v>
      </c>
      <c r="B456" s="48"/>
      <c r="C456" s="83">
        <f t="shared" ca="1" si="32"/>
        <v>43847</v>
      </c>
      <c r="D456" s="84">
        <f t="shared" si="33"/>
        <v>183</v>
      </c>
      <c r="E456" s="74" t="str">
        <f t="shared" ca="1" si="31"/>
        <v>HD_011720C183</v>
      </c>
      <c r="F456" s="75" t="str">
        <f ca="1">_xll.xlqName(E456,tda)</f>
        <v>#N/A</v>
      </c>
      <c r="G456" s="75" t="str">
        <f t="shared" ca="1" si="34"/>
        <v>BAD</v>
      </c>
      <c r="I456" s="83">
        <v>43840</v>
      </c>
      <c r="J456" s="84">
        <v>219</v>
      </c>
      <c r="K456" s="74" t="s">
        <v>726</v>
      </c>
      <c r="L456" s="75" t="s">
        <v>53</v>
      </c>
      <c r="M456" s="75" t="s">
        <v>106</v>
      </c>
    </row>
    <row r="457" spans="1:13" x14ac:dyDescent="0.25">
      <c r="A457" s="48">
        <v>1</v>
      </c>
      <c r="B457" s="48"/>
      <c r="C457" s="83">
        <f t="shared" ca="1" si="32"/>
        <v>43847</v>
      </c>
      <c r="D457" s="84">
        <f t="shared" si="33"/>
        <v>184</v>
      </c>
      <c r="E457" s="74" t="str">
        <f t="shared" ca="1" si="31"/>
        <v>HD_011720C184</v>
      </c>
      <c r="F457" s="75" t="str">
        <f ca="1">_xll.xlqName(E457,tda)</f>
        <v>#N/A</v>
      </c>
      <c r="G457" s="75" t="str">
        <f t="shared" ca="1" si="34"/>
        <v>BAD</v>
      </c>
      <c r="I457" s="83">
        <v>43840</v>
      </c>
      <c r="J457" s="84">
        <v>220</v>
      </c>
      <c r="K457" s="74" t="s">
        <v>727</v>
      </c>
      <c r="L457" s="75" t="s">
        <v>728</v>
      </c>
      <c r="M457" s="75" t="s">
        <v>111</v>
      </c>
    </row>
    <row r="458" spans="1:13" x14ac:dyDescent="0.25">
      <c r="A458" s="48">
        <v>1</v>
      </c>
      <c r="B458" s="48"/>
      <c r="C458" s="83">
        <f t="shared" ca="1" si="32"/>
        <v>43847</v>
      </c>
      <c r="D458" s="84">
        <f t="shared" si="33"/>
        <v>185</v>
      </c>
      <c r="E458" s="74" t="str">
        <f t="shared" ca="1" si="31"/>
        <v>HD_011720C185</v>
      </c>
      <c r="F458" s="75" t="str">
        <f ca="1">_xll.xlqName(E458,tda)</f>
        <v>HD Jan 17 2020 185 Call</v>
      </c>
      <c r="G458" s="75" t="str">
        <f t="shared" ca="1" si="34"/>
        <v/>
      </c>
      <c r="I458" s="83">
        <v>43840</v>
      </c>
      <c r="J458" s="84">
        <v>221</v>
      </c>
      <c r="K458" s="74" t="s">
        <v>729</v>
      </c>
      <c r="L458" s="75" t="s">
        <v>53</v>
      </c>
      <c r="M458" s="75" t="s">
        <v>106</v>
      </c>
    </row>
    <row r="459" spans="1:13" x14ac:dyDescent="0.25">
      <c r="A459" s="48">
        <v>1</v>
      </c>
      <c r="B459" s="48"/>
      <c r="C459" s="83">
        <f t="shared" ca="1" si="32"/>
        <v>43847</v>
      </c>
      <c r="D459" s="84">
        <f t="shared" si="33"/>
        <v>186</v>
      </c>
      <c r="E459" s="74" t="str">
        <f t="shared" ca="1" si="31"/>
        <v>HD_011720C186</v>
      </c>
      <c r="F459" s="75" t="str">
        <f ca="1">_xll.xlqName(E459,tda)</f>
        <v>#N/A</v>
      </c>
      <c r="G459" s="75" t="str">
        <f t="shared" ca="1" si="34"/>
        <v>BAD</v>
      </c>
      <c r="I459" s="83">
        <v>43840</v>
      </c>
      <c r="J459" s="84">
        <v>222</v>
      </c>
      <c r="K459" s="74" t="s">
        <v>730</v>
      </c>
      <c r="L459" s="75" t="s">
        <v>53</v>
      </c>
      <c r="M459" s="75" t="s">
        <v>106</v>
      </c>
    </row>
    <row r="460" spans="1:13" x14ac:dyDescent="0.25">
      <c r="A460" s="48">
        <v>1</v>
      </c>
      <c r="B460" s="48"/>
      <c r="C460" s="83">
        <f t="shared" ca="1" si="32"/>
        <v>43847</v>
      </c>
      <c r="D460" s="84">
        <f t="shared" si="33"/>
        <v>187</v>
      </c>
      <c r="E460" s="74" t="str">
        <f t="shared" ca="1" si="31"/>
        <v>HD_011720C187</v>
      </c>
      <c r="F460" s="75" t="str">
        <f ca="1">_xll.xlqName(E460,tda)</f>
        <v>#N/A</v>
      </c>
      <c r="G460" s="75" t="str">
        <f t="shared" ca="1" si="34"/>
        <v>BAD</v>
      </c>
      <c r="I460" s="83">
        <v>43840</v>
      </c>
      <c r="J460" s="84">
        <v>223</v>
      </c>
      <c r="K460" s="74" t="s">
        <v>731</v>
      </c>
      <c r="L460" s="75" t="s">
        <v>53</v>
      </c>
      <c r="M460" s="75" t="s">
        <v>106</v>
      </c>
    </row>
    <row r="461" spans="1:13" x14ac:dyDescent="0.25">
      <c r="A461" s="48">
        <v>0.5</v>
      </c>
      <c r="B461" s="48"/>
      <c r="C461" s="83">
        <f t="shared" ca="1" si="32"/>
        <v>43847</v>
      </c>
      <c r="D461" s="84">
        <f t="shared" si="33"/>
        <v>187.5</v>
      </c>
      <c r="E461" s="74" t="str">
        <f t="shared" ca="1" si="31"/>
        <v>HD_011720C187.5</v>
      </c>
      <c r="F461" s="75" t="str">
        <f ca="1">_xll.xlqName(E461,tda)</f>
        <v>#N/A</v>
      </c>
      <c r="G461" s="75" t="str">
        <f t="shared" ca="1" si="34"/>
        <v>BAD</v>
      </c>
      <c r="I461" s="83">
        <v>43840</v>
      </c>
      <c r="J461" s="84">
        <v>223.5</v>
      </c>
      <c r="K461" s="74" t="s">
        <v>732</v>
      </c>
      <c r="L461" s="75" t="s">
        <v>53</v>
      </c>
      <c r="M461" s="75" t="s">
        <v>106</v>
      </c>
    </row>
    <row r="462" spans="1:13" x14ac:dyDescent="0.25">
      <c r="A462" s="48">
        <v>0.5</v>
      </c>
      <c r="B462" s="48"/>
      <c r="C462" s="83">
        <f t="shared" ca="1" si="32"/>
        <v>43847</v>
      </c>
      <c r="D462" s="84">
        <f t="shared" si="33"/>
        <v>188</v>
      </c>
      <c r="E462" s="74" t="str">
        <f t="shared" ca="1" si="31"/>
        <v>HD_011720C188</v>
      </c>
      <c r="F462" s="75" t="str">
        <f ca="1">_xll.xlqName(E462,tda)</f>
        <v>#N/A</v>
      </c>
      <c r="G462" s="75" t="str">
        <f t="shared" ca="1" si="34"/>
        <v>BAD</v>
      </c>
      <c r="I462" s="83">
        <v>43840</v>
      </c>
      <c r="J462" s="84">
        <v>224</v>
      </c>
      <c r="K462" s="74" t="s">
        <v>733</v>
      </c>
      <c r="L462" s="75" t="s">
        <v>53</v>
      </c>
      <c r="M462" s="75" t="s">
        <v>106</v>
      </c>
    </row>
    <row r="463" spans="1:13" x14ac:dyDescent="0.25">
      <c r="A463" s="48">
        <v>1</v>
      </c>
      <c r="B463" s="48"/>
      <c r="C463" s="83">
        <f t="shared" ca="1" si="32"/>
        <v>43847</v>
      </c>
      <c r="D463" s="84">
        <f t="shared" si="33"/>
        <v>189</v>
      </c>
      <c r="E463" s="74" t="str">
        <f t="shared" ca="1" si="31"/>
        <v>HD_011720C189</v>
      </c>
      <c r="F463" s="75" t="str">
        <f ca="1">_xll.xlqName(E463,tda)</f>
        <v>#N/A</v>
      </c>
      <c r="G463" s="75" t="str">
        <f t="shared" ca="1" si="34"/>
        <v>BAD</v>
      </c>
      <c r="I463" s="83">
        <v>43840</v>
      </c>
      <c r="J463" s="84">
        <v>225</v>
      </c>
      <c r="K463" s="74" t="s">
        <v>734</v>
      </c>
      <c r="L463" s="75" t="s">
        <v>735</v>
      </c>
      <c r="M463" s="75" t="s">
        <v>111</v>
      </c>
    </row>
    <row r="464" spans="1:13" x14ac:dyDescent="0.25">
      <c r="A464" s="48">
        <v>1</v>
      </c>
      <c r="B464" s="48"/>
      <c r="C464" s="83">
        <f t="shared" ca="1" si="32"/>
        <v>43847</v>
      </c>
      <c r="D464" s="84">
        <f t="shared" si="33"/>
        <v>190</v>
      </c>
      <c r="E464" s="74" t="str">
        <f t="shared" ca="1" si="31"/>
        <v>HD_011720C190</v>
      </c>
      <c r="F464" s="75" t="str">
        <f ca="1">_xll.xlqName(E464,tda)</f>
        <v>HD Jan 17 2020 190 Call</v>
      </c>
      <c r="G464" s="75" t="str">
        <f t="shared" ca="1" si="34"/>
        <v/>
      </c>
      <c r="I464" s="83">
        <v>43840</v>
      </c>
      <c r="J464" s="84">
        <v>226</v>
      </c>
      <c r="K464" s="74" t="s">
        <v>736</v>
      </c>
      <c r="L464" s="75" t="s">
        <v>53</v>
      </c>
      <c r="M464" s="75" t="s">
        <v>106</v>
      </c>
    </row>
    <row r="465" spans="1:13" x14ac:dyDescent="0.25">
      <c r="A465" s="48">
        <v>1</v>
      </c>
      <c r="B465" s="48"/>
      <c r="C465" s="83">
        <f t="shared" ca="1" si="32"/>
        <v>43847</v>
      </c>
      <c r="D465" s="84">
        <f t="shared" si="33"/>
        <v>191</v>
      </c>
      <c r="E465" s="74" t="str">
        <f t="shared" ca="1" si="31"/>
        <v>HD_011720C191</v>
      </c>
      <c r="F465" s="75" t="str">
        <f ca="1">_xll.xlqName(E465,tda)</f>
        <v>#N/A</v>
      </c>
      <c r="G465" s="75" t="str">
        <f t="shared" ca="1" si="34"/>
        <v>BAD</v>
      </c>
      <c r="I465" s="83">
        <v>43840</v>
      </c>
      <c r="J465" s="84">
        <v>227</v>
      </c>
      <c r="K465" s="74" t="s">
        <v>737</v>
      </c>
      <c r="L465" s="75" t="s">
        <v>53</v>
      </c>
      <c r="M465" s="75" t="s">
        <v>106</v>
      </c>
    </row>
    <row r="466" spans="1:13" x14ac:dyDescent="0.25">
      <c r="A466" s="48">
        <v>1</v>
      </c>
      <c r="B466" s="48"/>
      <c r="C466" s="83">
        <f t="shared" ca="1" si="32"/>
        <v>43847</v>
      </c>
      <c r="D466" s="84">
        <f t="shared" si="33"/>
        <v>192</v>
      </c>
      <c r="E466" s="74" t="str">
        <f t="shared" ca="1" si="31"/>
        <v>HD_011720C192</v>
      </c>
      <c r="F466" s="75" t="str">
        <f ca="1">_xll.xlqName(E466,tda)</f>
        <v>#N/A</v>
      </c>
      <c r="G466" s="75" t="str">
        <f t="shared" ca="1" si="34"/>
        <v>BAD</v>
      </c>
      <c r="I466" s="83">
        <v>43840</v>
      </c>
      <c r="J466" s="84">
        <v>228</v>
      </c>
      <c r="K466" s="74" t="s">
        <v>738</v>
      </c>
      <c r="L466" s="75" t="s">
        <v>53</v>
      </c>
      <c r="M466" s="75" t="s">
        <v>106</v>
      </c>
    </row>
    <row r="467" spans="1:13" x14ac:dyDescent="0.25">
      <c r="A467" s="48">
        <v>0.5</v>
      </c>
      <c r="B467" s="48"/>
      <c r="C467" s="83">
        <f t="shared" ca="1" si="32"/>
        <v>43847</v>
      </c>
      <c r="D467" s="84">
        <f t="shared" si="33"/>
        <v>192.5</v>
      </c>
      <c r="E467" s="74" t="str">
        <f t="shared" ca="1" si="31"/>
        <v>HD_011720C192.5</v>
      </c>
      <c r="F467" s="75" t="str">
        <f ca="1">_xll.xlqName(E467,tda)</f>
        <v>#N/A</v>
      </c>
      <c r="G467" s="75" t="str">
        <f t="shared" ca="1" si="34"/>
        <v>BAD</v>
      </c>
      <c r="I467" s="83">
        <v>43840</v>
      </c>
      <c r="J467" s="84">
        <v>228.5</v>
      </c>
      <c r="K467" s="74" t="s">
        <v>739</v>
      </c>
      <c r="L467" s="75" t="s">
        <v>53</v>
      </c>
      <c r="M467" s="75" t="s">
        <v>106</v>
      </c>
    </row>
    <row r="468" spans="1:13" x14ac:dyDescent="0.25">
      <c r="A468" s="48">
        <v>0.5</v>
      </c>
      <c r="B468" s="48"/>
      <c r="C468" s="83">
        <f t="shared" ca="1" si="32"/>
        <v>43847</v>
      </c>
      <c r="D468" s="84">
        <f t="shared" si="33"/>
        <v>193</v>
      </c>
      <c r="E468" s="74" t="str">
        <f t="shared" ca="1" si="31"/>
        <v>HD_011720C193</v>
      </c>
      <c r="F468" s="75" t="str">
        <f ca="1">_xll.xlqName(E468,tda)</f>
        <v>#N/A</v>
      </c>
      <c r="G468" s="75" t="str">
        <f t="shared" ca="1" si="34"/>
        <v>BAD</v>
      </c>
      <c r="I468" s="83">
        <v>43840</v>
      </c>
      <c r="J468" s="84">
        <v>229</v>
      </c>
      <c r="K468" s="74" t="s">
        <v>740</v>
      </c>
      <c r="L468" s="75" t="s">
        <v>53</v>
      </c>
      <c r="M468" s="75" t="s">
        <v>106</v>
      </c>
    </row>
    <row r="469" spans="1:13" x14ac:dyDescent="0.25">
      <c r="A469" s="48">
        <v>1</v>
      </c>
      <c r="B469" s="48"/>
      <c r="C469" s="83">
        <f t="shared" ca="1" si="32"/>
        <v>43847</v>
      </c>
      <c r="D469" s="84">
        <f t="shared" si="33"/>
        <v>194</v>
      </c>
      <c r="E469" s="74" t="str">
        <f t="shared" ca="1" si="31"/>
        <v>HD_011720C194</v>
      </c>
      <c r="F469" s="75" t="str">
        <f ca="1">_xll.xlqName(E469,tda)</f>
        <v>#N/A</v>
      </c>
      <c r="G469" s="75" t="str">
        <f t="shared" ca="1" si="34"/>
        <v>BAD</v>
      </c>
      <c r="I469" s="83">
        <v>43840</v>
      </c>
      <c r="J469" s="84">
        <v>230</v>
      </c>
      <c r="K469" s="74" t="s">
        <v>741</v>
      </c>
      <c r="L469" s="75" t="s">
        <v>742</v>
      </c>
      <c r="M469" s="75" t="s">
        <v>111</v>
      </c>
    </row>
    <row r="470" spans="1:13" x14ac:dyDescent="0.25">
      <c r="A470" s="48">
        <v>1</v>
      </c>
      <c r="B470" s="48"/>
      <c r="C470" s="83">
        <f t="shared" ca="1" si="32"/>
        <v>43847</v>
      </c>
      <c r="D470" s="84">
        <f t="shared" si="33"/>
        <v>195</v>
      </c>
      <c r="E470" s="74" t="str">
        <f t="shared" ca="1" si="31"/>
        <v>HD_011720C195</v>
      </c>
      <c r="F470" s="75" t="str">
        <f ca="1">_xll.xlqName(E470,tda)</f>
        <v>HD Jan 17 2020 195 Call</v>
      </c>
      <c r="G470" s="75" t="str">
        <f t="shared" ca="1" si="34"/>
        <v/>
      </c>
      <c r="I470" s="83">
        <v>43840</v>
      </c>
      <c r="J470" s="84">
        <v>231</v>
      </c>
      <c r="K470" s="74" t="s">
        <v>743</v>
      </c>
      <c r="L470" s="75" t="s">
        <v>53</v>
      </c>
      <c r="M470" s="75" t="s">
        <v>106</v>
      </c>
    </row>
    <row r="471" spans="1:13" x14ac:dyDescent="0.25">
      <c r="A471" s="48">
        <v>1</v>
      </c>
      <c r="B471" s="48"/>
      <c r="C471" s="83">
        <f t="shared" ca="1" si="32"/>
        <v>43847</v>
      </c>
      <c r="D471" s="84">
        <f t="shared" si="33"/>
        <v>196</v>
      </c>
      <c r="E471" s="74" t="str">
        <f t="shared" ca="1" si="31"/>
        <v>HD_011720C196</v>
      </c>
      <c r="F471" s="75" t="str">
        <f ca="1">_xll.xlqName(E471,tda)</f>
        <v>#N/A</v>
      </c>
      <c r="G471" s="75" t="str">
        <f t="shared" ca="1" si="34"/>
        <v>BAD</v>
      </c>
      <c r="I471" s="83">
        <v>43840</v>
      </c>
      <c r="J471" s="84">
        <v>232</v>
      </c>
      <c r="K471" s="74" t="s">
        <v>744</v>
      </c>
      <c r="L471" s="75" t="s">
        <v>53</v>
      </c>
      <c r="M471" s="75" t="s">
        <v>106</v>
      </c>
    </row>
    <row r="472" spans="1:13" x14ac:dyDescent="0.25">
      <c r="A472" s="48">
        <v>1</v>
      </c>
      <c r="B472" s="48"/>
      <c r="C472" s="83">
        <f t="shared" ca="1" si="32"/>
        <v>43847</v>
      </c>
      <c r="D472" s="84">
        <f t="shared" si="33"/>
        <v>197</v>
      </c>
      <c r="E472" s="74" t="str">
        <f t="shared" ca="1" si="31"/>
        <v>HD_011720C197</v>
      </c>
      <c r="F472" s="75" t="str">
        <f ca="1">_xll.xlqName(E472,tda)</f>
        <v>#N/A</v>
      </c>
      <c r="G472" s="75" t="str">
        <f t="shared" ca="1" si="34"/>
        <v>BAD</v>
      </c>
      <c r="I472" s="83">
        <v>43840</v>
      </c>
      <c r="J472" s="84">
        <v>233</v>
      </c>
      <c r="K472" s="74" t="s">
        <v>745</v>
      </c>
      <c r="L472" s="75" t="s">
        <v>53</v>
      </c>
      <c r="M472" s="75" t="s">
        <v>106</v>
      </c>
    </row>
    <row r="473" spans="1:13" x14ac:dyDescent="0.25">
      <c r="A473" s="48">
        <v>0.5</v>
      </c>
      <c r="B473" s="48"/>
      <c r="C473" s="83">
        <f t="shared" ca="1" si="32"/>
        <v>43847</v>
      </c>
      <c r="D473" s="84">
        <f t="shared" si="33"/>
        <v>197.5</v>
      </c>
      <c r="E473" s="74" t="str">
        <f t="shared" ca="1" si="31"/>
        <v>HD_011720C197.5</v>
      </c>
      <c r="F473" s="75" t="str">
        <f ca="1">_xll.xlqName(E473,tda)</f>
        <v>#N/A</v>
      </c>
      <c r="G473" s="75" t="str">
        <f t="shared" ca="1" si="34"/>
        <v>BAD</v>
      </c>
      <c r="I473" s="83">
        <v>43840</v>
      </c>
      <c r="J473" s="84">
        <v>233.5</v>
      </c>
      <c r="K473" s="74" t="s">
        <v>746</v>
      </c>
      <c r="L473" s="75" t="s">
        <v>53</v>
      </c>
      <c r="M473" s="75" t="s">
        <v>106</v>
      </c>
    </row>
    <row r="474" spans="1:13" x14ac:dyDescent="0.25">
      <c r="A474" s="48">
        <v>0.5</v>
      </c>
      <c r="B474" s="48"/>
      <c r="C474" s="83">
        <f t="shared" ca="1" si="32"/>
        <v>43847</v>
      </c>
      <c r="D474" s="84">
        <f t="shared" si="33"/>
        <v>198</v>
      </c>
      <c r="E474" s="74" t="str">
        <f t="shared" ca="1" si="31"/>
        <v>HD_011720C198</v>
      </c>
      <c r="F474" s="75" t="str">
        <f ca="1">_xll.xlqName(E474,tda)</f>
        <v>#N/A</v>
      </c>
      <c r="G474" s="75" t="str">
        <f t="shared" ca="1" si="34"/>
        <v>BAD</v>
      </c>
      <c r="I474" s="83">
        <v>43840</v>
      </c>
      <c r="J474" s="84">
        <v>234</v>
      </c>
      <c r="K474" s="74" t="s">
        <v>747</v>
      </c>
      <c r="L474" s="75" t="s">
        <v>53</v>
      </c>
      <c r="M474" s="75" t="s">
        <v>106</v>
      </c>
    </row>
    <row r="475" spans="1:13" x14ac:dyDescent="0.25">
      <c r="A475" s="48">
        <v>1</v>
      </c>
      <c r="B475" s="48"/>
      <c r="C475" s="83">
        <f t="shared" ca="1" si="32"/>
        <v>43847</v>
      </c>
      <c r="D475" s="84">
        <f t="shared" si="33"/>
        <v>199</v>
      </c>
      <c r="E475" s="74" t="str">
        <f t="shared" ca="1" si="31"/>
        <v>HD_011720C199</v>
      </c>
      <c r="F475" s="75" t="str">
        <f ca="1">_xll.xlqName(E475,tda)</f>
        <v>#N/A</v>
      </c>
      <c r="G475" s="75" t="str">
        <f t="shared" ca="1" si="34"/>
        <v>BAD</v>
      </c>
      <c r="I475" s="83">
        <v>43840</v>
      </c>
      <c r="J475" s="84">
        <v>235</v>
      </c>
      <c r="K475" s="74" t="s">
        <v>748</v>
      </c>
      <c r="L475" s="75" t="s">
        <v>749</v>
      </c>
      <c r="M475" s="75" t="s">
        <v>111</v>
      </c>
    </row>
    <row r="476" spans="1:13" x14ac:dyDescent="0.25">
      <c r="A476" s="48">
        <v>1</v>
      </c>
      <c r="B476" s="48"/>
      <c r="C476" s="83">
        <f t="shared" ca="1" si="32"/>
        <v>43847</v>
      </c>
      <c r="D476" s="84">
        <f t="shared" si="33"/>
        <v>200</v>
      </c>
      <c r="E476" s="74" t="str">
        <f t="shared" ca="1" si="31"/>
        <v>HD_011720C200</v>
      </c>
      <c r="F476" s="75" t="str">
        <f ca="1">_xll.xlqName(E476,tda)</f>
        <v>HD Jan 17 2020 200 Call</v>
      </c>
      <c r="G476" s="75" t="str">
        <f t="shared" ca="1" si="34"/>
        <v/>
      </c>
      <c r="I476" s="83">
        <v>43847</v>
      </c>
      <c r="J476" s="84">
        <v>170</v>
      </c>
      <c r="K476" s="74" t="s">
        <v>750</v>
      </c>
      <c r="L476" s="75" t="s">
        <v>751</v>
      </c>
      <c r="M476" s="75" t="s">
        <v>111</v>
      </c>
    </row>
    <row r="477" spans="1:13" x14ac:dyDescent="0.25">
      <c r="A477" s="48">
        <v>1</v>
      </c>
      <c r="B477" s="48"/>
      <c r="C477" s="83">
        <f t="shared" ca="1" si="32"/>
        <v>43847</v>
      </c>
      <c r="D477" s="84">
        <f t="shared" si="33"/>
        <v>201</v>
      </c>
      <c r="E477" s="74" t="str">
        <f t="shared" ca="1" si="31"/>
        <v>HD_011720C201</v>
      </c>
      <c r="F477" s="75" t="str">
        <f ca="1">_xll.xlqName(E477,tda)</f>
        <v>#N/A</v>
      </c>
      <c r="G477" s="75" t="str">
        <f t="shared" ca="1" si="34"/>
        <v>BAD</v>
      </c>
      <c r="I477" s="83">
        <v>43847</v>
      </c>
      <c r="J477" s="84">
        <v>171</v>
      </c>
      <c r="K477" s="74" t="s">
        <v>752</v>
      </c>
      <c r="L477" s="75" t="s">
        <v>53</v>
      </c>
      <c r="M477" s="75" t="s">
        <v>106</v>
      </c>
    </row>
    <row r="478" spans="1:13" x14ac:dyDescent="0.25">
      <c r="A478" s="48">
        <v>1</v>
      </c>
      <c r="B478" s="48"/>
      <c r="C478" s="83">
        <f t="shared" ca="1" si="32"/>
        <v>43847</v>
      </c>
      <c r="D478" s="84">
        <f t="shared" si="33"/>
        <v>202</v>
      </c>
      <c r="E478" s="74" t="str">
        <f t="shared" ca="1" si="31"/>
        <v>HD_011720C202</v>
      </c>
      <c r="F478" s="75" t="str">
        <f ca="1">_xll.xlqName(E478,tda)</f>
        <v>#N/A</v>
      </c>
      <c r="G478" s="75" t="str">
        <f t="shared" ca="1" si="34"/>
        <v>BAD</v>
      </c>
      <c r="I478" s="83">
        <v>43847</v>
      </c>
      <c r="J478" s="84">
        <v>172</v>
      </c>
      <c r="K478" s="74" t="s">
        <v>753</v>
      </c>
      <c r="L478" s="75" t="s">
        <v>53</v>
      </c>
      <c r="M478" s="75" t="s">
        <v>106</v>
      </c>
    </row>
    <row r="479" spans="1:13" x14ac:dyDescent="0.25">
      <c r="A479" s="48">
        <v>0.5</v>
      </c>
      <c r="B479" s="48"/>
      <c r="C479" s="83">
        <f t="shared" ca="1" si="32"/>
        <v>43847</v>
      </c>
      <c r="D479" s="84">
        <f t="shared" si="33"/>
        <v>202.5</v>
      </c>
      <c r="E479" s="74" t="str">
        <f t="shared" ca="1" si="31"/>
        <v>HD_011720C202.5</v>
      </c>
      <c r="F479" s="75" t="str">
        <f ca="1">_xll.xlqName(E479,tda)</f>
        <v>#N/A</v>
      </c>
      <c r="G479" s="75" t="str">
        <f t="shared" ca="1" si="34"/>
        <v>BAD</v>
      </c>
      <c r="I479" s="83">
        <v>43847</v>
      </c>
      <c r="J479" s="84">
        <v>172.5</v>
      </c>
      <c r="K479" s="74" t="s">
        <v>754</v>
      </c>
      <c r="L479" s="75" t="s">
        <v>53</v>
      </c>
      <c r="M479" s="75" t="s">
        <v>106</v>
      </c>
    </row>
    <row r="480" spans="1:13" x14ac:dyDescent="0.25">
      <c r="A480" s="48">
        <v>0.5</v>
      </c>
      <c r="B480" s="48"/>
      <c r="C480" s="83">
        <f t="shared" ca="1" si="32"/>
        <v>43847</v>
      </c>
      <c r="D480" s="84">
        <f t="shared" si="33"/>
        <v>203</v>
      </c>
      <c r="E480" s="74" t="str">
        <f t="shared" ca="1" si="31"/>
        <v>HD_011720C203</v>
      </c>
      <c r="F480" s="75" t="str">
        <f ca="1">_xll.xlqName(E480,tda)</f>
        <v>#N/A</v>
      </c>
      <c r="G480" s="75" t="str">
        <f t="shared" ca="1" si="34"/>
        <v>BAD</v>
      </c>
      <c r="I480" s="83">
        <v>43847</v>
      </c>
      <c r="J480" s="84">
        <v>173</v>
      </c>
      <c r="K480" s="74" t="s">
        <v>755</v>
      </c>
      <c r="L480" s="75" t="s">
        <v>53</v>
      </c>
      <c r="M480" s="75" t="s">
        <v>106</v>
      </c>
    </row>
    <row r="481" spans="1:13" x14ac:dyDescent="0.25">
      <c r="A481" s="48">
        <v>1</v>
      </c>
      <c r="B481" s="48"/>
      <c r="C481" s="83">
        <f t="shared" ca="1" si="32"/>
        <v>43847</v>
      </c>
      <c r="D481" s="84">
        <f t="shared" si="33"/>
        <v>204</v>
      </c>
      <c r="E481" s="74" t="str">
        <f t="shared" ca="1" si="31"/>
        <v>HD_011720C204</v>
      </c>
      <c r="F481" s="75" t="str">
        <f ca="1">_xll.xlqName(E481,tda)</f>
        <v>#N/A</v>
      </c>
      <c r="G481" s="75" t="str">
        <f t="shared" ca="1" si="34"/>
        <v>BAD</v>
      </c>
      <c r="I481" s="83">
        <v>43847</v>
      </c>
      <c r="J481" s="84">
        <v>174</v>
      </c>
      <c r="K481" s="74" t="s">
        <v>756</v>
      </c>
      <c r="L481" s="75" t="s">
        <v>53</v>
      </c>
      <c r="M481" s="75" t="s">
        <v>106</v>
      </c>
    </row>
    <row r="482" spans="1:13" x14ac:dyDescent="0.25">
      <c r="A482" s="48">
        <v>1</v>
      </c>
      <c r="B482" s="48"/>
      <c r="C482" s="83">
        <f t="shared" ca="1" si="32"/>
        <v>43847</v>
      </c>
      <c r="D482" s="84">
        <f t="shared" si="33"/>
        <v>205</v>
      </c>
      <c r="E482" s="74" t="str">
        <f t="shared" ca="1" si="31"/>
        <v>HD_011720C205</v>
      </c>
      <c r="F482" s="75" t="str">
        <f ca="1">_xll.xlqName(E482,tda)</f>
        <v>HD Jan 17 2020 205 Call</v>
      </c>
      <c r="G482" s="75" t="str">
        <f t="shared" ca="1" si="34"/>
        <v/>
      </c>
      <c r="I482" s="83">
        <v>43847</v>
      </c>
      <c r="J482" s="84">
        <v>175</v>
      </c>
      <c r="K482" s="74" t="s">
        <v>757</v>
      </c>
      <c r="L482" s="75" t="s">
        <v>758</v>
      </c>
      <c r="M482" s="75" t="s">
        <v>111</v>
      </c>
    </row>
    <row r="483" spans="1:13" x14ac:dyDescent="0.25">
      <c r="A483" s="48">
        <v>1</v>
      </c>
      <c r="B483" s="48"/>
      <c r="C483" s="83">
        <f t="shared" ca="1" si="32"/>
        <v>43847</v>
      </c>
      <c r="D483" s="84">
        <f t="shared" si="33"/>
        <v>206</v>
      </c>
      <c r="E483" s="74" t="str">
        <f t="shared" ca="1" si="31"/>
        <v>HD_011720C206</v>
      </c>
      <c r="F483" s="75" t="str">
        <f ca="1">_xll.xlqName(E483,tda)</f>
        <v>#N/A</v>
      </c>
      <c r="G483" s="75" t="str">
        <f t="shared" ca="1" si="34"/>
        <v>BAD</v>
      </c>
      <c r="I483" s="83">
        <v>43847</v>
      </c>
      <c r="J483" s="84">
        <v>176</v>
      </c>
      <c r="K483" s="74" t="s">
        <v>759</v>
      </c>
      <c r="L483" s="75" t="s">
        <v>53</v>
      </c>
      <c r="M483" s="75" t="s">
        <v>106</v>
      </c>
    </row>
    <row r="484" spans="1:13" x14ac:dyDescent="0.25">
      <c r="A484" s="48">
        <v>1</v>
      </c>
      <c r="B484" s="48"/>
      <c r="C484" s="83">
        <f t="shared" ca="1" si="32"/>
        <v>43847</v>
      </c>
      <c r="D484" s="84">
        <f t="shared" si="33"/>
        <v>207</v>
      </c>
      <c r="E484" s="74" t="str">
        <f t="shared" ca="1" si="31"/>
        <v>HD_011720C207</v>
      </c>
      <c r="F484" s="75" t="str">
        <f ca="1">_xll.xlqName(E484,tda)</f>
        <v>#N/A</v>
      </c>
      <c r="G484" s="75" t="str">
        <f t="shared" ca="1" si="34"/>
        <v>BAD</v>
      </c>
      <c r="I484" s="83">
        <v>43847</v>
      </c>
      <c r="J484" s="84">
        <v>177</v>
      </c>
      <c r="K484" s="74" t="s">
        <v>760</v>
      </c>
      <c r="L484" s="75" t="s">
        <v>53</v>
      </c>
      <c r="M484" s="75" t="s">
        <v>106</v>
      </c>
    </row>
    <row r="485" spans="1:13" x14ac:dyDescent="0.25">
      <c r="A485" s="48">
        <v>0.5</v>
      </c>
      <c r="B485" s="48"/>
      <c r="C485" s="83">
        <f t="shared" ca="1" si="32"/>
        <v>43847</v>
      </c>
      <c r="D485" s="84">
        <f t="shared" si="33"/>
        <v>207.5</v>
      </c>
      <c r="E485" s="74" t="str">
        <f t="shared" ca="1" si="31"/>
        <v>HD_011720C207.5</v>
      </c>
      <c r="F485" s="75" t="str">
        <f ca="1">_xll.xlqName(E485,tda)</f>
        <v>#N/A</v>
      </c>
      <c r="G485" s="75" t="str">
        <f t="shared" ca="1" si="34"/>
        <v>BAD</v>
      </c>
      <c r="I485" s="83">
        <v>43847</v>
      </c>
      <c r="J485" s="84">
        <v>177.5</v>
      </c>
      <c r="K485" s="74" t="s">
        <v>761</v>
      </c>
      <c r="L485" s="75" t="s">
        <v>53</v>
      </c>
      <c r="M485" s="75" t="s">
        <v>106</v>
      </c>
    </row>
    <row r="486" spans="1:13" x14ac:dyDescent="0.25">
      <c r="A486" s="48">
        <v>0.5</v>
      </c>
      <c r="B486" s="48"/>
      <c r="C486" s="83">
        <f t="shared" ca="1" si="32"/>
        <v>43847</v>
      </c>
      <c r="D486" s="84">
        <f t="shared" si="33"/>
        <v>208</v>
      </c>
      <c r="E486" s="74" t="str">
        <f t="shared" ca="1" si="31"/>
        <v>HD_011720C208</v>
      </c>
      <c r="F486" s="75" t="str">
        <f ca="1">_xll.xlqName(E486,tda)</f>
        <v>#N/A</v>
      </c>
      <c r="G486" s="75" t="str">
        <f t="shared" ca="1" si="34"/>
        <v>BAD</v>
      </c>
      <c r="I486" s="83">
        <v>43847</v>
      </c>
      <c r="J486" s="84">
        <v>178</v>
      </c>
      <c r="K486" s="74" t="s">
        <v>762</v>
      </c>
      <c r="L486" s="75" t="s">
        <v>53</v>
      </c>
      <c r="M486" s="75" t="s">
        <v>106</v>
      </c>
    </row>
    <row r="487" spans="1:13" x14ac:dyDescent="0.25">
      <c r="A487" s="48">
        <v>1</v>
      </c>
      <c r="B487" s="48"/>
      <c r="C487" s="83">
        <f t="shared" ca="1" si="32"/>
        <v>43847</v>
      </c>
      <c r="D487" s="84">
        <f t="shared" si="33"/>
        <v>209</v>
      </c>
      <c r="E487" s="74" t="str">
        <f t="shared" ca="1" si="31"/>
        <v>HD_011720C209</v>
      </c>
      <c r="F487" s="75" t="str">
        <f ca="1">_xll.xlqName(E487,tda)</f>
        <v>#N/A</v>
      </c>
      <c r="G487" s="75" t="str">
        <f t="shared" ca="1" si="34"/>
        <v>BAD</v>
      </c>
      <c r="I487" s="83">
        <v>43847</v>
      </c>
      <c r="J487" s="84">
        <v>179</v>
      </c>
      <c r="K487" s="74" t="s">
        <v>763</v>
      </c>
      <c r="L487" s="75" t="s">
        <v>53</v>
      </c>
      <c r="M487" s="75" t="s">
        <v>106</v>
      </c>
    </row>
    <row r="488" spans="1:13" x14ac:dyDescent="0.25">
      <c r="A488" s="48">
        <v>1</v>
      </c>
      <c r="B488" s="48"/>
      <c r="C488" s="83">
        <f t="shared" ca="1" si="32"/>
        <v>43847</v>
      </c>
      <c r="D488" s="84">
        <f t="shared" si="33"/>
        <v>210</v>
      </c>
      <c r="E488" s="74" t="str">
        <f t="shared" ca="1" si="31"/>
        <v>HD_011720C210</v>
      </c>
      <c r="F488" s="75" t="str">
        <f ca="1">_xll.xlqName(E488,tda)</f>
        <v>HD Jan 17 2020 210 Call</v>
      </c>
      <c r="G488" s="75" t="str">
        <f t="shared" ca="1" si="34"/>
        <v/>
      </c>
      <c r="I488" s="83">
        <v>43847</v>
      </c>
      <c r="J488" s="84">
        <v>180</v>
      </c>
      <c r="K488" s="74" t="s">
        <v>764</v>
      </c>
      <c r="L488" s="75" t="s">
        <v>765</v>
      </c>
      <c r="M488" s="75" t="s">
        <v>111</v>
      </c>
    </row>
    <row r="489" spans="1:13" x14ac:dyDescent="0.25">
      <c r="A489" s="48">
        <v>1</v>
      </c>
      <c r="B489" s="48"/>
      <c r="C489" s="83">
        <f t="shared" ca="1" si="32"/>
        <v>43847</v>
      </c>
      <c r="D489" s="84">
        <f t="shared" si="33"/>
        <v>211</v>
      </c>
      <c r="E489" s="74" t="str">
        <f t="shared" ca="1" si="31"/>
        <v>HD_011720C211</v>
      </c>
      <c r="F489" s="75" t="str">
        <f ca="1">_xll.xlqName(E489,tda)</f>
        <v>#N/A</v>
      </c>
      <c r="G489" s="75" t="str">
        <f t="shared" ca="1" si="34"/>
        <v>BAD</v>
      </c>
      <c r="I489" s="83">
        <v>43847</v>
      </c>
      <c r="J489" s="84">
        <v>181</v>
      </c>
      <c r="K489" s="74" t="s">
        <v>766</v>
      </c>
      <c r="L489" s="75" t="s">
        <v>53</v>
      </c>
      <c r="M489" s="75" t="s">
        <v>106</v>
      </c>
    </row>
    <row r="490" spans="1:13" x14ac:dyDescent="0.25">
      <c r="A490" s="48">
        <v>1</v>
      </c>
      <c r="B490" s="48"/>
      <c r="C490" s="83">
        <f t="shared" ca="1" si="32"/>
        <v>43847</v>
      </c>
      <c r="D490" s="84">
        <f t="shared" si="33"/>
        <v>212</v>
      </c>
      <c r="E490" s="74" t="str">
        <f t="shared" ca="1" si="31"/>
        <v>HD_011720C212</v>
      </c>
      <c r="F490" s="75" t="str">
        <f ca="1">_xll.xlqName(E490,tda)</f>
        <v>#N/A</v>
      </c>
      <c r="G490" s="75" t="str">
        <f t="shared" ca="1" si="34"/>
        <v>BAD</v>
      </c>
      <c r="I490" s="83">
        <v>43847</v>
      </c>
      <c r="J490" s="84">
        <v>182</v>
      </c>
      <c r="K490" s="74" t="s">
        <v>767</v>
      </c>
      <c r="L490" s="75" t="s">
        <v>53</v>
      </c>
      <c r="M490" s="75" t="s">
        <v>106</v>
      </c>
    </row>
    <row r="491" spans="1:13" x14ac:dyDescent="0.25">
      <c r="A491" s="48">
        <v>0.5</v>
      </c>
      <c r="B491" s="48"/>
      <c r="C491" s="83">
        <f t="shared" ca="1" si="32"/>
        <v>43847</v>
      </c>
      <c r="D491" s="84">
        <f t="shared" si="33"/>
        <v>212.5</v>
      </c>
      <c r="E491" s="74" t="str">
        <f t="shared" ca="1" si="31"/>
        <v>HD_011720C212.5</v>
      </c>
      <c r="F491" s="75" t="str">
        <f ca="1">_xll.xlqName(E491,tda)</f>
        <v>#N/A</v>
      </c>
      <c r="G491" s="75" t="str">
        <f t="shared" ca="1" si="34"/>
        <v>BAD</v>
      </c>
      <c r="I491" s="83">
        <v>43847</v>
      </c>
      <c r="J491" s="84">
        <v>182.5</v>
      </c>
      <c r="K491" s="74" t="s">
        <v>768</v>
      </c>
      <c r="L491" s="75" t="s">
        <v>53</v>
      </c>
      <c r="M491" s="75" t="s">
        <v>106</v>
      </c>
    </row>
    <row r="492" spans="1:13" x14ac:dyDescent="0.25">
      <c r="A492" s="48">
        <v>0.5</v>
      </c>
      <c r="B492" s="48"/>
      <c r="C492" s="83">
        <f t="shared" ca="1" si="32"/>
        <v>43847</v>
      </c>
      <c r="D492" s="84">
        <f t="shared" si="33"/>
        <v>213</v>
      </c>
      <c r="E492" s="74" t="str">
        <f t="shared" ca="1" si="31"/>
        <v>HD_011720C213</v>
      </c>
      <c r="F492" s="75" t="str">
        <f ca="1">_xll.xlqName(E492,tda)</f>
        <v>#N/A</v>
      </c>
      <c r="G492" s="75" t="str">
        <f t="shared" ca="1" si="34"/>
        <v>BAD</v>
      </c>
      <c r="I492" s="83">
        <v>43847</v>
      </c>
      <c r="J492" s="84">
        <v>183</v>
      </c>
      <c r="K492" s="74" t="s">
        <v>769</v>
      </c>
      <c r="L492" s="75" t="s">
        <v>53</v>
      </c>
      <c r="M492" s="75" t="s">
        <v>106</v>
      </c>
    </row>
    <row r="493" spans="1:13" x14ac:dyDescent="0.25">
      <c r="A493" s="48">
        <v>1</v>
      </c>
      <c r="B493" s="48"/>
      <c r="C493" s="83">
        <f t="shared" ca="1" si="32"/>
        <v>43847</v>
      </c>
      <c r="D493" s="84">
        <f t="shared" si="33"/>
        <v>214</v>
      </c>
      <c r="E493" s="74" t="str">
        <f t="shared" ca="1" si="31"/>
        <v>HD_011720C214</v>
      </c>
      <c r="F493" s="75" t="str">
        <f ca="1">_xll.xlqName(E493,tda)</f>
        <v>#N/A</v>
      </c>
      <c r="G493" s="75" t="str">
        <f t="shared" ca="1" si="34"/>
        <v>BAD</v>
      </c>
      <c r="I493" s="83">
        <v>43847</v>
      </c>
      <c r="J493" s="84">
        <v>184</v>
      </c>
      <c r="K493" s="74" t="s">
        <v>770</v>
      </c>
      <c r="L493" s="75" t="s">
        <v>53</v>
      </c>
      <c r="M493" s="75" t="s">
        <v>106</v>
      </c>
    </row>
    <row r="494" spans="1:13" x14ac:dyDescent="0.25">
      <c r="A494" s="48">
        <v>1</v>
      </c>
      <c r="B494" s="48"/>
      <c r="C494" s="83">
        <f t="shared" ca="1" si="32"/>
        <v>43847</v>
      </c>
      <c r="D494" s="84">
        <f t="shared" si="33"/>
        <v>215</v>
      </c>
      <c r="E494" s="74" t="str">
        <f t="shared" ca="1" si="31"/>
        <v>HD_011720C215</v>
      </c>
      <c r="F494" s="75" t="str">
        <f ca="1">_xll.xlqName(E494,tda)</f>
        <v>HD Jan 17 2020 215 Call</v>
      </c>
      <c r="G494" s="75" t="str">
        <f t="shared" ca="1" si="34"/>
        <v/>
      </c>
      <c r="I494" s="83">
        <v>43847</v>
      </c>
      <c r="J494" s="84">
        <v>185</v>
      </c>
      <c r="K494" s="74" t="s">
        <v>771</v>
      </c>
      <c r="L494" s="75" t="s">
        <v>772</v>
      </c>
      <c r="M494" s="75" t="s">
        <v>111</v>
      </c>
    </row>
    <row r="495" spans="1:13" x14ac:dyDescent="0.25">
      <c r="A495" s="48">
        <v>1</v>
      </c>
      <c r="B495" s="48"/>
      <c r="C495" s="83">
        <f t="shared" ca="1" si="32"/>
        <v>43847</v>
      </c>
      <c r="D495" s="84">
        <f t="shared" si="33"/>
        <v>216</v>
      </c>
      <c r="E495" s="74" t="str">
        <f t="shared" ca="1" si="31"/>
        <v>HD_011720C216</v>
      </c>
      <c r="F495" s="75" t="str">
        <f ca="1">_xll.xlqName(E495,tda)</f>
        <v>#N/A</v>
      </c>
      <c r="G495" s="75" t="str">
        <f t="shared" ca="1" si="34"/>
        <v>BAD</v>
      </c>
      <c r="I495" s="83">
        <v>43847</v>
      </c>
      <c r="J495" s="84">
        <v>186</v>
      </c>
      <c r="K495" s="74" t="s">
        <v>773</v>
      </c>
      <c r="L495" s="75" t="s">
        <v>53</v>
      </c>
      <c r="M495" s="75" t="s">
        <v>106</v>
      </c>
    </row>
    <row r="496" spans="1:13" x14ac:dyDescent="0.25">
      <c r="A496" s="48">
        <v>1</v>
      </c>
      <c r="B496" s="48"/>
      <c r="C496" s="83">
        <f t="shared" ca="1" si="32"/>
        <v>43847</v>
      </c>
      <c r="D496" s="84">
        <f t="shared" si="33"/>
        <v>217</v>
      </c>
      <c r="E496" s="74" t="str">
        <f t="shared" ca="1" si="31"/>
        <v>HD_011720C217</v>
      </c>
      <c r="F496" s="75" t="str">
        <f ca="1">_xll.xlqName(E496,tda)</f>
        <v>#N/A</v>
      </c>
      <c r="G496" s="75" t="str">
        <f t="shared" ca="1" si="34"/>
        <v>BAD</v>
      </c>
      <c r="I496" s="83">
        <v>43847</v>
      </c>
      <c r="J496" s="84">
        <v>187</v>
      </c>
      <c r="K496" s="74" t="s">
        <v>774</v>
      </c>
      <c r="L496" s="75" t="s">
        <v>53</v>
      </c>
      <c r="M496" s="75" t="s">
        <v>106</v>
      </c>
    </row>
    <row r="497" spans="1:13" x14ac:dyDescent="0.25">
      <c r="A497" s="48">
        <v>0.5</v>
      </c>
      <c r="B497" s="48"/>
      <c r="C497" s="83">
        <f t="shared" ca="1" si="32"/>
        <v>43847</v>
      </c>
      <c r="D497" s="84">
        <f t="shared" si="33"/>
        <v>217.5</v>
      </c>
      <c r="E497" s="74" t="str">
        <f t="shared" ca="1" si="31"/>
        <v>HD_011720C217.5</v>
      </c>
      <c r="F497" s="75" t="str">
        <f ca="1">_xll.xlqName(E497,tda)</f>
        <v>#N/A</v>
      </c>
      <c r="G497" s="75" t="str">
        <f t="shared" ca="1" si="34"/>
        <v>BAD</v>
      </c>
      <c r="I497" s="83">
        <v>43847</v>
      </c>
      <c r="J497" s="84">
        <v>187.5</v>
      </c>
      <c r="K497" s="74" t="s">
        <v>775</v>
      </c>
      <c r="L497" s="75" t="s">
        <v>53</v>
      </c>
      <c r="M497" s="75" t="s">
        <v>106</v>
      </c>
    </row>
    <row r="498" spans="1:13" x14ac:dyDescent="0.25">
      <c r="A498" s="48">
        <v>0.5</v>
      </c>
      <c r="B498" s="48"/>
      <c r="C498" s="83">
        <f t="shared" ca="1" si="32"/>
        <v>43847</v>
      </c>
      <c r="D498" s="84">
        <f t="shared" si="33"/>
        <v>218</v>
      </c>
      <c r="E498" s="74" t="str">
        <f t="shared" ca="1" si="31"/>
        <v>HD_011720C218</v>
      </c>
      <c r="F498" s="75" t="str">
        <f ca="1">_xll.xlqName(E498,tda)</f>
        <v>#N/A</v>
      </c>
      <c r="G498" s="75" t="str">
        <f t="shared" ca="1" si="34"/>
        <v>BAD</v>
      </c>
      <c r="I498" s="83">
        <v>43847</v>
      </c>
      <c r="J498" s="84">
        <v>188</v>
      </c>
      <c r="K498" s="74" t="s">
        <v>776</v>
      </c>
      <c r="L498" s="75" t="s">
        <v>53</v>
      </c>
      <c r="M498" s="75" t="s">
        <v>106</v>
      </c>
    </row>
    <row r="499" spans="1:13" x14ac:dyDescent="0.25">
      <c r="A499" s="48">
        <v>1</v>
      </c>
      <c r="B499" s="48"/>
      <c r="C499" s="83">
        <f t="shared" ca="1" si="32"/>
        <v>43847</v>
      </c>
      <c r="D499" s="84">
        <f t="shared" si="33"/>
        <v>219</v>
      </c>
      <c r="E499" s="74" t="str">
        <f t="shared" ca="1" si="31"/>
        <v>HD_011720C219</v>
      </c>
      <c r="F499" s="75" t="str">
        <f ca="1">_xll.xlqName(E499,tda)</f>
        <v>#N/A</v>
      </c>
      <c r="G499" s="75" t="str">
        <f t="shared" ca="1" si="34"/>
        <v>BAD</v>
      </c>
      <c r="I499" s="83">
        <v>43847</v>
      </c>
      <c r="J499" s="84">
        <v>189</v>
      </c>
      <c r="K499" s="74" t="s">
        <v>777</v>
      </c>
      <c r="L499" s="75" t="s">
        <v>53</v>
      </c>
      <c r="M499" s="75" t="s">
        <v>106</v>
      </c>
    </row>
    <row r="500" spans="1:13" x14ac:dyDescent="0.25">
      <c r="A500" s="48">
        <v>1</v>
      </c>
      <c r="B500" s="48"/>
      <c r="C500" s="83">
        <f t="shared" ca="1" si="32"/>
        <v>43847</v>
      </c>
      <c r="D500" s="84">
        <f t="shared" si="33"/>
        <v>220</v>
      </c>
      <c r="E500" s="74" t="str">
        <f t="shared" ca="1" si="31"/>
        <v>HD_011720C220</v>
      </c>
      <c r="F500" s="75" t="str">
        <f ca="1">_xll.xlqName(E500,tda)</f>
        <v>HD Jan 17 2020 220 Call</v>
      </c>
      <c r="G500" s="75" t="str">
        <f t="shared" ca="1" si="34"/>
        <v/>
      </c>
      <c r="I500" s="83">
        <v>43847</v>
      </c>
      <c r="J500" s="84">
        <v>190</v>
      </c>
      <c r="K500" s="74" t="s">
        <v>778</v>
      </c>
      <c r="L500" s="75" t="s">
        <v>779</v>
      </c>
      <c r="M500" s="75" t="s">
        <v>111</v>
      </c>
    </row>
    <row r="501" spans="1:13" x14ac:dyDescent="0.25">
      <c r="A501" s="48">
        <v>1</v>
      </c>
      <c r="B501" s="48"/>
      <c r="C501" s="83">
        <f t="shared" ca="1" si="32"/>
        <v>43847</v>
      </c>
      <c r="D501" s="84">
        <f t="shared" si="33"/>
        <v>221</v>
      </c>
      <c r="E501" s="74" t="str">
        <f t="shared" ca="1" si="31"/>
        <v>HD_011720C221</v>
      </c>
      <c r="F501" s="75" t="str">
        <f ca="1">_xll.xlqName(E501,tda)</f>
        <v>#N/A</v>
      </c>
      <c r="G501" s="75" t="str">
        <f t="shared" ca="1" si="34"/>
        <v>BAD</v>
      </c>
      <c r="I501" s="83">
        <v>43847</v>
      </c>
      <c r="J501" s="84">
        <v>191</v>
      </c>
      <c r="K501" s="74" t="s">
        <v>780</v>
      </c>
      <c r="L501" s="75" t="s">
        <v>53</v>
      </c>
      <c r="M501" s="75" t="s">
        <v>106</v>
      </c>
    </row>
    <row r="502" spans="1:13" x14ac:dyDescent="0.25">
      <c r="A502" s="48">
        <v>1</v>
      </c>
      <c r="B502" s="48"/>
      <c r="C502" s="83">
        <f t="shared" ca="1" si="32"/>
        <v>43847</v>
      </c>
      <c r="D502" s="84">
        <f t="shared" si="33"/>
        <v>222</v>
      </c>
      <c r="E502" s="74" t="str">
        <f t="shared" ca="1" si="31"/>
        <v>HD_011720C222</v>
      </c>
      <c r="F502" s="75" t="str">
        <f ca="1">_xll.xlqName(E502,tda)</f>
        <v>#N/A</v>
      </c>
      <c r="G502" s="75" t="str">
        <f t="shared" ca="1" si="34"/>
        <v>BAD</v>
      </c>
      <c r="I502" s="83">
        <v>43847</v>
      </c>
      <c r="J502" s="84">
        <v>192</v>
      </c>
      <c r="K502" s="74" t="s">
        <v>781</v>
      </c>
      <c r="L502" s="75" t="s">
        <v>53</v>
      </c>
      <c r="M502" s="75" t="s">
        <v>106</v>
      </c>
    </row>
    <row r="503" spans="1:13" x14ac:dyDescent="0.25">
      <c r="A503" s="48">
        <v>0.5</v>
      </c>
      <c r="B503" s="48"/>
      <c r="C503" s="83">
        <f t="shared" ca="1" si="32"/>
        <v>43847</v>
      </c>
      <c r="D503" s="84">
        <f t="shared" si="33"/>
        <v>222.5</v>
      </c>
      <c r="E503" s="74" t="str">
        <f t="shared" ca="1" si="31"/>
        <v>HD_011720C222.5</v>
      </c>
      <c r="F503" s="75" t="str">
        <f ca="1">_xll.xlqName(E503,tda)</f>
        <v>#N/A</v>
      </c>
      <c r="G503" s="75" t="str">
        <f t="shared" ca="1" si="34"/>
        <v>BAD</v>
      </c>
      <c r="I503" s="83">
        <v>43847</v>
      </c>
      <c r="J503" s="84">
        <v>192.5</v>
      </c>
      <c r="K503" s="74" t="s">
        <v>782</v>
      </c>
      <c r="L503" s="75" t="s">
        <v>53</v>
      </c>
      <c r="M503" s="75" t="s">
        <v>106</v>
      </c>
    </row>
    <row r="504" spans="1:13" x14ac:dyDescent="0.25">
      <c r="A504" s="48">
        <v>0.5</v>
      </c>
      <c r="B504" s="48"/>
      <c r="C504" s="83">
        <f t="shared" ca="1" si="32"/>
        <v>43847</v>
      </c>
      <c r="D504" s="84">
        <f t="shared" si="33"/>
        <v>223</v>
      </c>
      <c r="E504" s="74" t="str">
        <f t="shared" ca="1" si="31"/>
        <v>HD_011720C223</v>
      </c>
      <c r="F504" s="75" t="str">
        <f ca="1">_xll.xlqName(E504,tda)</f>
        <v>#N/A</v>
      </c>
      <c r="G504" s="75" t="str">
        <f t="shared" ca="1" si="34"/>
        <v>BAD</v>
      </c>
      <c r="I504" s="83">
        <v>43847</v>
      </c>
      <c r="J504" s="84">
        <v>193</v>
      </c>
      <c r="K504" s="74" t="s">
        <v>783</v>
      </c>
      <c r="L504" s="75" t="s">
        <v>53</v>
      </c>
      <c r="M504" s="75" t="s">
        <v>106</v>
      </c>
    </row>
    <row r="505" spans="1:13" x14ac:dyDescent="0.25">
      <c r="A505" s="48">
        <v>1</v>
      </c>
      <c r="B505" s="48"/>
      <c r="C505" s="83">
        <f t="shared" ca="1" si="32"/>
        <v>43847</v>
      </c>
      <c r="D505" s="84">
        <f t="shared" si="33"/>
        <v>224</v>
      </c>
      <c r="E505" s="74" t="str">
        <f t="shared" ca="1" si="31"/>
        <v>HD_011720C224</v>
      </c>
      <c r="F505" s="75" t="str">
        <f ca="1">_xll.xlqName(E505,tda)</f>
        <v>#N/A</v>
      </c>
      <c r="G505" s="75" t="str">
        <f t="shared" ca="1" si="34"/>
        <v>BAD</v>
      </c>
      <c r="I505" s="83">
        <v>43847</v>
      </c>
      <c r="J505" s="84">
        <v>194</v>
      </c>
      <c r="K505" s="74" t="s">
        <v>784</v>
      </c>
      <c r="L505" s="75" t="s">
        <v>53</v>
      </c>
      <c r="M505" s="75" t="s">
        <v>106</v>
      </c>
    </row>
    <row r="506" spans="1:13" x14ac:dyDescent="0.25">
      <c r="A506" s="48">
        <v>1</v>
      </c>
      <c r="B506" s="48"/>
      <c r="C506" s="83">
        <f t="shared" ca="1" si="32"/>
        <v>43847</v>
      </c>
      <c r="D506" s="84">
        <f t="shared" si="33"/>
        <v>225</v>
      </c>
      <c r="E506" s="74" t="str">
        <f t="shared" ca="1" si="31"/>
        <v>HD_011720C225</v>
      </c>
      <c r="F506" s="75" t="str">
        <f ca="1">_xll.xlqName(E506,tda)</f>
        <v>HD Jan 17 2020 225 Call</v>
      </c>
      <c r="G506" s="75" t="str">
        <f t="shared" ca="1" si="34"/>
        <v/>
      </c>
      <c r="I506" s="83">
        <v>43847</v>
      </c>
      <c r="J506" s="84">
        <v>195</v>
      </c>
      <c r="K506" s="74" t="s">
        <v>785</v>
      </c>
      <c r="L506" s="75" t="s">
        <v>786</v>
      </c>
      <c r="M506" s="75" t="s">
        <v>111</v>
      </c>
    </row>
    <row r="507" spans="1:13" x14ac:dyDescent="0.25">
      <c r="A507" s="48">
        <v>1</v>
      </c>
      <c r="B507" s="48"/>
      <c r="C507" s="83">
        <f t="shared" ca="1" si="32"/>
        <v>43847</v>
      </c>
      <c r="D507" s="84">
        <f t="shared" si="33"/>
        <v>226</v>
      </c>
      <c r="E507" s="74" t="str">
        <f t="shared" ca="1" si="31"/>
        <v>HD_011720C226</v>
      </c>
      <c r="F507" s="75" t="str">
        <f ca="1">_xll.xlqName(E507,tda)</f>
        <v>#N/A</v>
      </c>
      <c r="G507" s="75" t="str">
        <f t="shared" ca="1" si="34"/>
        <v>BAD</v>
      </c>
      <c r="I507" s="83">
        <v>43847</v>
      </c>
      <c r="J507" s="84">
        <v>196</v>
      </c>
      <c r="K507" s="74" t="s">
        <v>787</v>
      </c>
      <c r="L507" s="75" t="s">
        <v>53</v>
      </c>
      <c r="M507" s="75" t="s">
        <v>106</v>
      </c>
    </row>
    <row r="508" spans="1:13" x14ac:dyDescent="0.25">
      <c r="A508" s="48">
        <v>1</v>
      </c>
      <c r="B508" s="48"/>
      <c r="C508" s="83">
        <f t="shared" ca="1" si="32"/>
        <v>43847</v>
      </c>
      <c r="D508" s="84">
        <f t="shared" si="33"/>
        <v>227</v>
      </c>
      <c r="E508" s="74" t="str">
        <f t="shared" ca="1" si="31"/>
        <v>HD_011720C227</v>
      </c>
      <c r="F508" s="75" t="str">
        <f ca="1">_xll.xlqName(E508,tda)</f>
        <v>#N/A</v>
      </c>
      <c r="G508" s="75" t="str">
        <f t="shared" ca="1" si="34"/>
        <v>BAD</v>
      </c>
      <c r="I508" s="83">
        <v>43847</v>
      </c>
      <c r="J508" s="84">
        <v>197</v>
      </c>
      <c r="K508" s="74" t="s">
        <v>788</v>
      </c>
      <c r="L508" s="75" t="s">
        <v>53</v>
      </c>
      <c r="M508" s="75" t="s">
        <v>106</v>
      </c>
    </row>
    <row r="509" spans="1:13" x14ac:dyDescent="0.25">
      <c r="A509" s="48">
        <v>0.5</v>
      </c>
      <c r="B509" s="48"/>
      <c r="C509" s="83">
        <f t="shared" ca="1" si="32"/>
        <v>43847</v>
      </c>
      <c r="D509" s="84">
        <f t="shared" si="33"/>
        <v>227.5</v>
      </c>
      <c r="E509" s="74" t="str">
        <f t="shared" ca="1" si="31"/>
        <v>HD_011720C227.5</v>
      </c>
      <c r="F509" s="75" t="str">
        <f ca="1">_xll.xlqName(E509,tda)</f>
        <v>#N/A</v>
      </c>
      <c r="G509" s="75" t="str">
        <f t="shared" ca="1" si="34"/>
        <v>BAD</v>
      </c>
      <c r="I509" s="83">
        <v>43847</v>
      </c>
      <c r="J509" s="84">
        <v>197.5</v>
      </c>
      <c r="K509" s="74" t="s">
        <v>789</v>
      </c>
      <c r="L509" s="75" t="s">
        <v>53</v>
      </c>
      <c r="M509" s="75" t="s">
        <v>106</v>
      </c>
    </row>
    <row r="510" spans="1:13" x14ac:dyDescent="0.25">
      <c r="A510" s="48">
        <v>0.5</v>
      </c>
      <c r="B510" s="48"/>
      <c r="C510" s="83">
        <f t="shared" ca="1" si="32"/>
        <v>43847</v>
      </c>
      <c r="D510" s="84">
        <f t="shared" si="33"/>
        <v>228</v>
      </c>
      <c r="E510" s="74" t="str">
        <f t="shared" ca="1" si="31"/>
        <v>HD_011720C228</v>
      </c>
      <c r="F510" s="75" t="str">
        <f ca="1">_xll.xlqName(E510,tda)</f>
        <v>#N/A</v>
      </c>
      <c r="G510" s="75" t="str">
        <f t="shared" ca="1" si="34"/>
        <v>BAD</v>
      </c>
      <c r="I510" s="83">
        <v>43847</v>
      </c>
      <c r="J510" s="84">
        <v>198</v>
      </c>
      <c r="K510" s="74" t="s">
        <v>790</v>
      </c>
      <c r="L510" s="75" t="s">
        <v>53</v>
      </c>
      <c r="M510" s="75" t="s">
        <v>106</v>
      </c>
    </row>
    <row r="511" spans="1:13" x14ac:dyDescent="0.25">
      <c r="A511" s="48">
        <v>1</v>
      </c>
      <c r="B511" s="48"/>
      <c r="C511" s="83">
        <f t="shared" ca="1" si="32"/>
        <v>43847</v>
      </c>
      <c r="D511" s="84">
        <f t="shared" si="33"/>
        <v>229</v>
      </c>
      <c r="E511" s="74" t="str">
        <f t="shared" ca="1" si="31"/>
        <v>HD_011720C229</v>
      </c>
      <c r="F511" s="75" t="str">
        <f ca="1">_xll.xlqName(E511,tda)</f>
        <v>#N/A</v>
      </c>
      <c r="G511" s="75" t="str">
        <f t="shared" ca="1" si="34"/>
        <v>BAD</v>
      </c>
      <c r="I511" s="83">
        <v>43847</v>
      </c>
      <c r="J511" s="84">
        <v>199</v>
      </c>
      <c r="K511" s="74" t="s">
        <v>791</v>
      </c>
      <c r="L511" s="75" t="s">
        <v>53</v>
      </c>
      <c r="M511" s="75" t="s">
        <v>106</v>
      </c>
    </row>
    <row r="512" spans="1:13" x14ac:dyDescent="0.25">
      <c r="A512" s="48">
        <v>1</v>
      </c>
      <c r="B512" s="48"/>
      <c r="C512" s="83">
        <f t="shared" ca="1" si="32"/>
        <v>43847</v>
      </c>
      <c r="D512" s="84">
        <f t="shared" si="33"/>
        <v>230</v>
      </c>
      <c r="E512" s="74" t="str">
        <f t="shared" ca="1" si="31"/>
        <v>HD_011720C230</v>
      </c>
      <c r="F512" s="75" t="str">
        <f ca="1">_xll.xlqName(E512,tda)</f>
        <v>HD Jan 17 2020 230 Call</v>
      </c>
      <c r="G512" s="75" t="str">
        <f t="shared" ca="1" si="34"/>
        <v/>
      </c>
      <c r="I512" s="83">
        <v>43847</v>
      </c>
      <c r="J512" s="84">
        <v>200</v>
      </c>
      <c r="K512" s="74" t="s">
        <v>792</v>
      </c>
      <c r="L512" s="75" t="s">
        <v>793</v>
      </c>
      <c r="M512" s="75" t="s">
        <v>111</v>
      </c>
    </row>
    <row r="513" spans="1:13" x14ac:dyDescent="0.25">
      <c r="A513" s="48">
        <v>1</v>
      </c>
      <c r="B513" s="48"/>
      <c r="C513" s="83">
        <f t="shared" ca="1" si="32"/>
        <v>43882</v>
      </c>
      <c r="D513" s="84">
        <f t="shared" si="33"/>
        <v>170</v>
      </c>
      <c r="E513" s="74" t="str">
        <f t="shared" ca="1" si="31"/>
        <v>HD_022120C170</v>
      </c>
      <c r="F513" s="75" t="str">
        <f ca="1">_xll.xlqName(E513,tda)</f>
        <v>HD Feb 21 2020 170 Call</v>
      </c>
      <c r="G513" s="75" t="str">
        <f t="shared" ca="1" si="34"/>
        <v/>
      </c>
      <c r="I513" s="83">
        <v>43847</v>
      </c>
      <c r="J513" s="84">
        <v>201</v>
      </c>
      <c r="K513" s="74" t="s">
        <v>794</v>
      </c>
      <c r="L513" s="75" t="s">
        <v>53</v>
      </c>
      <c r="M513" s="75" t="s">
        <v>106</v>
      </c>
    </row>
    <row r="514" spans="1:13" x14ac:dyDescent="0.25">
      <c r="A514" s="48">
        <v>1</v>
      </c>
      <c r="B514" s="48"/>
      <c r="C514" s="83">
        <f t="shared" ca="1" si="32"/>
        <v>43882</v>
      </c>
      <c r="D514" s="84">
        <f t="shared" si="33"/>
        <v>171</v>
      </c>
      <c r="E514" s="74" t="str">
        <f t="shared" ref="E514:E577" ca="1" si="35">CONCATENATE($Q$2,"_",TEXT(MONTH(C514),"00"),TEXT(DAY(C514),"00"),TEXT(MOD(YEAR(C514),100),"00"),$Q$3,D514&amp;"")</f>
        <v>HD_022120C171</v>
      </c>
      <c r="F514" s="75" t="str">
        <f ca="1">_xll.xlqName(E514,tda)</f>
        <v>#N/A</v>
      </c>
      <c r="G514" s="75" t="str">
        <f t="shared" ca="1" si="34"/>
        <v>BAD</v>
      </c>
      <c r="I514" s="83">
        <v>43847</v>
      </c>
      <c r="J514" s="84">
        <v>202</v>
      </c>
      <c r="K514" s="74" t="s">
        <v>795</v>
      </c>
      <c r="L514" s="75" t="s">
        <v>53</v>
      </c>
      <c r="M514" s="75" t="s">
        <v>106</v>
      </c>
    </row>
    <row r="515" spans="1:13" x14ac:dyDescent="0.25">
      <c r="A515" s="48">
        <v>0.5</v>
      </c>
      <c r="B515" s="48"/>
      <c r="C515" s="83">
        <f t="shared" ref="C515:C578" ca="1" si="36">IF(D515&gt;D514,C514,INDEX($O$14:$O$50,VLOOKUP(C514,$O$14:$P$50,2)+1))</f>
        <v>43882</v>
      </c>
      <c r="D515" s="84">
        <f t="shared" ref="D515:D578" si="37">IF(D514+A515&lt;=$Q$8,D514+A515,$Q$6)</f>
        <v>171.5</v>
      </c>
      <c r="E515" s="74" t="str">
        <f t="shared" ca="1" si="35"/>
        <v>HD_022120C171.5</v>
      </c>
      <c r="F515" s="75" t="str">
        <f ca="1">_xll.xlqName(E515,tda)</f>
        <v>#N/A</v>
      </c>
      <c r="G515" s="75" t="str">
        <f t="shared" ref="G515:G578" ca="1" si="38">IF(AND(ISTEXT(F515),(F515&lt;&gt;"#N/A"),(F515&lt;&gt;"Busy...")),"","BAD")</f>
        <v>BAD</v>
      </c>
      <c r="I515" s="83">
        <v>43847</v>
      </c>
      <c r="J515" s="84">
        <v>202.5</v>
      </c>
      <c r="K515" s="74" t="s">
        <v>796</v>
      </c>
      <c r="L515" s="75" t="s">
        <v>53</v>
      </c>
      <c r="M515" s="75" t="s">
        <v>106</v>
      </c>
    </row>
    <row r="516" spans="1:13" x14ac:dyDescent="0.25">
      <c r="A516" s="48">
        <v>0.5</v>
      </c>
      <c r="B516" s="48"/>
      <c r="C516" s="83">
        <f t="shared" ca="1" si="36"/>
        <v>43882</v>
      </c>
      <c r="D516" s="84">
        <f t="shared" si="37"/>
        <v>172</v>
      </c>
      <c r="E516" s="74" t="str">
        <f t="shared" ca="1" si="35"/>
        <v>HD_022120C172</v>
      </c>
      <c r="F516" s="75" t="str">
        <f ca="1">_xll.xlqName(E516,tda)</f>
        <v>#N/A</v>
      </c>
      <c r="G516" s="75" t="str">
        <f t="shared" ca="1" si="38"/>
        <v>BAD</v>
      </c>
      <c r="I516" s="83">
        <v>43847</v>
      </c>
      <c r="J516" s="84">
        <v>203</v>
      </c>
      <c r="K516" s="74" t="s">
        <v>797</v>
      </c>
      <c r="L516" s="75" t="s">
        <v>53</v>
      </c>
      <c r="M516" s="75" t="s">
        <v>106</v>
      </c>
    </row>
    <row r="517" spans="1:13" x14ac:dyDescent="0.25">
      <c r="A517" s="48">
        <v>1</v>
      </c>
      <c r="B517" s="48"/>
      <c r="C517" s="83">
        <f t="shared" ca="1" si="36"/>
        <v>43882</v>
      </c>
      <c r="D517" s="84">
        <f t="shared" si="37"/>
        <v>173</v>
      </c>
      <c r="E517" s="74" t="str">
        <f t="shared" ca="1" si="35"/>
        <v>HD_022120C173</v>
      </c>
      <c r="F517" s="75" t="str">
        <f ca="1">_xll.xlqName(E517,tda)</f>
        <v>#N/A</v>
      </c>
      <c r="G517" s="75" t="str">
        <f t="shared" ca="1" si="38"/>
        <v>BAD</v>
      </c>
      <c r="I517" s="83">
        <v>43847</v>
      </c>
      <c r="J517" s="84">
        <v>204</v>
      </c>
      <c r="K517" s="74" t="s">
        <v>798</v>
      </c>
      <c r="L517" s="75" t="s">
        <v>53</v>
      </c>
      <c r="M517" s="75" t="s">
        <v>106</v>
      </c>
    </row>
    <row r="518" spans="1:13" x14ac:dyDescent="0.25">
      <c r="A518" s="48">
        <v>1</v>
      </c>
      <c r="B518" s="48"/>
      <c r="C518" s="83">
        <f t="shared" ca="1" si="36"/>
        <v>43882</v>
      </c>
      <c r="D518" s="84">
        <f t="shared" si="37"/>
        <v>174</v>
      </c>
      <c r="E518" s="74" t="str">
        <f t="shared" ca="1" si="35"/>
        <v>HD_022120C174</v>
      </c>
      <c r="F518" s="75" t="str">
        <f ca="1">_xll.xlqName(E518,tda)</f>
        <v>#N/A</v>
      </c>
      <c r="G518" s="75" t="str">
        <f t="shared" ca="1" si="38"/>
        <v>BAD</v>
      </c>
      <c r="I518" s="83">
        <v>43847</v>
      </c>
      <c r="J518" s="84">
        <v>205</v>
      </c>
      <c r="K518" s="74" t="s">
        <v>799</v>
      </c>
      <c r="L518" s="75" t="s">
        <v>800</v>
      </c>
      <c r="M518" s="75" t="s">
        <v>111</v>
      </c>
    </row>
    <row r="519" spans="1:13" x14ac:dyDescent="0.25">
      <c r="A519" s="48">
        <v>1</v>
      </c>
      <c r="B519" s="48"/>
      <c r="C519" s="83">
        <f t="shared" ca="1" si="36"/>
        <v>43882</v>
      </c>
      <c r="D519" s="84">
        <f t="shared" si="37"/>
        <v>175</v>
      </c>
      <c r="E519" s="74" t="str">
        <f t="shared" ca="1" si="35"/>
        <v>HD_022120C175</v>
      </c>
      <c r="F519" s="75" t="str">
        <f ca="1">_xll.xlqName(E519,tda)</f>
        <v>HD Feb 21 2020 175 Call</v>
      </c>
      <c r="G519" s="75" t="str">
        <f t="shared" ca="1" si="38"/>
        <v/>
      </c>
      <c r="I519" s="83">
        <v>43847</v>
      </c>
      <c r="J519" s="84">
        <v>206</v>
      </c>
      <c r="K519" s="74" t="s">
        <v>801</v>
      </c>
      <c r="L519" s="75" t="s">
        <v>53</v>
      </c>
      <c r="M519" s="75" t="s">
        <v>106</v>
      </c>
    </row>
    <row r="520" spans="1:13" x14ac:dyDescent="0.25">
      <c r="A520" s="48">
        <v>1</v>
      </c>
      <c r="B520" s="48"/>
      <c r="C520" s="83">
        <f t="shared" ca="1" si="36"/>
        <v>43882</v>
      </c>
      <c r="D520" s="84">
        <f t="shared" si="37"/>
        <v>176</v>
      </c>
      <c r="E520" s="74" t="str">
        <f t="shared" ca="1" si="35"/>
        <v>HD_022120C176</v>
      </c>
      <c r="F520" s="75" t="str">
        <f ca="1">_xll.xlqName(E520,tda)</f>
        <v>#N/A</v>
      </c>
      <c r="G520" s="75" t="str">
        <f t="shared" ca="1" si="38"/>
        <v>BAD</v>
      </c>
      <c r="I520" s="83">
        <v>43847</v>
      </c>
      <c r="J520" s="84">
        <v>207</v>
      </c>
      <c r="K520" s="74" t="s">
        <v>802</v>
      </c>
      <c r="L520" s="75" t="s">
        <v>53</v>
      </c>
      <c r="M520" s="75" t="s">
        <v>106</v>
      </c>
    </row>
    <row r="521" spans="1:13" x14ac:dyDescent="0.25">
      <c r="A521" s="48">
        <v>0.5</v>
      </c>
      <c r="B521" s="48"/>
      <c r="C521" s="83">
        <f t="shared" ca="1" si="36"/>
        <v>43882</v>
      </c>
      <c r="D521" s="84">
        <f t="shared" si="37"/>
        <v>176.5</v>
      </c>
      <c r="E521" s="74" t="str">
        <f t="shared" ca="1" si="35"/>
        <v>HD_022120C176.5</v>
      </c>
      <c r="F521" s="75" t="str">
        <f ca="1">_xll.xlqName(E521,tda)</f>
        <v>#N/A</v>
      </c>
      <c r="G521" s="75" t="str">
        <f t="shared" ca="1" si="38"/>
        <v>BAD</v>
      </c>
      <c r="I521" s="83">
        <v>43847</v>
      </c>
      <c r="J521" s="84">
        <v>207.5</v>
      </c>
      <c r="K521" s="74" t="s">
        <v>803</v>
      </c>
      <c r="L521" s="75" t="s">
        <v>53</v>
      </c>
      <c r="M521" s="75" t="s">
        <v>106</v>
      </c>
    </row>
    <row r="522" spans="1:13" x14ac:dyDescent="0.25">
      <c r="A522" s="48">
        <v>0.5</v>
      </c>
      <c r="B522" s="48"/>
      <c r="C522" s="83">
        <f t="shared" ca="1" si="36"/>
        <v>43882</v>
      </c>
      <c r="D522" s="84">
        <f t="shared" si="37"/>
        <v>177</v>
      </c>
      <c r="E522" s="74" t="str">
        <f t="shared" ca="1" si="35"/>
        <v>HD_022120C177</v>
      </c>
      <c r="F522" s="75" t="str">
        <f ca="1">_xll.xlqName(E522,tda)</f>
        <v>#N/A</v>
      </c>
      <c r="G522" s="75" t="str">
        <f t="shared" ca="1" si="38"/>
        <v>BAD</v>
      </c>
      <c r="I522" s="83">
        <v>43847</v>
      </c>
      <c r="J522" s="84">
        <v>208</v>
      </c>
      <c r="K522" s="74" t="s">
        <v>804</v>
      </c>
      <c r="L522" s="75" t="s">
        <v>53</v>
      </c>
      <c r="M522" s="75" t="s">
        <v>106</v>
      </c>
    </row>
    <row r="523" spans="1:13" x14ac:dyDescent="0.25">
      <c r="A523" s="48">
        <v>1</v>
      </c>
      <c r="B523" s="48"/>
      <c r="C523" s="83">
        <f t="shared" ca="1" si="36"/>
        <v>43882</v>
      </c>
      <c r="D523" s="84">
        <f t="shared" si="37"/>
        <v>178</v>
      </c>
      <c r="E523" s="74" t="str">
        <f t="shared" ca="1" si="35"/>
        <v>HD_022120C178</v>
      </c>
      <c r="F523" s="75" t="str">
        <f ca="1">_xll.xlqName(E523,tda)</f>
        <v>#N/A</v>
      </c>
      <c r="G523" s="75" t="str">
        <f t="shared" ca="1" si="38"/>
        <v>BAD</v>
      </c>
      <c r="I523" s="83">
        <v>43847</v>
      </c>
      <c r="J523" s="84">
        <v>209</v>
      </c>
      <c r="K523" s="74" t="s">
        <v>805</v>
      </c>
      <c r="L523" s="75" t="s">
        <v>53</v>
      </c>
      <c r="M523" s="75" t="s">
        <v>106</v>
      </c>
    </row>
    <row r="524" spans="1:13" x14ac:dyDescent="0.25">
      <c r="A524" s="48">
        <v>1</v>
      </c>
      <c r="B524" s="48"/>
      <c r="C524" s="83">
        <f t="shared" ca="1" si="36"/>
        <v>43882</v>
      </c>
      <c r="D524" s="84">
        <f t="shared" si="37"/>
        <v>179</v>
      </c>
      <c r="E524" s="74" t="str">
        <f t="shared" ca="1" si="35"/>
        <v>HD_022120C179</v>
      </c>
      <c r="F524" s="75" t="str">
        <f ca="1">_xll.xlqName(E524,tda)</f>
        <v>#N/A</v>
      </c>
      <c r="G524" s="75" t="str">
        <f t="shared" ca="1" si="38"/>
        <v>BAD</v>
      </c>
      <c r="I524" s="83">
        <v>43847</v>
      </c>
      <c r="J524" s="84">
        <v>210</v>
      </c>
      <c r="K524" s="74" t="s">
        <v>806</v>
      </c>
      <c r="L524" s="75" t="s">
        <v>807</v>
      </c>
      <c r="M524" s="75" t="s">
        <v>111</v>
      </c>
    </row>
    <row r="525" spans="1:13" x14ac:dyDescent="0.25">
      <c r="A525" s="48">
        <v>1</v>
      </c>
      <c r="B525" s="48"/>
      <c r="C525" s="83">
        <f t="shared" ca="1" si="36"/>
        <v>43882</v>
      </c>
      <c r="D525" s="84">
        <f t="shared" si="37"/>
        <v>180</v>
      </c>
      <c r="E525" s="74" t="str">
        <f t="shared" ca="1" si="35"/>
        <v>HD_022120C180</v>
      </c>
      <c r="F525" s="75" t="str">
        <f ca="1">_xll.xlqName(E525,tda)</f>
        <v>HD Feb 21 2020 180 Call</v>
      </c>
      <c r="G525" s="75" t="str">
        <f t="shared" ca="1" si="38"/>
        <v/>
      </c>
      <c r="I525" s="83">
        <v>43847</v>
      </c>
      <c r="J525" s="84">
        <v>211</v>
      </c>
      <c r="K525" s="74" t="s">
        <v>808</v>
      </c>
      <c r="L525" s="75" t="s">
        <v>53</v>
      </c>
      <c r="M525" s="75" t="s">
        <v>106</v>
      </c>
    </row>
    <row r="526" spans="1:13" x14ac:dyDescent="0.25">
      <c r="A526" s="48">
        <v>1</v>
      </c>
      <c r="B526" s="48"/>
      <c r="C526" s="83">
        <f t="shared" ca="1" si="36"/>
        <v>43882</v>
      </c>
      <c r="D526" s="84">
        <f t="shared" si="37"/>
        <v>181</v>
      </c>
      <c r="E526" s="74" t="str">
        <f t="shared" ca="1" si="35"/>
        <v>HD_022120C181</v>
      </c>
      <c r="F526" s="75" t="str">
        <f ca="1">_xll.xlqName(E526,tda)</f>
        <v>#N/A</v>
      </c>
      <c r="G526" s="75" t="str">
        <f t="shared" ca="1" si="38"/>
        <v>BAD</v>
      </c>
      <c r="I526" s="83">
        <v>43847</v>
      </c>
      <c r="J526" s="84">
        <v>212</v>
      </c>
      <c r="K526" s="74" t="s">
        <v>809</v>
      </c>
      <c r="L526" s="75" t="s">
        <v>53</v>
      </c>
      <c r="M526" s="75" t="s">
        <v>106</v>
      </c>
    </row>
    <row r="527" spans="1:13" x14ac:dyDescent="0.25">
      <c r="A527" s="48">
        <v>0.5</v>
      </c>
      <c r="B527" s="48"/>
      <c r="C527" s="83">
        <f t="shared" ca="1" si="36"/>
        <v>43882</v>
      </c>
      <c r="D527" s="84">
        <f t="shared" si="37"/>
        <v>181.5</v>
      </c>
      <c r="E527" s="74" t="str">
        <f t="shared" ca="1" si="35"/>
        <v>HD_022120C181.5</v>
      </c>
      <c r="F527" s="75" t="str">
        <f ca="1">_xll.xlqName(E527,tda)</f>
        <v>#N/A</v>
      </c>
      <c r="G527" s="75" t="str">
        <f t="shared" ca="1" si="38"/>
        <v>BAD</v>
      </c>
      <c r="I527" s="83">
        <v>43847</v>
      </c>
      <c r="J527" s="84">
        <v>212.5</v>
      </c>
      <c r="K527" s="74" t="s">
        <v>810</v>
      </c>
      <c r="L527" s="75" t="s">
        <v>53</v>
      </c>
      <c r="M527" s="75" t="s">
        <v>106</v>
      </c>
    </row>
    <row r="528" spans="1:13" x14ac:dyDescent="0.25">
      <c r="A528" s="48">
        <v>0.5</v>
      </c>
      <c r="B528" s="48"/>
      <c r="C528" s="83">
        <f t="shared" ca="1" si="36"/>
        <v>43882</v>
      </c>
      <c r="D528" s="84">
        <f t="shared" si="37"/>
        <v>182</v>
      </c>
      <c r="E528" s="74" t="str">
        <f t="shared" ca="1" si="35"/>
        <v>HD_022120C182</v>
      </c>
      <c r="F528" s="75" t="str">
        <f ca="1">_xll.xlqName(E528,tda)</f>
        <v>#N/A</v>
      </c>
      <c r="G528" s="75" t="str">
        <f t="shared" ca="1" si="38"/>
        <v>BAD</v>
      </c>
      <c r="I528" s="83">
        <v>43847</v>
      </c>
      <c r="J528" s="84">
        <v>213</v>
      </c>
      <c r="K528" s="74" t="s">
        <v>811</v>
      </c>
      <c r="L528" s="75" t="s">
        <v>53</v>
      </c>
      <c r="M528" s="75" t="s">
        <v>106</v>
      </c>
    </row>
    <row r="529" spans="1:13" x14ac:dyDescent="0.25">
      <c r="A529" s="48">
        <v>1</v>
      </c>
      <c r="B529" s="48"/>
      <c r="C529" s="83">
        <f t="shared" ca="1" si="36"/>
        <v>43882</v>
      </c>
      <c r="D529" s="84">
        <f t="shared" si="37"/>
        <v>183</v>
      </c>
      <c r="E529" s="74" t="str">
        <f t="shared" ca="1" si="35"/>
        <v>HD_022120C183</v>
      </c>
      <c r="F529" s="75" t="str">
        <f ca="1">_xll.xlqName(E529,tda)</f>
        <v>#N/A</v>
      </c>
      <c r="G529" s="75" t="str">
        <f t="shared" ca="1" si="38"/>
        <v>BAD</v>
      </c>
      <c r="I529" s="83">
        <v>43847</v>
      </c>
      <c r="J529" s="84">
        <v>214</v>
      </c>
      <c r="K529" s="74" t="s">
        <v>812</v>
      </c>
      <c r="L529" s="75" t="s">
        <v>53</v>
      </c>
      <c r="M529" s="75" t="s">
        <v>106</v>
      </c>
    </row>
    <row r="530" spans="1:13" x14ac:dyDescent="0.25">
      <c r="A530" s="48">
        <v>1</v>
      </c>
      <c r="B530" s="48"/>
      <c r="C530" s="83">
        <f t="shared" ca="1" si="36"/>
        <v>43882</v>
      </c>
      <c r="D530" s="84">
        <f t="shared" si="37"/>
        <v>184</v>
      </c>
      <c r="E530" s="74" t="str">
        <f t="shared" ca="1" si="35"/>
        <v>HD_022120C184</v>
      </c>
      <c r="F530" s="75" t="str">
        <f ca="1">_xll.xlqName(E530,tda)</f>
        <v>#N/A</v>
      </c>
      <c r="G530" s="75" t="str">
        <f t="shared" ca="1" si="38"/>
        <v>BAD</v>
      </c>
      <c r="I530" s="83">
        <v>43847</v>
      </c>
      <c r="J530" s="84">
        <v>215</v>
      </c>
      <c r="K530" s="74" t="s">
        <v>813</v>
      </c>
      <c r="L530" s="75" t="s">
        <v>814</v>
      </c>
      <c r="M530" s="75" t="s">
        <v>111</v>
      </c>
    </row>
    <row r="531" spans="1:13" x14ac:dyDescent="0.25">
      <c r="A531" s="48">
        <v>1</v>
      </c>
      <c r="B531" s="48"/>
      <c r="C531" s="83">
        <f t="shared" ca="1" si="36"/>
        <v>43882</v>
      </c>
      <c r="D531" s="84">
        <f t="shared" si="37"/>
        <v>185</v>
      </c>
      <c r="E531" s="74" t="str">
        <f t="shared" ca="1" si="35"/>
        <v>HD_022120C185</v>
      </c>
      <c r="F531" s="75" t="str">
        <f ca="1">_xll.xlqName(E531,tda)</f>
        <v>HD Feb 21 2020 185 Call</v>
      </c>
      <c r="G531" s="75" t="str">
        <f t="shared" ca="1" si="38"/>
        <v/>
      </c>
      <c r="I531" s="83">
        <v>43847</v>
      </c>
      <c r="J531" s="84">
        <v>216</v>
      </c>
      <c r="K531" s="74" t="s">
        <v>815</v>
      </c>
      <c r="L531" s="75" t="s">
        <v>53</v>
      </c>
      <c r="M531" s="75" t="s">
        <v>106</v>
      </c>
    </row>
    <row r="532" spans="1:13" x14ac:dyDescent="0.25">
      <c r="A532" s="48">
        <v>1</v>
      </c>
      <c r="B532" s="48"/>
      <c r="C532" s="83">
        <f t="shared" ca="1" si="36"/>
        <v>43882</v>
      </c>
      <c r="D532" s="84">
        <f t="shared" si="37"/>
        <v>186</v>
      </c>
      <c r="E532" s="74" t="str">
        <f t="shared" ca="1" si="35"/>
        <v>HD_022120C186</v>
      </c>
      <c r="F532" s="75" t="str">
        <f ca="1">_xll.xlqName(E532,tda)</f>
        <v>#N/A</v>
      </c>
      <c r="G532" s="75" t="str">
        <f t="shared" ca="1" si="38"/>
        <v>BAD</v>
      </c>
      <c r="I532" s="83">
        <v>43847</v>
      </c>
      <c r="J532" s="84">
        <v>217</v>
      </c>
      <c r="K532" s="74" t="s">
        <v>816</v>
      </c>
      <c r="L532" s="75" t="s">
        <v>53</v>
      </c>
      <c r="M532" s="75" t="s">
        <v>106</v>
      </c>
    </row>
    <row r="533" spans="1:13" x14ac:dyDescent="0.25">
      <c r="A533" s="48">
        <v>0.5</v>
      </c>
      <c r="B533" s="48"/>
      <c r="C533" s="83">
        <f t="shared" ca="1" si="36"/>
        <v>43882</v>
      </c>
      <c r="D533" s="84">
        <f t="shared" si="37"/>
        <v>186.5</v>
      </c>
      <c r="E533" s="74" t="str">
        <f t="shared" ca="1" si="35"/>
        <v>HD_022120C186.5</v>
      </c>
      <c r="F533" s="75" t="str">
        <f ca="1">_xll.xlqName(E533,tda)</f>
        <v>#N/A</v>
      </c>
      <c r="G533" s="75" t="str">
        <f t="shared" ca="1" si="38"/>
        <v>BAD</v>
      </c>
      <c r="I533" s="83">
        <v>43847</v>
      </c>
      <c r="J533" s="84">
        <v>217.5</v>
      </c>
      <c r="K533" s="74" t="s">
        <v>817</v>
      </c>
      <c r="L533" s="75" t="s">
        <v>53</v>
      </c>
      <c r="M533" s="75" t="s">
        <v>106</v>
      </c>
    </row>
    <row r="534" spans="1:13" x14ac:dyDescent="0.25">
      <c r="A534" s="48">
        <v>0.5</v>
      </c>
      <c r="B534" s="48"/>
      <c r="C534" s="83">
        <f t="shared" ca="1" si="36"/>
        <v>43882</v>
      </c>
      <c r="D534" s="84">
        <f t="shared" si="37"/>
        <v>187</v>
      </c>
      <c r="E534" s="74" t="str">
        <f t="shared" ca="1" si="35"/>
        <v>HD_022120C187</v>
      </c>
      <c r="F534" s="75" t="str">
        <f ca="1">_xll.xlqName(E534,tda)</f>
        <v>#N/A</v>
      </c>
      <c r="G534" s="75" t="str">
        <f t="shared" ca="1" si="38"/>
        <v>BAD</v>
      </c>
      <c r="I534" s="83">
        <v>43847</v>
      </c>
      <c r="J534" s="84">
        <v>218</v>
      </c>
      <c r="K534" s="74" t="s">
        <v>818</v>
      </c>
      <c r="L534" s="75" t="s">
        <v>53</v>
      </c>
      <c r="M534" s="75" t="s">
        <v>106</v>
      </c>
    </row>
    <row r="535" spans="1:13" x14ac:dyDescent="0.25">
      <c r="A535" s="48">
        <v>1</v>
      </c>
      <c r="B535" s="48"/>
      <c r="C535" s="83">
        <f t="shared" ca="1" si="36"/>
        <v>43882</v>
      </c>
      <c r="D535" s="84">
        <f t="shared" si="37"/>
        <v>188</v>
      </c>
      <c r="E535" s="74" t="str">
        <f t="shared" ca="1" si="35"/>
        <v>HD_022120C188</v>
      </c>
      <c r="F535" s="75" t="str">
        <f ca="1">_xll.xlqName(E535,tda)</f>
        <v>#N/A</v>
      </c>
      <c r="G535" s="75" t="str">
        <f t="shared" ca="1" si="38"/>
        <v>BAD</v>
      </c>
      <c r="I535" s="83">
        <v>43847</v>
      </c>
      <c r="J535" s="84">
        <v>219</v>
      </c>
      <c r="K535" s="74" t="s">
        <v>819</v>
      </c>
      <c r="L535" s="75" t="s">
        <v>53</v>
      </c>
      <c r="M535" s="75" t="s">
        <v>106</v>
      </c>
    </row>
    <row r="536" spans="1:13" x14ac:dyDescent="0.25">
      <c r="A536" s="48">
        <v>1</v>
      </c>
      <c r="B536" s="48"/>
      <c r="C536" s="83">
        <f t="shared" ca="1" si="36"/>
        <v>43882</v>
      </c>
      <c r="D536" s="84">
        <f t="shared" si="37"/>
        <v>189</v>
      </c>
      <c r="E536" s="74" t="str">
        <f t="shared" ca="1" si="35"/>
        <v>HD_022120C189</v>
      </c>
      <c r="F536" s="75" t="str">
        <f ca="1">_xll.xlqName(E536,tda)</f>
        <v>#N/A</v>
      </c>
      <c r="G536" s="75" t="str">
        <f t="shared" ca="1" si="38"/>
        <v>BAD</v>
      </c>
      <c r="I536" s="83">
        <v>43847</v>
      </c>
      <c r="J536" s="84">
        <v>220</v>
      </c>
      <c r="K536" s="74" t="s">
        <v>820</v>
      </c>
      <c r="L536" s="75" t="s">
        <v>821</v>
      </c>
      <c r="M536" s="75" t="s">
        <v>111</v>
      </c>
    </row>
    <row r="537" spans="1:13" x14ac:dyDescent="0.25">
      <c r="A537" s="48">
        <v>1</v>
      </c>
      <c r="B537" s="48"/>
      <c r="C537" s="83">
        <f t="shared" ca="1" si="36"/>
        <v>43882</v>
      </c>
      <c r="D537" s="84">
        <f t="shared" si="37"/>
        <v>190</v>
      </c>
      <c r="E537" s="74" t="str">
        <f t="shared" ca="1" si="35"/>
        <v>HD_022120C190</v>
      </c>
      <c r="F537" s="75" t="str">
        <f ca="1">_xll.xlqName(E537,tda)</f>
        <v>HD Feb 21 2020 190 Call</v>
      </c>
      <c r="G537" s="75" t="str">
        <f t="shared" ca="1" si="38"/>
        <v/>
      </c>
      <c r="I537" s="83">
        <v>43847</v>
      </c>
      <c r="J537" s="84">
        <v>221</v>
      </c>
      <c r="K537" s="74" t="s">
        <v>822</v>
      </c>
      <c r="L537" s="75" t="s">
        <v>53</v>
      </c>
      <c r="M537" s="75" t="s">
        <v>106</v>
      </c>
    </row>
    <row r="538" spans="1:13" x14ac:dyDescent="0.25">
      <c r="A538" s="48">
        <v>1</v>
      </c>
      <c r="B538" s="48"/>
      <c r="C538" s="83">
        <f t="shared" ca="1" si="36"/>
        <v>43882</v>
      </c>
      <c r="D538" s="84">
        <f t="shared" si="37"/>
        <v>191</v>
      </c>
      <c r="E538" s="74" t="str">
        <f t="shared" ca="1" si="35"/>
        <v>HD_022120C191</v>
      </c>
      <c r="F538" s="75" t="str">
        <f ca="1">_xll.xlqName(E538,tda)</f>
        <v>#N/A</v>
      </c>
      <c r="G538" s="75" t="str">
        <f t="shared" ca="1" si="38"/>
        <v>BAD</v>
      </c>
      <c r="I538" s="83">
        <v>43847</v>
      </c>
      <c r="J538" s="84">
        <v>222</v>
      </c>
      <c r="K538" s="74" t="s">
        <v>823</v>
      </c>
      <c r="L538" s="75" t="s">
        <v>53</v>
      </c>
      <c r="M538" s="75" t="s">
        <v>106</v>
      </c>
    </row>
    <row r="539" spans="1:13" x14ac:dyDescent="0.25">
      <c r="A539" s="48">
        <v>0.5</v>
      </c>
      <c r="B539" s="48"/>
      <c r="C539" s="83">
        <f t="shared" ca="1" si="36"/>
        <v>43882</v>
      </c>
      <c r="D539" s="84">
        <f t="shared" si="37"/>
        <v>191.5</v>
      </c>
      <c r="E539" s="74" t="str">
        <f t="shared" ca="1" si="35"/>
        <v>HD_022120C191.5</v>
      </c>
      <c r="F539" s="75" t="str">
        <f ca="1">_xll.xlqName(E539,tda)</f>
        <v>#N/A</v>
      </c>
      <c r="G539" s="75" t="str">
        <f t="shared" ca="1" si="38"/>
        <v>BAD</v>
      </c>
      <c r="I539" s="83">
        <v>43847</v>
      </c>
      <c r="J539" s="84">
        <v>222.5</v>
      </c>
      <c r="K539" s="74" t="s">
        <v>824</v>
      </c>
      <c r="L539" s="75" t="s">
        <v>53</v>
      </c>
      <c r="M539" s="75" t="s">
        <v>106</v>
      </c>
    </row>
    <row r="540" spans="1:13" x14ac:dyDescent="0.25">
      <c r="A540" s="48">
        <v>0.5</v>
      </c>
      <c r="B540" s="48"/>
      <c r="C540" s="83">
        <f t="shared" ca="1" si="36"/>
        <v>43882</v>
      </c>
      <c r="D540" s="84">
        <f t="shared" si="37"/>
        <v>192</v>
      </c>
      <c r="E540" s="74" t="str">
        <f t="shared" ca="1" si="35"/>
        <v>HD_022120C192</v>
      </c>
      <c r="F540" s="75" t="str">
        <f ca="1">_xll.xlqName(E540,tda)</f>
        <v>#N/A</v>
      </c>
      <c r="G540" s="75" t="str">
        <f t="shared" ca="1" si="38"/>
        <v>BAD</v>
      </c>
      <c r="I540" s="83">
        <v>43847</v>
      </c>
      <c r="J540" s="84">
        <v>223</v>
      </c>
      <c r="K540" s="74" t="s">
        <v>825</v>
      </c>
      <c r="L540" s="75" t="s">
        <v>53</v>
      </c>
      <c r="M540" s="75" t="s">
        <v>106</v>
      </c>
    </row>
    <row r="541" spans="1:13" x14ac:dyDescent="0.25">
      <c r="A541" s="48">
        <v>1</v>
      </c>
      <c r="B541" s="48"/>
      <c r="C541" s="83">
        <f t="shared" ca="1" si="36"/>
        <v>43882</v>
      </c>
      <c r="D541" s="84">
        <f t="shared" si="37"/>
        <v>193</v>
      </c>
      <c r="E541" s="74" t="str">
        <f t="shared" ca="1" si="35"/>
        <v>HD_022120C193</v>
      </c>
      <c r="F541" s="75" t="str">
        <f ca="1">_xll.xlqName(E541,tda)</f>
        <v>#N/A</v>
      </c>
      <c r="G541" s="75" t="str">
        <f t="shared" ca="1" si="38"/>
        <v>BAD</v>
      </c>
      <c r="I541" s="83">
        <v>43847</v>
      </c>
      <c r="J541" s="84">
        <v>224</v>
      </c>
      <c r="K541" s="74" t="s">
        <v>826</v>
      </c>
      <c r="L541" s="75" t="s">
        <v>53</v>
      </c>
      <c r="M541" s="75" t="s">
        <v>106</v>
      </c>
    </row>
    <row r="542" spans="1:13" x14ac:dyDescent="0.25">
      <c r="A542" s="48">
        <v>1</v>
      </c>
      <c r="B542" s="48"/>
      <c r="C542" s="83">
        <f t="shared" ca="1" si="36"/>
        <v>43882</v>
      </c>
      <c r="D542" s="84">
        <f t="shared" si="37"/>
        <v>194</v>
      </c>
      <c r="E542" s="74" t="str">
        <f t="shared" ca="1" si="35"/>
        <v>HD_022120C194</v>
      </c>
      <c r="F542" s="75" t="str">
        <f ca="1">_xll.xlqName(E542,tda)</f>
        <v>#N/A</v>
      </c>
      <c r="G542" s="75" t="str">
        <f t="shared" ca="1" si="38"/>
        <v>BAD</v>
      </c>
      <c r="I542" s="83">
        <v>43847</v>
      </c>
      <c r="J542" s="84">
        <v>225</v>
      </c>
      <c r="K542" s="74" t="s">
        <v>827</v>
      </c>
      <c r="L542" s="75" t="s">
        <v>828</v>
      </c>
      <c r="M542" s="75" t="s">
        <v>111</v>
      </c>
    </row>
    <row r="543" spans="1:13" x14ac:dyDescent="0.25">
      <c r="A543" s="48">
        <v>1</v>
      </c>
      <c r="B543" s="48"/>
      <c r="C543" s="83">
        <f t="shared" ca="1" si="36"/>
        <v>43882</v>
      </c>
      <c r="D543" s="84">
        <f t="shared" si="37"/>
        <v>195</v>
      </c>
      <c r="E543" s="74" t="str">
        <f t="shared" ca="1" si="35"/>
        <v>HD_022120C195</v>
      </c>
      <c r="F543" s="75" t="str">
        <f ca="1">_xll.xlqName(E543,tda)</f>
        <v>HD Feb 21 2020 195 Call</v>
      </c>
      <c r="G543" s="75" t="str">
        <f t="shared" ca="1" si="38"/>
        <v/>
      </c>
      <c r="I543" s="83">
        <v>43847</v>
      </c>
      <c r="J543" s="84">
        <v>226</v>
      </c>
      <c r="K543" s="74" t="s">
        <v>829</v>
      </c>
      <c r="L543" s="75" t="s">
        <v>53</v>
      </c>
      <c r="M543" s="75" t="s">
        <v>106</v>
      </c>
    </row>
    <row r="544" spans="1:13" x14ac:dyDescent="0.25">
      <c r="A544" s="48">
        <v>1</v>
      </c>
      <c r="B544" s="48"/>
      <c r="C544" s="83">
        <f t="shared" ca="1" si="36"/>
        <v>43882</v>
      </c>
      <c r="D544" s="84">
        <f t="shared" si="37"/>
        <v>196</v>
      </c>
      <c r="E544" s="74" t="str">
        <f t="shared" ca="1" si="35"/>
        <v>HD_022120C196</v>
      </c>
      <c r="F544" s="75" t="str">
        <f ca="1">_xll.xlqName(E544,tda)</f>
        <v>#N/A</v>
      </c>
      <c r="G544" s="75" t="str">
        <f t="shared" ca="1" si="38"/>
        <v>BAD</v>
      </c>
      <c r="I544" s="83">
        <v>43847</v>
      </c>
      <c r="J544" s="84">
        <v>227</v>
      </c>
      <c r="K544" s="74" t="s">
        <v>830</v>
      </c>
      <c r="L544" s="75" t="s">
        <v>53</v>
      </c>
      <c r="M544" s="75" t="s">
        <v>106</v>
      </c>
    </row>
    <row r="545" spans="1:13" x14ac:dyDescent="0.25">
      <c r="A545" s="48">
        <v>0.5</v>
      </c>
      <c r="B545" s="48"/>
      <c r="C545" s="83">
        <f t="shared" ca="1" si="36"/>
        <v>43882</v>
      </c>
      <c r="D545" s="84">
        <f t="shared" si="37"/>
        <v>196.5</v>
      </c>
      <c r="E545" s="74" t="str">
        <f t="shared" ca="1" si="35"/>
        <v>HD_022120C196.5</v>
      </c>
      <c r="F545" s="75" t="str">
        <f ca="1">_xll.xlqName(E545,tda)</f>
        <v>#N/A</v>
      </c>
      <c r="G545" s="75" t="str">
        <f t="shared" ca="1" si="38"/>
        <v>BAD</v>
      </c>
      <c r="I545" s="83">
        <v>43847</v>
      </c>
      <c r="J545" s="84">
        <v>227.5</v>
      </c>
      <c r="K545" s="74" t="s">
        <v>831</v>
      </c>
      <c r="L545" s="75" t="s">
        <v>53</v>
      </c>
      <c r="M545" s="75" t="s">
        <v>106</v>
      </c>
    </row>
    <row r="546" spans="1:13" x14ac:dyDescent="0.25">
      <c r="A546" s="48">
        <v>0.5</v>
      </c>
      <c r="B546" s="48"/>
      <c r="C546" s="83">
        <f t="shared" ca="1" si="36"/>
        <v>43882</v>
      </c>
      <c r="D546" s="84">
        <f t="shared" si="37"/>
        <v>197</v>
      </c>
      <c r="E546" s="74" t="str">
        <f t="shared" ca="1" si="35"/>
        <v>HD_022120C197</v>
      </c>
      <c r="F546" s="75" t="str">
        <f ca="1">_xll.xlqName(E546,tda)</f>
        <v>#N/A</v>
      </c>
      <c r="G546" s="75" t="str">
        <f t="shared" ca="1" si="38"/>
        <v>BAD</v>
      </c>
      <c r="I546" s="83">
        <v>43847</v>
      </c>
      <c r="J546" s="84">
        <v>228</v>
      </c>
      <c r="K546" s="74" t="s">
        <v>832</v>
      </c>
      <c r="L546" s="75" t="s">
        <v>53</v>
      </c>
      <c r="M546" s="75" t="s">
        <v>106</v>
      </c>
    </row>
    <row r="547" spans="1:13" x14ac:dyDescent="0.25">
      <c r="A547" s="48">
        <v>1</v>
      </c>
      <c r="B547" s="48"/>
      <c r="C547" s="83">
        <f t="shared" ca="1" si="36"/>
        <v>43882</v>
      </c>
      <c r="D547" s="84">
        <f t="shared" si="37"/>
        <v>198</v>
      </c>
      <c r="E547" s="74" t="str">
        <f t="shared" ca="1" si="35"/>
        <v>HD_022120C198</v>
      </c>
      <c r="F547" s="75" t="str">
        <f ca="1">_xll.xlqName(E547,tda)</f>
        <v>#N/A</v>
      </c>
      <c r="G547" s="75" t="str">
        <f t="shared" ca="1" si="38"/>
        <v>BAD</v>
      </c>
      <c r="I547" s="83">
        <v>43847</v>
      </c>
      <c r="J547" s="84">
        <v>229</v>
      </c>
      <c r="K547" s="74" t="s">
        <v>833</v>
      </c>
      <c r="L547" s="75" t="s">
        <v>53</v>
      </c>
      <c r="M547" s="75" t="s">
        <v>106</v>
      </c>
    </row>
    <row r="548" spans="1:13" x14ac:dyDescent="0.25">
      <c r="A548" s="48">
        <v>1</v>
      </c>
      <c r="B548" s="48"/>
      <c r="C548" s="83">
        <f t="shared" ca="1" si="36"/>
        <v>43882</v>
      </c>
      <c r="D548" s="84">
        <f t="shared" si="37"/>
        <v>199</v>
      </c>
      <c r="E548" s="74" t="str">
        <f t="shared" ca="1" si="35"/>
        <v>HD_022120C199</v>
      </c>
      <c r="F548" s="75" t="str">
        <f ca="1">_xll.xlqName(E548,tda)</f>
        <v>#N/A</v>
      </c>
      <c r="G548" s="75" t="str">
        <f t="shared" ca="1" si="38"/>
        <v>BAD</v>
      </c>
      <c r="I548" s="83">
        <v>43847</v>
      </c>
      <c r="J548" s="84">
        <v>230</v>
      </c>
      <c r="K548" s="74" t="s">
        <v>834</v>
      </c>
      <c r="L548" s="75" t="s">
        <v>835</v>
      </c>
      <c r="M548" s="75" t="s">
        <v>111</v>
      </c>
    </row>
    <row r="549" spans="1:13" x14ac:dyDescent="0.25">
      <c r="A549" s="48">
        <v>1</v>
      </c>
      <c r="B549" s="48"/>
      <c r="C549" s="83">
        <f t="shared" ca="1" si="36"/>
        <v>43882</v>
      </c>
      <c r="D549" s="84">
        <f t="shared" si="37"/>
        <v>200</v>
      </c>
      <c r="E549" s="74" t="str">
        <f t="shared" ca="1" si="35"/>
        <v>HD_022120C200</v>
      </c>
      <c r="F549" s="75" t="str">
        <f ca="1">_xll.xlqName(E549,tda)</f>
        <v>HD Feb 21 2020 200 Call</v>
      </c>
      <c r="G549" s="75" t="str">
        <f t="shared" ca="1" si="38"/>
        <v/>
      </c>
      <c r="I549" s="83">
        <v>43847</v>
      </c>
      <c r="J549" s="84">
        <v>231</v>
      </c>
      <c r="K549" s="74" t="s">
        <v>836</v>
      </c>
      <c r="L549" s="75" t="s">
        <v>53</v>
      </c>
      <c r="M549" s="75" t="s">
        <v>106</v>
      </c>
    </row>
    <row r="550" spans="1:13" x14ac:dyDescent="0.25">
      <c r="A550" s="48">
        <v>1</v>
      </c>
      <c r="B550" s="48"/>
      <c r="C550" s="83">
        <f t="shared" ca="1" si="36"/>
        <v>43882</v>
      </c>
      <c r="D550" s="84">
        <f t="shared" si="37"/>
        <v>201</v>
      </c>
      <c r="E550" s="74" t="str">
        <f t="shared" ca="1" si="35"/>
        <v>HD_022120C201</v>
      </c>
      <c r="F550" s="75" t="str">
        <f ca="1">_xll.xlqName(E550,tda)</f>
        <v>#N/A</v>
      </c>
      <c r="G550" s="75" t="str">
        <f t="shared" ca="1" si="38"/>
        <v>BAD</v>
      </c>
      <c r="I550" s="83">
        <v>43847</v>
      </c>
      <c r="J550" s="84">
        <v>232</v>
      </c>
      <c r="K550" s="74" t="s">
        <v>837</v>
      </c>
      <c r="L550" s="75" t="s">
        <v>53</v>
      </c>
      <c r="M550" s="75" t="s">
        <v>106</v>
      </c>
    </row>
    <row r="551" spans="1:13" x14ac:dyDescent="0.25">
      <c r="A551" s="48">
        <v>0.5</v>
      </c>
      <c r="B551" s="48"/>
      <c r="C551" s="83">
        <f t="shared" ca="1" si="36"/>
        <v>43882</v>
      </c>
      <c r="D551" s="84">
        <f t="shared" si="37"/>
        <v>201.5</v>
      </c>
      <c r="E551" s="74" t="str">
        <f t="shared" ca="1" si="35"/>
        <v>HD_022120C201.5</v>
      </c>
      <c r="F551" s="75" t="str">
        <f ca="1">_xll.xlqName(E551,tda)</f>
        <v>#N/A</v>
      </c>
      <c r="G551" s="75" t="str">
        <f t="shared" ca="1" si="38"/>
        <v>BAD</v>
      </c>
      <c r="I551" s="83">
        <v>43847</v>
      </c>
      <c r="J551" s="84">
        <v>232.5</v>
      </c>
      <c r="K551" s="74" t="s">
        <v>838</v>
      </c>
      <c r="L551" s="75" t="s">
        <v>53</v>
      </c>
      <c r="M551" s="75" t="s">
        <v>106</v>
      </c>
    </row>
    <row r="552" spans="1:13" x14ac:dyDescent="0.25">
      <c r="A552" s="48">
        <v>0.5</v>
      </c>
      <c r="B552" s="48"/>
      <c r="C552" s="83">
        <f t="shared" ca="1" si="36"/>
        <v>43882</v>
      </c>
      <c r="D552" s="84">
        <f t="shared" si="37"/>
        <v>202</v>
      </c>
      <c r="E552" s="74" t="str">
        <f t="shared" ca="1" si="35"/>
        <v>HD_022120C202</v>
      </c>
      <c r="F552" s="75" t="str">
        <f ca="1">_xll.xlqName(E552,tda)</f>
        <v>#N/A</v>
      </c>
      <c r="G552" s="75" t="str">
        <f t="shared" ca="1" si="38"/>
        <v>BAD</v>
      </c>
      <c r="I552" s="83">
        <v>43847</v>
      </c>
      <c r="J552" s="84">
        <v>233</v>
      </c>
      <c r="K552" s="74" t="s">
        <v>839</v>
      </c>
      <c r="L552" s="75" t="s">
        <v>53</v>
      </c>
      <c r="M552" s="75" t="s">
        <v>106</v>
      </c>
    </row>
    <row r="553" spans="1:13" x14ac:dyDescent="0.25">
      <c r="A553" s="48">
        <v>1</v>
      </c>
      <c r="B553" s="48"/>
      <c r="C553" s="83">
        <f t="shared" ca="1" si="36"/>
        <v>43882</v>
      </c>
      <c r="D553" s="84">
        <f t="shared" si="37"/>
        <v>203</v>
      </c>
      <c r="E553" s="74" t="str">
        <f t="shared" ca="1" si="35"/>
        <v>HD_022120C203</v>
      </c>
      <c r="F553" s="75" t="str">
        <f ca="1">_xll.xlqName(E553,tda)</f>
        <v>#N/A</v>
      </c>
      <c r="G553" s="75" t="str">
        <f t="shared" ca="1" si="38"/>
        <v>BAD</v>
      </c>
      <c r="I553" s="83">
        <v>43847</v>
      </c>
      <c r="J553" s="84">
        <v>234</v>
      </c>
      <c r="K553" s="74" t="s">
        <v>840</v>
      </c>
      <c r="L553" s="75" t="s">
        <v>53</v>
      </c>
      <c r="M553" s="75" t="s">
        <v>106</v>
      </c>
    </row>
    <row r="554" spans="1:13" x14ac:dyDescent="0.25">
      <c r="A554" s="48">
        <v>1</v>
      </c>
      <c r="B554" s="48"/>
      <c r="C554" s="83">
        <f t="shared" ca="1" si="36"/>
        <v>43882</v>
      </c>
      <c r="D554" s="84">
        <f t="shared" si="37"/>
        <v>204</v>
      </c>
      <c r="E554" s="74" t="str">
        <f t="shared" ca="1" si="35"/>
        <v>HD_022120C204</v>
      </c>
      <c r="F554" s="75" t="str">
        <f ca="1">_xll.xlqName(E554,tda)</f>
        <v>#N/A</v>
      </c>
      <c r="G554" s="75" t="str">
        <f t="shared" ca="1" si="38"/>
        <v>BAD</v>
      </c>
      <c r="I554" s="83">
        <v>43847</v>
      </c>
      <c r="J554" s="84">
        <v>235</v>
      </c>
      <c r="K554" s="74" t="s">
        <v>841</v>
      </c>
      <c r="L554" s="75" t="s">
        <v>842</v>
      </c>
      <c r="M554" s="75" t="s">
        <v>111</v>
      </c>
    </row>
    <row r="555" spans="1:13" x14ac:dyDescent="0.25">
      <c r="A555" s="48">
        <v>1</v>
      </c>
      <c r="B555" s="48"/>
      <c r="C555" s="83">
        <f t="shared" ca="1" si="36"/>
        <v>43882</v>
      </c>
      <c r="D555" s="84">
        <f t="shared" si="37"/>
        <v>205</v>
      </c>
      <c r="E555" s="74" t="str">
        <f t="shared" ca="1" si="35"/>
        <v>HD_022120C205</v>
      </c>
      <c r="F555" s="75" t="str">
        <f ca="1">_xll.xlqName(E555,tda)</f>
        <v>HD Feb 21 2020 205 Call</v>
      </c>
      <c r="G555" s="75" t="str">
        <f t="shared" ca="1" si="38"/>
        <v/>
      </c>
      <c r="I555" s="83">
        <v>43882</v>
      </c>
      <c r="J555" s="84">
        <v>170</v>
      </c>
      <c r="K555" s="74" t="s">
        <v>843</v>
      </c>
      <c r="L555" s="75" t="s">
        <v>844</v>
      </c>
      <c r="M555" s="75" t="s">
        <v>111</v>
      </c>
    </row>
    <row r="556" spans="1:13" x14ac:dyDescent="0.25">
      <c r="A556" s="48">
        <v>1</v>
      </c>
      <c r="B556" s="48"/>
      <c r="C556" s="83">
        <f t="shared" ca="1" si="36"/>
        <v>43882</v>
      </c>
      <c r="D556" s="84">
        <f t="shared" si="37"/>
        <v>206</v>
      </c>
      <c r="E556" s="74" t="str">
        <f t="shared" ca="1" si="35"/>
        <v>HD_022120C206</v>
      </c>
      <c r="F556" s="75" t="str">
        <f ca="1">_xll.xlqName(E556,tda)</f>
        <v>#N/A</v>
      </c>
      <c r="G556" s="75" t="str">
        <f t="shared" ca="1" si="38"/>
        <v>BAD</v>
      </c>
      <c r="I556" s="83">
        <v>43882</v>
      </c>
      <c r="J556" s="84">
        <v>171</v>
      </c>
      <c r="K556" s="74" t="s">
        <v>845</v>
      </c>
      <c r="L556" s="75" t="s">
        <v>53</v>
      </c>
      <c r="M556" s="75" t="s">
        <v>106</v>
      </c>
    </row>
    <row r="557" spans="1:13" x14ac:dyDescent="0.25">
      <c r="A557" s="48">
        <v>0.5</v>
      </c>
      <c r="B557" s="48"/>
      <c r="C557" s="83">
        <f t="shared" ca="1" si="36"/>
        <v>43882</v>
      </c>
      <c r="D557" s="84">
        <f t="shared" si="37"/>
        <v>206.5</v>
      </c>
      <c r="E557" s="74" t="str">
        <f t="shared" ca="1" si="35"/>
        <v>HD_022120C206.5</v>
      </c>
      <c r="F557" s="75" t="str">
        <f ca="1">_xll.xlqName(E557,tda)</f>
        <v>#N/A</v>
      </c>
      <c r="G557" s="75" t="str">
        <f t="shared" ca="1" si="38"/>
        <v>BAD</v>
      </c>
      <c r="I557" s="83">
        <v>43882</v>
      </c>
      <c r="J557" s="84">
        <v>171.5</v>
      </c>
      <c r="K557" s="74" t="s">
        <v>846</v>
      </c>
      <c r="L557" s="75" t="s">
        <v>53</v>
      </c>
      <c r="M557" s="75" t="s">
        <v>106</v>
      </c>
    </row>
    <row r="558" spans="1:13" x14ac:dyDescent="0.25">
      <c r="A558" s="48">
        <v>0.5</v>
      </c>
      <c r="B558" s="48"/>
      <c r="C558" s="83">
        <f t="shared" ca="1" si="36"/>
        <v>43882</v>
      </c>
      <c r="D558" s="84">
        <f t="shared" si="37"/>
        <v>207</v>
      </c>
      <c r="E558" s="74" t="str">
        <f t="shared" ca="1" si="35"/>
        <v>HD_022120C207</v>
      </c>
      <c r="F558" s="75" t="str">
        <f ca="1">_xll.xlqName(E558,tda)</f>
        <v>#N/A</v>
      </c>
      <c r="G558" s="75" t="str">
        <f t="shared" ca="1" si="38"/>
        <v>BAD</v>
      </c>
      <c r="I558" s="83">
        <v>43882</v>
      </c>
      <c r="J558" s="84">
        <v>172</v>
      </c>
      <c r="K558" s="74" t="s">
        <v>847</v>
      </c>
      <c r="L558" s="75" t="s">
        <v>53</v>
      </c>
      <c r="M558" s="75" t="s">
        <v>106</v>
      </c>
    </row>
    <row r="559" spans="1:13" x14ac:dyDescent="0.25">
      <c r="A559" s="48">
        <v>1</v>
      </c>
      <c r="B559" s="48"/>
      <c r="C559" s="83">
        <f t="shared" ca="1" si="36"/>
        <v>43882</v>
      </c>
      <c r="D559" s="84">
        <f t="shared" si="37"/>
        <v>208</v>
      </c>
      <c r="E559" s="74" t="str">
        <f t="shared" ca="1" si="35"/>
        <v>HD_022120C208</v>
      </c>
      <c r="F559" s="75" t="str">
        <f ca="1">_xll.xlqName(E559,tda)</f>
        <v>#N/A</v>
      </c>
      <c r="G559" s="75" t="str">
        <f t="shared" ca="1" si="38"/>
        <v>BAD</v>
      </c>
      <c r="I559" s="83">
        <v>43882</v>
      </c>
      <c r="J559" s="84">
        <v>173</v>
      </c>
      <c r="K559" s="74" t="s">
        <v>848</v>
      </c>
      <c r="L559" s="75" t="s">
        <v>53</v>
      </c>
      <c r="M559" s="75" t="s">
        <v>106</v>
      </c>
    </row>
    <row r="560" spans="1:13" x14ac:dyDescent="0.25">
      <c r="A560" s="48">
        <v>1</v>
      </c>
      <c r="B560" s="48"/>
      <c r="C560" s="83">
        <f t="shared" ca="1" si="36"/>
        <v>43882</v>
      </c>
      <c r="D560" s="84">
        <f t="shared" si="37"/>
        <v>209</v>
      </c>
      <c r="E560" s="74" t="str">
        <f t="shared" ca="1" si="35"/>
        <v>HD_022120C209</v>
      </c>
      <c r="F560" s="75" t="str">
        <f ca="1">_xll.xlqName(E560,tda)</f>
        <v>#N/A</v>
      </c>
      <c r="G560" s="75" t="str">
        <f t="shared" ca="1" si="38"/>
        <v>BAD</v>
      </c>
      <c r="I560" s="83">
        <v>43882</v>
      </c>
      <c r="J560" s="84">
        <v>174</v>
      </c>
      <c r="K560" s="74" t="s">
        <v>849</v>
      </c>
      <c r="L560" s="75" t="s">
        <v>53</v>
      </c>
      <c r="M560" s="75" t="s">
        <v>106</v>
      </c>
    </row>
    <row r="561" spans="1:13" x14ac:dyDescent="0.25">
      <c r="A561" s="48">
        <v>1</v>
      </c>
      <c r="B561" s="48"/>
      <c r="C561" s="83">
        <f t="shared" ca="1" si="36"/>
        <v>43882</v>
      </c>
      <c r="D561" s="84">
        <f t="shared" si="37"/>
        <v>210</v>
      </c>
      <c r="E561" s="74" t="str">
        <f t="shared" ca="1" si="35"/>
        <v>HD_022120C210</v>
      </c>
      <c r="F561" s="75" t="str">
        <f ca="1">_xll.xlqName(E561,tda)</f>
        <v>HD Feb 21 2020 210 Call</v>
      </c>
      <c r="G561" s="75" t="str">
        <f t="shared" ca="1" si="38"/>
        <v/>
      </c>
      <c r="I561" s="83">
        <v>43882</v>
      </c>
      <c r="J561" s="84">
        <v>175</v>
      </c>
      <c r="K561" s="74" t="s">
        <v>850</v>
      </c>
      <c r="L561" s="75" t="s">
        <v>851</v>
      </c>
      <c r="M561" s="75" t="s">
        <v>111</v>
      </c>
    </row>
    <row r="562" spans="1:13" x14ac:dyDescent="0.25">
      <c r="A562" s="48">
        <v>1</v>
      </c>
      <c r="B562" s="48"/>
      <c r="C562" s="83">
        <f t="shared" ca="1" si="36"/>
        <v>43882</v>
      </c>
      <c r="D562" s="84">
        <f t="shared" si="37"/>
        <v>211</v>
      </c>
      <c r="E562" s="74" t="str">
        <f t="shared" ca="1" si="35"/>
        <v>HD_022120C211</v>
      </c>
      <c r="F562" s="75" t="str">
        <f ca="1">_xll.xlqName(E562,tda)</f>
        <v>#N/A</v>
      </c>
      <c r="G562" s="75" t="str">
        <f t="shared" ca="1" si="38"/>
        <v>BAD</v>
      </c>
      <c r="I562" s="83">
        <v>43882</v>
      </c>
      <c r="J562" s="84">
        <v>176</v>
      </c>
      <c r="K562" s="74" t="s">
        <v>852</v>
      </c>
      <c r="L562" s="75" t="s">
        <v>53</v>
      </c>
      <c r="M562" s="75" t="s">
        <v>106</v>
      </c>
    </row>
    <row r="563" spans="1:13" x14ac:dyDescent="0.25">
      <c r="A563" s="48">
        <v>0.5</v>
      </c>
      <c r="B563" s="48"/>
      <c r="C563" s="83">
        <f t="shared" ca="1" si="36"/>
        <v>43882</v>
      </c>
      <c r="D563" s="84">
        <f t="shared" si="37"/>
        <v>211.5</v>
      </c>
      <c r="E563" s="74" t="str">
        <f t="shared" ca="1" si="35"/>
        <v>HD_022120C211.5</v>
      </c>
      <c r="F563" s="75" t="str">
        <f ca="1">_xll.xlqName(E563,tda)</f>
        <v>#N/A</v>
      </c>
      <c r="G563" s="75" t="str">
        <f t="shared" ca="1" si="38"/>
        <v>BAD</v>
      </c>
      <c r="I563" s="83">
        <v>43882</v>
      </c>
      <c r="J563" s="84">
        <v>176.5</v>
      </c>
      <c r="K563" s="74" t="s">
        <v>853</v>
      </c>
      <c r="L563" s="75" t="s">
        <v>53</v>
      </c>
      <c r="M563" s="75" t="s">
        <v>106</v>
      </c>
    </row>
    <row r="564" spans="1:13" x14ac:dyDescent="0.25">
      <c r="A564" s="48">
        <v>0.5</v>
      </c>
      <c r="B564" s="48"/>
      <c r="C564" s="83">
        <f t="shared" ca="1" si="36"/>
        <v>43882</v>
      </c>
      <c r="D564" s="84">
        <f t="shared" si="37"/>
        <v>212</v>
      </c>
      <c r="E564" s="74" t="str">
        <f t="shared" ca="1" si="35"/>
        <v>HD_022120C212</v>
      </c>
      <c r="F564" s="75" t="str">
        <f ca="1">_xll.xlqName(E564,tda)</f>
        <v>#N/A</v>
      </c>
      <c r="G564" s="75" t="str">
        <f t="shared" ca="1" si="38"/>
        <v>BAD</v>
      </c>
      <c r="I564" s="83">
        <v>43882</v>
      </c>
      <c r="J564" s="84">
        <v>177</v>
      </c>
      <c r="K564" s="74" t="s">
        <v>854</v>
      </c>
      <c r="L564" s="75" t="s">
        <v>53</v>
      </c>
      <c r="M564" s="75" t="s">
        <v>106</v>
      </c>
    </row>
    <row r="565" spans="1:13" x14ac:dyDescent="0.25">
      <c r="A565" s="48">
        <v>1</v>
      </c>
      <c r="B565" s="48"/>
      <c r="C565" s="83">
        <f t="shared" ca="1" si="36"/>
        <v>43882</v>
      </c>
      <c r="D565" s="84">
        <f t="shared" si="37"/>
        <v>213</v>
      </c>
      <c r="E565" s="74" t="str">
        <f t="shared" ca="1" si="35"/>
        <v>HD_022120C213</v>
      </c>
      <c r="F565" s="75" t="str">
        <f ca="1">_xll.xlqName(E565,tda)</f>
        <v>#N/A</v>
      </c>
      <c r="G565" s="75" t="str">
        <f t="shared" ca="1" si="38"/>
        <v>BAD</v>
      </c>
      <c r="I565" s="83">
        <v>43882</v>
      </c>
      <c r="J565" s="84">
        <v>178</v>
      </c>
      <c r="K565" s="74" t="s">
        <v>855</v>
      </c>
      <c r="L565" s="75" t="s">
        <v>53</v>
      </c>
      <c r="M565" s="75" t="s">
        <v>106</v>
      </c>
    </row>
    <row r="566" spans="1:13" x14ac:dyDescent="0.25">
      <c r="A566" s="48">
        <v>1</v>
      </c>
      <c r="B566" s="48"/>
      <c r="C566" s="83">
        <f t="shared" ca="1" si="36"/>
        <v>43882</v>
      </c>
      <c r="D566" s="84">
        <f t="shared" si="37"/>
        <v>214</v>
      </c>
      <c r="E566" s="74" t="str">
        <f t="shared" ca="1" si="35"/>
        <v>HD_022120C214</v>
      </c>
      <c r="F566" s="75" t="str">
        <f ca="1">_xll.xlqName(E566,tda)</f>
        <v>#N/A</v>
      </c>
      <c r="G566" s="75" t="str">
        <f t="shared" ca="1" si="38"/>
        <v>BAD</v>
      </c>
      <c r="I566" s="83">
        <v>43882</v>
      </c>
      <c r="J566" s="84">
        <v>179</v>
      </c>
      <c r="K566" s="74" t="s">
        <v>856</v>
      </c>
      <c r="L566" s="75" t="s">
        <v>53</v>
      </c>
      <c r="M566" s="75" t="s">
        <v>106</v>
      </c>
    </row>
    <row r="567" spans="1:13" x14ac:dyDescent="0.25">
      <c r="A567" s="48">
        <v>1</v>
      </c>
      <c r="B567" s="48"/>
      <c r="C567" s="83">
        <f t="shared" ca="1" si="36"/>
        <v>43882</v>
      </c>
      <c r="D567" s="84">
        <f t="shared" si="37"/>
        <v>215</v>
      </c>
      <c r="E567" s="74" t="str">
        <f t="shared" ca="1" si="35"/>
        <v>HD_022120C215</v>
      </c>
      <c r="F567" s="75" t="str">
        <f ca="1">_xll.xlqName(E567,tda)</f>
        <v>HD Feb 21 2020 215 Call</v>
      </c>
      <c r="G567" s="75" t="str">
        <f t="shared" ca="1" si="38"/>
        <v/>
      </c>
      <c r="I567" s="83">
        <v>43882</v>
      </c>
      <c r="J567" s="84">
        <v>180</v>
      </c>
      <c r="K567" s="74" t="s">
        <v>857</v>
      </c>
      <c r="L567" s="75" t="s">
        <v>858</v>
      </c>
      <c r="M567" s="75" t="s">
        <v>111</v>
      </c>
    </row>
    <row r="568" spans="1:13" x14ac:dyDescent="0.25">
      <c r="A568" s="48">
        <v>1</v>
      </c>
      <c r="B568" s="48"/>
      <c r="C568" s="83">
        <f t="shared" ca="1" si="36"/>
        <v>43882</v>
      </c>
      <c r="D568" s="84">
        <f t="shared" si="37"/>
        <v>216</v>
      </c>
      <c r="E568" s="74" t="str">
        <f t="shared" ca="1" si="35"/>
        <v>HD_022120C216</v>
      </c>
      <c r="F568" s="75" t="str">
        <f ca="1">_xll.xlqName(E568,tda)</f>
        <v>#N/A</v>
      </c>
      <c r="G568" s="75" t="str">
        <f t="shared" ca="1" si="38"/>
        <v>BAD</v>
      </c>
      <c r="I568" s="83">
        <v>43882</v>
      </c>
      <c r="J568" s="84">
        <v>181</v>
      </c>
      <c r="K568" s="74" t="s">
        <v>859</v>
      </c>
      <c r="L568" s="75" t="s">
        <v>53</v>
      </c>
      <c r="M568" s="75" t="s">
        <v>106</v>
      </c>
    </row>
    <row r="569" spans="1:13" x14ac:dyDescent="0.25">
      <c r="A569" s="48">
        <v>0.5</v>
      </c>
      <c r="B569" s="48"/>
      <c r="C569" s="83">
        <f t="shared" ca="1" si="36"/>
        <v>43882</v>
      </c>
      <c r="D569" s="84">
        <f t="shared" si="37"/>
        <v>216.5</v>
      </c>
      <c r="E569" s="74" t="str">
        <f t="shared" ca="1" si="35"/>
        <v>HD_022120C216.5</v>
      </c>
      <c r="F569" s="75" t="str">
        <f ca="1">_xll.xlqName(E569,tda)</f>
        <v>#N/A</v>
      </c>
      <c r="G569" s="75" t="str">
        <f t="shared" ca="1" si="38"/>
        <v>BAD</v>
      </c>
      <c r="I569" s="83">
        <v>43882</v>
      </c>
      <c r="J569" s="84">
        <v>181.5</v>
      </c>
      <c r="K569" s="74" t="s">
        <v>860</v>
      </c>
      <c r="L569" s="75" t="s">
        <v>53</v>
      </c>
      <c r="M569" s="75" t="s">
        <v>106</v>
      </c>
    </row>
    <row r="570" spans="1:13" x14ac:dyDescent="0.25">
      <c r="A570" s="48">
        <v>0.5</v>
      </c>
      <c r="B570" s="48"/>
      <c r="C570" s="83">
        <f t="shared" ca="1" si="36"/>
        <v>43882</v>
      </c>
      <c r="D570" s="84">
        <f t="shared" si="37"/>
        <v>217</v>
      </c>
      <c r="E570" s="74" t="str">
        <f t="shared" ca="1" si="35"/>
        <v>HD_022120C217</v>
      </c>
      <c r="F570" s="75" t="str">
        <f ca="1">_xll.xlqName(E570,tda)</f>
        <v>#N/A</v>
      </c>
      <c r="G570" s="75" t="str">
        <f t="shared" ca="1" si="38"/>
        <v>BAD</v>
      </c>
      <c r="I570" s="83">
        <v>43882</v>
      </c>
      <c r="J570" s="84">
        <v>182</v>
      </c>
      <c r="K570" s="74" t="s">
        <v>861</v>
      </c>
      <c r="L570" s="75" t="s">
        <v>53</v>
      </c>
      <c r="M570" s="75" t="s">
        <v>106</v>
      </c>
    </row>
    <row r="571" spans="1:13" x14ac:dyDescent="0.25">
      <c r="A571" s="48">
        <v>1</v>
      </c>
      <c r="B571" s="48"/>
      <c r="C571" s="83">
        <f t="shared" ca="1" si="36"/>
        <v>43882</v>
      </c>
      <c r="D571" s="84">
        <f t="shared" si="37"/>
        <v>218</v>
      </c>
      <c r="E571" s="74" t="str">
        <f t="shared" ca="1" si="35"/>
        <v>HD_022120C218</v>
      </c>
      <c r="F571" s="75" t="str">
        <f ca="1">_xll.xlqName(E571,tda)</f>
        <v>#N/A</v>
      </c>
      <c r="G571" s="75" t="str">
        <f t="shared" ca="1" si="38"/>
        <v>BAD</v>
      </c>
      <c r="I571" s="83">
        <v>43882</v>
      </c>
      <c r="J571" s="84">
        <v>183</v>
      </c>
      <c r="K571" s="74" t="s">
        <v>862</v>
      </c>
      <c r="L571" s="75" t="s">
        <v>53</v>
      </c>
      <c r="M571" s="75" t="s">
        <v>106</v>
      </c>
    </row>
    <row r="572" spans="1:13" x14ac:dyDescent="0.25">
      <c r="A572" s="48">
        <v>1</v>
      </c>
      <c r="B572" s="48"/>
      <c r="C572" s="83">
        <f t="shared" ca="1" si="36"/>
        <v>43882</v>
      </c>
      <c r="D572" s="84">
        <f t="shared" si="37"/>
        <v>219</v>
      </c>
      <c r="E572" s="74" t="str">
        <f t="shared" ca="1" si="35"/>
        <v>HD_022120C219</v>
      </c>
      <c r="F572" s="75" t="str">
        <f ca="1">_xll.xlqName(E572,tda)</f>
        <v>#N/A</v>
      </c>
      <c r="G572" s="75" t="str">
        <f t="shared" ca="1" si="38"/>
        <v>BAD</v>
      </c>
      <c r="I572" s="83">
        <v>43882</v>
      </c>
      <c r="J572" s="84">
        <v>184</v>
      </c>
      <c r="K572" s="74" t="s">
        <v>863</v>
      </c>
      <c r="L572" s="75" t="s">
        <v>53</v>
      </c>
      <c r="M572" s="75" t="s">
        <v>106</v>
      </c>
    </row>
    <row r="573" spans="1:13" x14ac:dyDescent="0.25">
      <c r="A573" s="48">
        <v>1</v>
      </c>
      <c r="B573" s="48"/>
      <c r="C573" s="83">
        <f t="shared" ca="1" si="36"/>
        <v>43882</v>
      </c>
      <c r="D573" s="84">
        <f t="shared" si="37"/>
        <v>220</v>
      </c>
      <c r="E573" s="74" t="str">
        <f t="shared" ca="1" si="35"/>
        <v>HD_022120C220</v>
      </c>
      <c r="F573" s="75" t="str">
        <f ca="1">_xll.xlqName(E573,tda)</f>
        <v>HD Feb 21 2020 220 Call</v>
      </c>
      <c r="G573" s="75" t="str">
        <f t="shared" ca="1" si="38"/>
        <v/>
      </c>
      <c r="I573" s="83">
        <v>43882</v>
      </c>
      <c r="J573" s="84">
        <v>185</v>
      </c>
      <c r="K573" s="74" t="s">
        <v>864</v>
      </c>
      <c r="L573" s="75" t="s">
        <v>865</v>
      </c>
      <c r="M573" s="75" t="s">
        <v>111</v>
      </c>
    </row>
    <row r="574" spans="1:13" x14ac:dyDescent="0.25">
      <c r="A574" s="48">
        <v>1</v>
      </c>
      <c r="B574" s="48"/>
      <c r="C574" s="83">
        <f t="shared" ca="1" si="36"/>
        <v>43882</v>
      </c>
      <c r="D574" s="84">
        <f t="shared" si="37"/>
        <v>221</v>
      </c>
      <c r="E574" s="74" t="str">
        <f t="shared" ca="1" si="35"/>
        <v>HD_022120C221</v>
      </c>
      <c r="F574" s="75" t="str">
        <f ca="1">_xll.xlqName(E574,tda)</f>
        <v>#N/A</v>
      </c>
      <c r="G574" s="75" t="str">
        <f t="shared" ca="1" si="38"/>
        <v>BAD</v>
      </c>
      <c r="I574" s="83">
        <v>43882</v>
      </c>
      <c r="J574" s="84">
        <v>186</v>
      </c>
      <c r="K574" s="74" t="s">
        <v>866</v>
      </c>
      <c r="L574" s="75" t="s">
        <v>53</v>
      </c>
      <c r="M574" s="75" t="s">
        <v>106</v>
      </c>
    </row>
    <row r="575" spans="1:13" x14ac:dyDescent="0.25">
      <c r="A575" s="48">
        <v>0.5</v>
      </c>
      <c r="B575" s="48"/>
      <c r="C575" s="83">
        <f t="shared" ca="1" si="36"/>
        <v>43882</v>
      </c>
      <c r="D575" s="84">
        <f t="shared" si="37"/>
        <v>221.5</v>
      </c>
      <c r="E575" s="74" t="str">
        <f t="shared" ca="1" si="35"/>
        <v>HD_022120C221.5</v>
      </c>
      <c r="F575" s="75" t="str">
        <f ca="1">_xll.xlqName(E575,tda)</f>
        <v>#N/A</v>
      </c>
      <c r="G575" s="75" t="str">
        <f t="shared" ca="1" si="38"/>
        <v>BAD</v>
      </c>
      <c r="I575" s="83">
        <v>43882</v>
      </c>
      <c r="J575" s="84">
        <v>186.5</v>
      </c>
      <c r="K575" s="74" t="s">
        <v>867</v>
      </c>
      <c r="L575" s="75" t="s">
        <v>53</v>
      </c>
      <c r="M575" s="75" t="s">
        <v>106</v>
      </c>
    </row>
    <row r="576" spans="1:13" x14ac:dyDescent="0.25">
      <c r="A576" s="48">
        <v>0.5</v>
      </c>
      <c r="B576" s="48"/>
      <c r="C576" s="83">
        <f t="shared" ca="1" si="36"/>
        <v>43882</v>
      </c>
      <c r="D576" s="84">
        <f t="shared" si="37"/>
        <v>222</v>
      </c>
      <c r="E576" s="74" t="str">
        <f t="shared" ca="1" si="35"/>
        <v>HD_022120C222</v>
      </c>
      <c r="F576" s="75" t="str">
        <f ca="1">_xll.xlqName(E576,tda)</f>
        <v>#N/A</v>
      </c>
      <c r="G576" s="75" t="str">
        <f t="shared" ca="1" si="38"/>
        <v>BAD</v>
      </c>
      <c r="I576" s="83">
        <v>43882</v>
      </c>
      <c r="J576" s="84">
        <v>187</v>
      </c>
      <c r="K576" s="74" t="s">
        <v>868</v>
      </c>
      <c r="L576" s="75" t="s">
        <v>53</v>
      </c>
      <c r="M576" s="75" t="s">
        <v>106</v>
      </c>
    </row>
    <row r="577" spans="1:13" x14ac:dyDescent="0.25">
      <c r="A577" s="48">
        <v>1</v>
      </c>
      <c r="B577" s="48"/>
      <c r="C577" s="83">
        <f t="shared" ca="1" si="36"/>
        <v>43882</v>
      </c>
      <c r="D577" s="84">
        <f t="shared" si="37"/>
        <v>223</v>
      </c>
      <c r="E577" s="74" t="str">
        <f t="shared" ca="1" si="35"/>
        <v>HD_022120C223</v>
      </c>
      <c r="F577" s="75" t="str">
        <f ca="1">_xll.xlqName(E577,tda)</f>
        <v>#N/A</v>
      </c>
      <c r="G577" s="75" t="str">
        <f t="shared" ca="1" si="38"/>
        <v>BAD</v>
      </c>
      <c r="I577" s="83">
        <v>43882</v>
      </c>
      <c r="J577" s="84">
        <v>188</v>
      </c>
      <c r="K577" s="74" t="s">
        <v>869</v>
      </c>
      <c r="L577" s="75" t="s">
        <v>53</v>
      </c>
      <c r="M577" s="75" t="s">
        <v>106</v>
      </c>
    </row>
    <row r="578" spans="1:13" x14ac:dyDescent="0.25">
      <c r="A578" s="48">
        <v>1</v>
      </c>
      <c r="B578" s="48"/>
      <c r="C578" s="83">
        <f t="shared" ca="1" si="36"/>
        <v>43882</v>
      </c>
      <c r="D578" s="84">
        <f t="shared" si="37"/>
        <v>224</v>
      </c>
      <c r="E578" s="74" t="str">
        <f t="shared" ref="E578:E641" ca="1" si="39">CONCATENATE($Q$2,"_",TEXT(MONTH(C578),"00"),TEXT(DAY(C578),"00"),TEXT(MOD(YEAR(C578),100),"00"),$Q$3,D578&amp;"")</f>
        <v>HD_022120C224</v>
      </c>
      <c r="F578" s="75" t="str">
        <f ca="1">_xll.xlqName(E578,tda)</f>
        <v>#N/A</v>
      </c>
      <c r="G578" s="75" t="str">
        <f t="shared" ca="1" si="38"/>
        <v>BAD</v>
      </c>
      <c r="I578" s="83">
        <v>43882</v>
      </c>
      <c r="J578" s="84">
        <v>189</v>
      </c>
      <c r="K578" s="74" t="s">
        <v>870</v>
      </c>
      <c r="L578" s="75" t="s">
        <v>53</v>
      </c>
      <c r="M578" s="75" t="s">
        <v>106</v>
      </c>
    </row>
    <row r="579" spans="1:13" x14ac:dyDescent="0.25">
      <c r="A579" s="48">
        <v>1</v>
      </c>
      <c r="B579" s="48"/>
      <c r="C579" s="83">
        <f t="shared" ref="C579:C642" ca="1" si="40">IF(D579&gt;D578,C578,INDEX($O$14:$O$50,VLOOKUP(C578,$O$14:$P$50,2)+1))</f>
        <v>43882</v>
      </c>
      <c r="D579" s="84">
        <f t="shared" ref="D579:D642" si="41">IF(D578+A579&lt;=$Q$8,D578+A579,$Q$6)</f>
        <v>225</v>
      </c>
      <c r="E579" s="74" t="str">
        <f t="shared" ca="1" si="39"/>
        <v>HD_022120C225</v>
      </c>
      <c r="F579" s="75" t="str">
        <f ca="1">_xll.xlqName(E579,tda)</f>
        <v>HD Feb 21 2020 225 Call</v>
      </c>
      <c r="G579" s="75" t="str">
        <f t="shared" ref="G579:G642" ca="1" si="42">IF(AND(ISTEXT(F579),(F579&lt;&gt;"#N/A"),(F579&lt;&gt;"Busy...")),"","BAD")</f>
        <v/>
      </c>
      <c r="I579" s="83">
        <v>43882</v>
      </c>
      <c r="J579" s="84">
        <v>190</v>
      </c>
      <c r="K579" s="74" t="s">
        <v>871</v>
      </c>
      <c r="L579" s="75" t="s">
        <v>872</v>
      </c>
      <c r="M579" s="75" t="s">
        <v>111</v>
      </c>
    </row>
    <row r="580" spans="1:13" x14ac:dyDescent="0.25">
      <c r="A580" s="48">
        <v>1</v>
      </c>
      <c r="B580" s="48"/>
      <c r="C580" s="83">
        <f t="shared" ca="1" si="40"/>
        <v>43882</v>
      </c>
      <c r="D580" s="84">
        <f t="shared" si="41"/>
        <v>226</v>
      </c>
      <c r="E580" s="74" t="str">
        <f t="shared" ca="1" si="39"/>
        <v>HD_022120C226</v>
      </c>
      <c r="F580" s="75" t="str">
        <f ca="1">_xll.xlqName(E580,tda)</f>
        <v>#N/A</v>
      </c>
      <c r="G580" s="75" t="str">
        <f t="shared" ca="1" si="42"/>
        <v>BAD</v>
      </c>
      <c r="I580" s="83">
        <v>43882</v>
      </c>
      <c r="J580" s="84">
        <v>191</v>
      </c>
      <c r="K580" s="74" t="s">
        <v>873</v>
      </c>
      <c r="L580" s="75" t="s">
        <v>53</v>
      </c>
      <c r="M580" s="75" t="s">
        <v>106</v>
      </c>
    </row>
    <row r="581" spans="1:13" x14ac:dyDescent="0.25">
      <c r="A581" s="48">
        <v>0.5</v>
      </c>
      <c r="B581" s="48"/>
      <c r="C581" s="83">
        <f t="shared" ca="1" si="40"/>
        <v>43882</v>
      </c>
      <c r="D581" s="84">
        <f t="shared" si="41"/>
        <v>226.5</v>
      </c>
      <c r="E581" s="74" t="str">
        <f t="shared" ca="1" si="39"/>
        <v>HD_022120C226.5</v>
      </c>
      <c r="F581" s="75" t="str">
        <f ca="1">_xll.xlqName(E581,tda)</f>
        <v>#N/A</v>
      </c>
      <c r="G581" s="75" t="str">
        <f t="shared" ca="1" si="42"/>
        <v>BAD</v>
      </c>
      <c r="I581" s="83">
        <v>43882</v>
      </c>
      <c r="J581" s="84">
        <v>191.5</v>
      </c>
      <c r="K581" s="74" t="s">
        <v>874</v>
      </c>
      <c r="L581" s="75" t="s">
        <v>53</v>
      </c>
      <c r="M581" s="75" t="s">
        <v>106</v>
      </c>
    </row>
    <row r="582" spans="1:13" x14ac:dyDescent="0.25">
      <c r="A582" s="48">
        <v>0.5</v>
      </c>
      <c r="B582" s="48"/>
      <c r="C582" s="83">
        <f t="shared" ca="1" si="40"/>
        <v>43882</v>
      </c>
      <c r="D582" s="84">
        <f t="shared" si="41"/>
        <v>227</v>
      </c>
      <c r="E582" s="74" t="str">
        <f t="shared" ca="1" si="39"/>
        <v>HD_022120C227</v>
      </c>
      <c r="F582" s="75" t="str">
        <f ca="1">_xll.xlqName(E582,tda)</f>
        <v>#N/A</v>
      </c>
      <c r="G582" s="75" t="str">
        <f t="shared" ca="1" si="42"/>
        <v>BAD</v>
      </c>
      <c r="I582" s="83">
        <v>43882</v>
      </c>
      <c r="J582" s="84">
        <v>192</v>
      </c>
      <c r="K582" s="74" t="s">
        <v>875</v>
      </c>
      <c r="L582" s="75" t="s">
        <v>53</v>
      </c>
      <c r="M582" s="75" t="s">
        <v>106</v>
      </c>
    </row>
    <row r="583" spans="1:13" x14ac:dyDescent="0.25">
      <c r="A583" s="48">
        <v>1</v>
      </c>
      <c r="B583" s="48"/>
      <c r="C583" s="83">
        <f t="shared" ca="1" si="40"/>
        <v>43882</v>
      </c>
      <c r="D583" s="84">
        <f t="shared" si="41"/>
        <v>228</v>
      </c>
      <c r="E583" s="74" t="str">
        <f t="shared" ca="1" si="39"/>
        <v>HD_022120C228</v>
      </c>
      <c r="F583" s="75" t="str">
        <f ca="1">_xll.xlqName(E583,tda)</f>
        <v>#N/A</v>
      </c>
      <c r="G583" s="75" t="str">
        <f t="shared" ca="1" si="42"/>
        <v>BAD</v>
      </c>
      <c r="I583" s="83">
        <v>43882</v>
      </c>
      <c r="J583" s="84">
        <v>193</v>
      </c>
      <c r="K583" s="74" t="s">
        <v>876</v>
      </c>
      <c r="L583" s="75" t="s">
        <v>53</v>
      </c>
      <c r="M583" s="75" t="s">
        <v>106</v>
      </c>
    </row>
    <row r="584" spans="1:13" x14ac:dyDescent="0.25">
      <c r="A584" s="48">
        <v>1</v>
      </c>
      <c r="B584" s="48"/>
      <c r="C584" s="83">
        <f t="shared" ca="1" si="40"/>
        <v>43882</v>
      </c>
      <c r="D584" s="84">
        <f t="shared" si="41"/>
        <v>229</v>
      </c>
      <c r="E584" s="74" t="str">
        <f t="shared" ca="1" si="39"/>
        <v>HD_022120C229</v>
      </c>
      <c r="F584" s="75" t="str">
        <f ca="1">_xll.xlqName(E584,tda)</f>
        <v>#N/A</v>
      </c>
      <c r="G584" s="75" t="str">
        <f t="shared" ca="1" si="42"/>
        <v>BAD</v>
      </c>
      <c r="I584" s="83">
        <v>43882</v>
      </c>
      <c r="J584" s="84">
        <v>194</v>
      </c>
      <c r="K584" s="74" t="s">
        <v>877</v>
      </c>
      <c r="L584" s="75" t="s">
        <v>53</v>
      </c>
      <c r="M584" s="75" t="s">
        <v>106</v>
      </c>
    </row>
    <row r="585" spans="1:13" x14ac:dyDescent="0.25">
      <c r="A585" s="48">
        <v>1</v>
      </c>
      <c r="B585" s="48"/>
      <c r="C585" s="83">
        <f t="shared" ca="1" si="40"/>
        <v>43882</v>
      </c>
      <c r="D585" s="84">
        <f t="shared" si="41"/>
        <v>230</v>
      </c>
      <c r="E585" s="74" t="str">
        <f t="shared" ca="1" si="39"/>
        <v>HD_022120C230</v>
      </c>
      <c r="F585" s="75" t="str">
        <f ca="1">_xll.xlqName(E585,tda)</f>
        <v>HD Feb 21 2020 230 Call</v>
      </c>
      <c r="G585" s="75" t="str">
        <f t="shared" ca="1" si="42"/>
        <v/>
      </c>
      <c r="I585" s="83">
        <v>43882</v>
      </c>
      <c r="J585" s="84">
        <v>195</v>
      </c>
      <c r="K585" s="74" t="s">
        <v>878</v>
      </c>
      <c r="L585" s="75" t="s">
        <v>879</v>
      </c>
      <c r="M585" s="75" t="s">
        <v>111</v>
      </c>
    </row>
    <row r="586" spans="1:13" x14ac:dyDescent="0.25">
      <c r="A586" s="48">
        <v>1</v>
      </c>
      <c r="B586" s="48"/>
      <c r="C586" s="83">
        <f t="shared" ca="1" si="40"/>
        <v>43910</v>
      </c>
      <c r="D586" s="84">
        <f t="shared" si="41"/>
        <v>170</v>
      </c>
      <c r="E586" s="74" t="str">
        <f t="shared" ca="1" si="39"/>
        <v>HD_032020C170</v>
      </c>
      <c r="F586" s="75" t="str">
        <f ca="1">_xll.xlqName(E586,tda)</f>
        <v>HD Mar 20 2020 170 Call</v>
      </c>
      <c r="G586" s="75" t="str">
        <f t="shared" ca="1" si="42"/>
        <v/>
      </c>
      <c r="I586" s="83">
        <v>43882</v>
      </c>
      <c r="J586" s="84">
        <v>196</v>
      </c>
      <c r="K586" s="74" t="s">
        <v>880</v>
      </c>
      <c r="L586" s="75" t="s">
        <v>53</v>
      </c>
      <c r="M586" s="75" t="s">
        <v>106</v>
      </c>
    </row>
    <row r="587" spans="1:13" x14ac:dyDescent="0.25">
      <c r="A587" s="48">
        <v>0.5</v>
      </c>
      <c r="B587" s="48"/>
      <c r="C587" s="83">
        <f t="shared" ca="1" si="40"/>
        <v>43910</v>
      </c>
      <c r="D587" s="84">
        <f t="shared" si="41"/>
        <v>170.5</v>
      </c>
      <c r="E587" s="74" t="str">
        <f t="shared" ca="1" si="39"/>
        <v>HD_032020C170.5</v>
      </c>
      <c r="F587" s="75" t="str">
        <f ca="1">_xll.xlqName(E587,tda)</f>
        <v>#N/A</v>
      </c>
      <c r="G587" s="75" t="str">
        <f t="shared" ca="1" si="42"/>
        <v>BAD</v>
      </c>
      <c r="I587" s="83">
        <v>43882</v>
      </c>
      <c r="J587" s="84">
        <v>196.5</v>
      </c>
      <c r="K587" s="74" t="s">
        <v>881</v>
      </c>
      <c r="L587" s="75" t="s">
        <v>53</v>
      </c>
      <c r="M587" s="75" t="s">
        <v>106</v>
      </c>
    </row>
    <row r="588" spans="1:13" x14ac:dyDescent="0.25">
      <c r="A588" s="48">
        <v>0.5</v>
      </c>
      <c r="B588" s="48"/>
      <c r="C588" s="83">
        <f t="shared" ca="1" si="40"/>
        <v>43910</v>
      </c>
      <c r="D588" s="84">
        <f t="shared" si="41"/>
        <v>171</v>
      </c>
      <c r="E588" s="74" t="str">
        <f t="shared" ca="1" si="39"/>
        <v>HD_032020C171</v>
      </c>
      <c r="F588" s="75" t="str">
        <f ca="1">_xll.xlqName(E588,tda)</f>
        <v>#N/A</v>
      </c>
      <c r="G588" s="75" t="str">
        <f t="shared" ca="1" si="42"/>
        <v>BAD</v>
      </c>
      <c r="I588" s="83">
        <v>43882</v>
      </c>
      <c r="J588" s="84">
        <v>197</v>
      </c>
      <c r="K588" s="74" t="s">
        <v>882</v>
      </c>
      <c r="L588" s="75" t="s">
        <v>53</v>
      </c>
      <c r="M588" s="75" t="s">
        <v>106</v>
      </c>
    </row>
    <row r="589" spans="1:13" x14ac:dyDescent="0.25">
      <c r="A589" s="48">
        <v>1</v>
      </c>
      <c r="B589" s="48"/>
      <c r="C589" s="83">
        <f t="shared" ca="1" si="40"/>
        <v>43910</v>
      </c>
      <c r="D589" s="84">
        <f t="shared" si="41"/>
        <v>172</v>
      </c>
      <c r="E589" s="74" t="str">
        <f t="shared" ca="1" si="39"/>
        <v>HD_032020C172</v>
      </c>
      <c r="F589" s="75" t="str">
        <f ca="1">_xll.xlqName(E589,tda)</f>
        <v>#N/A</v>
      </c>
      <c r="G589" s="75" t="str">
        <f t="shared" ca="1" si="42"/>
        <v>BAD</v>
      </c>
      <c r="I589" s="83">
        <v>43882</v>
      </c>
      <c r="J589" s="84">
        <v>198</v>
      </c>
      <c r="K589" s="74" t="s">
        <v>883</v>
      </c>
      <c r="L589" s="75" t="s">
        <v>53</v>
      </c>
      <c r="M589" s="75" t="s">
        <v>106</v>
      </c>
    </row>
    <row r="590" spans="1:13" x14ac:dyDescent="0.25">
      <c r="A590" s="48">
        <v>1</v>
      </c>
      <c r="B590" s="48"/>
      <c r="C590" s="83">
        <f t="shared" ca="1" si="40"/>
        <v>43910</v>
      </c>
      <c r="D590" s="84">
        <f t="shared" si="41"/>
        <v>173</v>
      </c>
      <c r="E590" s="74" t="str">
        <f t="shared" ca="1" si="39"/>
        <v>HD_032020C173</v>
      </c>
      <c r="F590" s="75" t="str">
        <f ca="1">_xll.xlqName(E590,tda)</f>
        <v>#N/A</v>
      </c>
      <c r="G590" s="75" t="str">
        <f t="shared" ca="1" si="42"/>
        <v>BAD</v>
      </c>
      <c r="I590" s="83">
        <v>43882</v>
      </c>
      <c r="J590" s="84">
        <v>199</v>
      </c>
      <c r="K590" s="74" t="s">
        <v>884</v>
      </c>
      <c r="L590" s="75" t="s">
        <v>53</v>
      </c>
      <c r="M590" s="75" t="s">
        <v>106</v>
      </c>
    </row>
    <row r="591" spans="1:13" x14ac:dyDescent="0.25">
      <c r="A591" s="48">
        <v>1</v>
      </c>
      <c r="B591" s="48"/>
      <c r="C591" s="83">
        <f t="shared" ca="1" si="40"/>
        <v>43910</v>
      </c>
      <c r="D591" s="84">
        <f t="shared" si="41"/>
        <v>174</v>
      </c>
      <c r="E591" s="74" t="str">
        <f t="shared" ca="1" si="39"/>
        <v>HD_032020C174</v>
      </c>
      <c r="F591" s="75" t="str">
        <f ca="1">_xll.xlqName(E591,tda)</f>
        <v>#N/A</v>
      </c>
      <c r="G591" s="75" t="str">
        <f t="shared" ca="1" si="42"/>
        <v>BAD</v>
      </c>
      <c r="I591" s="83">
        <v>43882</v>
      </c>
      <c r="J591" s="84">
        <v>200</v>
      </c>
      <c r="K591" s="74" t="s">
        <v>885</v>
      </c>
      <c r="L591" s="75" t="s">
        <v>886</v>
      </c>
      <c r="M591" s="75" t="s">
        <v>111</v>
      </c>
    </row>
    <row r="592" spans="1:13" x14ac:dyDescent="0.25">
      <c r="A592" s="48">
        <v>1</v>
      </c>
      <c r="B592" s="48"/>
      <c r="C592" s="83">
        <f t="shared" ca="1" si="40"/>
        <v>43910</v>
      </c>
      <c r="D592" s="84">
        <f t="shared" si="41"/>
        <v>175</v>
      </c>
      <c r="E592" s="74" t="str">
        <f t="shared" ca="1" si="39"/>
        <v>HD_032020C175</v>
      </c>
      <c r="F592" s="75" t="str">
        <f ca="1">_xll.xlqName(E592,tda)</f>
        <v>HD Mar 20 2020 175 Call</v>
      </c>
      <c r="G592" s="75" t="str">
        <f t="shared" ca="1" si="42"/>
        <v/>
      </c>
      <c r="I592" s="83">
        <v>43882</v>
      </c>
      <c r="J592" s="84">
        <v>201</v>
      </c>
      <c r="K592" s="74" t="s">
        <v>887</v>
      </c>
      <c r="L592" s="75" t="s">
        <v>53</v>
      </c>
      <c r="M592" s="75" t="s">
        <v>106</v>
      </c>
    </row>
    <row r="593" spans="1:13" x14ac:dyDescent="0.25">
      <c r="A593" s="48">
        <v>0.5</v>
      </c>
      <c r="B593" s="48"/>
      <c r="C593" s="83">
        <f t="shared" ca="1" si="40"/>
        <v>43910</v>
      </c>
      <c r="D593" s="84">
        <f t="shared" si="41"/>
        <v>175.5</v>
      </c>
      <c r="E593" s="74" t="str">
        <f t="shared" ca="1" si="39"/>
        <v>HD_032020C175.5</v>
      </c>
      <c r="F593" s="75" t="str">
        <f ca="1">_xll.xlqName(E593,tda)</f>
        <v>#N/A</v>
      </c>
      <c r="G593" s="75" t="str">
        <f t="shared" ca="1" si="42"/>
        <v>BAD</v>
      </c>
      <c r="I593" s="83">
        <v>43882</v>
      </c>
      <c r="J593" s="84">
        <v>201.5</v>
      </c>
      <c r="K593" s="74" t="s">
        <v>888</v>
      </c>
      <c r="L593" s="75" t="s">
        <v>53</v>
      </c>
      <c r="M593" s="75" t="s">
        <v>106</v>
      </c>
    </row>
    <row r="594" spans="1:13" x14ac:dyDescent="0.25">
      <c r="A594" s="48">
        <v>0.5</v>
      </c>
      <c r="B594" s="48"/>
      <c r="C594" s="83">
        <f t="shared" ca="1" si="40"/>
        <v>43910</v>
      </c>
      <c r="D594" s="84">
        <f t="shared" si="41"/>
        <v>176</v>
      </c>
      <c r="E594" s="74" t="str">
        <f t="shared" ca="1" si="39"/>
        <v>HD_032020C176</v>
      </c>
      <c r="F594" s="75" t="str">
        <f ca="1">_xll.xlqName(E594,tda)</f>
        <v>#N/A</v>
      </c>
      <c r="G594" s="75" t="str">
        <f t="shared" ca="1" si="42"/>
        <v>BAD</v>
      </c>
      <c r="I594" s="83">
        <v>43882</v>
      </c>
      <c r="J594" s="84">
        <v>202</v>
      </c>
      <c r="K594" s="74" t="s">
        <v>889</v>
      </c>
      <c r="L594" s="75" t="s">
        <v>53</v>
      </c>
      <c r="M594" s="75" t="s">
        <v>106</v>
      </c>
    </row>
    <row r="595" spans="1:13" x14ac:dyDescent="0.25">
      <c r="A595" s="48">
        <v>1</v>
      </c>
      <c r="B595" s="48"/>
      <c r="C595" s="83">
        <f t="shared" ca="1" si="40"/>
        <v>43910</v>
      </c>
      <c r="D595" s="84">
        <f t="shared" si="41"/>
        <v>177</v>
      </c>
      <c r="E595" s="74" t="str">
        <f t="shared" ca="1" si="39"/>
        <v>HD_032020C177</v>
      </c>
      <c r="F595" s="75" t="str">
        <f ca="1">_xll.xlqName(E595,tda)</f>
        <v>#N/A</v>
      </c>
      <c r="G595" s="75" t="str">
        <f t="shared" ca="1" si="42"/>
        <v>BAD</v>
      </c>
      <c r="I595" s="83">
        <v>43882</v>
      </c>
      <c r="J595" s="84">
        <v>203</v>
      </c>
      <c r="K595" s="74" t="s">
        <v>890</v>
      </c>
      <c r="L595" s="75" t="s">
        <v>53</v>
      </c>
      <c r="M595" s="75" t="s">
        <v>106</v>
      </c>
    </row>
    <row r="596" spans="1:13" x14ac:dyDescent="0.25">
      <c r="A596" s="48">
        <v>1</v>
      </c>
      <c r="B596" s="48"/>
      <c r="C596" s="83">
        <f t="shared" ca="1" si="40"/>
        <v>43910</v>
      </c>
      <c r="D596" s="84">
        <f t="shared" si="41"/>
        <v>178</v>
      </c>
      <c r="E596" s="74" t="str">
        <f t="shared" ca="1" si="39"/>
        <v>HD_032020C178</v>
      </c>
      <c r="F596" s="75" t="str">
        <f ca="1">_xll.xlqName(E596,tda)</f>
        <v>#N/A</v>
      </c>
      <c r="G596" s="75" t="str">
        <f t="shared" ca="1" si="42"/>
        <v>BAD</v>
      </c>
      <c r="I596" s="83">
        <v>43882</v>
      </c>
      <c r="J596" s="84">
        <v>204</v>
      </c>
      <c r="K596" s="74" t="s">
        <v>891</v>
      </c>
      <c r="L596" s="75" t="s">
        <v>53</v>
      </c>
      <c r="M596" s="75" t="s">
        <v>106</v>
      </c>
    </row>
    <row r="597" spans="1:13" x14ac:dyDescent="0.25">
      <c r="A597" s="48">
        <v>1</v>
      </c>
      <c r="B597" s="48"/>
      <c r="C597" s="83">
        <f t="shared" ca="1" si="40"/>
        <v>43910</v>
      </c>
      <c r="D597" s="84">
        <f t="shared" si="41"/>
        <v>179</v>
      </c>
      <c r="E597" s="74" t="str">
        <f t="shared" ca="1" si="39"/>
        <v>HD_032020C179</v>
      </c>
      <c r="F597" s="75" t="str">
        <f ca="1">_xll.xlqName(E597,tda)</f>
        <v>#N/A</v>
      </c>
      <c r="G597" s="75" t="str">
        <f t="shared" ca="1" si="42"/>
        <v>BAD</v>
      </c>
      <c r="I597" s="83">
        <v>43882</v>
      </c>
      <c r="J597" s="84">
        <v>205</v>
      </c>
      <c r="K597" s="74" t="s">
        <v>892</v>
      </c>
      <c r="L597" s="75" t="s">
        <v>893</v>
      </c>
      <c r="M597" s="75" t="s">
        <v>111</v>
      </c>
    </row>
    <row r="598" spans="1:13" x14ac:dyDescent="0.25">
      <c r="A598" s="48">
        <v>1</v>
      </c>
      <c r="B598" s="48"/>
      <c r="C598" s="83">
        <f t="shared" ca="1" si="40"/>
        <v>43910</v>
      </c>
      <c r="D598" s="84">
        <f t="shared" si="41"/>
        <v>180</v>
      </c>
      <c r="E598" s="74" t="str">
        <f t="shared" ca="1" si="39"/>
        <v>HD_032020C180</v>
      </c>
      <c r="F598" s="75" t="str">
        <f ca="1">_xll.xlqName(E598,tda)</f>
        <v>HD Mar 20 2020 180 Call</v>
      </c>
      <c r="G598" s="75" t="str">
        <f t="shared" ca="1" si="42"/>
        <v/>
      </c>
      <c r="I598" s="83">
        <v>43882</v>
      </c>
      <c r="J598" s="84">
        <v>206</v>
      </c>
      <c r="K598" s="74" t="s">
        <v>894</v>
      </c>
      <c r="L598" s="75" t="s">
        <v>53</v>
      </c>
      <c r="M598" s="75" t="s">
        <v>106</v>
      </c>
    </row>
    <row r="599" spans="1:13" x14ac:dyDescent="0.25">
      <c r="A599" s="48">
        <v>0.5</v>
      </c>
      <c r="B599" s="48"/>
      <c r="C599" s="83">
        <f t="shared" ca="1" si="40"/>
        <v>43910</v>
      </c>
      <c r="D599" s="84">
        <f t="shared" si="41"/>
        <v>180.5</v>
      </c>
      <c r="E599" s="74" t="str">
        <f t="shared" ca="1" si="39"/>
        <v>HD_032020C180.5</v>
      </c>
      <c r="F599" s="75" t="str">
        <f ca="1">_xll.xlqName(E599,tda)</f>
        <v>#N/A</v>
      </c>
      <c r="G599" s="75" t="str">
        <f t="shared" ca="1" si="42"/>
        <v>BAD</v>
      </c>
      <c r="I599" s="83">
        <v>43882</v>
      </c>
      <c r="J599" s="84">
        <v>206.5</v>
      </c>
      <c r="K599" s="74" t="s">
        <v>895</v>
      </c>
      <c r="L599" s="75" t="s">
        <v>53</v>
      </c>
      <c r="M599" s="75" t="s">
        <v>106</v>
      </c>
    </row>
    <row r="600" spans="1:13" x14ac:dyDescent="0.25">
      <c r="A600" s="48">
        <v>0.5</v>
      </c>
      <c r="B600" s="48"/>
      <c r="C600" s="83">
        <f t="shared" ca="1" si="40"/>
        <v>43910</v>
      </c>
      <c r="D600" s="84">
        <f t="shared" si="41"/>
        <v>181</v>
      </c>
      <c r="E600" s="74" t="str">
        <f t="shared" ca="1" si="39"/>
        <v>HD_032020C181</v>
      </c>
      <c r="F600" s="75" t="str">
        <f ca="1">_xll.xlqName(E600,tda)</f>
        <v>#N/A</v>
      </c>
      <c r="G600" s="75" t="str">
        <f t="shared" ca="1" si="42"/>
        <v>BAD</v>
      </c>
      <c r="I600" s="83">
        <v>43882</v>
      </c>
      <c r="J600" s="84">
        <v>207</v>
      </c>
      <c r="K600" s="74" t="s">
        <v>896</v>
      </c>
      <c r="L600" s="75" t="s">
        <v>53</v>
      </c>
      <c r="M600" s="75" t="s">
        <v>106</v>
      </c>
    </row>
    <row r="601" spans="1:13" x14ac:dyDescent="0.25">
      <c r="A601" s="48">
        <v>1</v>
      </c>
      <c r="B601" s="48"/>
      <c r="C601" s="83">
        <f t="shared" ca="1" si="40"/>
        <v>43910</v>
      </c>
      <c r="D601" s="84">
        <f t="shared" si="41"/>
        <v>182</v>
      </c>
      <c r="E601" s="74" t="str">
        <f t="shared" ca="1" si="39"/>
        <v>HD_032020C182</v>
      </c>
      <c r="F601" s="75" t="str">
        <f ca="1">_xll.xlqName(E601,tda)</f>
        <v>#N/A</v>
      </c>
      <c r="G601" s="75" t="str">
        <f t="shared" ca="1" si="42"/>
        <v>BAD</v>
      </c>
      <c r="I601" s="83">
        <v>43882</v>
      </c>
      <c r="J601" s="84">
        <v>208</v>
      </c>
      <c r="K601" s="74" t="s">
        <v>897</v>
      </c>
      <c r="L601" s="75" t="s">
        <v>53</v>
      </c>
      <c r="M601" s="75" t="s">
        <v>106</v>
      </c>
    </row>
    <row r="602" spans="1:13" x14ac:dyDescent="0.25">
      <c r="A602" s="48">
        <v>1</v>
      </c>
      <c r="B602" s="48"/>
      <c r="C602" s="83">
        <f t="shared" ca="1" si="40"/>
        <v>43910</v>
      </c>
      <c r="D602" s="84">
        <f t="shared" si="41"/>
        <v>183</v>
      </c>
      <c r="E602" s="74" t="str">
        <f t="shared" ca="1" si="39"/>
        <v>HD_032020C183</v>
      </c>
      <c r="F602" s="75" t="str">
        <f ca="1">_xll.xlqName(E602,tda)</f>
        <v>#N/A</v>
      </c>
      <c r="G602" s="75" t="str">
        <f t="shared" ca="1" si="42"/>
        <v>BAD</v>
      </c>
      <c r="I602" s="83">
        <v>43882</v>
      </c>
      <c r="J602" s="84">
        <v>209</v>
      </c>
      <c r="K602" s="74" t="s">
        <v>898</v>
      </c>
      <c r="L602" s="75" t="s">
        <v>53</v>
      </c>
      <c r="M602" s="75" t="s">
        <v>106</v>
      </c>
    </row>
    <row r="603" spans="1:13" x14ac:dyDescent="0.25">
      <c r="A603" s="48">
        <v>1</v>
      </c>
      <c r="B603" s="48"/>
      <c r="C603" s="83">
        <f t="shared" ca="1" si="40"/>
        <v>43910</v>
      </c>
      <c r="D603" s="84">
        <f t="shared" si="41"/>
        <v>184</v>
      </c>
      <c r="E603" s="74" t="str">
        <f t="shared" ca="1" si="39"/>
        <v>HD_032020C184</v>
      </c>
      <c r="F603" s="75" t="str">
        <f ca="1">_xll.xlqName(E603,tda)</f>
        <v>#N/A</v>
      </c>
      <c r="G603" s="75" t="str">
        <f t="shared" ca="1" si="42"/>
        <v>BAD</v>
      </c>
      <c r="I603" s="83">
        <v>43882</v>
      </c>
      <c r="J603" s="84">
        <v>210</v>
      </c>
      <c r="K603" s="74" t="s">
        <v>899</v>
      </c>
      <c r="L603" s="75" t="s">
        <v>900</v>
      </c>
      <c r="M603" s="75" t="s">
        <v>111</v>
      </c>
    </row>
    <row r="604" spans="1:13" x14ac:dyDescent="0.25">
      <c r="A604" s="48">
        <v>1</v>
      </c>
      <c r="B604" s="48"/>
      <c r="C604" s="83">
        <f t="shared" ca="1" si="40"/>
        <v>43910</v>
      </c>
      <c r="D604" s="84">
        <f t="shared" si="41"/>
        <v>185</v>
      </c>
      <c r="E604" s="74" t="str">
        <f t="shared" ca="1" si="39"/>
        <v>HD_032020C185</v>
      </c>
      <c r="F604" s="75" t="str">
        <f ca="1">_xll.xlqName(E604,tda)</f>
        <v>HD Mar 20 2020 185 Call</v>
      </c>
      <c r="G604" s="75" t="str">
        <f t="shared" ca="1" si="42"/>
        <v/>
      </c>
      <c r="I604" s="83">
        <v>43882</v>
      </c>
      <c r="J604" s="84">
        <v>211</v>
      </c>
      <c r="K604" s="74" t="s">
        <v>901</v>
      </c>
      <c r="L604" s="75" t="s">
        <v>53</v>
      </c>
      <c r="M604" s="75" t="s">
        <v>106</v>
      </c>
    </row>
    <row r="605" spans="1:13" x14ac:dyDescent="0.25">
      <c r="A605" s="48">
        <v>0.5</v>
      </c>
      <c r="B605" s="48"/>
      <c r="C605" s="83">
        <f t="shared" ca="1" si="40"/>
        <v>43910</v>
      </c>
      <c r="D605" s="84">
        <f t="shared" si="41"/>
        <v>185.5</v>
      </c>
      <c r="E605" s="74" t="str">
        <f t="shared" ca="1" si="39"/>
        <v>HD_032020C185.5</v>
      </c>
      <c r="F605" s="75" t="str">
        <f ca="1">_xll.xlqName(E605,tda)</f>
        <v>#N/A</v>
      </c>
      <c r="G605" s="75" t="str">
        <f t="shared" ca="1" si="42"/>
        <v>BAD</v>
      </c>
      <c r="I605" s="83">
        <v>43882</v>
      </c>
      <c r="J605" s="84">
        <v>211.5</v>
      </c>
      <c r="K605" s="74" t="s">
        <v>902</v>
      </c>
      <c r="L605" s="75" t="s">
        <v>53</v>
      </c>
      <c r="M605" s="75" t="s">
        <v>106</v>
      </c>
    </row>
    <row r="606" spans="1:13" x14ac:dyDescent="0.25">
      <c r="A606" s="48">
        <v>0.5</v>
      </c>
      <c r="B606" s="48"/>
      <c r="C606" s="83">
        <f t="shared" ca="1" si="40"/>
        <v>43910</v>
      </c>
      <c r="D606" s="84">
        <f t="shared" si="41"/>
        <v>186</v>
      </c>
      <c r="E606" s="74" t="str">
        <f t="shared" ca="1" si="39"/>
        <v>HD_032020C186</v>
      </c>
      <c r="F606" s="75" t="str">
        <f ca="1">_xll.xlqName(E606,tda)</f>
        <v>#N/A</v>
      </c>
      <c r="G606" s="75" t="str">
        <f t="shared" ca="1" si="42"/>
        <v>BAD</v>
      </c>
      <c r="I606" s="83">
        <v>43882</v>
      </c>
      <c r="J606" s="84">
        <v>212</v>
      </c>
      <c r="K606" s="74" t="s">
        <v>903</v>
      </c>
      <c r="L606" s="75" t="s">
        <v>53</v>
      </c>
      <c r="M606" s="75" t="s">
        <v>106</v>
      </c>
    </row>
    <row r="607" spans="1:13" x14ac:dyDescent="0.25">
      <c r="A607" s="48">
        <v>1</v>
      </c>
      <c r="B607" s="48"/>
      <c r="C607" s="83">
        <f t="shared" ca="1" si="40"/>
        <v>43910</v>
      </c>
      <c r="D607" s="84">
        <f t="shared" si="41"/>
        <v>187</v>
      </c>
      <c r="E607" s="74" t="str">
        <f t="shared" ca="1" si="39"/>
        <v>HD_032020C187</v>
      </c>
      <c r="F607" s="75" t="str">
        <f ca="1">_xll.xlqName(E607,tda)</f>
        <v>#N/A</v>
      </c>
      <c r="G607" s="75" t="str">
        <f t="shared" ca="1" si="42"/>
        <v>BAD</v>
      </c>
      <c r="I607" s="83">
        <v>43882</v>
      </c>
      <c r="J607" s="84">
        <v>213</v>
      </c>
      <c r="K607" s="74" t="s">
        <v>904</v>
      </c>
      <c r="L607" s="75" t="s">
        <v>53</v>
      </c>
      <c r="M607" s="75" t="s">
        <v>106</v>
      </c>
    </row>
    <row r="608" spans="1:13" x14ac:dyDescent="0.25">
      <c r="A608" s="48">
        <v>1</v>
      </c>
      <c r="B608" s="48"/>
      <c r="C608" s="83">
        <f t="shared" ca="1" si="40"/>
        <v>43910</v>
      </c>
      <c r="D608" s="84">
        <f t="shared" si="41"/>
        <v>188</v>
      </c>
      <c r="E608" s="74" t="str">
        <f t="shared" ca="1" si="39"/>
        <v>HD_032020C188</v>
      </c>
      <c r="F608" s="75" t="str">
        <f ca="1">_xll.xlqName(E608,tda)</f>
        <v>#N/A</v>
      </c>
      <c r="G608" s="75" t="str">
        <f t="shared" ca="1" si="42"/>
        <v>BAD</v>
      </c>
      <c r="I608" s="83">
        <v>43882</v>
      </c>
      <c r="J608" s="84">
        <v>214</v>
      </c>
      <c r="K608" s="74" t="s">
        <v>905</v>
      </c>
      <c r="L608" s="75" t="s">
        <v>53</v>
      </c>
      <c r="M608" s="75" t="s">
        <v>106</v>
      </c>
    </row>
    <row r="609" spans="1:13" x14ac:dyDescent="0.25">
      <c r="A609" s="48">
        <v>1</v>
      </c>
      <c r="B609" s="48"/>
      <c r="C609" s="83">
        <f t="shared" ca="1" si="40"/>
        <v>43910</v>
      </c>
      <c r="D609" s="84">
        <f t="shared" si="41"/>
        <v>189</v>
      </c>
      <c r="E609" s="74" t="str">
        <f t="shared" ca="1" si="39"/>
        <v>HD_032020C189</v>
      </c>
      <c r="F609" s="75" t="str">
        <f ca="1">_xll.xlqName(E609,tda)</f>
        <v>#N/A</v>
      </c>
      <c r="G609" s="75" t="str">
        <f t="shared" ca="1" si="42"/>
        <v>BAD</v>
      </c>
      <c r="I609" s="83">
        <v>43882</v>
      </c>
      <c r="J609" s="84">
        <v>215</v>
      </c>
      <c r="K609" s="74" t="s">
        <v>906</v>
      </c>
      <c r="L609" s="75" t="s">
        <v>907</v>
      </c>
      <c r="M609" s="75" t="s">
        <v>111</v>
      </c>
    </row>
    <row r="610" spans="1:13" x14ac:dyDescent="0.25">
      <c r="A610" s="48">
        <v>1</v>
      </c>
      <c r="B610" s="48"/>
      <c r="C610" s="83">
        <f t="shared" ca="1" si="40"/>
        <v>43910</v>
      </c>
      <c r="D610" s="84">
        <f t="shared" si="41"/>
        <v>190</v>
      </c>
      <c r="E610" s="74" t="str">
        <f t="shared" ca="1" si="39"/>
        <v>HD_032020C190</v>
      </c>
      <c r="F610" s="75" t="str">
        <f ca="1">_xll.xlqName(E610,tda)</f>
        <v>HD Mar 20 2020 190 Call</v>
      </c>
      <c r="G610" s="75" t="str">
        <f t="shared" ca="1" si="42"/>
        <v/>
      </c>
      <c r="I610" s="83">
        <v>43882</v>
      </c>
      <c r="J610" s="84">
        <v>216</v>
      </c>
      <c r="K610" s="74" t="s">
        <v>908</v>
      </c>
      <c r="L610" s="75" t="s">
        <v>53</v>
      </c>
      <c r="M610" s="75" t="s">
        <v>106</v>
      </c>
    </row>
    <row r="611" spans="1:13" x14ac:dyDescent="0.25">
      <c r="A611" s="48">
        <v>0.5</v>
      </c>
      <c r="B611" s="48"/>
      <c r="C611" s="83">
        <f t="shared" ca="1" si="40"/>
        <v>43910</v>
      </c>
      <c r="D611" s="84">
        <f t="shared" si="41"/>
        <v>190.5</v>
      </c>
      <c r="E611" s="74" t="str">
        <f t="shared" ca="1" si="39"/>
        <v>HD_032020C190.5</v>
      </c>
      <c r="F611" s="75" t="str">
        <f ca="1">_xll.xlqName(E611,tda)</f>
        <v>#N/A</v>
      </c>
      <c r="G611" s="75" t="str">
        <f t="shared" ca="1" si="42"/>
        <v>BAD</v>
      </c>
      <c r="I611" s="83">
        <v>43882</v>
      </c>
      <c r="J611" s="84">
        <v>216.5</v>
      </c>
      <c r="K611" s="74" t="s">
        <v>909</v>
      </c>
      <c r="L611" s="75" t="s">
        <v>53</v>
      </c>
      <c r="M611" s="75" t="s">
        <v>106</v>
      </c>
    </row>
    <row r="612" spans="1:13" x14ac:dyDescent="0.25">
      <c r="A612" s="48">
        <v>0.5</v>
      </c>
      <c r="B612" s="48"/>
      <c r="C612" s="83">
        <f t="shared" ca="1" si="40"/>
        <v>43910</v>
      </c>
      <c r="D612" s="84">
        <f t="shared" si="41"/>
        <v>191</v>
      </c>
      <c r="E612" s="74" t="str">
        <f t="shared" ca="1" si="39"/>
        <v>HD_032020C191</v>
      </c>
      <c r="F612" s="75" t="str">
        <f ca="1">_xll.xlqName(E612,tda)</f>
        <v>#N/A</v>
      </c>
      <c r="G612" s="75" t="str">
        <f t="shared" ca="1" si="42"/>
        <v>BAD</v>
      </c>
      <c r="I612" s="83">
        <v>43882</v>
      </c>
      <c r="J612" s="84">
        <v>217</v>
      </c>
      <c r="K612" s="74" t="s">
        <v>910</v>
      </c>
      <c r="L612" s="75" t="s">
        <v>53</v>
      </c>
      <c r="M612" s="75" t="s">
        <v>106</v>
      </c>
    </row>
    <row r="613" spans="1:13" x14ac:dyDescent="0.25">
      <c r="A613" s="48">
        <v>1</v>
      </c>
      <c r="B613" s="48"/>
      <c r="C613" s="83">
        <f t="shared" ca="1" si="40"/>
        <v>43910</v>
      </c>
      <c r="D613" s="84">
        <f t="shared" si="41"/>
        <v>192</v>
      </c>
      <c r="E613" s="74" t="str">
        <f t="shared" ca="1" si="39"/>
        <v>HD_032020C192</v>
      </c>
      <c r="F613" s="75" t="str">
        <f ca="1">_xll.xlqName(E613,tda)</f>
        <v>#N/A</v>
      </c>
      <c r="G613" s="75" t="str">
        <f t="shared" ca="1" si="42"/>
        <v>BAD</v>
      </c>
      <c r="I613" s="83">
        <v>43882</v>
      </c>
      <c r="J613" s="84">
        <v>218</v>
      </c>
      <c r="K613" s="74" t="s">
        <v>911</v>
      </c>
      <c r="L613" s="75" t="s">
        <v>53</v>
      </c>
      <c r="M613" s="75" t="s">
        <v>106</v>
      </c>
    </row>
    <row r="614" spans="1:13" x14ac:dyDescent="0.25">
      <c r="A614" s="48">
        <v>1</v>
      </c>
      <c r="B614" s="48"/>
      <c r="C614" s="83">
        <f t="shared" ca="1" si="40"/>
        <v>43910</v>
      </c>
      <c r="D614" s="84">
        <f t="shared" si="41"/>
        <v>193</v>
      </c>
      <c r="E614" s="74" t="str">
        <f t="shared" ca="1" si="39"/>
        <v>HD_032020C193</v>
      </c>
      <c r="F614" s="75" t="str">
        <f ca="1">_xll.xlqName(E614,tda)</f>
        <v>#N/A</v>
      </c>
      <c r="G614" s="75" t="str">
        <f t="shared" ca="1" si="42"/>
        <v>BAD</v>
      </c>
      <c r="I614" s="83">
        <v>43882</v>
      </c>
      <c r="J614" s="84">
        <v>219</v>
      </c>
      <c r="K614" s="74" t="s">
        <v>912</v>
      </c>
      <c r="L614" s="75" t="s">
        <v>53</v>
      </c>
      <c r="M614" s="75" t="s">
        <v>106</v>
      </c>
    </row>
    <row r="615" spans="1:13" x14ac:dyDescent="0.25">
      <c r="A615" s="48">
        <v>1</v>
      </c>
      <c r="B615" s="48"/>
      <c r="C615" s="83">
        <f t="shared" ca="1" si="40"/>
        <v>43910</v>
      </c>
      <c r="D615" s="84">
        <f t="shared" si="41"/>
        <v>194</v>
      </c>
      <c r="E615" s="74" t="str">
        <f t="shared" ca="1" si="39"/>
        <v>HD_032020C194</v>
      </c>
      <c r="F615" s="75" t="str">
        <f ca="1">_xll.xlqName(E615,tda)</f>
        <v>#N/A</v>
      </c>
      <c r="G615" s="75" t="str">
        <f t="shared" ca="1" si="42"/>
        <v>BAD</v>
      </c>
      <c r="I615" s="83">
        <v>43882</v>
      </c>
      <c r="J615" s="84">
        <v>220</v>
      </c>
      <c r="K615" s="74" t="s">
        <v>913</v>
      </c>
      <c r="L615" s="75" t="s">
        <v>914</v>
      </c>
      <c r="M615" s="75" t="s">
        <v>111</v>
      </c>
    </row>
    <row r="616" spans="1:13" x14ac:dyDescent="0.25">
      <c r="A616" s="48">
        <v>1</v>
      </c>
      <c r="B616" s="48"/>
      <c r="C616" s="83">
        <f t="shared" ca="1" si="40"/>
        <v>43910</v>
      </c>
      <c r="D616" s="84">
        <f t="shared" si="41"/>
        <v>195</v>
      </c>
      <c r="E616" s="74" t="str">
        <f t="shared" ca="1" si="39"/>
        <v>HD_032020C195</v>
      </c>
      <c r="F616" s="75" t="str">
        <f ca="1">_xll.xlqName(E616,tda)</f>
        <v>HD Mar 20 2020 195 Call</v>
      </c>
      <c r="G616" s="75" t="str">
        <f t="shared" ca="1" si="42"/>
        <v/>
      </c>
      <c r="I616" s="83">
        <v>43882</v>
      </c>
      <c r="J616" s="84">
        <v>221</v>
      </c>
      <c r="K616" s="74" t="s">
        <v>915</v>
      </c>
      <c r="L616" s="75" t="s">
        <v>53</v>
      </c>
      <c r="M616" s="75" t="s">
        <v>106</v>
      </c>
    </row>
    <row r="617" spans="1:13" x14ac:dyDescent="0.25">
      <c r="A617" s="48">
        <v>0.5</v>
      </c>
      <c r="B617" s="48"/>
      <c r="C617" s="83">
        <f t="shared" ca="1" si="40"/>
        <v>43910</v>
      </c>
      <c r="D617" s="84">
        <f t="shared" si="41"/>
        <v>195.5</v>
      </c>
      <c r="E617" s="74" t="str">
        <f t="shared" ca="1" si="39"/>
        <v>HD_032020C195.5</v>
      </c>
      <c r="F617" s="75" t="str">
        <f ca="1">_xll.xlqName(E617,tda)</f>
        <v>#N/A</v>
      </c>
      <c r="G617" s="75" t="str">
        <f t="shared" ca="1" si="42"/>
        <v>BAD</v>
      </c>
      <c r="I617" s="83">
        <v>43882</v>
      </c>
      <c r="J617" s="84">
        <v>221.5</v>
      </c>
      <c r="K617" s="74" t="s">
        <v>916</v>
      </c>
      <c r="L617" s="75" t="s">
        <v>53</v>
      </c>
      <c r="M617" s="75" t="s">
        <v>106</v>
      </c>
    </row>
    <row r="618" spans="1:13" x14ac:dyDescent="0.25">
      <c r="A618" s="48">
        <v>0.5</v>
      </c>
      <c r="B618" s="48"/>
      <c r="C618" s="83">
        <f t="shared" ca="1" si="40"/>
        <v>43910</v>
      </c>
      <c r="D618" s="84">
        <f t="shared" si="41"/>
        <v>196</v>
      </c>
      <c r="E618" s="74" t="str">
        <f t="shared" ca="1" si="39"/>
        <v>HD_032020C196</v>
      </c>
      <c r="F618" s="75" t="str">
        <f ca="1">_xll.xlqName(E618,tda)</f>
        <v>#N/A</v>
      </c>
      <c r="G618" s="75" t="str">
        <f t="shared" ca="1" si="42"/>
        <v>BAD</v>
      </c>
      <c r="I618" s="83">
        <v>43882</v>
      </c>
      <c r="J618" s="84">
        <v>222</v>
      </c>
      <c r="K618" s="74" t="s">
        <v>917</v>
      </c>
      <c r="L618" s="75" t="s">
        <v>53</v>
      </c>
      <c r="M618" s="75" t="s">
        <v>106</v>
      </c>
    </row>
    <row r="619" spans="1:13" x14ac:dyDescent="0.25">
      <c r="A619" s="48">
        <v>1</v>
      </c>
      <c r="B619" s="48"/>
      <c r="C619" s="83">
        <f t="shared" ca="1" si="40"/>
        <v>43910</v>
      </c>
      <c r="D619" s="84">
        <f t="shared" si="41"/>
        <v>197</v>
      </c>
      <c r="E619" s="74" t="str">
        <f t="shared" ca="1" si="39"/>
        <v>HD_032020C197</v>
      </c>
      <c r="F619" s="75" t="str">
        <f ca="1">_xll.xlqName(E619,tda)</f>
        <v>#N/A</v>
      </c>
      <c r="G619" s="75" t="str">
        <f t="shared" ca="1" si="42"/>
        <v>BAD</v>
      </c>
      <c r="I619" s="83">
        <v>43882</v>
      </c>
      <c r="J619" s="84">
        <v>223</v>
      </c>
      <c r="K619" s="74" t="s">
        <v>918</v>
      </c>
      <c r="L619" s="75" t="s">
        <v>53</v>
      </c>
      <c r="M619" s="75" t="s">
        <v>106</v>
      </c>
    </row>
    <row r="620" spans="1:13" x14ac:dyDescent="0.25">
      <c r="A620" s="48">
        <v>1</v>
      </c>
      <c r="B620" s="48"/>
      <c r="C620" s="83">
        <f t="shared" ca="1" si="40"/>
        <v>43910</v>
      </c>
      <c r="D620" s="84">
        <f t="shared" si="41"/>
        <v>198</v>
      </c>
      <c r="E620" s="74" t="str">
        <f t="shared" ca="1" si="39"/>
        <v>HD_032020C198</v>
      </c>
      <c r="F620" s="75" t="str">
        <f ca="1">_xll.xlqName(E620,tda)</f>
        <v>#N/A</v>
      </c>
      <c r="G620" s="75" t="str">
        <f t="shared" ca="1" si="42"/>
        <v>BAD</v>
      </c>
      <c r="I620" s="83">
        <v>43882</v>
      </c>
      <c r="J620" s="84">
        <v>224</v>
      </c>
      <c r="K620" s="74" t="s">
        <v>919</v>
      </c>
      <c r="L620" s="75" t="s">
        <v>53</v>
      </c>
      <c r="M620" s="75" t="s">
        <v>106</v>
      </c>
    </row>
    <row r="621" spans="1:13" x14ac:dyDescent="0.25">
      <c r="A621" s="48">
        <v>1</v>
      </c>
      <c r="B621" s="48"/>
      <c r="C621" s="83">
        <f t="shared" ca="1" si="40"/>
        <v>43910</v>
      </c>
      <c r="D621" s="84">
        <f t="shared" si="41"/>
        <v>199</v>
      </c>
      <c r="E621" s="74" t="str">
        <f t="shared" ca="1" si="39"/>
        <v>HD_032020C199</v>
      </c>
      <c r="F621" s="75" t="str">
        <f ca="1">_xll.xlqName(E621,tda)</f>
        <v>#N/A</v>
      </c>
      <c r="G621" s="75" t="str">
        <f t="shared" ca="1" si="42"/>
        <v>BAD</v>
      </c>
      <c r="I621" s="83">
        <v>43882</v>
      </c>
      <c r="J621" s="84">
        <v>225</v>
      </c>
      <c r="K621" s="74" t="s">
        <v>920</v>
      </c>
      <c r="L621" s="75" t="s">
        <v>921</v>
      </c>
      <c r="M621" s="75" t="s">
        <v>111</v>
      </c>
    </row>
    <row r="622" spans="1:13" x14ac:dyDescent="0.25">
      <c r="A622" s="48">
        <v>1</v>
      </c>
      <c r="B622" s="48"/>
      <c r="C622" s="83">
        <f t="shared" ca="1" si="40"/>
        <v>43910</v>
      </c>
      <c r="D622" s="84">
        <f t="shared" si="41"/>
        <v>200</v>
      </c>
      <c r="E622" s="74" t="str">
        <f t="shared" ca="1" si="39"/>
        <v>HD_032020C200</v>
      </c>
      <c r="F622" s="75" t="str">
        <f ca="1">_xll.xlqName(E622,tda)</f>
        <v>HD Mar 20 2020 200 Call</v>
      </c>
      <c r="G622" s="75" t="str">
        <f t="shared" ca="1" si="42"/>
        <v/>
      </c>
      <c r="I622" s="83">
        <v>43882</v>
      </c>
      <c r="J622" s="84">
        <v>226</v>
      </c>
      <c r="K622" s="74" t="s">
        <v>922</v>
      </c>
      <c r="L622" s="75" t="s">
        <v>53</v>
      </c>
      <c r="M622" s="75" t="s">
        <v>106</v>
      </c>
    </row>
    <row r="623" spans="1:13" x14ac:dyDescent="0.25">
      <c r="A623" s="48">
        <v>0.5</v>
      </c>
      <c r="B623" s="48"/>
      <c r="C623" s="83">
        <f t="shared" ca="1" si="40"/>
        <v>43910</v>
      </c>
      <c r="D623" s="84">
        <f t="shared" si="41"/>
        <v>200.5</v>
      </c>
      <c r="E623" s="74" t="str">
        <f t="shared" ca="1" si="39"/>
        <v>HD_032020C200.5</v>
      </c>
      <c r="F623" s="75" t="str">
        <f ca="1">_xll.xlqName(E623,tda)</f>
        <v>#N/A</v>
      </c>
      <c r="G623" s="75" t="str">
        <f t="shared" ca="1" si="42"/>
        <v>BAD</v>
      </c>
      <c r="I623" s="83">
        <v>43882</v>
      </c>
      <c r="J623" s="84">
        <v>226.5</v>
      </c>
      <c r="K623" s="74" t="s">
        <v>923</v>
      </c>
      <c r="L623" s="75" t="s">
        <v>53</v>
      </c>
      <c r="M623" s="75" t="s">
        <v>106</v>
      </c>
    </row>
    <row r="624" spans="1:13" x14ac:dyDescent="0.25">
      <c r="A624" s="48">
        <v>0.5</v>
      </c>
      <c r="B624" s="48"/>
      <c r="C624" s="83">
        <f t="shared" ca="1" si="40"/>
        <v>43910</v>
      </c>
      <c r="D624" s="84">
        <f t="shared" si="41"/>
        <v>201</v>
      </c>
      <c r="E624" s="74" t="str">
        <f t="shared" ca="1" si="39"/>
        <v>HD_032020C201</v>
      </c>
      <c r="F624" s="75" t="str">
        <f ca="1">_xll.xlqName(E624,tda)</f>
        <v>#N/A</v>
      </c>
      <c r="G624" s="75" t="str">
        <f t="shared" ca="1" si="42"/>
        <v>BAD</v>
      </c>
      <c r="I624" s="83">
        <v>43882</v>
      </c>
      <c r="J624" s="84">
        <v>227</v>
      </c>
      <c r="K624" s="74" t="s">
        <v>924</v>
      </c>
      <c r="L624" s="75" t="s">
        <v>53</v>
      </c>
      <c r="M624" s="75" t="s">
        <v>106</v>
      </c>
    </row>
    <row r="625" spans="1:13" x14ac:dyDescent="0.25">
      <c r="A625" s="48">
        <v>1</v>
      </c>
      <c r="B625" s="48"/>
      <c r="C625" s="83">
        <f t="shared" ca="1" si="40"/>
        <v>43910</v>
      </c>
      <c r="D625" s="84">
        <f t="shared" si="41"/>
        <v>202</v>
      </c>
      <c r="E625" s="74" t="str">
        <f t="shared" ca="1" si="39"/>
        <v>HD_032020C202</v>
      </c>
      <c r="F625" s="75" t="str">
        <f ca="1">_xll.xlqName(E625,tda)</f>
        <v>#N/A</v>
      </c>
      <c r="G625" s="75" t="str">
        <f t="shared" ca="1" si="42"/>
        <v>BAD</v>
      </c>
      <c r="I625" s="83">
        <v>43882</v>
      </c>
      <c r="J625" s="84">
        <v>228</v>
      </c>
      <c r="K625" s="74" t="s">
        <v>925</v>
      </c>
      <c r="L625" s="75" t="s">
        <v>53</v>
      </c>
      <c r="M625" s="75" t="s">
        <v>106</v>
      </c>
    </row>
    <row r="626" spans="1:13" x14ac:dyDescent="0.25">
      <c r="A626" s="48">
        <v>1</v>
      </c>
      <c r="B626" s="48"/>
      <c r="C626" s="83">
        <f t="shared" ca="1" si="40"/>
        <v>43910</v>
      </c>
      <c r="D626" s="84">
        <f t="shared" si="41"/>
        <v>203</v>
      </c>
      <c r="E626" s="74" t="str">
        <f t="shared" ca="1" si="39"/>
        <v>HD_032020C203</v>
      </c>
      <c r="F626" s="75" t="str">
        <f ca="1">_xll.xlqName(E626,tda)</f>
        <v>#N/A</v>
      </c>
      <c r="G626" s="75" t="str">
        <f t="shared" ca="1" si="42"/>
        <v>BAD</v>
      </c>
      <c r="I626" s="83">
        <v>43882</v>
      </c>
      <c r="J626" s="84">
        <v>229</v>
      </c>
      <c r="K626" s="74" t="s">
        <v>926</v>
      </c>
      <c r="L626" s="75" t="s">
        <v>53</v>
      </c>
      <c r="M626" s="75" t="s">
        <v>106</v>
      </c>
    </row>
    <row r="627" spans="1:13" x14ac:dyDescent="0.25">
      <c r="A627" s="48">
        <v>1</v>
      </c>
      <c r="B627" s="48"/>
      <c r="C627" s="83">
        <f t="shared" ca="1" si="40"/>
        <v>43910</v>
      </c>
      <c r="D627" s="84">
        <f t="shared" si="41"/>
        <v>204</v>
      </c>
      <c r="E627" s="74" t="str">
        <f t="shared" ca="1" si="39"/>
        <v>HD_032020C204</v>
      </c>
      <c r="F627" s="75" t="str">
        <f ca="1">_xll.xlqName(E627,tda)</f>
        <v>#N/A</v>
      </c>
      <c r="G627" s="75" t="str">
        <f t="shared" ca="1" si="42"/>
        <v>BAD</v>
      </c>
      <c r="I627" s="83">
        <v>43882</v>
      </c>
      <c r="J627" s="84">
        <v>230</v>
      </c>
      <c r="K627" s="74" t="s">
        <v>927</v>
      </c>
      <c r="L627" s="75" t="s">
        <v>928</v>
      </c>
      <c r="M627" s="75" t="s">
        <v>111</v>
      </c>
    </row>
    <row r="628" spans="1:13" x14ac:dyDescent="0.25">
      <c r="A628" s="48">
        <v>1</v>
      </c>
      <c r="B628" s="48"/>
      <c r="C628" s="83">
        <f t="shared" ca="1" si="40"/>
        <v>43910</v>
      </c>
      <c r="D628" s="84">
        <f t="shared" si="41"/>
        <v>205</v>
      </c>
      <c r="E628" s="74" t="str">
        <f t="shared" ca="1" si="39"/>
        <v>HD_032020C205</v>
      </c>
      <c r="F628" s="75" t="str">
        <f ca="1">_xll.xlqName(E628,tda)</f>
        <v>HD Mar 20 2020 205 Call</v>
      </c>
      <c r="G628" s="75" t="str">
        <f t="shared" ca="1" si="42"/>
        <v/>
      </c>
      <c r="I628" s="83">
        <v>43882</v>
      </c>
      <c r="J628" s="84">
        <v>231</v>
      </c>
      <c r="K628" s="74" t="s">
        <v>929</v>
      </c>
      <c r="L628" s="75" t="s">
        <v>53</v>
      </c>
      <c r="M628" s="75" t="s">
        <v>106</v>
      </c>
    </row>
    <row r="629" spans="1:13" x14ac:dyDescent="0.25">
      <c r="A629" s="48">
        <v>0.5</v>
      </c>
      <c r="B629" s="48"/>
      <c r="C629" s="83">
        <f t="shared" ca="1" si="40"/>
        <v>43910</v>
      </c>
      <c r="D629" s="84">
        <f t="shared" si="41"/>
        <v>205.5</v>
      </c>
      <c r="E629" s="74" t="str">
        <f t="shared" ca="1" si="39"/>
        <v>HD_032020C205.5</v>
      </c>
      <c r="F629" s="75" t="str">
        <f ca="1">_xll.xlqName(E629,tda)</f>
        <v>#N/A</v>
      </c>
      <c r="G629" s="75" t="str">
        <f t="shared" ca="1" si="42"/>
        <v>BAD</v>
      </c>
      <c r="I629" s="83">
        <v>43882</v>
      </c>
      <c r="J629" s="84">
        <v>231.5</v>
      </c>
      <c r="K629" s="74" t="s">
        <v>930</v>
      </c>
      <c r="L629" s="75" t="s">
        <v>53</v>
      </c>
      <c r="M629" s="75" t="s">
        <v>106</v>
      </c>
    </row>
    <row r="630" spans="1:13" x14ac:dyDescent="0.25">
      <c r="A630" s="48">
        <v>0.5</v>
      </c>
      <c r="B630" s="48"/>
      <c r="C630" s="83">
        <f t="shared" ca="1" si="40"/>
        <v>43910</v>
      </c>
      <c r="D630" s="84">
        <f t="shared" si="41"/>
        <v>206</v>
      </c>
      <c r="E630" s="74" t="str">
        <f t="shared" ca="1" si="39"/>
        <v>HD_032020C206</v>
      </c>
      <c r="F630" s="75" t="str">
        <f ca="1">_xll.xlqName(E630,tda)</f>
        <v>#N/A</v>
      </c>
      <c r="G630" s="75" t="str">
        <f t="shared" ca="1" si="42"/>
        <v>BAD</v>
      </c>
      <c r="I630" s="83">
        <v>43882</v>
      </c>
      <c r="J630" s="84">
        <v>232</v>
      </c>
      <c r="K630" s="74" t="s">
        <v>931</v>
      </c>
      <c r="L630" s="75" t="s">
        <v>53</v>
      </c>
      <c r="M630" s="75" t="s">
        <v>106</v>
      </c>
    </row>
    <row r="631" spans="1:13" x14ac:dyDescent="0.25">
      <c r="A631" s="48">
        <v>1</v>
      </c>
      <c r="B631" s="48"/>
      <c r="C631" s="83">
        <f t="shared" ca="1" si="40"/>
        <v>43910</v>
      </c>
      <c r="D631" s="84">
        <f t="shared" si="41"/>
        <v>207</v>
      </c>
      <c r="E631" s="74" t="str">
        <f t="shared" ca="1" si="39"/>
        <v>HD_032020C207</v>
      </c>
      <c r="F631" s="75" t="str">
        <f ca="1">_xll.xlqName(E631,tda)</f>
        <v>#N/A</v>
      </c>
      <c r="G631" s="75" t="str">
        <f t="shared" ca="1" si="42"/>
        <v>BAD</v>
      </c>
      <c r="I631" s="83">
        <v>43882</v>
      </c>
      <c r="J631" s="84">
        <v>233</v>
      </c>
      <c r="K631" s="74" t="s">
        <v>932</v>
      </c>
      <c r="L631" s="75" t="s">
        <v>53</v>
      </c>
      <c r="M631" s="75" t="s">
        <v>106</v>
      </c>
    </row>
    <row r="632" spans="1:13" x14ac:dyDescent="0.25">
      <c r="A632" s="48">
        <v>1</v>
      </c>
      <c r="B632" s="48"/>
      <c r="C632" s="83">
        <f t="shared" ca="1" si="40"/>
        <v>43910</v>
      </c>
      <c r="D632" s="84">
        <f t="shared" si="41"/>
        <v>208</v>
      </c>
      <c r="E632" s="74" t="str">
        <f t="shared" ca="1" si="39"/>
        <v>HD_032020C208</v>
      </c>
      <c r="F632" s="75" t="str">
        <f ca="1">_xll.xlqName(E632,tda)</f>
        <v>#N/A</v>
      </c>
      <c r="G632" s="75" t="str">
        <f t="shared" ca="1" si="42"/>
        <v>BAD</v>
      </c>
      <c r="I632" s="83">
        <v>43882</v>
      </c>
      <c r="J632" s="84">
        <v>234</v>
      </c>
      <c r="K632" s="74" t="s">
        <v>933</v>
      </c>
      <c r="L632" s="75" t="s">
        <v>53</v>
      </c>
      <c r="M632" s="75" t="s">
        <v>106</v>
      </c>
    </row>
    <row r="633" spans="1:13" x14ac:dyDescent="0.25">
      <c r="A633" s="48">
        <v>1</v>
      </c>
      <c r="B633" s="48"/>
      <c r="C633" s="83">
        <f t="shared" ca="1" si="40"/>
        <v>43910</v>
      </c>
      <c r="D633" s="84">
        <f t="shared" si="41"/>
        <v>209</v>
      </c>
      <c r="E633" s="74" t="str">
        <f t="shared" ca="1" si="39"/>
        <v>HD_032020C209</v>
      </c>
      <c r="F633" s="75" t="str">
        <f ca="1">_xll.xlqName(E633,tda)</f>
        <v>#N/A</v>
      </c>
      <c r="G633" s="75" t="str">
        <f t="shared" ca="1" si="42"/>
        <v>BAD</v>
      </c>
      <c r="I633" s="83">
        <v>43882</v>
      </c>
      <c r="J633" s="84">
        <v>235</v>
      </c>
      <c r="K633" s="74" t="s">
        <v>934</v>
      </c>
      <c r="L633" s="75" t="s">
        <v>935</v>
      </c>
      <c r="M633" s="75" t="s">
        <v>111</v>
      </c>
    </row>
    <row r="634" spans="1:13" x14ac:dyDescent="0.25">
      <c r="A634" s="48">
        <v>1</v>
      </c>
      <c r="B634" s="48"/>
      <c r="C634" s="83">
        <f t="shared" ca="1" si="40"/>
        <v>43910</v>
      </c>
      <c r="D634" s="84">
        <f t="shared" si="41"/>
        <v>210</v>
      </c>
      <c r="E634" s="74" t="str">
        <f t="shared" ca="1" si="39"/>
        <v>HD_032020C210</v>
      </c>
      <c r="F634" s="75" t="str">
        <f ca="1">_xll.xlqName(E634,tda)</f>
        <v>HD Mar 20 2020 210 Call</v>
      </c>
      <c r="G634" s="75" t="str">
        <f t="shared" ca="1" si="42"/>
        <v/>
      </c>
      <c r="I634" s="83">
        <v>43910</v>
      </c>
      <c r="J634" s="84">
        <v>170</v>
      </c>
      <c r="K634" s="74" t="s">
        <v>936</v>
      </c>
      <c r="L634" s="75" t="s">
        <v>937</v>
      </c>
      <c r="M634" s="75" t="s">
        <v>111</v>
      </c>
    </row>
    <row r="635" spans="1:13" x14ac:dyDescent="0.25">
      <c r="A635" s="48">
        <v>0.5</v>
      </c>
      <c r="B635" s="48"/>
      <c r="C635" s="83">
        <f t="shared" ca="1" si="40"/>
        <v>43910</v>
      </c>
      <c r="D635" s="84">
        <f t="shared" si="41"/>
        <v>210.5</v>
      </c>
      <c r="E635" s="74" t="str">
        <f t="shared" ca="1" si="39"/>
        <v>HD_032020C210.5</v>
      </c>
      <c r="F635" s="75" t="str">
        <f ca="1">_xll.xlqName(E635,tda)</f>
        <v>#N/A</v>
      </c>
      <c r="G635" s="75" t="str">
        <f t="shared" ca="1" si="42"/>
        <v>BAD</v>
      </c>
      <c r="I635" s="83">
        <v>43910</v>
      </c>
      <c r="J635" s="84">
        <v>170.5</v>
      </c>
      <c r="K635" s="74" t="s">
        <v>938</v>
      </c>
      <c r="L635" s="75" t="s">
        <v>53</v>
      </c>
      <c r="M635" s="75" t="s">
        <v>106</v>
      </c>
    </row>
    <row r="636" spans="1:13" x14ac:dyDescent="0.25">
      <c r="A636" s="48">
        <v>0.5</v>
      </c>
      <c r="B636" s="48"/>
      <c r="C636" s="83">
        <f t="shared" ca="1" si="40"/>
        <v>43910</v>
      </c>
      <c r="D636" s="84">
        <f t="shared" si="41"/>
        <v>211</v>
      </c>
      <c r="E636" s="74" t="str">
        <f t="shared" ca="1" si="39"/>
        <v>HD_032020C211</v>
      </c>
      <c r="F636" s="75" t="str">
        <f ca="1">_xll.xlqName(E636,tda)</f>
        <v>#N/A</v>
      </c>
      <c r="G636" s="75" t="str">
        <f t="shared" ca="1" si="42"/>
        <v>BAD</v>
      </c>
      <c r="I636" s="83">
        <v>43910</v>
      </c>
      <c r="J636" s="84">
        <v>171</v>
      </c>
      <c r="K636" s="74" t="s">
        <v>939</v>
      </c>
      <c r="L636" s="75" t="s">
        <v>53</v>
      </c>
      <c r="M636" s="75" t="s">
        <v>106</v>
      </c>
    </row>
    <row r="637" spans="1:13" x14ac:dyDescent="0.25">
      <c r="A637" s="48">
        <v>1</v>
      </c>
      <c r="B637" s="48"/>
      <c r="C637" s="83">
        <f t="shared" ca="1" si="40"/>
        <v>43910</v>
      </c>
      <c r="D637" s="84">
        <f t="shared" si="41"/>
        <v>212</v>
      </c>
      <c r="E637" s="74" t="str">
        <f t="shared" ca="1" si="39"/>
        <v>HD_032020C212</v>
      </c>
      <c r="F637" s="75" t="str">
        <f ca="1">_xll.xlqName(E637,tda)</f>
        <v>#N/A</v>
      </c>
      <c r="G637" s="75" t="str">
        <f t="shared" ca="1" si="42"/>
        <v>BAD</v>
      </c>
      <c r="I637" s="83">
        <v>43910</v>
      </c>
      <c r="J637" s="84">
        <v>172</v>
      </c>
      <c r="K637" s="74" t="s">
        <v>940</v>
      </c>
      <c r="L637" s="75" t="s">
        <v>53</v>
      </c>
      <c r="M637" s="75" t="s">
        <v>106</v>
      </c>
    </row>
    <row r="638" spans="1:13" x14ac:dyDescent="0.25">
      <c r="A638" s="48">
        <v>1</v>
      </c>
      <c r="B638" s="48"/>
      <c r="C638" s="83">
        <f t="shared" ca="1" si="40"/>
        <v>43910</v>
      </c>
      <c r="D638" s="84">
        <f t="shared" si="41"/>
        <v>213</v>
      </c>
      <c r="E638" s="74" t="str">
        <f t="shared" ca="1" si="39"/>
        <v>HD_032020C213</v>
      </c>
      <c r="F638" s="75" t="str">
        <f ca="1">_xll.xlqName(E638,tda)</f>
        <v>#N/A</v>
      </c>
      <c r="G638" s="75" t="str">
        <f t="shared" ca="1" si="42"/>
        <v>BAD</v>
      </c>
      <c r="I638" s="83">
        <v>43910</v>
      </c>
      <c r="J638" s="84">
        <v>173</v>
      </c>
      <c r="K638" s="74" t="s">
        <v>941</v>
      </c>
      <c r="L638" s="75" t="s">
        <v>53</v>
      </c>
      <c r="M638" s="75" t="s">
        <v>106</v>
      </c>
    </row>
    <row r="639" spans="1:13" x14ac:dyDescent="0.25">
      <c r="A639" s="48">
        <v>1</v>
      </c>
      <c r="B639" s="48"/>
      <c r="C639" s="83">
        <f t="shared" ca="1" si="40"/>
        <v>43910</v>
      </c>
      <c r="D639" s="84">
        <f t="shared" si="41"/>
        <v>214</v>
      </c>
      <c r="E639" s="74" t="str">
        <f t="shared" ca="1" si="39"/>
        <v>HD_032020C214</v>
      </c>
      <c r="F639" s="75" t="str">
        <f ca="1">_xll.xlqName(E639,tda)</f>
        <v>#N/A</v>
      </c>
      <c r="G639" s="75" t="str">
        <f t="shared" ca="1" si="42"/>
        <v>BAD</v>
      </c>
      <c r="I639" s="83">
        <v>43910</v>
      </c>
      <c r="J639" s="84">
        <v>174</v>
      </c>
      <c r="K639" s="74" t="s">
        <v>942</v>
      </c>
      <c r="L639" s="75" t="s">
        <v>53</v>
      </c>
      <c r="M639" s="75" t="s">
        <v>106</v>
      </c>
    </row>
    <row r="640" spans="1:13" x14ac:dyDescent="0.25">
      <c r="A640" s="48">
        <v>1</v>
      </c>
      <c r="B640" s="48"/>
      <c r="C640" s="83">
        <f t="shared" ca="1" si="40"/>
        <v>43910</v>
      </c>
      <c r="D640" s="84">
        <f t="shared" si="41"/>
        <v>215</v>
      </c>
      <c r="E640" s="74" t="str">
        <f t="shared" ca="1" si="39"/>
        <v>HD_032020C215</v>
      </c>
      <c r="F640" s="75" t="str">
        <f ca="1">_xll.xlqName(E640,tda)</f>
        <v>HD Mar 20 2020 215 Call</v>
      </c>
      <c r="G640" s="75" t="str">
        <f t="shared" ca="1" si="42"/>
        <v/>
      </c>
      <c r="I640" s="83">
        <v>43910</v>
      </c>
      <c r="J640" s="84">
        <v>175</v>
      </c>
      <c r="K640" s="74" t="s">
        <v>943</v>
      </c>
      <c r="L640" s="75" t="s">
        <v>944</v>
      </c>
      <c r="M640" s="75" t="s">
        <v>111</v>
      </c>
    </row>
    <row r="641" spans="1:13" x14ac:dyDescent="0.25">
      <c r="A641" s="48">
        <v>0.5</v>
      </c>
      <c r="B641" s="48"/>
      <c r="C641" s="83">
        <f t="shared" ca="1" si="40"/>
        <v>43910</v>
      </c>
      <c r="D641" s="84">
        <f t="shared" si="41"/>
        <v>215.5</v>
      </c>
      <c r="E641" s="74" t="str">
        <f t="shared" ca="1" si="39"/>
        <v>HD_032020C215.5</v>
      </c>
      <c r="F641" s="75" t="str">
        <f ca="1">_xll.xlqName(E641,tda)</f>
        <v>#N/A</v>
      </c>
      <c r="G641" s="75" t="str">
        <f t="shared" ca="1" si="42"/>
        <v>BAD</v>
      </c>
      <c r="I641" s="83">
        <v>43910</v>
      </c>
      <c r="J641" s="84">
        <v>175.5</v>
      </c>
      <c r="K641" s="74" t="s">
        <v>945</v>
      </c>
      <c r="L641" s="75" t="s">
        <v>53</v>
      </c>
      <c r="M641" s="75" t="s">
        <v>106</v>
      </c>
    </row>
    <row r="642" spans="1:13" x14ac:dyDescent="0.25">
      <c r="A642" s="48">
        <v>0.5</v>
      </c>
      <c r="B642" s="48"/>
      <c r="C642" s="83">
        <f t="shared" ca="1" si="40"/>
        <v>43910</v>
      </c>
      <c r="D642" s="84">
        <f t="shared" si="41"/>
        <v>216</v>
      </c>
      <c r="E642" s="74" t="str">
        <f t="shared" ref="E642:E705" ca="1" si="43">CONCATENATE($Q$2,"_",TEXT(MONTH(C642),"00"),TEXT(DAY(C642),"00"),TEXT(MOD(YEAR(C642),100),"00"),$Q$3,D642&amp;"")</f>
        <v>HD_032020C216</v>
      </c>
      <c r="F642" s="75" t="str">
        <f ca="1">_xll.xlqName(E642,tda)</f>
        <v>#N/A</v>
      </c>
      <c r="G642" s="75" t="str">
        <f t="shared" ca="1" si="42"/>
        <v>BAD</v>
      </c>
      <c r="I642" s="83">
        <v>43910</v>
      </c>
      <c r="J642" s="84">
        <v>176</v>
      </c>
      <c r="K642" s="74" t="s">
        <v>946</v>
      </c>
      <c r="L642" s="75" t="s">
        <v>53</v>
      </c>
      <c r="M642" s="75" t="s">
        <v>106</v>
      </c>
    </row>
    <row r="643" spans="1:13" x14ac:dyDescent="0.25">
      <c r="A643" s="48">
        <v>1</v>
      </c>
      <c r="B643" s="48"/>
      <c r="C643" s="83">
        <f t="shared" ref="C643:C706" ca="1" si="44">IF(D643&gt;D642,C642,INDEX($O$14:$O$50,VLOOKUP(C642,$O$14:$P$50,2)+1))</f>
        <v>43910</v>
      </c>
      <c r="D643" s="84">
        <f t="shared" ref="D643:D706" si="45">IF(D642+A643&lt;=$Q$8,D642+A643,$Q$6)</f>
        <v>217</v>
      </c>
      <c r="E643" s="74" t="str">
        <f t="shared" ca="1" si="43"/>
        <v>HD_032020C217</v>
      </c>
      <c r="F643" s="75" t="str">
        <f ca="1">_xll.xlqName(E643,tda)</f>
        <v>#N/A</v>
      </c>
      <c r="G643" s="75" t="str">
        <f t="shared" ref="G643:G706" ca="1" si="46">IF(AND(ISTEXT(F643),(F643&lt;&gt;"#N/A"),(F643&lt;&gt;"Busy...")),"","BAD")</f>
        <v>BAD</v>
      </c>
      <c r="I643" s="83">
        <v>43910</v>
      </c>
      <c r="J643" s="84">
        <v>177</v>
      </c>
      <c r="K643" s="74" t="s">
        <v>947</v>
      </c>
      <c r="L643" s="75" t="s">
        <v>53</v>
      </c>
      <c r="M643" s="75" t="s">
        <v>106</v>
      </c>
    </row>
    <row r="644" spans="1:13" x14ac:dyDescent="0.25">
      <c r="A644" s="48">
        <v>1</v>
      </c>
      <c r="B644" s="48"/>
      <c r="C644" s="83">
        <f t="shared" ca="1" si="44"/>
        <v>43910</v>
      </c>
      <c r="D644" s="84">
        <f t="shared" si="45"/>
        <v>218</v>
      </c>
      <c r="E644" s="74" t="str">
        <f t="shared" ca="1" si="43"/>
        <v>HD_032020C218</v>
      </c>
      <c r="F644" s="75" t="str">
        <f ca="1">_xll.xlqName(E644,tda)</f>
        <v>#N/A</v>
      </c>
      <c r="G644" s="75" t="str">
        <f t="shared" ca="1" si="46"/>
        <v>BAD</v>
      </c>
      <c r="I644" s="83">
        <v>43910</v>
      </c>
      <c r="J644" s="84">
        <v>178</v>
      </c>
      <c r="K644" s="74" t="s">
        <v>948</v>
      </c>
      <c r="L644" s="75" t="s">
        <v>53</v>
      </c>
      <c r="M644" s="75" t="s">
        <v>106</v>
      </c>
    </row>
    <row r="645" spans="1:13" x14ac:dyDescent="0.25">
      <c r="A645" s="48">
        <v>1</v>
      </c>
      <c r="B645" s="48"/>
      <c r="C645" s="83">
        <f t="shared" ca="1" si="44"/>
        <v>43910</v>
      </c>
      <c r="D645" s="84">
        <f t="shared" si="45"/>
        <v>219</v>
      </c>
      <c r="E645" s="74" t="str">
        <f t="shared" ca="1" si="43"/>
        <v>HD_032020C219</v>
      </c>
      <c r="F645" s="75" t="str">
        <f ca="1">_xll.xlqName(E645,tda)</f>
        <v>#N/A</v>
      </c>
      <c r="G645" s="75" t="str">
        <f t="shared" ca="1" si="46"/>
        <v>BAD</v>
      </c>
      <c r="I645" s="83">
        <v>43910</v>
      </c>
      <c r="J645" s="84">
        <v>179</v>
      </c>
      <c r="K645" s="74" t="s">
        <v>949</v>
      </c>
      <c r="L645" s="75" t="s">
        <v>53</v>
      </c>
      <c r="M645" s="75" t="s">
        <v>106</v>
      </c>
    </row>
    <row r="646" spans="1:13" x14ac:dyDescent="0.25">
      <c r="A646" s="48">
        <v>1</v>
      </c>
      <c r="B646" s="48"/>
      <c r="C646" s="83">
        <f t="shared" ca="1" si="44"/>
        <v>43910</v>
      </c>
      <c r="D646" s="84">
        <f t="shared" si="45"/>
        <v>220</v>
      </c>
      <c r="E646" s="74" t="str">
        <f t="shared" ca="1" si="43"/>
        <v>HD_032020C220</v>
      </c>
      <c r="F646" s="75" t="str">
        <f ca="1">_xll.xlqName(E646,tda)</f>
        <v>HD Mar 20 2020 220 Call</v>
      </c>
      <c r="G646" s="75" t="str">
        <f t="shared" ca="1" si="46"/>
        <v/>
      </c>
      <c r="I646" s="83">
        <v>43910</v>
      </c>
      <c r="J646" s="84">
        <v>180</v>
      </c>
      <c r="K646" s="74" t="s">
        <v>950</v>
      </c>
      <c r="L646" s="75" t="s">
        <v>951</v>
      </c>
      <c r="M646" s="75" t="s">
        <v>111</v>
      </c>
    </row>
    <row r="647" spans="1:13" x14ac:dyDescent="0.25">
      <c r="A647" s="48">
        <v>0.5</v>
      </c>
      <c r="B647" s="48"/>
      <c r="C647" s="83">
        <f t="shared" ca="1" si="44"/>
        <v>43910</v>
      </c>
      <c r="D647" s="84">
        <f t="shared" si="45"/>
        <v>220.5</v>
      </c>
      <c r="E647" s="74" t="str">
        <f t="shared" ca="1" si="43"/>
        <v>HD_032020C220.5</v>
      </c>
      <c r="F647" s="75" t="str">
        <f ca="1">_xll.xlqName(E647,tda)</f>
        <v>#N/A</v>
      </c>
      <c r="G647" s="75" t="str">
        <f t="shared" ca="1" si="46"/>
        <v>BAD</v>
      </c>
      <c r="I647" s="83">
        <v>43910</v>
      </c>
      <c r="J647" s="84">
        <v>180.5</v>
      </c>
      <c r="K647" s="74" t="s">
        <v>952</v>
      </c>
      <c r="L647" s="75" t="s">
        <v>53</v>
      </c>
      <c r="M647" s="75" t="s">
        <v>106</v>
      </c>
    </row>
    <row r="648" spans="1:13" x14ac:dyDescent="0.25">
      <c r="A648" s="48">
        <v>0.5</v>
      </c>
      <c r="B648" s="48"/>
      <c r="C648" s="83">
        <f t="shared" ca="1" si="44"/>
        <v>43910</v>
      </c>
      <c r="D648" s="84">
        <f t="shared" si="45"/>
        <v>221</v>
      </c>
      <c r="E648" s="74" t="str">
        <f t="shared" ca="1" si="43"/>
        <v>HD_032020C221</v>
      </c>
      <c r="F648" s="75" t="str">
        <f ca="1">_xll.xlqName(E648,tda)</f>
        <v>#N/A</v>
      </c>
      <c r="G648" s="75" t="str">
        <f t="shared" ca="1" si="46"/>
        <v>BAD</v>
      </c>
      <c r="I648" s="83">
        <v>43910</v>
      </c>
      <c r="J648" s="84">
        <v>181</v>
      </c>
      <c r="K648" s="74" t="s">
        <v>953</v>
      </c>
      <c r="L648" s="75" t="s">
        <v>53</v>
      </c>
      <c r="M648" s="75" t="s">
        <v>106</v>
      </c>
    </row>
    <row r="649" spans="1:13" x14ac:dyDescent="0.25">
      <c r="A649" s="48">
        <v>1</v>
      </c>
      <c r="B649" s="48"/>
      <c r="C649" s="83">
        <f t="shared" ca="1" si="44"/>
        <v>43910</v>
      </c>
      <c r="D649" s="84">
        <f t="shared" si="45"/>
        <v>222</v>
      </c>
      <c r="E649" s="74" t="str">
        <f t="shared" ca="1" si="43"/>
        <v>HD_032020C222</v>
      </c>
      <c r="F649" s="75" t="str">
        <f ca="1">_xll.xlqName(E649,tda)</f>
        <v>#N/A</v>
      </c>
      <c r="G649" s="75" t="str">
        <f t="shared" ca="1" si="46"/>
        <v>BAD</v>
      </c>
      <c r="I649" s="83">
        <v>43910</v>
      </c>
      <c r="J649" s="84">
        <v>182</v>
      </c>
      <c r="K649" s="74" t="s">
        <v>954</v>
      </c>
      <c r="L649" s="75" t="s">
        <v>53</v>
      </c>
      <c r="M649" s="75" t="s">
        <v>106</v>
      </c>
    </row>
    <row r="650" spans="1:13" x14ac:dyDescent="0.25">
      <c r="A650" s="48">
        <v>1</v>
      </c>
      <c r="B650" s="48"/>
      <c r="C650" s="83">
        <f t="shared" ca="1" si="44"/>
        <v>43910</v>
      </c>
      <c r="D650" s="84">
        <f t="shared" si="45"/>
        <v>223</v>
      </c>
      <c r="E650" s="74" t="str">
        <f t="shared" ca="1" si="43"/>
        <v>HD_032020C223</v>
      </c>
      <c r="F650" s="75" t="str">
        <f ca="1">_xll.xlqName(E650,tda)</f>
        <v>#N/A</v>
      </c>
      <c r="G650" s="75" t="str">
        <f t="shared" ca="1" si="46"/>
        <v>BAD</v>
      </c>
      <c r="I650" s="83">
        <v>43910</v>
      </c>
      <c r="J650" s="84">
        <v>183</v>
      </c>
      <c r="K650" s="74" t="s">
        <v>955</v>
      </c>
      <c r="L650" s="75" t="s">
        <v>53</v>
      </c>
      <c r="M650" s="75" t="s">
        <v>106</v>
      </c>
    </row>
    <row r="651" spans="1:13" x14ac:dyDescent="0.25">
      <c r="A651" s="48">
        <v>1</v>
      </c>
      <c r="B651" s="48"/>
      <c r="C651" s="83">
        <f t="shared" ca="1" si="44"/>
        <v>43910</v>
      </c>
      <c r="D651" s="84">
        <f t="shared" si="45"/>
        <v>224</v>
      </c>
      <c r="E651" s="74" t="str">
        <f t="shared" ca="1" si="43"/>
        <v>HD_032020C224</v>
      </c>
      <c r="F651" s="75" t="str">
        <f ca="1">_xll.xlqName(E651,tda)</f>
        <v>#N/A</v>
      </c>
      <c r="G651" s="75" t="str">
        <f t="shared" ca="1" si="46"/>
        <v>BAD</v>
      </c>
      <c r="I651" s="83">
        <v>43910</v>
      </c>
      <c r="J651" s="84">
        <v>184</v>
      </c>
      <c r="K651" s="74" t="s">
        <v>956</v>
      </c>
      <c r="L651" s="75" t="s">
        <v>53</v>
      </c>
      <c r="M651" s="75" t="s">
        <v>106</v>
      </c>
    </row>
    <row r="652" spans="1:13" x14ac:dyDescent="0.25">
      <c r="A652" s="48">
        <v>1</v>
      </c>
      <c r="B652" s="48"/>
      <c r="C652" s="83">
        <f t="shared" ca="1" si="44"/>
        <v>43910</v>
      </c>
      <c r="D652" s="84">
        <f t="shared" si="45"/>
        <v>225</v>
      </c>
      <c r="E652" s="74" t="str">
        <f t="shared" ca="1" si="43"/>
        <v>HD_032020C225</v>
      </c>
      <c r="F652" s="75" t="str">
        <f ca="1">_xll.xlqName(E652,tda)</f>
        <v>HD Mar 20 2020 225 Call</v>
      </c>
      <c r="G652" s="75" t="str">
        <f t="shared" ca="1" si="46"/>
        <v/>
      </c>
      <c r="I652" s="83">
        <v>43910</v>
      </c>
      <c r="J652" s="84">
        <v>185</v>
      </c>
      <c r="K652" s="74" t="s">
        <v>957</v>
      </c>
      <c r="L652" s="75" t="s">
        <v>958</v>
      </c>
      <c r="M652" s="75" t="s">
        <v>111</v>
      </c>
    </row>
    <row r="653" spans="1:13" x14ac:dyDescent="0.25">
      <c r="A653" s="48">
        <v>0.5</v>
      </c>
      <c r="B653" s="48"/>
      <c r="C653" s="83">
        <f t="shared" ca="1" si="44"/>
        <v>43910</v>
      </c>
      <c r="D653" s="84">
        <f t="shared" si="45"/>
        <v>225.5</v>
      </c>
      <c r="E653" s="74" t="str">
        <f t="shared" ca="1" si="43"/>
        <v>HD_032020C225.5</v>
      </c>
      <c r="F653" s="75" t="str">
        <f ca="1">_xll.xlqName(E653,tda)</f>
        <v>#N/A</v>
      </c>
      <c r="G653" s="75" t="str">
        <f t="shared" ca="1" si="46"/>
        <v>BAD</v>
      </c>
      <c r="I653" s="83">
        <v>43910</v>
      </c>
      <c r="J653" s="84">
        <v>185.5</v>
      </c>
      <c r="K653" s="74" t="s">
        <v>959</v>
      </c>
      <c r="L653" s="75" t="s">
        <v>53</v>
      </c>
      <c r="M653" s="75" t="s">
        <v>106</v>
      </c>
    </row>
    <row r="654" spans="1:13" x14ac:dyDescent="0.25">
      <c r="A654" s="48">
        <v>0.5</v>
      </c>
      <c r="B654" s="48"/>
      <c r="C654" s="83">
        <f t="shared" ca="1" si="44"/>
        <v>43910</v>
      </c>
      <c r="D654" s="84">
        <f t="shared" si="45"/>
        <v>226</v>
      </c>
      <c r="E654" s="74" t="str">
        <f t="shared" ca="1" si="43"/>
        <v>HD_032020C226</v>
      </c>
      <c r="F654" s="75" t="str">
        <f ca="1">_xll.xlqName(E654,tda)</f>
        <v>#N/A</v>
      </c>
      <c r="G654" s="75" t="str">
        <f t="shared" ca="1" si="46"/>
        <v>BAD</v>
      </c>
      <c r="I654" s="83">
        <v>43910</v>
      </c>
      <c r="J654" s="84">
        <v>186</v>
      </c>
      <c r="K654" s="74" t="s">
        <v>960</v>
      </c>
      <c r="L654" s="75" t="s">
        <v>53</v>
      </c>
      <c r="M654" s="75" t="s">
        <v>106</v>
      </c>
    </row>
    <row r="655" spans="1:13" x14ac:dyDescent="0.25">
      <c r="A655" s="48">
        <v>1</v>
      </c>
      <c r="B655" s="48"/>
      <c r="C655" s="83">
        <f t="shared" ca="1" si="44"/>
        <v>43910</v>
      </c>
      <c r="D655" s="84">
        <f t="shared" si="45"/>
        <v>227</v>
      </c>
      <c r="E655" s="74" t="str">
        <f t="shared" ca="1" si="43"/>
        <v>HD_032020C227</v>
      </c>
      <c r="F655" s="75" t="str">
        <f ca="1">_xll.xlqName(E655,tda)</f>
        <v>#N/A</v>
      </c>
      <c r="G655" s="75" t="str">
        <f t="shared" ca="1" si="46"/>
        <v>BAD</v>
      </c>
      <c r="I655" s="83">
        <v>43910</v>
      </c>
      <c r="J655" s="84">
        <v>187</v>
      </c>
      <c r="K655" s="74" t="s">
        <v>961</v>
      </c>
      <c r="L655" s="75" t="s">
        <v>53</v>
      </c>
      <c r="M655" s="75" t="s">
        <v>106</v>
      </c>
    </row>
    <row r="656" spans="1:13" x14ac:dyDescent="0.25">
      <c r="A656" s="48">
        <v>1</v>
      </c>
      <c r="B656" s="48"/>
      <c r="C656" s="83">
        <f t="shared" ca="1" si="44"/>
        <v>43910</v>
      </c>
      <c r="D656" s="84">
        <f t="shared" si="45"/>
        <v>228</v>
      </c>
      <c r="E656" s="74" t="str">
        <f t="shared" ca="1" si="43"/>
        <v>HD_032020C228</v>
      </c>
      <c r="F656" s="75" t="str">
        <f ca="1">_xll.xlqName(E656,tda)</f>
        <v>#N/A</v>
      </c>
      <c r="G656" s="75" t="str">
        <f t="shared" ca="1" si="46"/>
        <v>BAD</v>
      </c>
      <c r="I656" s="83">
        <v>43910</v>
      </c>
      <c r="J656" s="84">
        <v>188</v>
      </c>
      <c r="K656" s="74" t="s">
        <v>962</v>
      </c>
      <c r="L656" s="75" t="s">
        <v>53</v>
      </c>
      <c r="M656" s="75" t="s">
        <v>106</v>
      </c>
    </row>
    <row r="657" spans="1:13" x14ac:dyDescent="0.25">
      <c r="A657" s="48">
        <v>1</v>
      </c>
      <c r="B657" s="48"/>
      <c r="C657" s="83">
        <f t="shared" ca="1" si="44"/>
        <v>43910</v>
      </c>
      <c r="D657" s="84">
        <f t="shared" si="45"/>
        <v>229</v>
      </c>
      <c r="E657" s="74" t="str">
        <f t="shared" ca="1" si="43"/>
        <v>HD_032020C229</v>
      </c>
      <c r="F657" s="75" t="str">
        <f ca="1">_xll.xlqName(E657,tda)</f>
        <v>#N/A</v>
      </c>
      <c r="G657" s="75" t="str">
        <f t="shared" ca="1" si="46"/>
        <v>BAD</v>
      </c>
      <c r="I657" s="83">
        <v>43910</v>
      </c>
      <c r="J657" s="84">
        <v>189</v>
      </c>
      <c r="K657" s="74" t="s">
        <v>963</v>
      </c>
      <c r="L657" s="75" t="s">
        <v>53</v>
      </c>
      <c r="M657" s="75" t="s">
        <v>106</v>
      </c>
    </row>
    <row r="658" spans="1:13" x14ac:dyDescent="0.25">
      <c r="A658" s="48">
        <v>1</v>
      </c>
      <c r="B658" s="48"/>
      <c r="C658" s="83">
        <f t="shared" ca="1" si="44"/>
        <v>43910</v>
      </c>
      <c r="D658" s="84">
        <f t="shared" si="45"/>
        <v>230</v>
      </c>
      <c r="E658" s="74" t="str">
        <f t="shared" ca="1" si="43"/>
        <v>HD_032020C230</v>
      </c>
      <c r="F658" s="75" t="str">
        <f ca="1">_xll.xlqName(E658,tda)</f>
        <v>HD Mar 20 2020 230 Call</v>
      </c>
      <c r="G658" s="75" t="str">
        <f t="shared" ca="1" si="46"/>
        <v/>
      </c>
      <c r="I658" s="83">
        <v>43910</v>
      </c>
      <c r="J658" s="84">
        <v>190</v>
      </c>
      <c r="K658" s="74" t="s">
        <v>964</v>
      </c>
      <c r="L658" s="75" t="s">
        <v>965</v>
      </c>
      <c r="M658" s="75" t="s">
        <v>111</v>
      </c>
    </row>
    <row r="659" spans="1:13" x14ac:dyDescent="0.25">
      <c r="A659" s="48">
        <v>0.5</v>
      </c>
      <c r="B659" s="48"/>
      <c r="C659" s="83">
        <f t="shared" ca="1" si="44"/>
        <v>43938</v>
      </c>
      <c r="D659" s="84">
        <f t="shared" si="45"/>
        <v>170</v>
      </c>
      <c r="E659" s="74" t="str">
        <f t="shared" ca="1" si="43"/>
        <v>HD_041720C170</v>
      </c>
      <c r="F659" s="75" t="str">
        <f ca="1">_xll.xlqName(E659,tda)</f>
        <v>#N/A</v>
      </c>
      <c r="G659" s="75" t="str">
        <f t="shared" ca="1" si="46"/>
        <v>BAD</v>
      </c>
      <c r="I659" s="83">
        <v>43910</v>
      </c>
      <c r="J659" s="84">
        <v>190.5</v>
      </c>
      <c r="K659" s="74" t="s">
        <v>966</v>
      </c>
      <c r="L659" s="75" t="s">
        <v>53</v>
      </c>
      <c r="M659" s="75" t="s">
        <v>106</v>
      </c>
    </row>
    <row r="660" spans="1:13" x14ac:dyDescent="0.25">
      <c r="A660" s="48">
        <v>0.5</v>
      </c>
      <c r="B660" s="48"/>
      <c r="C660" s="83">
        <f t="shared" ca="1" si="44"/>
        <v>43938</v>
      </c>
      <c r="D660" s="84">
        <f t="shared" si="45"/>
        <v>170.5</v>
      </c>
      <c r="E660" s="74" t="str">
        <f t="shared" ca="1" si="43"/>
        <v>HD_041720C170.5</v>
      </c>
      <c r="F660" s="75" t="str">
        <f ca="1">_xll.xlqName(E660,tda)</f>
        <v>#N/A</v>
      </c>
      <c r="G660" s="75" t="str">
        <f t="shared" ca="1" si="46"/>
        <v>BAD</v>
      </c>
      <c r="I660" s="83">
        <v>43910</v>
      </c>
      <c r="J660" s="84">
        <v>191</v>
      </c>
      <c r="K660" s="74" t="s">
        <v>967</v>
      </c>
      <c r="L660" s="75" t="s">
        <v>53</v>
      </c>
      <c r="M660" s="75" t="s">
        <v>106</v>
      </c>
    </row>
    <row r="661" spans="1:13" x14ac:dyDescent="0.25">
      <c r="A661" s="48">
        <v>1</v>
      </c>
      <c r="B661" s="48"/>
      <c r="C661" s="83">
        <f t="shared" ca="1" si="44"/>
        <v>43938</v>
      </c>
      <c r="D661" s="84">
        <f t="shared" si="45"/>
        <v>171.5</v>
      </c>
      <c r="E661" s="74" t="str">
        <f t="shared" ca="1" si="43"/>
        <v>HD_041720C171.5</v>
      </c>
      <c r="F661" s="75" t="str">
        <f ca="1">_xll.xlqName(E661,tda)</f>
        <v>#N/A</v>
      </c>
      <c r="G661" s="75" t="str">
        <f t="shared" ca="1" si="46"/>
        <v>BAD</v>
      </c>
      <c r="I661" s="83">
        <v>43910</v>
      </c>
      <c r="J661" s="84">
        <v>192</v>
      </c>
      <c r="K661" s="74" t="s">
        <v>968</v>
      </c>
      <c r="L661" s="75" t="s">
        <v>53</v>
      </c>
      <c r="M661" s="75" t="s">
        <v>106</v>
      </c>
    </row>
    <row r="662" spans="1:13" x14ac:dyDescent="0.25">
      <c r="A662" s="48">
        <v>1</v>
      </c>
      <c r="B662" s="48"/>
      <c r="C662" s="83">
        <f t="shared" ca="1" si="44"/>
        <v>43938</v>
      </c>
      <c r="D662" s="84">
        <f t="shared" si="45"/>
        <v>172.5</v>
      </c>
      <c r="E662" s="74" t="str">
        <f t="shared" ca="1" si="43"/>
        <v>HD_041720C172.5</v>
      </c>
      <c r="F662" s="75" t="str">
        <f ca="1">_xll.xlqName(E662,tda)</f>
        <v>#N/A</v>
      </c>
      <c r="G662" s="75" t="str">
        <f t="shared" ca="1" si="46"/>
        <v>BAD</v>
      </c>
      <c r="I662" s="83">
        <v>43910</v>
      </c>
      <c r="J662" s="84">
        <v>193</v>
      </c>
      <c r="K662" s="74" t="s">
        <v>969</v>
      </c>
      <c r="L662" s="75" t="s">
        <v>53</v>
      </c>
      <c r="M662" s="75" t="s">
        <v>106</v>
      </c>
    </row>
    <row r="663" spans="1:13" x14ac:dyDescent="0.25">
      <c r="A663" s="48">
        <v>1</v>
      </c>
      <c r="B663" s="48"/>
      <c r="C663" s="83">
        <f t="shared" ca="1" si="44"/>
        <v>43938</v>
      </c>
      <c r="D663" s="84">
        <f t="shared" si="45"/>
        <v>173.5</v>
      </c>
      <c r="E663" s="74" t="str">
        <f t="shared" ca="1" si="43"/>
        <v>HD_041720C173.5</v>
      </c>
      <c r="F663" s="75" t="str">
        <f ca="1">_xll.xlqName(E663,tda)</f>
        <v>#N/A</v>
      </c>
      <c r="G663" s="75" t="str">
        <f t="shared" ca="1" si="46"/>
        <v>BAD</v>
      </c>
      <c r="I663" s="83">
        <v>43910</v>
      </c>
      <c r="J663" s="84">
        <v>194</v>
      </c>
      <c r="K663" s="74" t="s">
        <v>970</v>
      </c>
      <c r="L663" s="75" t="s">
        <v>53</v>
      </c>
      <c r="M663" s="75" t="s">
        <v>106</v>
      </c>
    </row>
    <row r="664" spans="1:13" x14ac:dyDescent="0.25">
      <c r="A664" s="48">
        <v>1</v>
      </c>
      <c r="B664" s="48"/>
      <c r="C664" s="83">
        <f t="shared" ca="1" si="44"/>
        <v>43938</v>
      </c>
      <c r="D664" s="84">
        <f t="shared" si="45"/>
        <v>174.5</v>
      </c>
      <c r="E664" s="74" t="str">
        <f t="shared" ca="1" si="43"/>
        <v>HD_041720C174.5</v>
      </c>
      <c r="F664" s="75" t="str">
        <f ca="1">_xll.xlqName(E664,tda)</f>
        <v>#N/A</v>
      </c>
      <c r="G664" s="75" t="str">
        <f t="shared" ca="1" si="46"/>
        <v>BAD</v>
      </c>
      <c r="I664" s="83">
        <v>43910</v>
      </c>
      <c r="J664" s="84">
        <v>195</v>
      </c>
      <c r="K664" s="74" t="s">
        <v>971</v>
      </c>
      <c r="L664" s="75" t="s">
        <v>972</v>
      </c>
      <c r="M664" s="75" t="s">
        <v>111</v>
      </c>
    </row>
    <row r="665" spans="1:13" x14ac:dyDescent="0.25">
      <c r="A665" s="48">
        <v>0.5</v>
      </c>
      <c r="B665" s="48"/>
      <c r="C665" s="83">
        <f t="shared" ca="1" si="44"/>
        <v>43938</v>
      </c>
      <c r="D665" s="84">
        <f t="shared" si="45"/>
        <v>175</v>
      </c>
      <c r="E665" s="74" t="str">
        <f t="shared" ca="1" si="43"/>
        <v>HD_041720C175</v>
      </c>
      <c r="F665" s="75" t="str">
        <f ca="1">_xll.xlqName(E665,tda)</f>
        <v>#N/A</v>
      </c>
      <c r="G665" s="75" t="str">
        <f t="shared" ca="1" si="46"/>
        <v>BAD</v>
      </c>
      <c r="I665" s="83">
        <v>43910</v>
      </c>
      <c r="J665" s="84">
        <v>195.5</v>
      </c>
      <c r="K665" s="74" t="s">
        <v>973</v>
      </c>
      <c r="L665" s="75" t="s">
        <v>53</v>
      </c>
      <c r="M665" s="75" t="s">
        <v>106</v>
      </c>
    </row>
    <row r="666" spans="1:13" x14ac:dyDescent="0.25">
      <c r="A666" s="48">
        <v>0.5</v>
      </c>
      <c r="B666" s="48"/>
      <c r="C666" s="83">
        <f t="shared" ca="1" si="44"/>
        <v>43938</v>
      </c>
      <c r="D666" s="84">
        <f t="shared" si="45"/>
        <v>175.5</v>
      </c>
      <c r="E666" s="74" t="str">
        <f t="shared" ca="1" si="43"/>
        <v>HD_041720C175.5</v>
      </c>
      <c r="F666" s="75" t="str">
        <f ca="1">_xll.xlqName(E666,tda)</f>
        <v>#N/A</v>
      </c>
      <c r="G666" s="75" t="str">
        <f t="shared" ca="1" si="46"/>
        <v>BAD</v>
      </c>
      <c r="I666" s="83">
        <v>43910</v>
      </c>
      <c r="J666" s="84">
        <v>196</v>
      </c>
      <c r="K666" s="74" t="s">
        <v>974</v>
      </c>
      <c r="L666" s="75" t="s">
        <v>53</v>
      </c>
      <c r="M666" s="75" t="s">
        <v>106</v>
      </c>
    </row>
    <row r="667" spans="1:13" x14ac:dyDescent="0.25">
      <c r="A667" s="48">
        <v>1</v>
      </c>
      <c r="B667" s="48"/>
      <c r="C667" s="83">
        <f t="shared" ca="1" si="44"/>
        <v>43938</v>
      </c>
      <c r="D667" s="84">
        <f t="shared" si="45"/>
        <v>176.5</v>
      </c>
      <c r="E667" s="74" t="str">
        <f t="shared" ca="1" si="43"/>
        <v>HD_041720C176.5</v>
      </c>
      <c r="F667" s="75" t="str">
        <f ca="1">_xll.xlqName(E667,tda)</f>
        <v>#N/A</v>
      </c>
      <c r="G667" s="75" t="str">
        <f t="shared" ca="1" si="46"/>
        <v>BAD</v>
      </c>
      <c r="I667" s="83">
        <v>43910</v>
      </c>
      <c r="J667" s="84">
        <v>197</v>
      </c>
      <c r="K667" s="74" t="s">
        <v>975</v>
      </c>
      <c r="L667" s="75" t="s">
        <v>53</v>
      </c>
      <c r="M667" s="75" t="s">
        <v>106</v>
      </c>
    </row>
    <row r="668" spans="1:13" x14ac:dyDescent="0.25">
      <c r="A668" s="48">
        <v>1</v>
      </c>
      <c r="B668" s="48"/>
      <c r="C668" s="83">
        <f t="shared" ca="1" si="44"/>
        <v>43938</v>
      </c>
      <c r="D668" s="84">
        <f t="shared" si="45"/>
        <v>177.5</v>
      </c>
      <c r="E668" s="74" t="str">
        <f t="shared" ca="1" si="43"/>
        <v>HD_041720C177.5</v>
      </c>
      <c r="F668" s="75" t="str">
        <f ca="1">_xll.xlqName(E668,tda)</f>
        <v>#N/A</v>
      </c>
      <c r="G668" s="75" t="str">
        <f t="shared" ca="1" si="46"/>
        <v>BAD</v>
      </c>
      <c r="I668" s="83">
        <v>43910</v>
      </c>
      <c r="J668" s="84">
        <v>198</v>
      </c>
      <c r="K668" s="74" t="s">
        <v>976</v>
      </c>
      <c r="L668" s="75" t="s">
        <v>53</v>
      </c>
      <c r="M668" s="75" t="s">
        <v>106</v>
      </c>
    </row>
    <row r="669" spans="1:13" x14ac:dyDescent="0.25">
      <c r="A669" s="48">
        <v>1</v>
      </c>
      <c r="B669" s="48"/>
      <c r="C669" s="83">
        <f t="shared" ca="1" si="44"/>
        <v>43938</v>
      </c>
      <c r="D669" s="84">
        <f t="shared" si="45"/>
        <v>178.5</v>
      </c>
      <c r="E669" s="74" t="str">
        <f t="shared" ca="1" si="43"/>
        <v>HD_041720C178.5</v>
      </c>
      <c r="F669" s="75" t="str">
        <f ca="1">_xll.xlqName(E669,tda)</f>
        <v>#N/A</v>
      </c>
      <c r="G669" s="75" t="str">
        <f t="shared" ca="1" si="46"/>
        <v>BAD</v>
      </c>
      <c r="I669" s="83">
        <v>43910</v>
      </c>
      <c r="J669" s="84">
        <v>199</v>
      </c>
      <c r="K669" s="74" t="s">
        <v>977</v>
      </c>
      <c r="L669" s="75" t="s">
        <v>53</v>
      </c>
      <c r="M669" s="75" t="s">
        <v>106</v>
      </c>
    </row>
    <row r="670" spans="1:13" x14ac:dyDescent="0.25">
      <c r="A670" s="48">
        <v>1</v>
      </c>
      <c r="B670" s="48"/>
      <c r="C670" s="83">
        <f t="shared" ca="1" si="44"/>
        <v>43938</v>
      </c>
      <c r="D670" s="84">
        <f t="shared" si="45"/>
        <v>179.5</v>
      </c>
      <c r="E670" s="74" t="str">
        <f t="shared" ca="1" si="43"/>
        <v>HD_041720C179.5</v>
      </c>
      <c r="F670" s="75" t="str">
        <f ca="1">_xll.xlqName(E670,tda)</f>
        <v>#N/A</v>
      </c>
      <c r="G670" s="75" t="str">
        <f t="shared" ca="1" si="46"/>
        <v>BAD</v>
      </c>
      <c r="I670" s="83">
        <v>43910</v>
      </c>
      <c r="J670" s="84">
        <v>200</v>
      </c>
      <c r="K670" s="74" t="s">
        <v>978</v>
      </c>
      <c r="L670" s="75" t="s">
        <v>979</v>
      </c>
      <c r="M670" s="75" t="s">
        <v>111</v>
      </c>
    </row>
    <row r="671" spans="1:13" x14ac:dyDescent="0.25">
      <c r="A671" s="48">
        <v>0.5</v>
      </c>
      <c r="B671" s="48"/>
      <c r="C671" s="83">
        <f t="shared" ca="1" si="44"/>
        <v>43938</v>
      </c>
      <c r="D671" s="84">
        <f t="shared" si="45"/>
        <v>180</v>
      </c>
      <c r="E671" s="74" t="str">
        <f t="shared" ca="1" si="43"/>
        <v>HD_041720C180</v>
      </c>
      <c r="F671" s="75" t="str">
        <f ca="1">_xll.xlqName(E671,tda)</f>
        <v>#N/A</v>
      </c>
      <c r="G671" s="75" t="str">
        <f t="shared" ca="1" si="46"/>
        <v>BAD</v>
      </c>
      <c r="I671" s="83">
        <v>43910</v>
      </c>
      <c r="J671" s="84">
        <v>200.5</v>
      </c>
      <c r="K671" s="74" t="s">
        <v>980</v>
      </c>
      <c r="L671" s="75" t="s">
        <v>53</v>
      </c>
      <c r="M671" s="75" t="s">
        <v>106</v>
      </c>
    </row>
    <row r="672" spans="1:13" x14ac:dyDescent="0.25">
      <c r="A672" s="48">
        <v>0.5</v>
      </c>
      <c r="B672" s="48"/>
      <c r="C672" s="83">
        <f t="shared" ca="1" si="44"/>
        <v>43938</v>
      </c>
      <c r="D672" s="84">
        <f t="shared" si="45"/>
        <v>180.5</v>
      </c>
      <c r="E672" s="74" t="str">
        <f t="shared" ca="1" si="43"/>
        <v>HD_041720C180.5</v>
      </c>
      <c r="F672" s="75" t="str">
        <f ca="1">_xll.xlqName(E672,tda)</f>
        <v>#N/A</v>
      </c>
      <c r="G672" s="75" t="str">
        <f t="shared" ca="1" si="46"/>
        <v>BAD</v>
      </c>
      <c r="I672" s="83">
        <v>43910</v>
      </c>
      <c r="J672" s="84">
        <v>201</v>
      </c>
      <c r="K672" s="74" t="s">
        <v>981</v>
      </c>
      <c r="L672" s="75" t="s">
        <v>53</v>
      </c>
      <c r="M672" s="75" t="s">
        <v>106</v>
      </c>
    </row>
    <row r="673" spans="1:13" x14ac:dyDescent="0.25">
      <c r="A673" s="48">
        <v>1</v>
      </c>
      <c r="B673" s="48"/>
      <c r="C673" s="83">
        <f t="shared" ca="1" si="44"/>
        <v>43938</v>
      </c>
      <c r="D673" s="84">
        <f t="shared" si="45"/>
        <v>181.5</v>
      </c>
      <c r="E673" s="74" t="str">
        <f t="shared" ca="1" si="43"/>
        <v>HD_041720C181.5</v>
      </c>
      <c r="F673" s="75" t="str">
        <f ca="1">_xll.xlqName(E673,tda)</f>
        <v>#N/A</v>
      </c>
      <c r="G673" s="75" t="str">
        <f t="shared" ca="1" si="46"/>
        <v>BAD</v>
      </c>
      <c r="I673" s="83">
        <v>43910</v>
      </c>
      <c r="J673" s="84">
        <v>202</v>
      </c>
      <c r="K673" s="74" t="s">
        <v>982</v>
      </c>
      <c r="L673" s="75" t="s">
        <v>53</v>
      </c>
      <c r="M673" s="75" t="s">
        <v>106</v>
      </c>
    </row>
    <row r="674" spans="1:13" x14ac:dyDescent="0.25">
      <c r="A674" s="48">
        <v>1</v>
      </c>
      <c r="B674" s="48"/>
      <c r="C674" s="83">
        <f t="shared" ca="1" si="44"/>
        <v>43938</v>
      </c>
      <c r="D674" s="84">
        <f t="shared" si="45"/>
        <v>182.5</v>
      </c>
      <c r="E674" s="74" t="str">
        <f t="shared" ca="1" si="43"/>
        <v>HD_041720C182.5</v>
      </c>
      <c r="F674" s="75" t="str">
        <f ca="1">_xll.xlqName(E674,tda)</f>
        <v>#N/A</v>
      </c>
      <c r="G674" s="75" t="str">
        <f t="shared" ca="1" si="46"/>
        <v>BAD</v>
      </c>
      <c r="I674" s="83">
        <v>43910</v>
      </c>
      <c r="J674" s="84">
        <v>203</v>
      </c>
      <c r="K674" s="74" t="s">
        <v>983</v>
      </c>
      <c r="L674" s="75" t="s">
        <v>53</v>
      </c>
      <c r="M674" s="75" t="s">
        <v>106</v>
      </c>
    </row>
    <row r="675" spans="1:13" x14ac:dyDescent="0.25">
      <c r="A675" s="48">
        <v>1</v>
      </c>
      <c r="B675" s="48"/>
      <c r="C675" s="83">
        <f t="shared" ca="1" si="44"/>
        <v>43938</v>
      </c>
      <c r="D675" s="84">
        <f t="shared" si="45"/>
        <v>183.5</v>
      </c>
      <c r="E675" s="74" t="str">
        <f t="shared" ca="1" si="43"/>
        <v>HD_041720C183.5</v>
      </c>
      <c r="F675" s="75" t="str">
        <f ca="1">_xll.xlqName(E675,tda)</f>
        <v>#N/A</v>
      </c>
      <c r="G675" s="75" t="str">
        <f t="shared" ca="1" si="46"/>
        <v>BAD</v>
      </c>
      <c r="I675" s="83">
        <v>43910</v>
      </c>
      <c r="J675" s="84">
        <v>204</v>
      </c>
      <c r="K675" s="74" t="s">
        <v>984</v>
      </c>
      <c r="L675" s="75" t="s">
        <v>53</v>
      </c>
      <c r="M675" s="75" t="s">
        <v>106</v>
      </c>
    </row>
    <row r="676" spans="1:13" x14ac:dyDescent="0.25">
      <c r="A676" s="48">
        <v>1</v>
      </c>
      <c r="B676" s="48"/>
      <c r="C676" s="83">
        <f t="shared" ca="1" si="44"/>
        <v>43938</v>
      </c>
      <c r="D676" s="84">
        <f t="shared" si="45"/>
        <v>184.5</v>
      </c>
      <c r="E676" s="74" t="str">
        <f t="shared" ca="1" si="43"/>
        <v>HD_041720C184.5</v>
      </c>
      <c r="F676" s="75" t="str">
        <f ca="1">_xll.xlqName(E676,tda)</f>
        <v>#N/A</v>
      </c>
      <c r="G676" s="75" t="str">
        <f t="shared" ca="1" si="46"/>
        <v>BAD</v>
      </c>
      <c r="I676" s="83">
        <v>43910</v>
      </c>
      <c r="J676" s="84">
        <v>205</v>
      </c>
      <c r="K676" s="74" t="s">
        <v>985</v>
      </c>
      <c r="L676" s="75" t="s">
        <v>986</v>
      </c>
      <c r="M676" s="75" t="s">
        <v>111</v>
      </c>
    </row>
    <row r="677" spans="1:13" x14ac:dyDescent="0.25">
      <c r="A677" s="48">
        <v>0.5</v>
      </c>
      <c r="B677" s="48"/>
      <c r="C677" s="83">
        <f t="shared" ca="1" si="44"/>
        <v>43938</v>
      </c>
      <c r="D677" s="84">
        <f t="shared" si="45"/>
        <v>185</v>
      </c>
      <c r="E677" s="74" t="str">
        <f t="shared" ca="1" si="43"/>
        <v>HD_041720C185</v>
      </c>
      <c r="F677" s="75" t="str">
        <f ca="1">_xll.xlqName(E677,tda)</f>
        <v>#N/A</v>
      </c>
      <c r="G677" s="75" t="str">
        <f t="shared" ca="1" si="46"/>
        <v>BAD</v>
      </c>
      <c r="I677" s="83">
        <v>43910</v>
      </c>
      <c r="J677" s="84">
        <v>205.5</v>
      </c>
      <c r="K677" s="74" t="s">
        <v>987</v>
      </c>
      <c r="L677" s="75" t="s">
        <v>53</v>
      </c>
      <c r="M677" s="75" t="s">
        <v>106</v>
      </c>
    </row>
    <row r="678" spans="1:13" x14ac:dyDescent="0.25">
      <c r="A678" s="48">
        <v>0.5</v>
      </c>
      <c r="B678" s="48"/>
      <c r="C678" s="83">
        <f t="shared" ca="1" si="44"/>
        <v>43938</v>
      </c>
      <c r="D678" s="84">
        <f t="shared" si="45"/>
        <v>185.5</v>
      </c>
      <c r="E678" s="74" t="str">
        <f t="shared" ca="1" si="43"/>
        <v>HD_041720C185.5</v>
      </c>
      <c r="F678" s="75" t="str">
        <f ca="1">_xll.xlqName(E678,tda)</f>
        <v>#N/A</v>
      </c>
      <c r="G678" s="75" t="str">
        <f t="shared" ca="1" si="46"/>
        <v>BAD</v>
      </c>
      <c r="I678" s="83">
        <v>43910</v>
      </c>
      <c r="J678" s="84">
        <v>206</v>
      </c>
      <c r="K678" s="74" t="s">
        <v>988</v>
      </c>
      <c r="L678" s="75" t="s">
        <v>53</v>
      </c>
      <c r="M678" s="75" t="s">
        <v>106</v>
      </c>
    </row>
    <row r="679" spans="1:13" x14ac:dyDescent="0.25">
      <c r="A679" s="48">
        <v>1</v>
      </c>
      <c r="B679" s="48"/>
      <c r="C679" s="83">
        <f t="shared" ca="1" si="44"/>
        <v>43938</v>
      </c>
      <c r="D679" s="84">
        <f t="shared" si="45"/>
        <v>186.5</v>
      </c>
      <c r="E679" s="74" t="str">
        <f t="shared" ca="1" si="43"/>
        <v>HD_041720C186.5</v>
      </c>
      <c r="F679" s="75" t="str">
        <f ca="1">_xll.xlqName(E679,tda)</f>
        <v>#N/A</v>
      </c>
      <c r="G679" s="75" t="str">
        <f t="shared" ca="1" si="46"/>
        <v>BAD</v>
      </c>
      <c r="I679" s="83">
        <v>43910</v>
      </c>
      <c r="J679" s="84">
        <v>207</v>
      </c>
      <c r="K679" s="74" t="s">
        <v>989</v>
      </c>
      <c r="L679" s="75" t="s">
        <v>53</v>
      </c>
      <c r="M679" s="75" t="s">
        <v>106</v>
      </c>
    </row>
    <row r="680" spans="1:13" x14ac:dyDescent="0.25">
      <c r="A680" s="48">
        <v>1</v>
      </c>
      <c r="B680" s="48"/>
      <c r="C680" s="83">
        <f t="shared" ca="1" si="44"/>
        <v>43938</v>
      </c>
      <c r="D680" s="84">
        <f t="shared" si="45"/>
        <v>187.5</v>
      </c>
      <c r="E680" s="74" t="str">
        <f t="shared" ca="1" si="43"/>
        <v>HD_041720C187.5</v>
      </c>
      <c r="F680" s="75" t="str">
        <f ca="1">_xll.xlqName(E680,tda)</f>
        <v>#N/A</v>
      </c>
      <c r="G680" s="75" t="str">
        <f t="shared" ca="1" si="46"/>
        <v>BAD</v>
      </c>
      <c r="I680" s="83">
        <v>43910</v>
      </c>
      <c r="J680" s="84">
        <v>208</v>
      </c>
      <c r="K680" s="74" t="s">
        <v>990</v>
      </c>
      <c r="L680" s="75" t="s">
        <v>53</v>
      </c>
      <c r="M680" s="75" t="s">
        <v>106</v>
      </c>
    </row>
    <row r="681" spans="1:13" x14ac:dyDescent="0.25">
      <c r="A681" s="48">
        <v>1</v>
      </c>
      <c r="B681" s="48"/>
      <c r="C681" s="83">
        <f t="shared" ca="1" si="44"/>
        <v>43938</v>
      </c>
      <c r="D681" s="84">
        <f t="shared" si="45"/>
        <v>188.5</v>
      </c>
      <c r="E681" s="74" t="str">
        <f t="shared" ca="1" si="43"/>
        <v>HD_041720C188.5</v>
      </c>
      <c r="F681" s="75" t="str">
        <f ca="1">_xll.xlqName(E681,tda)</f>
        <v>#N/A</v>
      </c>
      <c r="G681" s="75" t="str">
        <f t="shared" ca="1" si="46"/>
        <v>BAD</v>
      </c>
      <c r="I681" s="83">
        <v>43910</v>
      </c>
      <c r="J681" s="84">
        <v>209</v>
      </c>
      <c r="K681" s="74" t="s">
        <v>991</v>
      </c>
      <c r="L681" s="75" t="s">
        <v>53</v>
      </c>
      <c r="M681" s="75" t="s">
        <v>106</v>
      </c>
    </row>
    <row r="682" spans="1:13" x14ac:dyDescent="0.25">
      <c r="A682" s="48">
        <v>1</v>
      </c>
      <c r="B682" s="48"/>
      <c r="C682" s="83">
        <f t="shared" ca="1" si="44"/>
        <v>43938</v>
      </c>
      <c r="D682" s="84">
        <f t="shared" si="45"/>
        <v>189.5</v>
      </c>
      <c r="E682" s="74" t="str">
        <f t="shared" ca="1" si="43"/>
        <v>HD_041720C189.5</v>
      </c>
      <c r="F682" s="75" t="str">
        <f ca="1">_xll.xlqName(E682,tda)</f>
        <v>#N/A</v>
      </c>
      <c r="G682" s="75" t="str">
        <f t="shared" ca="1" si="46"/>
        <v>BAD</v>
      </c>
      <c r="I682" s="83">
        <v>43910</v>
      </c>
      <c r="J682" s="84">
        <v>210</v>
      </c>
      <c r="K682" s="74" t="s">
        <v>992</v>
      </c>
      <c r="L682" s="75" t="s">
        <v>993</v>
      </c>
      <c r="M682" s="75" t="s">
        <v>111</v>
      </c>
    </row>
    <row r="683" spans="1:13" x14ac:dyDescent="0.25">
      <c r="A683" s="48">
        <v>0.5</v>
      </c>
      <c r="B683" s="48"/>
      <c r="C683" s="83">
        <f t="shared" ca="1" si="44"/>
        <v>43938</v>
      </c>
      <c r="D683" s="84">
        <f t="shared" si="45"/>
        <v>190</v>
      </c>
      <c r="E683" s="74" t="str">
        <f t="shared" ca="1" si="43"/>
        <v>HD_041720C190</v>
      </c>
      <c r="F683" s="75" t="str">
        <f ca="1">_xll.xlqName(E683,tda)</f>
        <v>#N/A</v>
      </c>
      <c r="G683" s="75" t="str">
        <f t="shared" ca="1" si="46"/>
        <v>BAD</v>
      </c>
      <c r="I683" s="83">
        <v>43910</v>
      </c>
      <c r="J683" s="84">
        <v>210.5</v>
      </c>
      <c r="K683" s="74" t="s">
        <v>994</v>
      </c>
      <c r="L683" s="75" t="s">
        <v>53</v>
      </c>
      <c r="M683" s="75" t="s">
        <v>106</v>
      </c>
    </row>
    <row r="684" spans="1:13" x14ac:dyDescent="0.25">
      <c r="A684" s="48">
        <v>0.5</v>
      </c>
      <c r="B684" s="48"/>
      <c r="C684" s="83">
        <f t="shared" ca="1" si="44"/>
        <v>43938</v>
      </c>
      <c r="D684" s="84">
        <f t="shared" si="45"/>
        <v>190.5</v>
      </c>
      <c r="E684" s="74" t="str">
        <f t="shared" ca="1" si="43"/>
        <v>HD_041720C190.5</v>
      </c>
      <c r="F684" s="75" t="str">
        <f ca="1">_xll.xlqName(E684,tda)</f>
        <v>#N/A</v>
      </c>
      <c r="G684" s="75" t="str">
        <f t="shared" ca="1" si="46"/>
        <v>BAD</v>
      </c>
      <c r="I684" s="83">
        <v>43910</v>
      </c>
      <c r="J684" s="84">
        <v>211</v>
      </c>
      <c r="K684" s="74" t="s">
        <v>995</v>
      </c>
      <c r="L684" s="75" t="s">
        <v>53</v>
      </c>
      <c r="M684" s="75" t="s">
        <v>106</v>
      </c>
    </row>
    <row r="685" spans="1:13" x14ac:dyDescent="0.25">
      <c r="A685" s="48">
        <v>1</v>
      </c>
      <c r="B685" s="48"/>
      <c r="C685" s="83">
        <f t="shared" ca="1" si="44"/>
        <v>43938</v>
      </c>
      <c r="D685" s="84">
        <f t="shared" si="45"/>
        <v>191.5</v>
      </c>
      <c r="E685" s="74" t="str">
        <f t="shared" ca="1" si="43"/>
        <v>HD_041720C191.5</v>
      </c>
      <c r="F685" s="75" t="str">
        <f ca="1">_xll.xlqName(E685,tda)</f>
        <v>#N/A</v>
      </c>
      <c r="G685" s="75" t="str">
        <f t="shared" ca="1" si="46"/>
        <v>BAD</v>
      </c>
      <c r="I685" s="83">
        <v>43910</v>
      </c>
      <c r="J685" s="84">
        <v>212</v>
      </c>
      <c r="K685" s="74" t="s">
        <v>996</v>
      </c>
      <c r="L685" s="75" t="s">
        <v>53</v>
      </c>
      <c r="M685" s="75" t="s">
        <v>106</v>
      </c>
    </row>
    <row r="686" spans="1:13" x14ac:dyDescent="0.25">
      <c r="A686" s="48">
        <v>1</v>
      </c>
      <c r="B686" s="48"/>
      <c r="C686" s="83">
        <f t="shared" ca="1" si="44"/>
        <v>43938</v>
      </c>
      <c r="D686" s="84">
        <f t="shared" si="45"/>
        <v>192.5</v>
      </c>
      <c r="E686" s="74" t="str">
        <f t="shared" ca="1" si="43"/>
        <v>HD_041720C192.5</v>
      </c>
      <c r="F686" s="75" t="str">
        <f ca="1">_xll.xlqName(E686,tda)</f>
        <v>#N/A</v>
      </c>
      <c r="G686" s="75" t="str">
        <f t="shared" ca="1" si="46"/>
        <v>BAD</v>
      </c>
      <c r="I686" s="83">
        <v>43910</v>
      </c>
      <c r="J686" s="84">
        <v>213</v>
      </c>
      <c r="K686" s="74" t="s">
        <v>997</v>
      </c>
      <c r="L686" s="75" t="s">
        <v>53</v>
      </c>
      <c r="M686" s="75" t="s">
        <v>106</v>
      </c>
    </row>
    <row r="687" spans="1:13" x14ac:dyDescent="0.25">
      <c r="A687" s="48">
        <v>1</v>
      </c>
      <c r="B687" s="48"/>
      <c r="C687" s="83">
        <f t="shared" ca="1" si="44"/>
        <v>43938</v>
      </c>
      <c r="D687" s="84">
        <f t="shared" si="45"/>
        <v>193.5</v>
      </c>
      <c r="E687" s="74" t="str">
        <f t="shared" ca="1" si="43"/>
        <v>HD_041720C193.5</v>
      </c>
      <c r="F687" s="75" t="str">
        <f ca="1">_xll.xlqName(E687,tda)</f>
        <v>#N/A</v>
      </c>
      <c r="G687" s="75" t="str">
        <f t="shared" ca="1" si="46"/>
        <v>BAD</v>
      </c>
      <c r="I687" s="83">
        <v>43910</v>
      </c>
      <c r="J687" s="84">
        <v>214</v>
      </c>
      <c r="K687" s="74" t="s">
        <v>998</v>
      </c>
      <c r="L687" s="75" t="s">
        <v>53</v>
      </c>
      <c r="M687" s="75" t="s">
        <v>106</v>
      </c>
    </row>
    <row r="688" spans="1:13" x14ac:dyDescent="0.25">
      <c r="A688" s="48">
        <v>1</v>
      </c>
      <c r="B688" s="48"/>
      <c r="C688" s="83">
        <f t="shared" ca="1" si="44"/>
        <v>43938</v>
      </c>
      <c r="D688" s="84">
        <f t="shared" si="45"/>
        <v>194.5</v>
      </c>
      <c r="E688" s="74" t="str">
        <f t="shared" ca="1" si="43"/>
        <v>HD_041720C194.5</v>
      </c>
      <c r="F688" s="75" t="str">
        <f ca="1">_xll.xlqName(E688,tda)</f>
        <v>#N/A</v>
      </c>
      <c r="G688" s="75" t="str">
        <f t="shared" ca="1" si="46"/>
        <v>BAD</v>
      </c>
      <c r="I688" s="83">
        <v>43910</v>
      </c>
      <c r="J688" s="84">
        <v>215</v>
      </c>
      <c r="K688" s="74" t="s">
        <v>999</v>
      </c>
      <c r="L688" s="75" t="s">
        <v>1000</v>
      </c>
      <c r="M688" s="75" t="s">
        <v>111</v>
      </c>
    </row>
    <row r="689" spans="1:13" x14ac:dyDescent="0.25">
      <c r="A689" s="48">
        <v>0.5</v>
      </c>
      <c r="B689" s="48"/>
      <c r="C689" s="83">
        <f t="shared" ca="1" si="44"/>
        <v>43938</v>
      </c>
      <c r="D689" s="84">
        <f t="shared" si="45"/>
        <v>195</v>
      </c>
      <c r="E689" s="74" t="str">
        <f t="shared" ca="1" si="43"/>
        <v>HD_041720C195</v>
      </c>
      <c r="F689" s="75" t="str">
        <f ca="1">_xll.xlqName(E689,tda)</f>
        <v>#N/A</v>
      </c>
      <c r="G689" s="75" t="str">
        <f t="shared" ca="1" si="46"/>
        <v>BAD</v>
      </c>
      <c r="I689" s="83">
        <v>43910</v>
      </c>
      <c r="J689" s="84">
        <v>215.5</v>
      </c>
      <c r="K689" s="74" t="s">
        <v>1001</v>
      </c>
      <c r="L689" s="75" t="s">
        <v>53</v>
      </c>
      <c r="M689" s="75" t="s">
        <v>106</v>
      </c>
    </row>
    <row r="690" spans="1:13" x14ac:dyDescent="0.25">
      <c r="A690" s="48">
        <v>0.5</v>
      </c>
      <c r="B690" s="48"/>
      <c r="C690" s="83">
        <f t="shared" ca="1" si="44"/>
        <v>43938</v>
      </c>
      <c r="D690" s="84">
        <f t="shared" si="45"/>
        <v>195.5</v>
      </c>
      <c r="E690" s="74" t="str">
        <f t="shared" ca="1" si="43"/>
        <v>HD_041720C195.5</v>
      </c>
      <c r="F690" s="75" t="str">
        <f ca="1">_xll.xlqName(E690,tda)</f>
        <v>#N/A</v>
      </c>
      <c r="G690" s="75" t="str">
        <f t="shared" ca="1" si="46"/>
        <v>BAD</v>
      </c>
      <c r="I690" s="83">
        <v>43910</v>
      </c>
      <c r="J690" s="84">
        <v>216</v>
      </c>
      <c r="K690" s="74" t="s">
        <v>1002</v>
      </c>
      <c r="L690" s="75" t="s">
        <v>53</v>
      </c>
      <c r="M690" s="75" t="s">
        <v>106</v>
      </c>
    </row>
    <row r="691" spans="1:13" x14ac:dyDescent="0.25">
      <c r="A691" s="48">
        <v>1</v>
      </c>
      <c r="B691" s="48"/>
      <c r="C691" s="83">
        <f t="shared" ca="1" si="44"/>
        <v>43938</v>
      </c>
      <c r="D691" s="84">
        <f t="shared" si="45"/>
        <v>196.5</v>
      </c>
      <c r="E691" s="74" t="str">
        <f t="shared" ca="1" si="43"/>
        <v>HD_041720C196.5</v>
      </c>
      <c r="F691" s="75" t="str">
        <f ca="1">_xll.xlqName(E691,tda)</f>
        <v>#N/A</v>
      </c>
      <c r="G691" s="75" t="str">
        <f t="shared" ca="1" si="46"/>
        <v>BAD</v>
      </c>
      <c r="I691" s="83">
        <v>43910</v>
      </c>
      <c r="J691" s="84">
        <v>217</v>
      </c>
      <c r="K691" s="74" t="s">
        <v>1003</v>
      </c>
      <c r="L691" s="75" t="s">
        <v>53</v>
      </c>
      <c r="M691" s="75" t="s">
        <v>106</v>
      </c>
    </row>
    <row r="692" spans="1:13" x14ac:dyDescent="0.25">
      <c r="A692" s="48">
        <v>1</v>
      </c>
      <c r="B692" s="48"/>
      <c r="C692" s="83">
        <f t="shared" ca="1" si="44"/>
        <v>43938</v>
      </c>
      <c r="D692" s="84">
        <f t="shared" si="45"/>
        <v>197.5</v>
      </c>
      <c r="E692" s="74" t="str">
        <f t="shared" ca="1" si="43"/>
        <v>HD_041720C197.5</v>
      </c>
      <c r="F692" s="75" t="str">
        <f ca="1">_xll.xlqName(E692,tda)</f>
        <v>#N/A</v>
      </c>
      <c r="G692" s="75" t="str">
        <f t="shared" ca="1" si="46"/>
        <v>BAD</v>
      </c>
      <c r="I692" s="83">
        <v>43910</v>
      </c>
      <c r="J692" s="84">
        <v>218</v>
      </c>
      <c r="K692" s="74" t="s">
        <v>1004</v>
      </c>
      <c r="L692" s="75" t="s">
        <v>53</v>
      </c>
      <c r="M692" s="75" t="s">
        <v>106</v>
      </c>
    </row>
    <row r="693" spans="1:13" x14ac:dyDescent="0.25">
      <c r="A693" s="48">
        <v>1</v>
      </c>
      <c r="B693" s="48"/>
      <c r="C693" s="83">
        <f t="shared" ca="1" si="44"/>
        <v>43938</v>
      </c>
      <c r="D693" s="84">
        <f t="shared" si="45"/>
        <v>198.5</v>
      </c>
      <c r="E693" s="74" t="str">
        <f t="shared" ca="1" si="43"/>
        <v>HD_041720C198.5</v>
      </c>
      <c r="F693" s="75" t="str">
        <f ca="1">_xll.xlqName(E693,tda)</f>
        <v>#N/A</v>
      </c>
      <c r="G693" s="75" t="str">
        <f t="shared" ca="1" si="46"/>
        <v>BAD</v>
      </c>
      <c r="I693" s="83">
        <v>43910</v>
      </c>
      <c r="J693" s="84">
        <v>219</v>
      </c>
      <c r="K693" s="74" t="s">
        <v>1005</v>
      </c>
      <c r="L693" s="75" t="s">
        <v>53</v>
      </c>
      <c r="M693" s="75" t="s">
        <v>106</v>
      </c>
    </row>
    <row r="694" spans="1:13" x14ac:dyDescent="0.25">
      <c r="A694" s="48">
        <v>1</v>
      </c>
      <c r="B694" s="48"/>
      <c r="C694" s="83">
        <f t="shared" ca="1" si="44"/>
        <v>43938</v>
      </c>
      <c r="D694" s="84">
        <f t="shared" si="45"/>
        <v>199.5</v>
      </c>
      <c r="E694" s="74" t="str">
        <f t="shared" ca="1" si="43"/>
        <v>HD_041720C199.5</v>
      </c>
      <c r="F694" s="75" t="str">
        <f ca="1">_xll.xlqName(E694,tda)</f>
        <v>#N/A</v>
      </c>
      <c r="G694" s="75" t="str">
        <f t="shared" ca="1" si="46"/>
        <v>BAD</v>
      </c>
      <c r="I694" s="83">
        <v>43910</v>
      </c>
      <c r="J694" s="84">
        <v>220</v>
      </c>
      <c r="K694" s="74" t="s">
        <v>1006</v>
      </c>
      <c r="L694" s="75" t="s">
        <v>1007</v>
      </c>
      <c r="M694" s="75" t="s">
        <v>111</v>
      </c>
    </row>
    <row r="695" spans="1:13" x14ac:dyDescent="0.25">
      <c r="A695" s="48">
        <v>0.5</v>
      </c>
      <c r="B695" s="48"/>
      <c r="C695" s="83">
        <f t="shared" ca="1" si="44"/>
        <v>43938</v>
      </c>
      <c r="D695" s="84">
        <f t="shared" si="45"/>
        <v>200</v>
      </c>
      <c r="E695" s="74" t="str">
        <f t="shared" ca="1" si="43"/>
        <v>HD_041720C200</v>
      </c>
      <c r="F695" s="75" t="str">
        <f ca="1">_xll.xlqName(E695,tda)</f>
        <v>#N/A</v>
      </c>
      <c r="G695" s="75" t="str">
        <f t="shared" ca="1" si="46"/>
        <v>BAD</v>
      </c>
      <c r="I695" s="83">
        <v>43910</v>
      </c>
      <c r="J695" s="84">
        <v>220.5</v>
      </c>
      <c r="K695" s="74" t="s">
        <v>1008</v>
      </c>
      <c r="L695" s="75" t="s">
        <v>53</v>
      </c>
      <c r="M695" s="75" t="s">
        <v>106</v>
      </c>
    </row>
    <row r="696" spans="1:13" x14ac:dyDescent="0.25">
      <c r="A696" s="48">
        <v>0.5</v>
      </c>
      <c r="B696" s="48"/>
      <c r="C696" s="83">
        <f t="shared" ca="1" si="44"/>
        <v>43938</v>
      </c>
      <c r="D696" s="84">
        <f t="shared" si="45"/>
        <v>200.5</v>
      </c>
      <c r="E696" s="74" t="str">
        <f t="shared" ca="1" si="43"/>
        <v>HD_041720C200.5</v>
      </c>
      <c r="F696" s="75" t="str">
        <f ca="1">_xll.xlqName(E696,tda)</f>
        <v>#N/A</v>
      </c>
      <c r="G696" s="75" t="str">
        <f t="shared" ca="1" si="46"/>
        <v>BAD</v>
      </c>
      <c r="I696" s="83">
        <v>43910</v>
      </c>
      <c r="J696" s="84">
        <v>221</v>
      </c>
      <c r="K696" s="74" t="s">
        <v>1009</v>
      </c>
      <c r="L696" s="75" t="s">
        <v>53</v>
      </c>
      <c r="M696" s="75" t="s">
        <v>106</v>
      </c>
    </row>
    <row r="697" spans="1:13" x14ac:dyDescent="0.25">
      <c r="A697" s="48">
        <v>1</v>
      </c>
      <c r="B697" s="48"/>
      <c r="C697" s="83">
        <f t="shared" ca="1" si="44"/>
        <v>43938</v>
      </c>
      <c r="D697" s="84">
        <f t="shared" si="45"/>
        <v>201.5</v>
      </c>
      <c r="E697" s="74" t="str">
        <f t="shared" ca="1" si="43"/>
        <v>HD_041720C201.5</v>
      </c>
      <c r="F697" s="75" t="str">
        <f ca="1">_xll.xlqName(E697,tda)</f>
        <v>#N/A</v>
      </c>
      <c r="G697" s="75" t="str">
        <f t="shared" ca="1" si="46"/>
        <v>BAD</v>
      </c>
      <c r="I697" s="83">
        <v>43910</v>
      </c>
      <c r="J697" s="84">
        <v>222</v>
      </c>
      <c r="K697" s="74" t="s">
        <v>1010</v>
      </c>
      <c r="L697" s="75" t="s">
        <v>53</v>
      </c>
      <c r="M697" s="75" t="s">
        <v>106</v>
      </c>
    </row>
    <row r="698" spans="1:13" x14ac:dyDescent="0.25">
      <c r="A698" s="48">
        <v>1</v>
      </c>
      <c r="B698" s="48"/>
      <c r="C698" s="83">
        <f t="shared" ca="1" si="44"/>
        <v>43938</v>
      </c>
      <c r="D698" s="84">
        <f t="shared" si="45"/>
        <v>202.5</v>
      </c>
      <c r="E698" s="74" t="str">
        <f t="shared" ca="1" si="43"/>
        <v>HD_041720C202.5</v>
      </c>
      <c r="F698" s="75" t="str">
        <f ca="1">_xll.xlqName(E698,tda)</f>
        <v>#N/A</v>
      </c>
      <c r="G698" s="75" t="str">
        <f t="shared" ca="1" si="46"/>
        <v>BAD</v>
      </c>
      <c r="I698" s="83">
        <v>43910</v>
      </c>
      <c r="J698" s="84">
        <v>223</v>
      </c>
      <c r="K698" s="74" t="s">
        <v>1011</v>
      </c>
      <c r="L698" s="75" t="s">
        <v>53</v>
      </c>
      <c r="M698" s="75" t="s">
        <v>106</v>
      </c>
    </row>
    <row r="699" spans="1:13" x14ac:dyDescent="0.25">
      <c r="A699" s="48">
        <v>1</v>
      </c>
      <c r="B699" s="48"/>
      <c r="C699" s="83">
        <f t="shared" ca="1" si="44"/>
        <v>43938</v>
      </c>
      <c r="D699" s="84">
        <f t="shared" si="45"/>
        <v>203.5</v>
      </c>
      <c r="E699" s="74" t="str">
        <f t="shared" ca="1" si="43"/>
        <v>HD_041720C203.5</v>
      </c>
      <c r="F699" s="75" t="str">
        <f ca="1">_xll.xlqName(E699,tda)</f>
        <v>#N/A</v>
      </c>
      <c r="G699" s="75" t="str">
        <f t="shared" ca="1" si="46"/>
        <v>BAD</v>
      </c>
      <c r="I699" s="83">
        <v>43910</v>
      </c>
      <c r="J699" s="84">
        <v>224</v>
      </c>
      <c r="K699" s="74" t="s">
        <v>1012</v>
      </c>
      <c r="L699" s="75" t="s">
        <v>53</v>
      </c>
      <c r="M699" s="75" t="s">
        <v>106</v>
      </c>
    </row>
    <row r="700" spans="1:13" x14ac:dyDescent="0.25">
      <c r="A700" s="48">
        <v>1</v>
      </c>
      <c r="B700" s="48"/>
      <c r="C700" s="83">
        <f t="shared" ca="1" si="44"/>
        <v>43938</v>
      </c>
      <c r="D700" s="84">
        <f t="shared" si="45"/>
        <v>204.5</v>
      </c>
      <c r="E700" s="74" t="str">
        <f t="shared" ca="1" si="43"/>
        <v>HD_041720C204.5</v>
      </c>
      <c r="F700" s="75" t="str">
        <f ca="1">_xll.xlqName(E700,tda)</f>
        <v>#N/A</v>
      </c>
      <c r="G700" s="75" t="str">
        <f t="shared" ca="1" si="46"/>
        <v>BAD</v>
      </c>
      <c r="I700" s="83">
        <v>43910</v>
      </c>
      <c r="J700" s="84">
        <v>225</v>
      </c>
      <c r="K700" s="74" t="s">
        <v>1013</v>
      </c>
      <c r="L700" s="75" t="s">
        <v>1014</v>
      </c>
      <c r="M700" s="75" t="s">
        <v>111</v>
      </c>
    </row>
    <row r="701" spans="1:13" x14ac:dyDescent="0.25">
      <c r="A701" s="48">
        <v>0.5</v>
      </c>
      <c r="B701" s="48"/>
      <c r="C701" s="83">
        <f t="shared" ca="1" si="44"/>
        <v>43938</v>
      </c>
      <c r="D701" s="84">
        <f t="shared" si="45"/>
        <v>205</v>
      </c>
      <c r="E701" s="74" t="str">
        <f t="shared" ca="1" si="43"/>
        <v>HD_041720C205</v>
      </c>
      <c r="F701" s="75" t="str">
        <f ca="1">_xll.xlqName(E701,tda)</f>
        <v>#N/A</v>
      </c>
      <c r="G701" s="75" t="str">
        <f t="shared" ca="1" si="46"/>
        <v>BAD</v>
      </c>
      <c r="I701" s="83">
        <v>43910</v>
      </c>
      <c r="J701" s="84">
        <v>225.5</v>
      </c>
      <c r="K701" s="74" t="s">
        <v>1015</v>
      </c>
      <c r="L701" s="75" t="s">
        <v>53</v>
      </c>
      <c r="M701" s="75" t="s">
        <v>106</v>
      </c>
    </row>
    <row r="702" spans="1:13" x14ac:dyDescent="0.25">
      <c r="A702" s="48">
        <v>0.5</v>
      </c>
      <c r="B702" s="48"/>
      <c r="C702" s="83">
        <f t="shared" ca="1" si="44"/>
        <v>43938</v>
      </c>
      <c r="D702" s="84">
        <f t="shared" si="45"/>
        <v>205.5</v>
      </c>
      <c r="E702" s="74" t="str">
        <f t="shared" ca="1" si="43"/>
        <v>HD_041720C205.5</v>
      </c>
      <c r="F702" s="75" t="str">
        <f ca="1">_xll.xlqName(E702,tda)</f>
        <v>#N/A</v>
      </c>
      <c r="G702" s="75" t="str">
        <f t="shared" ca="1" si="46"/>
        <v>BAD</v>
      </c>
      <c r="I702" s="83">
        <v>43910</v>
      </c>
      <c r="J702" s="84">
        <v>226</v>
      </c>
      <c r="K702" s="74" t="s">
        <v>1016</v>
      </c>
      <c r="L702" s="75" t="s">
        <v>53</v>
      </c>
      <c r="M702" s="75" t="s">
        <v>106</v>
      </c>
    </row>
    <row r="703" spans="1:13" x14ac:dyDescent="0.25">
      <c r="A703" s="48">
        <v>1</v>
      </c>
      <c r="B703" s="48"/>
      <c r="C703" s="83">
        <f t="shared" ca="1" si="44"/>
        <v>43938</v>
      </c>
      <c r="D703" s="84">
        <f t="shared" si="45"/>
        <v>206.5</v>
      </c>
      <c r="E703" s="74" t="str">
        <f t="shared" ca="1" si="43"/>
        <v>HD_041720C206.5</v>
      </c>
      <c r="F703" s="75" t="str">
        <f ca="1">_xll.xlqName(E703,tda)</f>
        <v>#N/A</v>
      </c>
      <c r="G703" s="75" t="str">
        <f t="shared" ca="1" si="46"/>
        <v>BAD</v>
      </c>
      <c r="I703" s="83">
        <v>43910</v>
      </c>
      <c r="J703" s="84">
        <v>227</v>
      </c>
      <c r="K703" s="74" t="s">
        <v>1017</v>
      </c>
      <c r="L703" s="75" t="s">
        <v>53</v>
      </c>
      <c r="M703" s="75" t="s">
        <v>106</v>
      </c>
    </row>
    <row r="704" spans="1:13" x14ac:dyDescent="0.25">
      <c r="A704" s="48">
        <v>1</v>
      </c>
      <c r="B704" s="48"/>
      <c r="C704" s="83">
        <f t="shared" ca="1" si="44"/>
        <v>43938</v>
      </c>
      <c r="D704" s="84">
        <f t="shared" si="45"/>
        <v>207.5</v>
      </c>
      <c r="E704" s="74" t="str">
        <f t="shared" ca="1" si="43"/>
        <v>HD_041720C207.5</v>
      </c>
      <c r="F704" s="75" t="str">
        <f ca="1">_xll.xlqName(E704,tda)</f>
        <v>#N/A</v>
      </c>
      <c r="G704" s="75" t="str">
        <f t="shared" ca="1" si="46"/>
        <v>BAD</v>
      </c>
      <c r="I704" s="83">
        <v>43910</v>
      </c>
      <c r="J704" s="84">
        <v>228</v>
      </c>
      <c r="K704" s="74" t="s">
        <v>1018</v>
      </c>
      <c r="L704" s="75" t="s">
        <v>53</v>
      </c>
      <c r="M704" s="75" t="s">
        <v>106</v>
      </c>
    </row>
    <row r="705" spans="1:13" x14ac:dyDescent="0.25">
      <c r="A705" s="48">
        <v>1</v>
      </c>
      <c r="B705" s="48"/>
      <c r="C705" s="83">
        <f t="shared" ca="1" si="44"/>
        <v>43938</v>
      </c>
      <c r="D705" s="84">
        <f t="shared" si="45"/>
        <v>208.5</v>
      </c>
      <c r="E705" s="74" t="str">
        <f t="shared" ca="1" si="43"/>
        <v>HD_041720C208.5</v>
      </c>
      <c r="F705" s="75" t="str">
        <f ca="1">_xll.xlqName(E705,tda)</f>
        <v>#N/A</v>
      </c>
      <c r="G705" s="75" t="str">
        <f t="shared" ca="1" si="46"/>
        <v>BAD</v>
      </c>
      <c r="I705" s="83">
        <v>43910</v>
      </c>
      <c r="J705" s="84">
        <v>229</v>
      </c>
      <c r="K705" s="74" t="s">
        <v>1019</v>
      </c>
      <c r="L705" s="75" t="s">
        <v>53</v>
      </c>
      <c r="M705" s="75" t="s">
        <v>106</v>
      </c>
    </row>
    <row r="706" spans="1:13" x14ac:dyDescent="0.25">
      <c r="A706" s="48">
        <v>1</v>
      </c>
      <c r="B706" s="48"/>
      <c r="C706" s="83">
        <f t="shared" ca="1" si="44"/>
        <v>43938</v>
      </c>
      <c r="D706" s="84">
        <f t="shared" si="45"/>
        <v>209.5</v>
      </c>
      <c r="E706" s="74" t="str">
        <f t="shared" ref="E706:E769" ca="1" si="47">CONCATENATE($Q$2,"_",TEXT(MONTH(C706),"00"),TEXT(DAY(C706),"00"),TEXT(MOD(YEAR(C706),100),"00"),$Q$3,D706&amp;"")</f>
        <v>HD_041720C209.5</v>
      </c>
      <c r="F706" s="75" t="str">
        <f ca="1">_xll.xlqName(E706,tda)</f>
        <v>#N/A</v>
      </c>
      <c r="G706" s="75" t="str">
        <f t="shared" ca="1" si="46"/>
        <v>BAD</v>
      </c>
      <c r="I706" s="83">
        <v>43910</v>
      </c>
      <c r="J706" s="84">
        <v>230</v>
      </c>
      <c r="K706" s="74" t="s">
        <v>1020</v>
      </c>
      <c r="L706" s="75" t="s">
        <v>1021</v>
      </c>
      <c r="M706" s="75" t="s">
        <v>111</v>
      </c>
    </row>
    <row r="707" spans="1:13" x14ac:dyDescent="0.25">
      <c r="A707" s="48">
        <v>0.5</v>
      </c>
      <c r="B707" s="48"/>
      <c r="C707" s="83">
        <f t="shared" ref="C707:C770" ca="1" si="48">IF(D707&gt;D706,C706,INDEX($O$14:$O$50,VLOOKUP(C706,$O$14:$P$50,2)+1))</f>
        <v>43938</v>
      </c>
      <c r="D707" s="84">
        <f t="shared" ref="D707:D770" si="49">IF(D706+A707&lt;=$Q$8,D706+A707,$Q$6)</f>
        <v>210</v>
      </c>
      <c r="E707" s="74" t="str">
        <f t="shared" ca="1" si="47"/>
        <v>HD_041720C210</v>
      </c>
      <c r="F707" s="75" t="str">
        <f ca="1">_xll.xlqName(E707,tda)</f>
        <v>#N/A</v>
      </c>
      <c r="G707" s="75" t="str">
        <f t="shared" ref="G707:G770" ca="1" si="50">IF(AND(ISTEXT(F707),(F707&lt;&gt;"#N/A"),(F707&lt;&gt;"Busy...")),"","BAD")</f>
        <v>BAD</v>
      </c>
      <c r="I707" s="83">
        <v>43910</v>
      </c>
      <c r="J707" s="84">
        <v>230.5</v>
      </c>
      <c r="K707" s="74" t="s">
        <v>1022</v>
      </c>
      <c r="L707" s="75" t="s">
        <v>53</v>
      </c>
      <c r="M707" s="75" t="s">
        <v>106</v>
      </c>
    </row>
    <row r="708" spans="1:13" x14ac:dyDescent="0.25">
      <c r="A708" s="48">
        <v>0.5</v>
      </c>
      <c r="B708" s="48"/>
      <c r="C708" s="83">
        <f t="shared" ca="1" si="48"/>
        <v>43938</v>
      </c>
      <c r="D708" s="84">
        <f t="shared" si="49"/>
        <v>210.5</v>
      </c>
      <c r="E708" s="74" t="str">
        <f t="shared" ca="1" si="47"/>
        <v>HD_041720C210.5</v>
      </c>
      <c r="F708" s="75" t="str">
        <f ca="1">_xll.xlqName(E708,tda)</f>
        <v>#N/A</v>
      </c>
      <c r="G708" s="75" t="str">
        <f t="shared" ca="1" si="50"/>
        <v>BAD</v>
      </c>
      <c r="I708" s="83">
        <v>43910</v>
      </c>
      <c r="J708" s="84">
        <v>231</v>
      </c>
      <c r="K708" s="74" t="s">
        <v>1023</v>
      </c>
      <c r="L708" s="75" t="s">
        <v>53</v>
      </c>
      <c r="M708" s="75" t="s">
        <v>106</v>
      </c>
    </row>
    <row r="709" spans="1:13" x14ac:dyDescent="0.25">
      <c r="A709" s="48">
        <v>1</v>
      </c>
      <c r="B709" s="48"/>
      <c r="C709" s="83">
        <f t="shared" ca="1" si="48"/>
        <v>43938</v>
      </c>
      <c r="D709" s="84">
        <f t="shared" si="49"/>
        <v>211.5</v>
      </c>
      <c r="E709" s="74" t="str">
        <f t="shared" ca="1" si="47"/>
        <v>HD_041720C211.5</v>
      </c>
      <c r="F709" s="75" t="str">
        <f ca="1">_xll.xlqName(E709,tda)</f>
        <v>#N/A</v>
      </c>
      <c r="G709" s="75" t="str">
        <f t="shared" ca="1" si="50"/>
        <v>BAD</v>
      </c>
      <c r="I709" s="83">
        <v>43910</v>
      </c>
      <c r="J709" s="84">
        <v>232</v>
      </c>
      <c r="K709" s="74" t="s">
        <v>1024</v>
      </c>
      <c r="L709" s="75" t="s">
        <v>53</v>
      </c>
      <c r="M709" s="75" t="s">
        <v>106</v>
      </c>
    </row>
    <row r="710" spans="1:13" x14ac:dyDescent="0.25">
      <c r="A710" s="48">
        <v>1</v>
      </c>
      <c r="B710" s="48"/>
      <c r="C710" s="83">
        <f t="shared" ca="1" si="48"/>
        <v>43938</v>
      </c>
      <c r="D710" s="84">
        <f t="shared" si="49"/>
        <v>212.5</v>
      </c>
      <c r="E710" s="74" t="str">
        <f t="shared" ca="1" si="47"/>
        <v>HD_041720C212.5</v>
      </c>
      <c r="F710" s="75" t="str">
        <f ca="1">_xll.xlqName(E710,tda)</f>
        <v>#N/A</v>
      </c>
      <c r="G710" s="75" t="str">
        <f t="shared" ca="1" si="50"/>
        <v>BAD</v>
      </c>
      <c r="I710" s="83">
        <v>43910</v>
      </c>
      <c r="J710" s="84">
        <v>233</v>
      </c>
      <c r="K710" s="74" t="s">
        <v>1025</v>
      </c>
      <c r="L710" s="75" t="s">
        <v>53</v>
      </c>
      <c r="M710" s="75" t="s">
        <v>106</v>
      </c>
    </row>
    <row r="711" spans="1:13" x14ac:dyDescent="0.25">
      <c r="A711" s="48">
        <v>1</v>
      </c>
      <c r="B711" s="48"/>
      <c r="C711" s="83">
        <f t="shared" ca="1" si="48"/>
        <v>43938</v>
      </c>
      <c r="D711" s="84">
        <f t="shared" si="49"/>
        <v>213.5</v>
      </c>
      <c r="E711" s="74" t="str">
        <f t="shared" ca="1" si="47"/>
        <v>HD_041720C213.5</v>
      </c>
      <c r="F711" s="75" t="str">
        <f ca="1">_xll.xlqName(E711,tda)</f>
        <v>#N/A</v>
      </c>
      <c r="G711" s="75" t="str">
        <f t="shared" ca="1" si="50"/>
        <v>BAD</v>
      </c>
      <c r="I711" s="83">
        <v>43910</v>
      </c>
      <c r="J711" s="84">
        <v>234</v>
      </c>
      <c r="K711" s="74" t="s">
        <v>1026</v>
      </c>
      <c r="L711" s="75" t="s">
        <v>53</v>
      </c>
      <c r="M711" s="75" t="s">
        <v>106</v>
      </c>
    </row>
    <row r="712" spans="1:13" x14ac:dyDescent="0.25">
      <c r="A712" s="48">
        <v>1</v>
      </c>
      <c r="B712" s="48"/>
      <c r="C712" s="83">
        <f t="shared" ca="1" si="48"/>
        <v>43938</v>
      </c>
      <c r="D712" s="84">
        <f t="shared" si="49"/>
        <v>214.5</v>
      </c>
      <c r="E712" s="74" t="str">
        <f t="shared" ca="1" si="47"/>
        <v>HD_041720C214.5</v>
      </c>
      <c r="F712" s="75" t="str">
        <f ca="1">_xll.xlqName(E712,tda)</f>
        <v>#N/A</v>
      </c>
      <c r="G712" s="75" t="str">
        <f t="shared" ca="1" si="50"/>
        <v>BAD</v>
      </c>
      <c r="I712" s="83">
        <v>43910</v>
      </c>
      <c r="J712" s="84">
        <v>235</v>
      </c>
      <c r="K712" s="74" t="s">
        <v>1027</v>
      </c>
      <c r="L712" s="75" t="s">
        <v>1028</v>
      </c>
      <c r="M712" s="75" t="s">
        <v>111</v>
      </c>
    </row>
    <row r="713" spans="1:13" x14ac:dyDescent="0.25">
      <c r="A713" s="48">
        <v>0.5</v>
      </c>
      <c r="B713" s="48"/>
      <c r="C713" s="83">
        <f t="shared" ca="1" si="48"/>
        <v>43938</v>
      </c>
      <c r="D713" s="84">
        <f t="shared" si="49"/>
        <v>215</v>
      </c>
      <c r="E713" s="74" t="str">
        <f t="shared" ca="1" si="47"/>
        <v>HD_041720C215</v>
      </c>
      <c r="F713" s="75" t="str">
        <f ca="1">_xll.xlqName(E713,tda)</f>
        <v>#N/A</v>
      </c>
      <c r="G713" s="75" t="str">
        <f t="shared" ca="1" si="50"/>
        <v>BAD</v>
      </c>
      <c r="I713" s="83">
        <v>43938</v>
      </c>
      <c r="J713" s="84">
        <v>170</v>
      </c>
      <c r="K713" s="74" t="s">
        <v>1029</v>
      </c>
      <c r="L713" s="75" t="s">
        <v>53</v>
      </c>
      <c r="M713" s="75" t="s">
        <v>106</v>
      </c>
    </row>
    <row r="714" spans="1:13" x14ac:dyDescent="0.25">
      <c r="A714" s="48">
        <v>0.5</v>
      </c>
      <c r="B714" s="48"/>
      <c r="C714" s="83">
        <f t="shared" ca="1" si="48"/>
        <v>43938</v>
      </c>
      <c r="D714" s="84">
        <f t="shared" si="49"/>
        <v>215.5</v>
      </c>
      <c r="E714" s="74" t="str">
        <f t="shared" ca="1" si="47"/>
        <v>HD_041720C215.5</v>
      </c>
      <c r="F714" s="75" t="str">
        <f ca="1">_xll.xlqName(E714,tda)</f>
        <v>#N/A</v>
      </c>
      <c r="G714" s="75" t="str">
        <f t="shared" ca="1" si="50"/>
        <v>BAD</v>
      </c>
      <c r="I714" s="83">
        <v>43938</v>
      </c>
      <c r="J714" s="84">
        <v>170.5</v>
      </c>
      <c r="K714" s="74" t="s">
        <v>1030</v>
      </c>
      <c r="L714" s="75" t="s">
        <v>53</v>
      </c>
      <c r="M714" s="75" t="s">
        <v>106</v>
      </c>
    </row>
    <row r="715" spans="1:13" x14ac:dyDescent="0.25">
      <c r="A715" s="48">
        <v>1</v>
      </c>
      <c r="B715" s="48"/>
      <c r="C715" s="83">
        <f t="shared" ca="1" si="48"/>
        <v>43938</v>
      </c>
      <c r="D715" s="84">
        <f t="shared" si="49"/>
        <v>216.5</v>
      </c>
      <c r="E715" s="74" t="str">
        <f t="shared" ca="1" si="47"/>
        <v>HD_041720C216.5</v>
      </c>
      <c r="F715" s="75" t="str">
        <f ca="1">_xll.xlqName(E715,tda)</f>
        <v>#N/A</v>
      </c>
      <c r="G715" s="75" t="str">
        <f t="shared" ca="1" si="50"/>
        <v>BAD</v>
      </c>
      <c r="I715" s="83">
        <v>43938</v>
      </c>
      <c r="J715" s="84">
        <v>171.5</v>
      </c>
      <c r="K715" s="74" t="s">
        <v>1031</v>
      </c>
      <c r="L715" s="75" t="s">
        <v>53</v>
      </c>
      <c r="M715" s="75" t="s">
        <v>106</v>
      </c>
    </row>
    <row r="716" spans="1:13" x14ac:dyDescent="0.25">
      <c r="A716" s="48">
        <v>1</v>
      </c>
      <c r="B716" s="48"/>
      <c r="C716" s="83">
        <f t="shared" ca="1" si="48"/>
        <v>43938</v>
      </c>
      <c r="D716" s="84">
        <f t="shared" si="49"/>
        <v>217.5</v>
      </c>
      <c r="E716" s="74" t="str">
        <f t="shared" ca="1" si="47"/>
        <v>HD_041720C217.5</v>
      </c>
      <c r="F716" s="75" t="str">
        <f ca="1">_xll.xlqName(E716,tda)</f>
        <v>#N/A</v>
      </c>
      <c r="G716" s="75" t="str">
        <f t="shared" ca="1" si="50"/>
        <v>BAD</v>
      </c>
      <c r="I716" s="83">
        <v>43938</v>
      </c>
      <c r="J716" s="84">
        <v>172.5</v>
      </c>
      <c r="K716" s="74" t="s">
        <v>1032</v>
      </c>
      <c r="L716" s="75" t="s">
        <v>53</v>
      </c>
      <c r="M716" s="75" t="s">
        <v>106</v>
      </c>
    </row>
    <row r="717" spans="1:13" x14ac:dyDescent="0.25">
      <c r="A717" s="48">
        <v>1</v>
      </c>
      <c r="B717" s="48"/>
      <c r="C717" s="83">
        <f t="shared" ca="1" si="48"/>
        <v>43938</v>
      </c>
      <c r="D717" s="84">
        <f t="shared" si="49"/>
        <v>218.5</v>
      </c>
      <c r="E717" s="74" t="str">
        <f t="shared" ca="1" si="47"/>
        <v>HD_041720C218.5</v>
      </c>
      <c r="F717" s="75" t="str">
        <f ca="1">_xll.xlqName(E717,tda)</f>
        <v>#N/A</v>
      </c>
      <c r="G717" s="75" t="str">
        <f t="shared" ca="1" si="50"/>
        <v>BAD</v>
      </c>
      <c r="I717" s="83">
        <v>43938</v>
      </c>
      <c r="J717" s="84">
        <v>173.5</v>
      </c>
      <c r="K717" s="74" t="s">
        <v>1033</v>
      </c>
      <c r="L717" s="75" t="s">
        <v>53</v>
      </c>
      <c r="M717" s="75" t="s">
        <v>106</v>
      </c>
    </row>
    <row r="718" spans="1:13" x14ac:dyDescent="0.25">
      <c r="A718" s="48">
        <v>1</v>
      </c>
      <c r="B718" s="48"/>
      <c r="C718" s="83">
        <f t="shared" ca="1" si="48"/>
        <v>43938</v>
      </c>
      <c r="D718" s="84">
        <f t="shared" si="49"/>
        <v>219.5</v>
      </c>
      <c r="E718" s="74" t="str">
        <f t="shared" ca="1" si="47"/>
        <v>HD_041720C219.5</v>
      </c>
      <c r="F718" s="75" t="str">
        <f ca="1">_xll.xlqName(E718,tda)</f>
        <v>#N/A</v>
      </c>
      <c r="G718" s="75" t="str">
        <f t="shared" ca="1" si="50"/>
        <v>BAD</v>
      </c>
      <c r="I718" s="83">
        <v>43938</v>
      </c>
      <c r="J718" s="84">
        <v>174.5</v>
      </c>
      <c r="K718" s="74" t="s">
        <v>1034</v>
      </c>
      <c r="L718" s="75" t="s">
        <v>53</v>
      </c>
      <c r="M718" s="75" t="s">
        <v>106</v>
      </c>
    </row>
    <row r="719" spans="1:13" x14ac:dyDescent="0.25">
      <c r="A719" s="48">
        <v>0.5</v>
      </c>
      <c r="B719" s="48"/>
      <c r="C719" s="83">
        <f t="shared" ca="1" si="48"/>
        <v>43938</v>
      </c>
      <c r="D719" s="84">
        <f t="shared" si="49"/>
        <v>220</v>
      </c>
      <c r="E719" s="74" t="str">
        <f t="shared" ca="1" si="47"/>
        <v>HD_041720C220</v>
      </c>
      <c r="F719" s="75" t="str">
        <f ca="1">_xll.xlqName(E719,tda)</f>
        <v>#N/A</v>
      </c>
      <c r="G719" s="75" t="str">
        <f t="shared" ca="1" si="50"/>
        <v>BAD</v>
      </c>
      <c r="I719" s="83">
        <v>43938</v>
      </c>
      <c r="J719" s="84">
        <v>175</v>
      </c>
      <c r="K719" s="74" t="s">
        <v>1035</v>
      </c>
      <c r="L719" s="75" t="s">
        <v>53</v>
      </c>
      <c r="M719" s="75" t="s">
        <v>106</v>
      </c>
    </row>
    <row r="720" spans="1:13" x14ac:dyDescent="0.25">
      <c r="A720" s="48">
        <v>0.5</v>
      </c>
      <c r="B720" s="48"/>
      <c r="C720" s="83">
        <f t="shared" ca="1" si="48"/>
        <v>43938</v>
      </c>
      <c r="D720" s="84">
        <f t="shared" si="49"/>
        <v>220.5</v>
      </c>
      <c r="E720" s="74" t="str">
        <f t="shared" ca="1" si="47"/>
        <v>HD_041720C220.5</v>
      </c>
      <c r="F720" s="75" t="str">
        <f ca="1">_xll.xlqName(E720,tda)</f>
        <v>#N/A</v>
      </c>
      <c r="G720" s="75" t="str">
        <f t="shared" ca="1" si="50"/>
        <v>BAD</v>
      </c>
      <c r="I720" s="83">
        <v>43938</v>
      </c>
      <c r="J720" s="84">
        <v>175.5</v>
      </c>
      <c r="K720" s="74" t="s">
        <v>1036</v>
      </c>
      <c r="L720" s="75" t="s">
        <v>53</v>
      </c>
      <c r="M720" s="75" t="s">
        <v>106</v>
      </c>
    </row>
    <row r="721" spans="1:13" x14ac:dyDescent="0.25">
      <c r="A721" s="48">
        <v>1</v>
      </c>
      <c r="B721" s="48"/>
      <c r="C721" s="83">
        <f t="shared" ca="1" si="48"/>
        <v>43938</v>
      </c>
      <c r="D721" s="84">
        <f t="shared" si="49"/>
        <v>221.5</v>
      </c>
      <c r="E721" s="74" t="str">
        <f t="shared" ca="1" si="47"/>
        <v>HD_041720C221.5</v>
      </c>
      <c r="F721" s="75" t="str">
        <f ca="1">_xll.xlqName(E721,tda)</f>
        <v>#N/A</v>
      </c>
      <c r="G721" s="75" t="str">
        <f t="shared" ca="1" si="50"/>
        <v>BAD</v>
      </c>
      <c r="I721" s="83">
        <v>43938</v>
      </c>
      <c r="J721" s="84">
        <v>176.5</v>
      </c>
      <c r="K721" s="74" t="s">
        <v>1037</v>
      </c>
      <c r="L721" s="75" t="s">
        <v>53</v>
      </c>
      <c r="M721" s="75" t="s">
        <v>106</v>
      </c>
    </row>
    <row r="722" spans="1:13" x14ac:dyDescent="0.25">
      <c r="A722" s="48">
        <v>1</v>
      </c>
      <c r="B722" s="48"/>
      <c r="C722" s="83">
        <f t="shared" ca="1" si="48"/>
        <v>43938</v>
      </c>
      <c r="D722" s="84">
        <f t="shared" si="49"/>
        <v>222.5</v>
      </c>
      <c r="E722" s="74" t="str">
        <f t="shared" ca="1" si="47"/>
        <v>HD_041720C222.5</v>
      </c>
      <c r="F722" s="75" t="str">
        <f ca="1">_xll.xlqName(E722,tda)</f>
        <v>#N/A</v>
      </c>
      <c r="G722" s="75" t="str">
        <f t="shared" ca="1" si="50"/>
        <v>BAD</v>
      </c>
      <c r="I722" s="83">
        <v>43938</v>
      </c>
      <c r="J722" s="84">
        <v>177.5</v>
      </c>
      <c r="K722" s="74" t="s">
        <v>1038</v>
      </c>
      <c r="L722" s="75" t="s">
        <v>53</v>
      </c>
      <c r="M722" s="75" t="s">
        <v>106</v>
      </c>
    </row>
    <row r="723" spans="1:13" x14ac:dyDescent="0.25">
      <c r="A723" s="48">
        <v>1</v>
      </c>
      <c r="B723" s="48"/>
      <c r="C723" s="83">
        <f t="shared" ca="1" si="48"/>
        <v>43938</v>
      </c>
      <c r="D723" s="84">
        <f t="shared" si="49"/>
        <v>223.5</v>
      </c>
      <c r="E723" s="74" t="str">
        <f t="shared" ca="1" si="47"/>
        <v>HD_041720C223.5</v>
      </c>
      <c r="F723" s="75" t="str">
        <f ca="1">_xll.xlqName(E723,tda)</f>
        <v>#N/A</v>
      </c>
      <c r="G723" s="75" t="str">
        <f t="shared" ca="1" si="50"/>
        <v>BAD</v>
      </c>
      <c r="I723" s="83">
        <v>43938</v>
      </c>
      <c r="J723" s="84">
        <v>178.5</v>
      </c>
      <c r="K723" s="74" t="s">
        <v>1039</v>
      </c>
      <c r="L723" s="75" t="s">
        <v>53</v>
      </c>
      <c r="M723" s="75" t="s">
        <v>106</v>
      </c>
    </row>
    <row r="724" spans="1:13" x14ac:dyDescent="0.25">
      <c r="A724" s="48">
        <v>1</v>
      </c>
      <c r="B724" s="48"/>
      <c r="C724" s="83">
        <f t="shared" ca="1" si="48"/>
        <v>43938</v>
      </c>
      <c r="D724" s="84">
        <f t="shared" si="49"/>
        <v>224.5</v>
      </c>
      <c r="E724" s="74" t="str">
        <f t="shared" ca="1" si="47"/>
        <v>HD_041720C224.5</v>
      </c>
      <c r="F724" s="75" t="str">
        <f ca="1">_xll.xlqName(E724,tda)</f>
        <v>#N/A</v>
      </c>
      <c r="G724" s="75" t="str">
        <f t="shared" ca="1" si="50"/>
        <v>BAD</v>
      </c>
      <c r="I724" s="83">
        <v>43938</v>
      </c>
      <c r="J724" s="84">
        <v>179.5</v>
      </c>
      <c r="K724" s="74" t="s">
        <v>1040</v>
      </c>
      <c r="L724" s="75" t="s">
        <v>53</v>
      </c>
      <c r="M724" s="75" t="s">
        <v>106</v>
      </c>
    </row>
    <row r="725" spans="1:13" x14ac:dyDescent="0.25">
      <c r="A725" s="48">
        <v>0.5</v>
      </c>
      <c r="B725" s="48"/>
      <c r="C725" s="83">
        <f t="shared" ca="1" si="48"/>
        <v>43938</v>
      </c>
      <c r="D725" s="84">
        <f t="shared" si="49"/>
        <v>225</v>
      </c>
      <c r="E725" s="74" t="str">
        <f t="shared" ca="1" si="47"/>
        <v>HD_041720C225</v>
      </c>
      <c r="F725" s="75" t="str">
        <f ca="1">_xll.xlqName(E725,tda)</f>
        <v>#N/A</v>
      </c>
      <c r="G725" s="75" t="str">
        <f t="shared" ca="1" si="50"/>
        <v>BAD</v>
      </c>
      <c r="I725" s="83">
        <v>43938</v>
      </c>
      <c r="J725" s="84">
        <v>180</v>
      </c>
      <c r="K725" s="74" t="s">
        <v>1041</v>
      </c>
      <c r="L725" s="75" t="s">
        <v>53</v>
      </c>
      <c r="M725" s="75" t="s">
        <v>106</v>
      </c>
    </row>
    <row r="726" spans="1:13" x14ac:dyDescent="0.25">
      <c r="A726" s="48">
        <v>0.5</v>
      </c>
      <c r="B726" s="48"/>
      <c r="C726" s="83">
        <f t="shared" ca="1" si="48"/>
        <v>43938</v>
      </c>
      <c r="D726" s="84">
        <f t="shared" si="49"/>
        <v>225.5</v>
      </c>
      <c r="E726" s="74" t="str">
        <f t="shared" ca="1" si="47"/>
        <v>HD_041720C225.5</v>
      </c>
      <c r="F726" s="75" t="str">
        <f ca="1">_xll.xlqName(E726,tda)</f>
        <v>#N/A</v>
      </c>
      <c r="G726" s="75" t="str">
        <f t="shared" ca="1" si="50"/>
        <v>BAD</v>
      </c>
      <c r="I726" s="83">
        <v>43938</v>
      </c>
      <c r="J726" s="84">
        <v>180.5</v>
      </c>
      <c r="K726" s="74" t="s">
        <v>1042</v>
      </c>
      <c r="L726" s="75" t="s">
        <v>53</v>
      </c>
      <c r="M726" s="75" t="s">
        <v>106</v>
      </c>
    </row>
    <row r="727" spans="1:13" x14ac:dyDescent="0.25">
      <c r="A727" s="48">
        <v>1</v>
      </c>
      <c r="B727" s="48"/>
      <c r="C727" s="83">
        <f t="shared" ca="1" si="48"/>
        <v>43938</v>
      </c>
      <c r="D727" s="84">
        <f t="shared" si="49"/>
        <v>226.5</v>
      </c>
      <c r="E727" s="74" t="str">
        <f t="shared" ca="1" si="47"/>
        <v>HD_041720C226.5</v>
      </c>
      <c r="F727" s="75" t="str">
        <f ca="1">_xll.xlqName(E727,tda)</f>
        <v>#N/A</v>
      </c>
      <c r="G727" s="75" t="str">
        <f t="shared" ca="1" si="50"/>
        <v>BAD</v>
      </c>
      <c r="I727" s="83">
        <v>43938</v>
      </c>
      <c r="J727" s="84">
        <v>181.5</v>
      </c>
      <c r="K727" s="74" t="s">
        <v>1043</v>
      </c>
      <c r="L727" s="75" t="s">
        <v>53</v>
      </c>
      <c r="M727" s="75" t="s">
        <v>106</v>
      </c>
    </row>
    <row r="728" spans="1:13" x14ac:dyDescent="0.25">
      <c r="A728" s="48">
        <v>1</v>
      </c>
      <c r="B728" s="48"/>
      <c r="C728" s="83">
        <f t="shared" ca="1" si="48"/>
        <v>43938</v>
      </c>
      <c r="D728" s="84">
        <f t="shared" si="49"/>
        <v>227.5</v>
      </c>
      <c r="E728" s="74" t="str">
        <f t="shared" ca="1" si="47"/>
        <v>HD_041720C227.5</v>
      </c>
      <c r="F728" s="75" t="str">
        <f ca="1">_xll.xlqName(E728,tda)</f>
        <v>#N/A</v>
      </c>
      <c r="G728" s="75" t="str">
        <f t="shared" ca="1" si="50"/>
        <v>BAD</v>
      </c>
      <c r="I728" s="83">
        <v>43938</v>
      </c>
      <c r="J728" s="84">
        <v>182.5</v>
      </c>
      <c r="K728" s="74" t="s">
        <v>1044</v>
      </c>
      <c r="L728" s="75" t="s">
        <v>53</v>
      </c>
      <c r="M728" s="75" t="s">
        <v>106</v>
      </c>
    </row>
    <row r="729" spans="1:13" x14ac:dyDescent="0.25">
      <c r="A729" s="48">
        <v>1</v>
      </c>
      <c r="B729" s="48"/>
      <c r="C729" s="83">
        <f t="shared" ca="1" si="48"/>
        <v>43938</v>
      </c>
      <c r="D729" s="84">
        <f t="shared" si="49"/>
        <v>228.5</v>
      </c>
      <c r="E729" s="74" t="str">
        <f t="shared" ca="1" si="47"/>
        <v>HD_041720C228.5</v>
      </c>
      <c r="F729" s="75" t="str">
        <f ca="1">_xll.xlqName(E729,tda)</f>
        <v>#N/A</v>
      </c>
      <c r="G729" s="75" t="str">
        <f t="shared" ca="1" si="50"/>
        <v>BAD</v>
      </c>
      <c r="I729" s="83">
        <v>43938</v>
      </c>
      <c r="J729" s="84">
        <v>183.5</v>
      </c>
      <c r="K729" s="74" t="s">
        <v>1045</v>
      </c>
      <c r="L729" s="75" t="s">
        <v>53</v>
      </c>
      <c r="M729" s="75" t="s">
        <v>106</v>
      </c>
    </row>
    <row r="730" spans="1:13" x14ac:dyDescent="0.25">
      <c r="A730" s="48">
        <v>1</v>
      </c>
      <c r="B730" s="48"/>
      <c r="C730" s="83">
        <f t="shared" ca="1" si="48"/>
        <v>43938</v>
      </c>
      <c r="D730" s="84">
        <f t="shared" si="49"/>
        <v>229.5</v>
      </c>
      <c r="E730" s="74" t="str">
        <f t="shared" ca="1" si="47"/>
        <v>HD_041720C229.5</v>
      </c>
      <c r="F730" s="75" t="str">
        <f ca="1">_xll.xlqName(E730,tda)</f>
        <v>#N/A</v>
      </c>
      <c r="G730" s="75" t="str">
        <f t="shared" ca="1" si="50"/>
        <v>BAD</v>
      </c>
      <c r="I730" s="83">
        <v>43938</v>
      </c>
      <c r="J730" s="84">
        <v>184.5</v>
      </c>
      <c r="K730" s="74" t="s">
        <v>1046</v>
      </c>
      <c r="L730" s="75" t="s">
        <v>53</v>
      </c>
      <c r="M730" s="75" t="s">
        <v>106</v>
      </c>
    </row>
    <row r="731" spans="1:13" x14ac:dyDescent="0.25">
      <c r="A731" s="48">
        <v>0.5</v>
      </c>
      <c r="B731" s="48"/>
      <c r="C731" s="83">
        <f t="shared" ca="1" si="48"/>
        <v>43938</v>
      </c>
      <c r="D731" s="84">
        <f t="shared" si="49"/>
        <v>230</v>
      </c>
      <c r="E731" s="74" t="str">
        <f t="shared" ca="1" si="47"/>
        <v>HD_041720C230</v>
      </c>
      <c r="F731" s="75" t="str">
        <f ca="1">_xll.xlqName(E731,tda)</f>
        <v>#N/A</v>
      </c>
      <c r="G731" s="75" t="str">
        <f t="shared" ca="1" si="50"/>
        <v>BAD</v>
      </c>
      <c r="I731" s="83">
        <v>43938</v>
      </c>
      <c r="J731" s="84">
        <v>185</v>
      </c>
      <c r="K731" s="74" t="s">
        <v>1047</v>
      </c>
      <c r="L731" s="75" t="s">
        <v>53</v>
      </c>
      <c r="M731" s="75" t="s">
        <v>106</v>
      </c>
    </row>
    <row r="732" spans="1:13" x14ac:dyDescent="0.25">
      <c r="A732" s="48">
        <v>0.5</v>
      </c>
      <c r="B732" s="48"/>
      <c r="C732" s="83">
        <f t="shared" ca="1" si="48"/>
        <v>43966</v>
      </c>
      <c r="D732" s="84">
        <f t="shared" si="49"/>
        <v>170</v>
      </c>
      <c r="E732" s="74" t="str">
        <f t="shared" ca="1" si="47"/>
        <v>HD_051520C170</v>
      </c>
      <c r="F732" s="75" t="str">
        <f ca="1">_xll.xlqName(E732,tda)</f>
        <v>HD May 15 2020 170 Call</v>
      </c>
      <c r="G732" s="75" t="str">
        <f t="shared" ca="1" si="50"/>
        <v/>
      </c>
      <c r="I732" s="83">
        <v>43938</v>
      </c>
      <c r="J732" s="84">
        <v>185.5</v>
      </c>
      <c r="K732" s="74" t="s">
        <v>1048</v>
      </c>
      <c r="L732" s="75" t="s">
        <v>53</v>
      </c>
      <c r="M732" s="75" t="s">
        <v>106</v>
      </c>
    </row>
    <row r="733" spans="1:13" x14ac:dyDescent="0.25">
      <c r="A733" s="48">
        <v>1</v>
      </c>
      <c r="B733" s="48"/>
      <c r="C733" s="83">
        <f t="shared" ca="1" si="48"/>
        <v>43966</v>
      </c>
      <c r="D733" s="84">
        <f t="shared" si="49"/>
        <v>171</v>
      </c>
      <c r="E733" s="74" t="str">
        <f t="shared" ca="1" si="47"/>
        <v>HD_051520C171</v>
      </c>
      <c r="F733" s="75" t="str">
        <f ca="1">_xll.xlqName(E733,tda)</f>
        <v>#N/A</v>
      </c>
      <c r="G733" s="75" t="str">
        <f t="shared" ca="1" si="50"/>
        <v>BAD</v>
      </c>
      <c r="I733" s="83">
        <v>43938</v>
      </c>
      <c r="J733" s="84">
        <v>186.5</v>
      </c>
      <c r="K733" s="74" t="s">
        <v>1049</v>
      </c>
      <c r="L733" s="75" t="s">
        <v>53</v>
      </c>
      <c r="M733" s="75" t="s">
        <v>106</v>
      </c>
    </row>
    <row r="734" spans="1:13" x14ac:dyDescent="0.25">
      <c r="A734" s="48">
        <v>1</v>
      </c>
      <c r="B734" s="48"/>
      <c r="C734" s="83">
        <f t="shared" ca="1" si="48"/>
        <v>43966</v>
      </c>
      <c r="D734" s="84">
        <f t="shared" si="49"/>
        <v>172</v>
      </c>
      <c r="E734" s="74" t="str">
        <f t="shared" ca="1" si="47"/>
        <v>HD_051520C172</v>
      </c>
      <c r="F734" s="75" t="str">
        <f ca="1">_xll.xlqName(E734,tda)</f>
        <v>#N/A</v>
      </c>
      <c r="G734" s="75" t="str">
        <f t="shared" ca="1" si="50"/>
        <v>BAD</v>
      </c>
      <c r="I734" s="83">
        <v>43938</v>
      </c>
      <c r="J734" s="84">
        <v>187.5</v>
      </c>
      <c r="K734" s="74" t="s">
        <v>1050</v>
      </c>
      <c r="L734" s="75" t="s">
        <v>53</v>
      </c>
      <c r="M734" s="75" t="s">
        <v>106</v>
      </c>
    </row>
    <row r="735" spans="1:13" x14ac:dyDescent="0.25">
      <c r="A735" s="48">
        <v>1</v>
      </c>
      <c r="B735" s="48"/>
      <c r="C735" s="83">
        <f t="shared" ca="1" si="48"/>
        <v>43966</v>
      </c>
      <c r="D735" s="84">
        <f t="shared" si="49"/>
        <v>173</v>
      </c>
      <c r="E735" s="74" t="str">
        <f t="shared" ca="1" si="47"/>
        <v>HD_051520C173</v>
      </c>
      <c r="F735" s="75" t="str">
        <f ca="1">_xll.xlqName(E735,tda)</f>
        <v>#N/A</v>
      </c>
      <c r="G735" s="75" t="str">
        <f t="shared" ca="1" si="50"/>
        <v>BAD</v>
      </c>
      <c r="I735" s="83">
        <v>43938</v>
      </c>
      <c r="J735" s="84">
        <v>188.5</v>
      </c>
      <c r="K735" s="74" t="s">
        <v>1051</v>
      </c>
      <c r="L735" s="75" t="s">
        <v>53</v>
      </c>
      <c r="M735" s="75" t="s">
        <v>106</v>
      </c>
    </row>
    <row r="736" spans="1:13" x14ac:dyDescent="0.25">
      <c r="A736" s="48">
        <v>1</v>
      </c>
      <c r="B736" s="48"/>
      <c r="C736" s="83">
        <f t="shared" ca="1" si="48"/>
        <v>43966</v>
      </c>
      <c r="D736" s="84">
        <f t="shared" si="49"/>
        <v>174</v>
      </c>
      <c r="E736" s="74" t="str">
        <f t="shared" ca="1" si="47"/>
        <v>HD_051520C174</v>
      </c>
      <c r="F736" s="75" t="str">
        <f ca="1">_xll.xlqName(E736,tda)</f>
        <v>#N/A</v>
      </c>
      <c r="G736" s="75" t="str">
        <f t="shared" ca="1" si="50"/>
        <v>BAD</v>
      </c>
      <c r="I736" s="83">
        <v>43938</v>
      </c>
      <c r="J736" s="84">
        <v>189.5</v>
      </c>
      <c r="K736" s="74" t="s">
        <v>1052</v>
      </c>
      <c r="L736" s="75" t="s">
        <v>53</v>
      </c>
      <c r="M736" s="75" t="s">
        <v>106</v>
      </c>
    </row>
    <row r="737" spans="1:13" x14ac:dyDescent="0.25">
      <c r="A737" s="48">
        <v>0.5</v>
      </c>
      <c r="B737" s="48"/>
      <c r="C737" s="83">
        <f t="shared" ca="1" si="48"/>
        <v>43966</v>
      </c>
      <c r="D737" s="84">
        <f t="shared" si="49"/>
        <v>174.5</v>
      </c>
      <c r="E737" s="74" t="str">
        <f t="shared" ca="1" si="47"/>
        <v>HD_051520C174.5</v>
      </c>
      <c r="F737" s="75" t="str">
        <f ca="1">_xll.xlqName(E737,tda)</f>
        <v>#N/A</v>
      </c>
      <c r="G737" s="75" t="str">
        <f t="shared" ca="1" si="50"/>
        <v>BAD</v>
      </c>
      <c r="I737" s="83">
        <v>43938</v>
      </c>
      <c r="J737" s="84">
        <v>190</v>
      </c>
      <c r="K737" s="74" t="s">
        <v>1053</v>
      </c>
      <c r="L737" s="75" t="s">
        <v>53</v>
      </c>
      <c r="M737" s="75" t="s">
        <v>106</v>
      </c>
    </row>
    <row r="738" spans="1:13" x14ac:dyDescent="0.25">
      <c r="A738" s="48">
        <v>0.5</v>
      </c>
      <c r="B738" s="48"/>
      <c r="C738" s="83">
        <f t="shared" ca="1" si="48"/>
        <v>43966</v>
      </c>
      <c r="D738" s="84">
        <f t="shared" si="49"/>
        <v>175</v>
      </c>
      <c r="E738" s="74" t="str">
        <f t="shared" ca="1" si="47"/>
        <v>HD_051520C175</v>
      </c>
      <c r="F738" s="75" t="str">
        <f ca="1">_xll.xlqName(E738,tda)</f>
        <v>HD May 15 2020 175 Call</v>
      </c>
      <c r="G738" s="75" t="str">
        <f t="shared" ca="1" si="50"/>
        <v/>
      </c>
      <c r="I738" s="83">
        <v>43938</v>
      </c>
      <c r="J738" s="84">
        <v>190.5</v>
      </c>
      <c r="K738" s="74" t="s">
        <v>1054</v>
      </c>
      <c r="L738" s="75" t="s">
        <v>53</v>
      </c>
      <c r="M738" s="75" t="s">
        <v>106</v>
      </c>
    </row>
    <row r="739" spans="1:13" x14ac:dyDescent="0.25">
      <c r="A739" s="48">
        <v>1</v>
      </c>
      <c r="B739" s="48"/>
      <c r="C739" s="83">
        <f t="shared" ca="1" si="48"/>
        <v>43966</v>
      </c>
      <c r="D739" s="84">
        <f t="shared" si="49"/>
        <v>176</v>
      </c>
      <c r="E739" s="74" t="str">
        <f t="shared" ca="1" si="47"/>
        <v>HD_051520C176</v>
      </c>
      <c r="F739" s="75" t="str">
        <f ca="1">_xll.xlqName(E739,tda)</f>
        <v>#N/A</v>
      </c>
      <c r="G739" s="75" t="str">
        <f t="shared" ca="1" si="50"/>
        <v>BAD</v>
      </c>
      <c r="I739" s="83">
        <v>43938</v>
      </c>
      <c r="J739" s="84">
        <v>191.5</v>
      </c>
      <c r="K739" s="74" t="s">
        <v>1055</v>
      </c>
      <c r="L739" s="75" t="s">
        <v>53</v>
      </c>
      <c r="M739" s="75" t="s">
        <v>106</v>
      </c>
    </row>
    <row r="740" spans="1:13" x14ac:dyDescent="0.25">
      <c r="A740" s="48">
        <v>1</v>
      </c>
      <c r="B740" s="48"/>
      <c r="C740" s="83">
        <f t="shared" ca="1" si="48"/>
        <v>43966</v>
      </c>
      <c r="D740" s="84">
        <f t="shared" si="49"/>
        <v>177</v>
      </c>
      <c r="E740" s="74" t="str">
        <f t="shared" ca="1" si="47"/>
        <v>HD_051520C177</v>
      </c>
      <c r="F740" s="75" t="str">
        <f ca="1">_xll.xlqName(E740,tda)</f>
        <v>#N/A</v>
      </c>
      <c r="G740" s="75" t="str">
        <f t="shared" ca="1" si="50"/>
        <v>BAD</v>
      </c>
      <c r="I740" s="83">
        <v>43938</v>
      </c>
      <c r="J740" s="84">
        <v>192.5</v>
      </c>
      <c r="K740" s="74" t="s">
        <v>1056</v>
      </c>
      <c r="L740" s="75" t="s">
        <v>53</v>
      </c>
      <c r="M740" s="75" t="s">
        <v>106</v>
      </c>
    </row>
    <row r="741" spans="1:13" x14ac:dyDescent="0.25">
      <c r="A741" s="48">
        <v>1</v>
      </c>
      <c r="B741" s="48"/>
      <c r="C741" s="83">
        <f t="shared" ca="1" si="48"/>
        <v>43966</v>
      </c>
      <c r="D741" s="84">
        <f t="shared" si="49"/>
        <v>178</v>
      </c>
      <c r="E741" s="74" t="str">
        <f t="shared" ca="1" si="47"/>
        <v>HD_051520C178</v>
      </c>
      <c r="F741" s="75" t="str">
        <f ca="1">_xll.xlqName(E741,tda)</f>
        <v>#N/A</v>
      </c>
      <c r="G741" s="75" t="str">
        <f t="shared" ca="1" si="50"/>
        <v>BAD</v>
      </c>
      <c r="I741" s="83">
        <v>43938</v>
      </c>
      <c r="J741" s="84">
        <v>193.5</v>
      </c>
      <c r="K741" s="74" t="s">
        <v>1057</v>
      </c>
      <c r="L741" s="75" t="s">
        <v>53</v>
      </c>
      <c r="M741" s="75" t="s">
        <v>106</v>
      </c>
    </row>
    <row r="742" spans="1:13" x14ac:dyDescent="0.25">
      <c r="A742" s="48">
        <v>1</v>
      </c>
      <c r="B742" s="48"/>
      <c r="C742" s="83">
        <f t="shared" ca="1" si="48"/>
        <v>43966</v>
      </c>
      <c r="D742" s="84">
        <f t="shared" si="49"/>
        <v>179</v>
      </c>
      <c r="E742" s="74" t="str">
        <f t="shared" ca="1" si="47"/>
        <v>HD_051520C179</v>
      </c>
      <c r="F742" s="75" t="str">
        <f ca="1">_xll.xlqName(E742,tda)</f>
        <v>#N/A</v>
      </c>
      <c r="G742" s="75" t="str">
        <f t="shared" ca="1" si="50"/>
        <v>BAD</v>
      </c>
      <c r="I742" s="83">
        <v>43938</v>
      </c>
      <c r="J742" s="84">
        <v>194.5</v>
      </c>
      <c r="K742" s="74" t="s">
        <v>1058</v>
      </c>
      <c r="L742" s="75" t="s">
        <v>53</v>
      </c>
      <c r="M742" s="75" t="s">
        <v>106</v>
      </c>
    </row>
    <row r="743" spans="1:13" x14ac:dyDescent="0.25">
      <c r="A743" s="48">
        <v>0.5</v>
      </c>
      <c r="B743" s="48"/>
      <c r="C743" s="83">
        <f t="shared" ca="1" si="48"/>
        <v>43966</v>
      </c>
      <c r="D743" s="84">
        <f t="shared" si="49"/>
        <v>179.5</v>
      </c>
      <c r="E743" s="74" t="str">
        <f t="shared" ca="1" si="47"/>
        <v>HD_051520C179.5</v>
      </c>
      <c r="F743" s="75" t="str">
        <f ca="1">_xll.xlqName(E743,tda)</f>
        <v>#N/A</v>
      </c>
      <c r="G743" s="75" t="str">
        <f t="shared" ca="1" si="50"/>
        <v>BAD</v>
      </c>
      <c r="I743" s="83">
        <v>43938</v>
      </c>
      <c r="J743" s="84">
        <v>195</v>
      </c>
      <c r="K743" s="74" t="s">
        <v>1059</v>
      </c>
      <c r="L743" s="75" t="s">
        <v>53</v>
      </c>
      <c r="M743" s="75" t="s">
        <v>106</v>
      </c>
    </row>
    <row r="744" spans="1:13" x14ac:dyDescent="0.25">
      <c r="A744" s="48">
        <v>0.5</v>
      </c>
      <c r="B744" s="48"/>
      <c r="C744" s="83">
        <f t="shared" ca="1" si="48"/>
        <v>43966</v>
      </c>
      <c r="D744" s="84">
        <f t="shared" si="49"/>
        <v>180</v>
      </c>
      <c r="E744" s="74" t="str">
        <f t="shared" ca="1" si="47"/>
        <v>HD_051520C180</v>
      </c>
      <c r="F744" s="75" t="str">
        <f ca="1">_xll.xlqName(E744,tda)</f>
        <v>HD May 15 2020 180 Call</v>
      </c>
      <c r="G744" s="75" t="str">
        <f t="shared" ca="1" si="50"/>
        <v/>
      </c>
      <c r="I744" s="83">
        <v>43938</v>
      </c>
      <c r="J744" s="84">
        <v>195.5</v>
      </c>
      <c r="K744" s="74" t="s">
        <v>1060</v>
      </c>
      <c r="L744" s="75" t="s">
        <v>53</v>
      </c>
      <c r="M744" s="75" t="s">
        <v>106</v>
      </c>
    </row>
    <row r="745" spans="1:13" x14ac:dyDescent="0.25">
      <c r="A745" s="48">
        <v>1</v>
      </c>
      <c r="B745" s="48"/>
      <c r="C745" s="83">
        <f t="shared" ca="1" si="48"/>
        <v>43966</v>
      </c>
      <c r="D745" s="84">
        <f t="shared" si="49"/>
        <v>181</v>
      </c>
      <c r="E745" s="74" t="str">
        <f t="shared" ca="1" si="47"/>
        <v>HD_051520C181</v>
      </c>
      <c r="F745" s="75" t="str">
        <f ca="1">_xll.xlqName(E745,tda)</f>
        <v>#N/A</v>
      </c>
      <c r="G745" s="75" t="str">
        <f t="shared" ca="1" si="50"/>
        <v>BAD</v>
      </c>
      <c r="I745" s="83">
        <v>43938</v>
      </c>
      <c r="J745" s="84">
        <v>196.5</v>
      </c>
      <c r="K745" s="74" t="s">
        <v>1061</v>
      </c>
      <c r="L745" s="75" t="s">
        <v>53</v>
      </c>
      <c r="M745" s="75" t="s">
        <v>106</v>
      </c>
    </row>
    <row r="746" spans="1:13" x14ac:dyDescent="0.25">
      <c r="A746" s="48">
        <v>1</v>
      </c>
      <c r="B746" s="48"/>
      <c r="C746" s="83">
        <f t="shared" ca="1" si="48"/>
        <v>43966</v>
      </c>
      <c r="D746" s="84">
        <f t="shared" si="49"/>
        <v>182</v>
      </c>
      <c r="E746" s="74" t="str">
        <f t="shared" ca="1" si="47"/>
        <v>HD_051520C182</v>
      </c>
      <c r="F746" s="75" t="str">
        <f ca="1">_xll.xlqName(E746,tda)</f>
        <v>#N/A</v>
      </c>
      <c r="G746" s="75" t="str">
        <f t="shared" ca="1" si="50"/>
        <v>BAD</v>
      </c>
      <c r="I746" s="83">
        <v>43938</v>
      </c>
      <c r="J746" s="84">
        <v>197.5</v>
      </c>
      <c r="K746" s="74" t="s">
        <v>1062</v>
      </c>
      <c r="L746" s="75" t="s">
        <v>53</v>
      </c>
      <c r="M746" s="75" t="s">
        <v>106</v>
      </c>
    </row>
    <row r="747" spans="1:13" x14ac:dyDescent="0.25">
      <c r="A747" s="48">
        <v>1</v>
      </c>
      <c r="B747" s="48"/>
      <c r="C747" s="83">
        <f t="shared" ca="1" si="48"/>
        <v>43966</v>
      </c>
      <c r="D747" s="84">
        <f t="shared" si="49"/>
        <v>183</v>
      </c>
      <c r="E747" s="74" t="str">
        <f t="shared" ca="1" si="47"/>
        <v>HD_051520C183</v>
      </c>
      <c r="F747" s="75" t="str">
        <f ca="1">_xll.xlqName(E747,tda)</f>
        <v>#N/A</v>
      </c>
      <c r="G747" s="75" t="str">
        <f t="shared" ca="1" si="50"/>
        <v>BAD</v>
      </c>
      <c r="I747" s="83">
        <v>43938</v>
      </c>
      <c r="J747" s="84">
        <v>198.5</v>
      </c>
      <c r="K747" s="74" t="s">
        <v>1063</v>
      </c>
      <c r="L747" s="75" t="s">
        <v>53</v>
      </c>
      <c r="M747" s="75" t="s">
        <v>106</v>
      </c>
    </row>
    <row r="748" spans="1:13" x14ac:dyDescent="0.25">
      <c r="A748" s="48">
        <v>1</v>
      </c>
      <c r="B748" s="48"/>
      <c r="C748" s="83">
        <f t="shared" ca="1" si="48"/>
        <v>43966</v>
      </c>
      <c r="D748" s="84">
        <f t="shared" si="49"/>
        <v>184</v>
      </c>
      <c r="E748" s="74" t="str">
        <f t="shared" ca="1" si="47"/>
        <v>HD_051520C184</v>
      </c>
      <c r="F748" s="75" t="str">
        <f ca="1">_xll.xlqName(E748,tda)</f>
        <v>#N/A</v>
      </c>
      <c r="G748" s="75" t="str">
        <f t="shared" ca="1" si="50"/>
        <v>BAD</v>
      </c>
      <c r="I748" s="83">
        <v>43938</v>
      </c>
      <c r="J748" s="84">
        <v>199.5</v>
      </c>
      <c r="K748" s="74" t="s">
        <v>1064</v>
      </c>
      <c r="L748" s="75" t="s">
        <v>53</v>
      </c>
      <c r="M748" s="75" t="s">
        <v>106</v>
      </c>
    </row>
    <row r="749" spans="1:13" x14ac:dyDescent="0.25">
      <c r="A749" s="48">
        <v>0.5</v>
      </c>
      <c r="B749" s="48"/>
      <c r="C749" s="83">
        <f t="shared" ca="1" si="48"/>
        <v>43966</v>
      </c>
      <c r="D749" s="84">
        <f t="shared" si="49"/>
        <v>184.5</v>
      </c>
      <c r="E749" s="74" t="str">
        <f t="shared" ca="1" si="47"/>
        <v>HD_051520C184.5</v>
      </c>
      <c r="F749" s="75" t="str">
        <f ca="1">_xll.xlqName(E749,tda)</f>
        <v>#N/A</v>
      </c>
      <c r="G749" s="75" t="str">
        <f t="shared" ca="1" si="50"/>
        <v>BAD</v>
      </c>
      <c r="I749" s="83">
        <v>43938</v>
      </c>
      <c r="J749" s="84">
        <v>200</v>
      </c>
      <c r="K749" s="74" t="s">
        <v>1065</v>
      </c>
      <c r="L749" s="75" t="s">
        <v>53</v>
      </c>
      <c r="M749" s="75" t="s">
        <v>106</v>
      </c>
    </row>
    <row r="750" spans="1:13" x14ac:dyDescent="0.25">
      <c r="A750" s="48">
        <v>0.5</v>
      </c>
      <c r="B750" s="48"/>
      <c r="C750" s="83">
        <f t="shared" ca="1" si="48"/>
        <v>43966</v>
      </c>
      <c r="D750" s="84">
        <f t="shared" si="49"/>
        <v>185</v>
      </c>
      <c r="E750" s="74" t="str">
        <f t="shared" ca="1" si="47"/>
        <v>HD_051520C185</v>
      </c>
      <c r="F750" s="75" t="str">
        <f ca="1">_xll.xlqName(E750,tda)</f>
        <v>HD May 15 2020 185 Call</v>
      </c>
      <c r="G750" s="75" t="str">
        <f t="shared" ca="1" si="50"/>
        <v/>
      </c>
      <c r="I750" s="83">
        <v>43938</v>
      </c>
      <c r="J750" s="84">
        <v>200.5</v>
      </c>
      <c r="K750" s="74" t="s">
        <v>1066</v>
      </c>
      <c r="L750" s="75" t="s">
        <v>53</v>
      </c>
      <c r="M750" s="75" t="s">
        <v>106</v>
      </c>
    </row>
    <row r="751" spans="1:13" x14ac:dyDescent="0.25">
      <c r="A751" s="48">
        <v>1</v>
      </c>
      <c r="B751" s="48"/>
      <c r="C751" s="83">
        <f t="shared" ca="1" si="48"/>
        <v>43966</v>
      </c>
      <c r="D751" s="84">
        <f t="shared" si="49"/>
        <v>186</v>
      </c>
      <c r="E751" s="74" t="str">
        <f t="shared" ca="1" si="47"/>
        <v>HD_051520C186</v>
      </c>
      <c r="F751" s="75" t="str">
        <f ca="1">_xll.xlqName(E751,tda)</f>
        <v>#N/A</v>
      </c>
      <c r="G751" s="75" t="str">
        <f t="shared" ca="1" si="50"/>
        <v>BAD</v>
      </c>
      <c r="I751" s="83">
        <v>43938</v>
      </c>
      <c r="J751" s="84">
        <v>201.5</v>
      </c>
      <c r="K751" s="74" t="s">
        <v>1067</v>
      </c>
      <c r="L751" s="75" t="s">
        <v>53</v>
      </c>
      <c r="M751" s="75" t="s">
        <v>106</v>
      </c>
    </row>
    <row r="752" spans="1:13" x14ac:dyDescent="0.25">
      <c r="A752" s="48">
        <v>1</v>
      </c>
      <c r="B752" s="48"/>
      <c r="C752" s="83">
        <f t="shared" ca="1" si="48"/>
        <v>43966</v>
      </c>
      <c r="D752" s="84">
        <f t="shared" si="49"/>
        <v>187</v>
      </c>
      <c r="E752" s="74" t="str">
        <f t="shared" ca="1" si="47"/>
        <v>HD_051520C187</v>
      </c>
      <c r="F752" s="75" t="str">
        <f ca="1">_xll.xlqName(E752,tda)</f>
        <v>#N/A</v>
      </c>
      <c r="G752" s="75" t="str">
        <f t="shared" ca="1" si="50"/>
        <v>BAD</v>
      </c>
      <c r="I752" s="83">
        <v>43938</v>
      </c>
      <c r="J752" s="84">
        <v>202.5</v>
      </c>
      <c r="K752" s="74" t="s">
        <v>1068</v>
      </c>
      <c r="L752" s="75" t="s">
        <v>53</v>
      </c>
      <c r="M752" s="75" t="s">
        <v>106</v>
      </c>
    </row>
    <row r="753" spans="1:13" x14ac:dyDescent="0.25">
      <c r="A753" s="48">
        <v>1</v>
      </c>
      <c r="B753" s="48"/>
      <c r="C753" s="83">
        <f t="shared" ca="1" si="48"/>
        <v>43966</v>
      </c>
      <c r="D753" s="84">
        <f t="shared" si="49"/>
        <v>188</v>
      </c>
      <c r="E753" s="74" t="str">
        <f t="shared" ca="1" si="47"/>
        <v>HD_051520C188</v>
      </c>
      <c r="F753" s="75" t="str">
        <f ca="1">_xll.xlqName(E753,tda)</f>
        <v>#N/A</v>
      </c>
      <c r="G753" s="75" t="str">
        <f t="shared" ca="1" si="50"/>
        <v>BAD</v>
      </c>
      <c r="I753" s="83">
        <v>43938</v>
      </c>
      <c r="J753" s="84">
        <v>203.5</v>
      </c>
      <c r="K753" s="74" t="s">
        <v>1069</v>
      </c>
      <c r="L753" s="75" t="s">
        <v>53</v>
      </c>
      <c r="M753" s="75" t="s">
        <v>106</v>
      </c>
    </row>
    <row r="754" spans="1:13" x14ac:dyDescent="0.25">
      <c r="A754" s="48">
        <v>1</v>
      </c>
      <c r="B754" s="48"/>
      <c r="C754" s="83">
        <f t="shared" ca="1" si="48"/>
        <v>43966</v>
      </c>
      <c r="D754" s="84">
        <f t="shared" si="49"/>
        <v>189</v>
      </c>
      <c r="E754" s="74" t="str">
        <f t="shared" ca="1" si="47"/>
        <v>HD_051520C189</v>
      </c>
      <c r="F754" s="75" t="str">
        <f ca="1">_xll.xlqName(E754,tda)</f>
        <v>#N/A</v>
      </c>
      <c r="G754" s="75" t="str">
        <f t="shared" ca="1" si="50"/>
        <v>BAD</v>
      </c>
      <c r="I754" s="83">
        <v>43938</v>
      </c>
      <c r="J754" s="84">
        <v>204.5</v>
      </c>
      <c r="K754" s="74" t="s">
        <v>1070</v>
      </c>
      <c r="L754" s="75" t="s">
        <v>53</v>
      </c>
      <c r="M754" s="75" t="s">
        <v>106</v>
      </c>
    </row>
    <row r="755" spans="1:13" x14ac:dyDescent="0.25">
      <c r="A755" s="48">
        <v>0.5</v>
      </c>
      <c r="B755" s="48"/>
      <c r="C755" s="83">
        <f t="shared" ca="1" si="48"/>
        <v>43966</v>
      </c>
      <c r="D755" s="84">
        <f t="shared" si="49"/>
        <v>189.5</v>
      </c>
      <c r="E755" s="74" t="str">
        <f t="shared" ca="1" si="47"/>
        <v>HD_051520C189.5</v>
      </c>
      <c r="F755" s="75" t="str">
        <f ca="1">_xll.xlqName(E755,tda)</f>
        <v>#N/A</v>
      </c>
      <c r="G755" s="75" t="str">
        <f t="shared" ca="1" si="50"/>
        <v>BAD</v>
      </c>
      <c r="I755" s="83">
        <v>43938</v>
      </c>
      <c r="J755" s="84">
        <v>205</v>
      </c>
      <c r="K755" s="74" t="s">
        <v>1071</v>
      </c>
      <c r="L755" s="75" t="s">
        <v>53</v>
      </c>
      <c r="M755" s="75" t="s">
        <v>106</v>
      </c>
    </row>
    <row r="756" spans="1:13" x14ac:dyDescent="0.25">
      <c r="A756" s="48">
        <v>0.5</v>
      </c>
      <c r="B756" s="48"/>
      <c r="C756" s="83">
        <f t="shared" ca="1" si="48"/>
        <v>43966</v>
      </c>
      <c r="D756" s="84">
        <f t="shared" si="49"/>
        <v>190</v>
      </c>
      <c r="E756" s="74" t="str">
        <f t="shared" ca="1" si="47"/>
        <v>HD_051520C190</v>
      </c>
      <c r="F756" s="75" t="str">
        <f ca="1">_xll.xlqName(E756,tda)</f>
        <v>HD May 15 2020 190 Call</v>
      </c>
      <c r="G756" s="75" t="str">
        <f t="shared" ca="1" si="50"/>
        <v/>
      </c>
      <c r="I756" s="83">
        <v>43938</v>
      </c>
      <c r="J756" s="84">
        <v>205.5</v>
      </c>
      <c r="K756" s="74" t="s">
        <v>1072</v>
      </c>
      <c r="L756" s="75" t="s">
        <v>53</v>
      </c>
      <c r="M756" s="75" t="s">
        <v>106</v>
      </c>
    </row>
    <row r="757" spans="1:13" x14ac:dyDescent="0.25">
      <c r="A757" s="48">
        <v>1</v>
      </c>
      <c r="B757" s="48"/>
      <c r="C757" s="83">
        <f t="shared" ca="1" si="48"/>
        <v>43966</v>
      </c>
      <c r="D757" s="84">
        <f t="shared" si="49"/>
        <v>191</v>
      </c>
      <c r="E757" s="74" t="str">
        <f t="shared" ca="1" si="47"/>
        <v>HD_051520C191</v>
      </c>
      <c r="F757" s="75" t="str">
        <f ca="1">_xll.xlqName(E757,tda)</f>
        <v>#N/A</v>
      </c>
      <c r="G757" s="75" t="str">
        <f t="shared" ca="1" si="50"/>
        <v>BAD</v>
      </c>
      <c r="I757" s="83">
        <v>43938</v>
      </c>
      <c r="J757" s="84">
        <v>206.5</v>
      </c>
      <c r="K757" s="74" t="s">
        <v>1073</v>
      </c>
      <c r="L757" s="75" t="s">
        <v>53</v>
      </c>
      <c r="M757" s="75" t="s">
        <v>106</v>
      </c>
    </row>
    <row r="758" spans="1:13" x14ac:dyDescent="0.25">
      <c r="A758" s="48">
        <v>1</v>
      </c>
      <c r="B758" s="48"/>
      <c r="C758" s="83">
        <f t="shared" ca="1" si="48"/>
        <v>43966</v>
      </c>
      <c r="D758" s="84">
        <f t="shared" si="49"/>
        <v>192</v>
      </c>
      <c r="E758" s="74" t="str">
        <f t="shared" ca="1" si="47"/>
        <v>HD_051520C192</v>
      </c>
      <c r="F758" s="75" t="str">
        <f ca="1">_xll.xlqName(E758,tda)</f>
        <v>#N/A</v>
      </c>
      <c r="G758" s="75" t="str">
        <f t="shared" ca="1" si="50"/>
        <v>BAD</v>
      </c>
      <c r="I758" s="83">
        <v>43938</v>
      </c>
      <c r="J758" s="84">
        <v>207.5</v>
      </c>
      <c r="K758" s="74" t="s">
        <v>1074</v>
      </c>
      <c r="L758" s="75" t="s">
        <v>53</v>
      </c>
      <c r="M758" s="75" t="s">
        <v>106</v>
      </c>
    </row>
    <row r="759" spans="1:13" x14ac:dyDescent="0.25">
      <c r="A759" s="48">
        <v>1</v>
      </c>
      <c r="B759" s="48"/>
      <c r="C759" s="83">
        <f t="shared" ca="1" si="48"/>
        <v>43966</v>
      </c>
      <c r="D759" s="84">
        <f t="shared" si="49"/>
        <v>193</v>
      </c>
      <c r="E759" s="74" t="str">
        <f t="shared" ca="1" si="47"/>
        <v>HD_051520C193</v>
      </c>
      <c r="F759" s="75" t="str">
        <f ca="1">_xll.xlqName(E759,tda)</f>
        <v>#N/A</v>
      </c>
      <c r="G759" s="75" t="str">
        <f t="shared" ca="1" si="50"/>
        <v>BAD</v>
      </c>
      <c r="I759" s="83">
        <v>43938</v>
      </c>
      <c r="J759" s="84">
        <v>208.5</v>
      </c>
      <c r="K759" s="74" t="s">
        <v>1075</v>
      </c>
      <c r="L759" s="75" t="s">
        <v>53</v>
      </c>
      <c r="M759" s="75" t="s">
        <v>106</v>
      </c>
    </row>
    <row r="760" spans="1:13" x14ac:dyDescent="0.25">
      <c r="A760" s="48">
        <v>1</v>
      </c>
      <c r="B760" s="48"/>
      <c r="C760" s="83">
        <f t="shared" ca="1" si="48"/>
        <v>43966</v>
      </c>
      <c r="D760" s="84">
        <f t="shared" si="49"/>
        <v>194</v>
      </c>
      <c r="E760" s="74" t="str">
        <f t="shared" ca="1" si="47"/>
        <v>HD_051520C194</v>
      </c>
      <c r="F760" s="75" t="str">
        <f ca="1">_xll.xlqName(E760,tda)</f>
        <v>#N/A</v>
      </c>
      <c r="G760" s="75" t="str">
        <f t="shared" ca="1" si="50"/>
        <v>BAD</v>
      </c>
      <c r="I760" s="83">
        <v>43938</v>
      </c>
      <c r="J760" s="84">
        <v>209.5</v>
      </c>
      <c r="K760" s="74" t="s">
        <v>1076</v>
      </c>
      <c r="L760" s="75" t="s">
        <v>53</v>
      </c>
      <c r="M760" s="75" t="s">
        <v>106</v>
      </c>
    </row>
    <row r="761" spans="1:13" x14ac:dyDescent="0.25">
      <c r="A761" s="48">
        <v>0.5</v>
      </c>
      <c r="B761" s="48"/>
      <c r="C761" s="83">
        <f t="shared" ca="1" si="48"/>
        <v>43966</v>
      </c>
      <c r="D761" s="84">
        <f t="shared" si="49"/>
        <v>194.5</v>
      </c>
      <c r="E761" s="74" t="str">
        <f t="shared" ca="1" si="47"/>
        <v>HD_051520C194.5</v>
      </c>
      <c r="F761" s="75" t="str">
        <f ca="1">_xll.xlqName(E761,tda)</f>
        <v>#N/A</v>
      </c>
      <c r="G761" s="75" t="str">
        <f t="shared" ca="1" si="50"/>
        <v>BAD</v>
      </c>
      <c r="I761" s="83">
        <v>43938</v>
      </c>
      <c r="J761" s="84">
        <v>210</v>
      </c>
      <c r="K761" s="74" t="s">
        <v>1077</v>
      </c>
      <c r="L761" s="75" t="s">
        <v>53</v>
      </c>
      <c r="M761" s="75" t="s">
        <v>106</v>
      </c>
    </row>
    <row r="762" spans="1:13" x14ac:dyDescent="0.25">
      <c r="A762" s="48">
        <v>0.5</v>
      </c>
      <c r="B762" s="48"/>
      <c r="C762" s="83">
        <f t="shared" ca="1" si="48"/>
        <v>43966</v>
      </c>
      <c r="D762" s="84">
        <f t="shared" si="49"/>
        <v>195</v>
      </c>
      <c r="E762" s="74" t="str">
        <f t="shared" ca="1" si="47"/>
        <v>HD_051520C195</v>
      </c>
      <c r="F762" s="75" t="str">
        <f ca="1">_xll.xlqName(E762,tda)</f>
        <v>HD May 15 2020 195 Call</v>
      </c>
      <c r="G762" s="75" t="str">
        <f t="shared" ca="1" si="50"/>
        <v/>
      </c>
      <c r="I762" s="83">
        <v>43938</v>
      </c>
      <c r="J762" s="84">
        <v>210.5</v>
      </c>
      <c r="K762" s="74" t="s">
        <v>1078</v>
      </c>
      <c r="L762" s="75" t="s">
        <v>53</v>
      </c>
      <c r="M762" s="75" t="s">
        <v>106</v>
      </c>
    </row>
    <row r="763" spans="1:13" x14ac:dyDescent="0.25">
      <c r="A763" s="48">
        <v>1</v>
      </c>
      <c r="B763" s="48"/>
      <c r="C763" s="83">
        <f t="shared" ca="1" si="48"/>
        <v>43966</v>
      </c>
      <c r="D763" s="84">
        <f t="shared" si="49"/>
        <v>196</v>
      </c>
      <c r="E763" s="74" t="str">
        <f t="shared" ca="1" si="47"/>
        <v>HD_051520C196</v>
      </c>
      <c r="F763" s="75" t="str">
        <f ca="1">_xll.xlqName(E763,tda)</f>
        <v>#N/A</v>
      </c>
      <c r="G763" s="75" t="str">
        <f t="shared" ca="1" si="50"/>
        <v>BAD</v>
      </c>
      <c r="I763" s="83">
        <v>43938</v>
      </c>
      <c r="J763" s="84">
        <v>211.5</v>
      </c>
      <c r="K763" s="74" t="s">
        <v>1079</v>
      </c>
      <c r="L763" s="75" t="s">
        <v>53</v>
      </c>
      <c r="M763" s="75" t="s">
        <v>106</v>
      </c>
    </row>
    <row r="764" spans="1:13" x14ac:dyDescent="0.25">
      <c r="A764" s="48">
        <v>1</v>
      </c>
      <c r="B764" s="48"/>
      <c r="C764" s="83">
        <f t="shared" ca="1" si="48"/>
        <v>43966</v>
      </c>
      <c r="D764" s="84">
        <f t="shared" si="49"/>
        <v>197</v>
      </c>
      <c r="E764" s="74" t="str">
        <f t="shared" ca="1" si="47"/>
        <v>HD_051520C197</v>
      </c>
      <c r="F764" s="75" t="str">
        <f ca="1">_xll.xlqName(E764,tda)</f>
        <v>#N/A</v>
      </c>
      <c r="G764" s="75" t="str">
        <f t="shared" ca="1" si="50"/>
        <v>BAD</v>
      </c>
      <c r="I764" s="83">
        <v>43938</v>
      </c>
      <c r="J764" s="84">
        <v>212.5</v>
      </c>
      <c r="K764" s="74" t="s">
        <v>1080</v>
      </c>
      <c r="L764" s="75" t="s">
        <v>53</v>
      </c>
      <c r="M764" s="75" t="s">
        <v>106</v>
      </c>
    </row>
    <row r="765" spans="1:13" x14ac:dyDescent="0.25">
      <c r="A765" s="48">
        <v>1</v>
      </c>
      <c r="B765" s="48"/>
      <c r="C765" s="83">
        <f t="shared" ca="1" si="48"/>
        <v>43966</v>
      </c>
      <c r="D765" s="84">
        <f t="shared" si="49"/>
        <v>198</v>
      </c>
      <c r="E765" s="74" t="str">
        <f t="shared" ca="1" si="47"/>
        <v>HD_051520C198</v>
      </c>
      <c r="F765" s="75" t="str">
        <f ca="1">_xll.xlqName(E765,tda)</f>
        <v>#N/A</v>
      </c>
      <c r="G765" s="75" t="str">
        <f t="shared" ca="1" si="50"/>
        <v>BAD</v>
      </c>
      <c r="I765" s="83">
        <v>43938</v>
      </c>
      <c r="J765" s="84">
        <v>213.5</v>
      </c>
      <c r="K765" s="74" t="s">
        <v>1081</v>
      </c>
      <c r="L765" s="75" t="s">
        <v>53</v>
      </c>
      <c r="M765" s="75" t="s">
        <v>106</v>
      </c>
    </row>
    <row r="766" spans="1:13" x14ac:dyDescent="0.25">
      <c r="A766" s="48">
        <v>1</v>
      </c>
      <c r="B766" s="48"/>
      <c r="C766" s="83">
        <f t="shared" ca="1" si="48"/>
        <v>43966</v>
      </c>
      <c r="D766" s="84">
        <f t="shared" si="49"/>
        <v>199</v>
      </c>
      <c r="E766" s="74" t="str">
        <f t="shared" ca="1" si="47"/>
        <v>HD_051520C199</v>
      </c>
      <c r="F766" s="75" t="str">
        <f ca="1">_xll.xlqName(E766,tda)</f>
        <v>#N/A</v>
      </c>
      <c r="G766" s="75" t="str">
        <f t="shared" ca="1" si="50"/>
        <v>BAD</v>
      </c>
      <c r="I766" s="83">
        <v>43938</v>
      </c>
      <c r="J766" s="84">
        <v>214.5</v>
      </c>
      <c r="K766" s="74" t="s">
        <v>1082</v>
      </c>
      <c r="L766" s="75" t="s">
        <v>53</v>
      </c>
      <c r="M766" s="75" t="s">
        <v>106</v>
      </c>
    </row>
    <row r="767" spans="1:13" x14ac:dyDescent="0.25">
      <c r="A767" s="48">
        <v>0.5</v>
      </c>
      <c r="B767" s="48"/>
      <c r="C767" s="83">
        <f t="shared" ca="1" si="48"/>
        <v>43966</v>
      </c>
      <c r="D767" s="84">
        <f t="shared" si="49"/>
        <v>199.5</v>
      </c>
      <c r="E767" s="74" t="str">
        <f t="shared" ca="1" si="47"/>
        <v>HD_051520C199.5</v>
      </c>
      <c r="F767" s="75" t="str">
        <f ca="1">_xll.xlqName(E767,tda)</f>
        <v>#N/A</v>
      </c>
      <c r="G767" s="75" t="str">
        <f t="shared" ca="1" si="50"/>
        <v>BAD</v>
      </c>
      <c r="I767" s="83">
        <v>43938</v>
      </c>
      <c r="J767" s="84">
        <v>215</v>
      </c>
      <c r="K767" s="74" t="s">
        <v>1083</v>
      </c>
      <c r="L767" s="75" t="s">
        <v>53</v>
      </c>
      <c r="M767" s="75" t="s">
        <v>106</v>
      </c>
    </row>
    <row r="768" spans="1:13" x14ac:dyDescent="0.25">
      <c r="A768" s="48">
        <v>0.5</v>
      </c>
      <c r="B768" s="48"/>
      <c r="C768" s="83">
        <f t="shared" ca="1" si="48"/>
        <v>43966</v>
      </c>
      <c r="D768" s="84">
        <f t="shared" si="49"/>
        <v>200</v>
      </c>
      <c r="E768" s="74" t="str">
        <f t="shared" ca="1" si="47"/>
        <v>HD_051520C200</v>
      </c>
      <c r="F768" s="75" t="str">
        <f ca="1">_xll.xlqName(E768,tda)</f>
        <v>HD May 15 2020 200 Call</v>
      </c>
      <c r="G768" s="75" t="str">
        <f t="shared" ca="1" si="50"/>
        <v/>
      </c>
      <c r="I768" s="83">
        <v>43938</v>
      </c>
      <c r="J768" s="84">
        <v>215.5</v>
      </c>
      <c r="K768" s="74" t="s">
        <v>1084</v>
      </c>
      <c r="L768" s="75" t="s">
        <v>53</v>
      </c>
      <c r="M768" s="75" t="s">
        <v>106</v>
      </c>
    </row>
    <row r="769" spans="1:13" x14ac:dyDescent="0.25">
      <c r="A769" s="48">
        <v>1</v>
      </c>
      <c r="B769" s="48"/>
      <c r="C769" s="83">
        <f t="shared" ca="1" si="48"/>
        <v>43966</v>
      </c>
      <c r="D769" s="84">
        <f t="shared" si="49"/>
        <v>201</v>
      </c>
      <c r="E769" s="74" t="str">
        <f t="shared" ca="1" si="47"/>
        <v>HD_051520C201</v>
      </c>
      <c r="F769" s="75" t="str">
        <f ca="1">_xll.xlqName(E769,tda)</f>
        <v>#N/A</v>
      </c>
      <c r="G769" s="75" t="str">
        <f t="shared" ca="1" si="50"/>
        <v>BAD</v>
      </c>
      <c r="I769" s="83">
        <v>43938</v>
      </c>
      <c r="J769" s="84">
        <v>216.5</v>
      </c>
      <c r="K769" s="74" t="s">
        <v>1085</v>
      </c>
      <c r="L769" s="75" t="s">
        <v>53</v>
      </c>
      <c r="M769" s="75" t="s">
        <v>106</v>
      </c>
    </row>
    <row r="770" spans="1:13" x14ac:dyDescent="0.25">
      <c r="A770" s="48">
        <v>1</v>
      </c>
      <c r="B770" s="48"/>
      <c r="C770" s="83">
        <f t="shared" ca="1" si="48"/>
        <v>43966</v>
      </c>
      <c r="D770" s="84">
        <f t="shared" si="49"/>
        <v>202</v>
      </c>
      <c r="E770" s="74" t="str">
        <f t="shared" ref="E770:E833" ca="1" si="51">CONCATENATE($Q$2,"_",TEXT(MONTH(C770),"00"),TEXT(DAY(C770),"00"),TEXT(MOD(YEAR(C770),100),"00"),$Q$3,D770&amp;"")</f>
        <v>HD_051520C202</v>
      </c>
      <c r="F770" s="75" t="str">
        <f ca="1">_xll.xlqName(E770,tda)</f>
        <v>#N/A</v>
      </c>
      <c r="G770" s="75" t="str">
        <f t="shared" ca="1" si="50"/>
        <v>BAD</v>
      </c>
      <c r="I770" s="83">
        <v>43938</v>
      </c>
      <c r="J770" s="84">
        <v>217.5</v>
      </c>
      <c r="K770" s="74" t="s">
        <v>1086</v>
      </c>
      <c r="L770" s="75" t="s">
        <v>53</v>
      </c>
      <c r="M770" s="75" t="s">
        <v>106</v>
      </c>
    </row>
    <row r="771" spans="1:13" x14ac:dyDescent="0.25">
      <c r="A771" s="48">
        <v>1</v>
      </c>
      <c r="B771" s="48"/>
      <c r="C771" s="83">
        <f t="shared" ref="C771:C834" ca="1" si="52">IF(D771&gt;D770,C770,INDEX($O$14:$O$50,VLOOKUP(C770,$O$14:$P$50,2)+1))</f>
        <v>43966</v>
      </c>
      <c r="D771" s="84">
        <f t="shared" ref="D771:D834" si="53">IF(D770+A771&lt;=$Q$8,D770+A771,$Q$6)</f>
        <v>203</v>
      </c>
      <c r="E771" s="74" t="str">
        <f t="shared" ca="1" si="51"/>
        <v>HD_051520C203</v>
      </c>
      <c r="F771" s="75" t="str">
        <f ca="1">_xll.xlqName(E771,tda)</f>
        <v>#N/A</v>
      </c>
      <c r="G771" s="75" t="str">
        <f t="shared" ref="G771:G834" ca="1" si="54">IF(AND(ISTEXT(F771),(F771&lt;&gt;"#N/A"),(F771&lt;&gt;"Busy...")),"","BAD")</f>
        <v>BAD</v>
      </c>
      <c r="I771" s="83">
        <v>43938</v>
      </c>
      <c r="J771" s="84">
        <v>218.5</v>
      </c>
      <c r="K771" s="74" t="s">
        <v>1087</v>
      </c>
      <c r="L771" s="75" t="s">
        <v>53</v>
      </c>
      <c r="M771" s="75" t="s">
        <v>106</v>
      </c>
    </row>
    <row r="772" spans="1:13" x14ac:dyDescent="0.25">
      <c r="A772" s="48">
        <v>1</v>
      </c>
      <c r="B772" s="48"/>
      <c r="C772" s="83">
        <f t="shared" ca="1" si="52"/>
        <v>43966</v>
      </c>
      <c r="D772" s="84">
        <f t="shared" si="53"/>
        <v>204</v>
      </c>
      <c r="E772" s="74" t="str">
        <f t="shared" ca="1" si="51"/>
        <v>HD_051520C204</v>
      </c>
      <c r="F772" s="75" t="str">
        <f ca="1">_xll.xlqName(E772,tda)</f>
        <v>#N/A</v>
      </c>
      <c r="G772" s="75" t="str">
        <f t="shared" ca="1" si="54"/>
        <v>BAD</v>
      </c>
      <c r="I772" s="83">
        <v>43938</v>
      </c>
      <c r="J772" s="84">
        <v>219.5</v>
      </c>
      <c r="K772" s="74" t="s">
        <v>1088</v>
      </c>
      <c r="L772" s="75" t="s">
        <v>53</v>
      </c>
      <c r="M772" s="75" t="s">
        <v>106</v>
      </c>
    </row>
    <row r="773" spans="1:13" x14ac:dyDescent="0.25">
      <c r="A773" s="48">
        <v>0.5</v>
      </c>
      <c r="B773" s="48"/>
      <c r="C773" s="83">
        <f t="shared" ca="1" si="52"/>
        <v>43966</v>
      </c>
      <c r="D773" s="84">
        <f t="shared" si="53"/>
        <v>204.5</v>
      </c>
      <c r="E773" s="74" t="str">
        <f t="shared" ca="1" si="51"/>
        <v>HD_051520C204.5</v>
      </c>
      <c r="F773" s="75" t="str">
        <f ca="1">_xll.xlqName(E773,tda)</f>
        <v>#N/A</v>
      </c>
      <c r="G773" s="75" t="str">
        <f t="shared" ca="1" si="54"/>
        <v>BAD</v>
      </c>
      <c r="I773" s="83">
        <v>43938</v>
      </c>
      <c r="J773" s="84">
        <v>220</v>
      </c>
      <c r="K773" s="74" t="s">
        <v>1089</v>
      </c>
      <c r="L773" s="75" t="s">
        <v>53</v>
      </c>
      <c r="M773" s="75" t="s">
        <v>106</v>
      </c>
    </row>
    <row r="774" spans="1:13" x14ac:dyDescent="0.25">
      <c r="A774" s="48">
        <v>0.5</v>
      </c>
      <c r="B774" s="48"/>
      <c r="C774" s="83">
        <f t="shared" ca="1" si="52"/>
        <v>43966</v>
      </c>
      <c r="D774" s="84">
        <f t="shared" si="53"/>
        <v>205</v>
      </c>
      <c r="E774" s="74" t="str">
        <f t="shared" ca="1" si="51"/>
        <v>HD_051520C205</v>
      </c>
      <c r="F774" s="75" t="str">
        <f ca="1">_xll.xlqName(E774,tda)</f>
        <v>HD May 15 2020 205 Call</v>
      </c>
      <c r="G774" s="75" t="str">
        <f t="shared" ca="1" si="54"/>
        <v/>
      </c>
      <c r="I774" s="83">
        <v>43938</v>
      </c>
      <c r="J774" s="84">
        <v>220.5</v>
      </c>
      <c r="K774" s="74" t="s">
        <v>1090</v>
      </c>
      <c r="L774" s="75" t="s">
        <v>53</v>
      </c>
      <c r="M774" s="75" t="s">
        <v>106</v>
      </c>
    </row>
    <row r="775" spans="1:13" x14ac:dyDescent="0.25">
      <c r="A775" s="48">
        <v>1</v>
      </c>
      <c r="B775" s="48"/>
      <c r="C775" s="83">
        <f t="shared" ca="1" si="52"/>
        <v>43966</v>
      </c>
      <c r="D775" s="84">
        <f t="shared" si="53"/>
        <v>206</v>
      </c>
      <c r="E775" s="74" t="str">
        <f t="shared" ca="1" si="51"/>
        <v>HD_051520C206</v>
      </c>
      <c r="F775" s="75" t="str">
        <f ca="1">_xll.xlqName(E775,tda)</f>
        <v>#N/A</v>
      </c>
      <c r="G775" s="75" t="str">
        <f t="shared" ca="1" si="54"/>
        <v>BAD</v>
      </c>
      <c r="I775" s="83">
        <v>43938</v>
      </c>
      <c r="J775" s="84">
        <v>221.5</v>
      </c>
      <c r="K775" s="74" t="s">
        <v>1091</v>
      </c>
      <c r="L775" s="75" t="s">
        <v>53</v>
      </c>
      <c r="M775" s="75" t="s">
        <v>106</v>
      </c>
    </row>
    <row r="776" spans="1:13" x14ac:dyDescent="0.25">
      <c r="A776" s="48">
        <v>1</v>
      </c>
      <c r="B776" s="48"/>
      <c r="C776" s="83">
        <f t="shared" ca="1" si="52"/>
        <v>43966</v>
      </c>
      <c r="D776" s="84">
        <f t="shared" si="53"/>
        <v>207</v>
      </c>
      <c r="E776" s="74" t="str">
        <f t="shared" ca="1" si="51"/>
        <v>HD_051520C207</v>
      </c>
      <c r="F776" s="75" t="str">
        <f ca="1">_xll.xlqName(E776,tda)</f>
        <v>#N/A</v>
      </c>
      <c r="G776" s="75" t="str">
        <f t="shared" ca="1" si="54"/>
        <v>BAD</v>
      </c>
      <c r="I776" s="83">
        <v>43938</v>
      </c>
      <c r="J776" s="84">
        <v>222.5</v>
      </c>
      <c r="K776" s="74" t="s">
        <v>1092</v>
      </c>
      <c r="L776" s="75" t="s">
        <v>53</v>
      </c>
      <c r="M776" s="75" t="s">
        <v>106</v>
      </c>
    </row>
    <row r="777" spans="1:13" x14ac:dyDescent="0.25">
      <c r="A777" s="48">
        <v>1</v>
      </c>
      <c r="B777" s="48"/>
      <c r="C777" s="83">
        <f t="shared" ca="1" si="52"/>
        <v>43966</v>
      </c>
      <c r="D777" s="84">
        <f t="shared" si="53"/>
        <v>208</v>
      </c>
      <c r="E777" s="74" t="str">
        <f t="shared" ca="1" si="51"/>
        <v>HD_051520C208</v>
      </c>
      <c r="F777" s="75" t="str">
        <f ca="1">_xll.xlqName(E777,tda)</f>
        <v>#N/A</v>
      </c>
      <c r="G777" s="75" t="str">
        <f t="shared" ca="1" si="54"/>
        <v>BAD</v>
      </c>
      <c r="I777" s="83">
        <v>43938</v>
      </c>
      <c r="J777" s="84">
        <v>223.5</v>
      </c>
      <c r="K777" s="74" t="s">
        <v>1093</v>
      </c>
      <c r="L777" s="75" t="s">
        <v>53</v>
      </c>
      <c r="M777" s="75" t="s">
        <v>106</v>
      </c>
    </row>
    <row r="778" spans="1:13" x14ac:dyDescent="0.25">
      <c r="A778" s="48">
        <v>1</v>
      </c>
      <c r="B778" s="48"/>
      <c r="C778" s="83">
        <f t="shared" ca="1" si="52"/>
        <v>43966</v>
      </c>
      <c r="D778" s="84">
        <f t="shared" si="53"/>
        <v>209</v>
      </c>
      <c r="E778" s="74" t="str">
        <f t="shared" ca="1" si="51"/>
        <v>HD_051520C209</v>
      </c>
      <c r="F778" s="75" t="str">
        <f ca="1">_xll.xlqName(E778,tda)</f>
        <v>#N/A</v>
      </c>
      <c r="G778" s="75" t="str">
        <f t="shared" ca="1" si="54"/>
        <v>BAD</v>
      </c>
      <c r="I778" s="83">
        <v>43938</v>
      </c>
      <c r="J778" s="84">
        <v>224.5</v>
      </c>
      <c r="K778" s="74" t="s">
        <v>1094</v>
      </c>
      <c r="L778" s="75" t="s">
        <v>53</v>
      </c>
      <c r="M778" s="75" t="s">
        <v>106</v>
      </c>
    </row>
    <row r="779" spans="1:13" x14ac:dyDescent="0.25">
      <c r="A779" s="48">
        <v>0.5</v>
      </c>
      <c r="B779" s="48"/>
      <c r="C779" s="83">
        <f t="shared" ca="1" si="52"/>
        <v>43966</v>
      </c>
      <c r="D779" s="84">
        <f t="shared" si="53"/>
        <v>209.5</v>
      </c>
      <c r="E779" s="74" t="str">
        <f t="shared" ca="1" si="51"/>
        <v>HD_051520C209.5</v>
      </c>
      <c r="F779" s="75" t="str">
        <f ca="1">_xll.xlqName(E779,tda)</f>
        <v>#N/A</v>
      </c>
      <c r="G779" s="75" t="str">
        <f t="shared" ca="1" si="54"/>
        <v>BAD</v>
      </c>
      <c r="I779" s="83">
        <v>43938</v>
      </c>
      <c r="J779" s="84">
        <v>225</v>
      </c>
      <c r="K779" s="74" t="s">
        <v>1095</v>
      </c>
      <c r="L779" s="75" t="s">
        <v>53</v>
      </c>
      <c r="M779" s="75" t="s">
        <v>106</v>
      </c>
    </row>
    <row r="780" spans="1:13" x14ac:dyDescent="0.25">
      <c r="A780" s="48">
        <v>0.5</v>
      </c>
      <c r="B780" s="48"/>
      <c r="C780" s="83">
        <f t="shared" ca="1" si="52"/>
        <v>43966</v>
      </c>
      <c r="D780" s="84">
        <f t="shared" si="53"/>
        <v>210</v>
      </c>
      <c r="E780" s="74" t="str">
        <f t="shared" ca="1" si="51"/>
        <v>HD_051520C210</v>
      </c>
      <c r="F780" s="75" t="str">
        <f ca="1">_xll.xlqName(E780,tda)</f>
        <v>HD May 15 2020 210 Call</v>
      </c>
      <c r="G780" s="75" t="str">
        <f t="shared" ca="1" si="54"/>
        <v/>
      </c>
      <c r="I780" s="83">
        <v>43938</v>
      </c>
      <c r="J780" s="84">
        <v>225.5</v>
      </c>
      <c r="K780" s="74" t="s">
        <v>1096</v>
      </c>
      <c r="L780" s="75" t="s">
        <v>53</v>
      </c>
      <c r="M780" s="75" t="s">
        <v>106</v>
      </c>
    </row>
    <row r="781" spans="1:13" x14ac:dyDescent="0.25">
      <c r="A781" s="48">
        <v>1</v>
      </c>
      <c r="B781" s="48"/>
      <c r="C781" s="83">
        <f t="shared" ca="1" si="52"/>
        <v>43966</v>
      </c>
      <c r="D781" s="84">
        <f t="shared" si="53"/>
        <v>211</v>
      </c>
      <c r="E781" s="74" t="str">
        <f t="shared" ca="1" si="51"/>
        <v>HD_051520C211</v>
      </c>
      <c r="F781" s="75" t="str">
        <f ca="1">_xll.xlqName(E781,tda)</f>
        <v>#N/A</v>
      </c>
      <c r="G781" s="75" t="str">
        <f t="shared" ca="1" si="54"/>
        <v>BAD</v>
      </c>
      <c r="I781" s="83">
        <v>43938</v>
      </c>
      <c r="J781" s="84">
        <v>226.5</v>
      </c>
      <c r="K781" s="74" t="s">
        <v>1097</v>
      </c>
      <c r="L781" s="75" t="s">
        <v>53</v>
      </c>
      <c r="M781" s="75" t="s">
        <v>106</v>
      </c>
    </row>
    <row r="782" spans="1:13" x14ac:dyDescent="0.25">
      <c r="A782" s="48">
        <v>1</v>
      </c>
      <c r="B782" s="48"/>
      <c r="C782" s="83">
        <f t="shared" ca="1" si="52"/>
        <v>43966</v>
      </c>
      <c r="D782" s="84">
        <f t="shared" si="53"/>
        <v>212</v>
      </c>
      <c r="E782" s="74" t="str">
        <f t="shared" ca="1" si="51"/>
        <v>HD_051520C212</v>
      </c>
      <c r="F782" s="75" t="str">
        <f ca="1">_xll.xlqName(E782,tda)</f>
        <v>#N/A</v>
      </c>
      <c r="G782" s="75" t="str">
        <f t="shared" ca="1" si="54"/>
        <v>BAD</v>
      </c>
      <c r="I782" s="83">
        <v>43938</v>
      </c>
      <c r="J782" s="84">
        <v>227.5</v>
      </c>
      <c r="K782" s="74" t="s">
        <v>1098</v>
      </c>
      <c r="L782" s="75" t="s">
        <v>53</v>
      </c>
      <c r="M782" s="75" t="s">
        <v>106</v>
      </c>
    </row>
    <row r="783" spans="1:13" x14ac:dyDescent="0.25">
      <c r="A783" s="48">
        <v>1</v>
      </c>
      <c r="B783" s="48"/>
      <c r="C783" s="83">
        <f t="shared" ca="1" si="52"/>
        <v>43966</v>
      </c>
      <c r="D783" s="84">
        <f t="shared" si="53"/>
        <v>213</v>
      </c>
      <c r="E783" s="74" t="str">
        <f t="shared" ca="1" si="51"/>
        <v>HD_051520C213</v>
      </c>
      <c r="F783" s="75" t="str">
        <f ca="1">_xll.xlqName(E783,tda)</f>
        <v>#N/A</v>
      </c>
      <c r="G783" s="75" t="str">
        <f t="shared" ca="1" si="54"/>
        <v>BAD</v>
      </c>
      <c r="I783" s="83">
        <v>43938</v>
      </c>
      <c r="J783" s="84">
        <v>228.5</v>
      </c>
      <c r="K783" s="74" t="s">
        <v>1099</v>
      </c>
      <c r="L783" s="75" t="s">
        <v>53</v>
      </c>
      <c r="M783" s="75" t="s">
        <v>106</v>
      </c>
    </row>
    <row r="784" spans="1:13" x14ac:dyDescent="0.25">
      <c r="A784" s="48">
        <v>1</v>
      </c>
      <c r="B784" s="48"/>
      <c r="C784" s="83">
        <f t="shared" ca="1" si="52"/>
        <v>43966</v>
      </c>
      <c r="D784" s="84">
        <f t="shared" si="53"/>
        <v>214</v>
      </c>
      <c r="E784" s="74" t="str">
        <f t="shared" ca="1" si="51"/>
        <v>HD_051520C214</v>
      </c>
      <c r="F784" s="75" t="str">
        <f ca="1">_xll.xlqName(E784,tda)</f>
        <v>#N/A</v>
      </c>
      <c r="G784" s="75" t="str">
        <f t="shared" ca="1" si="54"/>
        <v>BAD</v>
      </c>
      <c r="I784" s="83">
        <v>43938</v>
      </c>
      <c r="J784" s="84">
        <v>229.5</v>
      </c>
      <c r="K784" s="74" t="s">
        <v>1100</v>
      </c>
      <c r="L784" s="75" t="s">
        <v>53</v>
      </c>
      <c r="M784" s="75" t="s">
        <v>106</v>
      </c>
    </row>
    <row r="785" spans="1:13" x14ac:dyDescent="0.25">
      <c r="A785" s="48">
        <v>0.5</v>
      </c>
      <c r="B785" s="48"/>
      <c r="C785" s="83">
        <f t="shared" ca="1" si="52"/>
        <v>43966</v>
      </c>
      <c r="D785" s="84">
        <f t="shared" si="53"/>
        <v>214.5</v>
      </c>
      <c r="E785" s="74" t="str">
        <f t="shared" ca="1" si="51"/>
        <v>HD_051520C214.5</v>
      </c>
      <c r="F785" s="75" t="str">
        <f ca="1">_xll.xlqName(E785,tda)</f>
        <v>#N/A</v>
      </c>
      <c r="G785" s="75" t="str">
        <f t="shared" ca="1" si="54"/>
        <v>BAD</v>
      </c>
      <c r="I785" s="83">
        <v>43938</v>
      </c>
      <c r="J785" s="84">
        <v>230</v>
      </c>
      <c r="K785" s="74" t="s">
        <v>1101</v>
      </c>
      <c r="L785" s="75" t="s">
        <v>53</v>
      </c>
      <c r="M785" s="75" t="s">
        <v>106</v>
      </c>
    </row>
    <row r="786" spans="1:13" x14ac:dyDescent="0.25">
      <c r="A786" s="48">
        <v>0.5</v>
      </c>
      <c r="B786" s="48"/>
      <c r="C786" s="83">
        <f t="shared" ca="1" si="52"/>
        <v>43966</v>
      </c>
      <c r="D786" s="84">
        <f t="shared" si="53"/>
        <v>215</v>
      </c>
      <c r="E786" s="74" t="str">
        <f t="shared" ca="1" si="51"/>
        <v>HD_051520C215</v>
      </c>
      <c r="F786" s="75" t="str">
        <f ca="1">_xll.xlqName(E786,tda)</f>
        <v>HD May 15 2020 215 Call</v>
      </c>
      <c r="G786" s="75" t="str">
        <f t="shared" ca="1" si="54"/>
        <v/>
      </c>
      <c r="I786" s="83">
        <v>43938</v>
      </c>
      <c r="J786" s="84">
        <v>230.5</v>
      </c>
      <c r="K786" s="74" t="s">
        <v>1102</v>
      </c>
      <c r="L786" s="75" t="s">
        <v>53</v>
      </c>
      <c r="M786" s="75" t="s">
        <v>106</v>
      </c>
    </row>
    <row r="787" spans="1:13" x14ac:dyDescent="0.25">
      <c r="A787" s="48">
        <v>1</v>
      </c>
      <c r="B787" s="48"/>
      <c r="C787" s="83">
        <f t="shared" ca="1" si="52"/>
        <v>43966</v>
      </c>
      <c r="D787" s="84">
        <f t="shared" si="53"/>
        <v>216</v>
      </c>
      <c r="E787" s="74" t="str">
        <f t="shared" ca="1" si="51"/>
        <v>HD_051520C216</v>
      </c>
      <c r="F787" s="75" t="str">
        <f ca="1">_xll.xlqName(E787,tda)</f>
        <v>#N/A</v>
      </c>
      <c r="G787" s="75" t="str">
        <f t="shared" ca="1" si="54"/>
        <v>BAD</v>
      </c>
      <c r="I787" s="83">
        <v>43938</v>
      </c>
      <c r="J787" s="84">
        <v>231.5</v>
      </c>
      <c r="K787" s="74" t="s">
        <v>1103</v>
      </c>
      <c r="L787" s="75" t="s">
        <v>53</v>
      </c>
      <c r="M787" s="75" t="s">
        <v>106</v>
      </c>
    </row>
    <row r="788" spans="1:13" x14ac:dyDescent="0.25">
      <c r="A788" s="48">
        <v>1</v>
      </c>
      <c r="B788" s="48"/>
      <c r="C788" s="83">
        <f t="shared" ca="1" si="52"/>
        <v>43966</v>
      </c>
      <c r="D788" s="84">
        <f t="shared" si="53"/>
        <v>217</v>
      </c>
      <c r="E788" s="74" t="str">
        <f t="shared" ca="1" si="51"/>
        <v>HD_051520C217</v>
      </c>
      <c r="F788" s="75" t="str">
        <f ca="1">_xll.xlqName(E788,tda)</f>
        <v>#N/A</v>
      </c>
      <c r="G788" s="75" t="str">
        <f t="shared" ca="1" si="54"/>
        <v>BAD</v>
      </c>
      <c r="I788" s="83">
        <v>43938</v>
      </c>
      <c r="J788" s="84">
        <v>232.5</v>
      </c>
      <c r="K788" s="74" t="s">
        <v>1104</v>
      </c>
      <c r="L788" s="75" t="s">
        <v>53</v>
      </c>
      <c r="M788" s="75" t="s">
        <v>106</v>
      </c>
    </row>
    <row r="789" spans="1:13" x14ac:dyDescent="0.25">
      <c r="A789" s="48">
        <v>1</v>
      </c>
      <c r="B789" s="48"/>
      <c r="C789" s="83">
        <f t="shared" ca="1" si="52"/>
        <v>43966</v>
      </c>
      <c r="D789" s="84">
        <f t="shared" si="53"/>
        <v>218</v>
      </c>
      <c r="E789" s="74" t="str">
        <f t="shared" ca="1" si="51"/>
        <v>HD_051520C218</v>
      </c>
      <c r="F789" s="75" t="str">
        <f ca="1">_xll.xlqName(E789,tda)</f>
        <v>#N/A</v>
      </c>
      <c r="G789" s="75" t="str">
        <f t="shared" ca="1" si="54"/>
        <v>BAD</v>
      </c>
      <c r="I789" s="83">
        <v>43938</v>
      </c>
      <c r="J789" s="84">
        <v>233.5</v>
      </c>
      <c r="K789" s="74" t="s">
        <v>1105</v>
      </c>
      <c r="L789" s="75" t="s">
        <v>53</v>
      </c>
      <c r="M789" s="75" t="s">
        <v>106</v>
      </c>
    </row>
    <row r="790" spans="1:13" x14ac:dyDescent="0.25">
      <c r="A790" s="48">
        <v>1</v>
      </c>
      <c r="B790" s="48"/>
      <c r="C790" s="83">
        <f t="shared" ca="1" si="52"/>
        <v>43966</v>
      </c>
      <c r="D790" s="84">
        <f t="shared" si="53"/>
        <v>219</v>
      </c>
      <c r="E790" s="74" t="str">
        <f t="shared" ca="1" si="51"/>
        <v>HD_051520C219</v>
      </c>
      <c r="F790" s="75" t="str">
        <f ca="1">_xll.xlqName(E790,tda)</f>
        <v>#N/A</v>
      </c>
      <c r="G790" s="75" t="str">
        <f t="shared" ca="1" si="54"/>
        <v>BAD</v>
      </c>
      <c r="I790" s="83">
        <v>43938</v>
      </c>
      <c r="J790" s="84">
        <v>234.5</v>
      </c>
      <c r="K790" s="74" t="s">
        <v>1106</v>
      </c>
      <c r="L790" s="75" t="s">
        <v>53</v>
      </c>
      <c r="M790" s="75" t="s">
        <v>106</v>
      </c>
    </row>
    <row r="791" spans="1:13" x14ac:dyDescent="0.25">
      <c r="A791" s="48">
        <v>0.5</v>
      </c>
      <c r="B791" s="48"/>
      <c r="C791" s="83">
        <f t="shared" ca="1" si="52"/>
        <v>43966</v>
      </c>
      <c r="D791" s="84">
        <f t="shared" si="53"/>
        <v>219.5</v>
      </c>
      <c r="E791" s="74" t="str">
        <f t="shared" ca="1" si="51"/>
        <v>HD_051520C219.5</v>
      </c>
      <c r="F791" s="75" t="str">
        <f ca="1">_xll.xlqName(E791,tda)</f>
        <v>#N/A</v>
      </c>
      <c r="G791" s="75" t="str">
        <f t="shared" ca="1" si="54"/>
        <v>BAD</v>
      </c>
      <c r="I791" s="83">
        <v>43938</v>
      </c>
      <c r="J791" s="84">
        <v>235</v>
      </c>
      <c r="K791" s="74" t="s">
        <v>1107</v>
      </c>
      <c r="L791" s="75" t="s">
        <v>53</v>
      </c>
      <c r="M791" s="75" t="s">
        <v>106</v>
      </c>
    </row>
    <row r="792" spans="1:13" x14ac:dyDescent="0.25">
      <c r="A792" s="48">
        <v>0.5</v>
      </c>
      <c r="B792" s="48"/>
      <c r="C792" s="83">
        <f t="shared" ca="1" si="52"/>
        <v>43966</v>
      </c>
      <c r="D792" s="84">
        <f t="shared" si="53"/>
        <v>220</v>
      </c>
      <c r="E792" s="74" t="str">
        <f t="shared" ca="1" si="51"/>
        <v>HD_051520C220</v>
      </c>
      <c r="F792" s="75" t="str">
        <f ca="1">_xll.xlqName(E792,tda)</f>
        <v>HD May 15 2020 220 Call</v>
      </c>
      <c r="G792" s="75" t="str">
        <f t="shared" ca="1" si="54"/>
        <v/>
      </c>
      <c r="I792" s="83">
        <v>43966</v>
      </c>
      <c r="J792" s="84">
        <v>170</v>
      </c>
      <c r="K792" s="74" t="s">
        <v>1108</v>
      </c>
      <c r="L792" s="75" t="s">
        <v>1109</v>
      </c>
      <c r="M792" s="75" t="s">
        <v>111</v>
      </c>
    </row>
    <row r="793" spans="1:13" x14ac:dyDescent="0.25">
      <c r="A793" s="48">
        <v>1</v>
      </c>
      <c r="B793" s="48"/>
      <c r="C793" s="83">
        <f t="shared" ca="1" si="52"/>
        <v>43966</v>
      </c>
      <c r="D793" s="84">
        <f t="shared" si="53"/>
        <v>221</v>
      </c>
      <c r="E793" s="74" t="str">
        <f t="shared" ca="1" si="51"/>
        <v>HD_051520C221</v>
      </c>
      <c r="F793" s="75" t="str">
        <f ca="1">_xll.xlqName(E793,tda)</f>
        <v>#N/A</v>
      </c>
      <c r="G793" s="75" t="str">
        <f t="shared" ca="1" si="54"/>
        <v>BAD</v>
      </c>
      <c r="I793" s="83">
        <v>43966</v>
      </c>
      <c r="J793" s="84">
        <v>171</v>
      </c>
      <c r="K793" s="74" t="s">
        <v>1110</v>
      </c>
      <c r="L793" s="75" t="s">
        <v>53</v>
      </c>
      <c r="M793" s="75" t="s">
        <v>106</v>
      </c>
    </row>
    <row r="794" spans="1:13" x14ac:dyDescent="0.25">
      <c r="A794" s="48">
        <v>1</v>
      </c>
      <c r="B794" s="48"/>
      <c r="C794" s="83">
        <f t="shared" ca="1" si="52"/>
        <v>43966</v>
      </c>
      <c r="D794" s="84">
        <f t="shared" si="53"/>
        <v>222</v>
      </c>
      <c r="E794" s="74" t="str">
        <f t="shared" ca="1" si="51"/>
        <v>HD_051520C222</v>
      </c>
      <c r="F794" s="75" t="str">
        <f ca="1">_xll.xlqName(E794,tda)</f>
        <v>#N/A</v>
      </c>
      <c r="G794" s="75" t="str">
        <f t="shared" ca="1" si="54"/>
        <v>BAD</v>
      </c>
      <c r="I794" s="83">
        <v>43966</v>
      </c>
      <c r="J794" s="84">
        <v>172</v>
      </c>
      <c r="K794" s="74" t="s">
        <v>1111</v>
      </c>
      <c r="L794" s="75" t="s">
        <v>53</v>
      </c>
      <c r="M794" s="75" t="s">
        <v>106</v>
      </c>
    </row>
    <row r="795" spans="1:13" x14ac:dyDescent="0.25">
      <c r="A795" s="48">
        <v>1</v>
      </c>
      <c r="B795" s="48"/>
      <c r="C795" s="83">
        <f t="shared" ca="1" si="52"/>
        <v>43966</v>
      </c>
      <c r="D795" s="84">
        <f t="shared" si="53"/>
        <v>223</v>
      </c>
      <c r="E795" s="74" t="str">
        <f t="shared" ca="1" si="51"/>
        <v>HD_051520C223</v>
      </c>
      <c r="F795" s="75" t="str">
        <f ca="1">_xll.xlqName(E795,tda)</f>
        <v>#N/A</v>
      </c>
      <c r="G795" s="75" t="str">
        <f t="shared" ca="1" si="54"/>
        <v>BAD</v>
      </c>
      <c r="I795" s="83">
        <v>43966</v>
      </c>
      <c r="J795" s="84">
        <v>173</v>
      </c>
      <c r="K795" s="74" t="s">
        <v>1112</v>
      </c>
      <c r="L795" s="75" t="s">
        <v>53</v>
      </c>
      <c r="M795" s="75" t="s">
        <v>106</v>
      </c>
    </row>
    <row r="796" spans="1:13" x14ac:dyDescent="0.25">
      <c r="A796" s="48">
        <v>1</v>
      </c>
      <c r="B796" s="48"/>
      <c r="C796" s="83">
        <f t="shared" ca="1" si="52"/>
        <v>43966</v>
      </c>
      <c r="D796" s="84">
        <f t="shared" si="53"/>
        <v>224</v>
      </c>
      <c r="E796" s="74" t="str">
        <f t="shared" ca="1" si="51"/>
        <v>HD_051520C224</v>
      </c>
      <c r="F796" s="75" t="str">
        <f ca="1">_xll.xlqName(E796,tda)</f>
        <v>#N/A</v>
      </c>
      <c r="G796" s="75" t="str">
        <f t="shared" ca="1" si="54"/>
        <v>BAD</v>
      </c>
      <c r="I796" s="83">
        <v>43966</v>
      </c>
      <c r="J796" s="84">
        <v>174</v>
      </c>
      <c r="K796" s="74" t="s">
        <v>1113</v>
      </c>
      <c r="L796" s="75" t="s">
        <v>53</v>
      </c>
      <c r="M796" s="75" t="s">
        <v>106</v>
      </c>
    </row>
    <row r="797" spans="1:13" x14ac:dyDescent="0.25">
      <c r="A797" s="48">
        <v>0.5</v>
      </c>
      <c r="B797" s="48"/>
      <c r="C797" s="83">
        <f t="shared" ca="1" si="52"/>
        <v>43966</v>
      </c>
      <c r="D797" s="84">
        <f t="shared" si="53"/>
        <v>224.5</v>
      </c>
      <c r="E797" s="74" t="str">
        <f t="shared" ca="1" si="51"/>
        <v>HD_051520C224.5</v>
      </c>
      <c r="F797" s="75" t="str">
        <f ca="1">_xll.xlqName(E797,tda)</f>
        <v>#N/A</v>
      </c>
      <c r="G797" s="75" t="str">
        <f t="shared" ca="1" si="54"/>
        <v>BAD</v>
      </c>
      <c r="I797" s="83">
        <v>43966</v>
      </c>
      <c r="J797" s="84">
        <v>174.5</v>
      </c>
      <c r="K797" s="74" t="s">
        <v>1114</v>
      </c>
      <c r="L797" s="75" t="s">
        <v>53</v>
      </c>
      <c r="M797" s="75" t="s">
        <v>106</v>
      </c>
    </row>
    <row r="798" spans="1:13" x14ac:dyDescent="0.25">
      <c r="A798" s="48">
        <v>0.5</v>
      </c>
      <c r="B798" s="48"/>
      <c r="C798" s="83">
        <f t="shared" ca="1" si="52"/>
        <v>43966</v>
      </c>
      <c r="D798" s="84">
        <f t="shared" si="53"/>
        <v>225</v>
      </c>
      <c r="E798" s="74" t="str">
        <f t="shared" ca="1" si="51"/>
        <v>HD_051520C225</v>
      </c>
      <c r="F798" s="75" t="str">
        <f ca="1">_xll.xlqName(E798,tda)</f>
        <v>HD May 15 2020 225 Call</v>
      </c>
      <c r="G798" s="75" t="str">
        <f t="shared" ca="1" si="54"/>
        <v/>
      </c>
      <c r="I798" s="83">
        <v>43966</v>
      </c>
      <c r="J798" s="84">
        <v>175</v>
      </c>
      <c r="K798" s="74" t="s">
        <v>1115</v>
      </c>
      <c r="L798" s="75" t="s">
        <v>1116</v>
      </c>
      <c r="M798" s="75" t="s">
        <v>111</v>
      </c>
    </row>
    <row r="799" spans="1:13" x14ac:dyDescent="0.25">
      <c r="A799" s="48">
        <v>1</v>
      </c>
      <c r="B799" s="48"/>
      <c r="C799" s="83">
        <f t="shared" ca="1" si="52"/>
        <v>43966</v>
      </c>
      <c r="D799" s="84">
        <f t="shared" si="53"/>
        <v>226</v>
      </c>
      <c r="E799" s="74" t="str">
        <f t="shared" ca="1" si="51"/>
        <v>HD_051520C226</v>
      </c>
      <c r="F799" s="75" t="str">
        <f ca="1">_xll.xlqName(E799,tda)</f>
        <v>#N/A</v>
      </c>
      <c r="G799" s="75" t="str">
        <f t="shared" ca="1" si="54"/>
        <v>BAD</v>
      </c>
      <c r="I799" s="83">
        <v>43966</v>
      </c>
      <c r="J799" s="84">
        <v>176</v>
      </c>
      <c r="K799" s="74" t="s">
        <v>1117</v>
      </c>
      <c r="L799" s="75" t="s">
        <v>53</v>
      </c>
      <c r="M799" s="75" t="s">
        <v>106</v>
      </c>
    </row>
    <row r="800" spans="1:13" x14ac:dyDescent="0.25">
      <c r="A800" s="48">
        <v>1</v>
      </c>
      <c r="B800" s="48"/>
      <c r="C800" s="83">
        <f t="shared" ca="1" si="52"/>
        <v>43966</v>
      </c>
      <c r="D800" s="84">
        <f t="shared" si="53"/>
        <v>227</v>
      </c>
      <c r="E800" s="74" t="str">
        <f t="shared" ca="1" si="51"/>
        <v>HD_051520C227</v>
      </c>
      <c r="F800" s="75" t="str">
        <f ca="1">_xll.xlqName(E800,tda)</f>
        <v>#N/A</v>
      </c>
      <c r="G800" s="75" t="str">
        <f t="shared" ca="1" si="54"/>
        <v>BAD</v>
      </c>
      <c r="I800" s="83">
        <v>43966</v>
      </c>
      <c r="J800" s="84">
        <v>177</v>
      </c>
      <c r="K800" s="74" t="s">
        <v>1118</v>
      </c>
      <c r="L800" s="75" t="s">
        <v>53</v>
      </c>
      <c r="M800" s="75" t="s">
        <v>106</v>
      </c>
    </row>
    <row r="801" spans="1:13" x14ac:dyDescent="0.25">
      <c r="A801" s="48">
        <v>1</v>
      </c>
      <c r="B801" s="48"/>
      <c r="C801" s="83">
        <f t="shared" ca="1" si="52"/>
        <v>43966</v>
      </c>
      <c r="D801" s="84">
        <f t="shared" si="53"/>
        <v>228</v>
      </c>
      <c r="E801" s="74" t="str">
        <f t="shared" ca="1" si="51"/>
        <v>HD_051520C228</v>
      </c>
      <c r="F801" s="75" t="str">
        <f ca="1">_xll.xlqName(E801,tda)</f>
        <v>#N/A</v>
      </c>
      <c r="G801" s="75" t="str">
        <f t="shared" ca="1" si="54"/>
        <v>BAD</v>
      </c>
      <c r="I801" s="83">
        <v>43966</v>
      </c>
      <c r="J801" s="84">
        <v>178</v>
      </c>
      <c r="K801" s="74" t="s">
        <v>1119</v>
      </c>
      <c r="L801" s="75" t="s">
        <v>53</v>
      </c>
      <c r="M801" s="75" t="s">
        <v>106</v>
      </c>
    </row>
    <row r="802" spans="1:13" x14ac:dyDescent="0.25">
      <c r="A802" s="48">
        <v>1</v>
      </c>
      <c r="B802" s="48"/>
      <c r="C802" s="83">
        <f t="shared" ca="1" si="52"/>
        <v>43966</v>
      </c>
      <c r="D802" s="84">
        <f t="shared" si="53"/>
        <v>229</v>
      </c>
      <c r="E802" s="74" t="str">
        <f t="shared" ca="1" si="51"/>
        <v>HD_051520C229</v>
      </c>
      <c r="F802" s="75" t="str">
        <f ca="1">_xll.xlqName(E802,tda)</f>
        <v>#N/A</v>
      </c>
      <c r="G802" s="75" t="str">
        <f t="shared" ca="1" si="54"/>
        <v>BAD</v>
      </c>
      <c r="I802" s="83">
        <v>43966</v>
      </c>
      <c r="J802" s="84">
        <v>179</v>
      </c>
      <c r="K802" s="74" t="s">
        <v>1120</v>
      </c>
      <c r="L802" s="75" t="s">
        <v>53</v>
      </c>
      <c r="M802" s="75" t="s">
        <v>106</v>
      </c>
    </row>
    <row r="803" spans="1:13" x14ac:dyDescent="0.25">
      <c r="A803" s="48">
        <v>0.5</v>
      </c>
      <c r="B803" s="48"/>
      <c r="C803" s="83">
        <f t="shared" ca="1" si="52"/>
        <v>43966</v>
      </c>
      <c r="D803" s="84">
        <f t="shared" si="53"/>
        <v>229.5</v>
      </c>
      <c r="E803" s="74" t="str">
        <f t="shared" ca="1" si="51"/>
        <v>HD_051520C229.5</v>
      </c>
      <c r="F803" s="75" t="str">
        <f ca="1">_xll.xlqName(E803,tda)</f>
        <v>#N/A</v>
      </c>
      <c r="G803" s="75" t="str">
        <f t="shared" ca="1" si="54"/>
        <v>BAD</v>
      </c>
      <c r="I803" s="83">
        <v>43966</v>
      </c>
      <c r="J803" s="84">
        <v>179.5</v>
      </c>
      <c r="K803" s="74" t="s">
        <v>1121</v>
      </c>
      <c r="L803" s="75" t="s">
        <v>53</v>
      </c>
      <c r="M803" s="75" t="s">
        <v>106</v>
      </c>
    </row>
    <row r="804" spans="1:13" x14ac:dyDescent="0.25">
      <c r="A804" s="48">
        <v>0.5</v>
      </c>
      <c r="B804" s="48"/>
      <c r="C804" s="83">
        <f t="shared" ca="1" si="52"/>
        <v>43966</v>
      </c>
      <c r="D804" s="84">
        <f t="shared" si="53"/>
        <v>230</v>
      </c>
      <c r="E804" s="74" t="str">
        <f t="shared" ca="1" si="51"/>
        <v>HD_051520C230</v>
      </c>
      <c r="F804" s="75" t="str">
        <f ca="1">_xll.xlqName(E804,tda)</f>
        <v>HD May 15 2020 230 Call</v>
      </c>
      <c r="G804" s="75" t="str">
        <f t="shared" ca="1" si="54"/>
        <v/>
      </c>
      <c r="I804" s="83">
        <v>43966</v>
      </c>
      <c r="J804" s="84">
        <v>180</v>
      </c>
      <c r="K804" s="74" t="s">
        <v>1122</v>
      </c>
      <c r="L804" s="75" t="s">
        <v>1123</v>
      </c>
      <c r="M804" s="75" t="s">
        <v>111</v>
      </c>
    </row>
    <row r="805" spans="1:13" x14ac:dyDescent="0.25">
      <c r="A805" s="48">
        <v>1</v>
      </c>
      <c r="B805" s="48"/>
      <c r="C805" s="83">
        <f t="shared" ca="1" si="52"/>
        <v>44001</v>
      </c>
      <c r="D805" s="84">
        <f t="shared" si="53"/>
        <v>170</v>
      </c>
      <c r="E805" s="74" t="str">
        <f t="shared" ca="1" si="51"/>
        <v>HD_061920C170</v>
      </c>
      <c r="F805" s="75" t="str">
        <f ca="1">_xll.xlqName(E805,tda)</f>
        <v>HD Jun 19 2020 170 Call</v>
      </c>
      <c r="G805" s="75" t="str">
        <f t="shared" ca="1" si="54"/>
        <v/>
      </c>
      <c r="I805" s="83">
        <v>43966</v>
      </c>
      <c r="J805" s="84">
        <v>181</v>
      </c>
      <c r="K805" s="74" t="s">
        <v>1124</v>
      </c>
      <c r="L805" s="75" t="s">
        <v>53</v>
      </c>
      <c r="M805" s="75" t="s">
        <v>106</v>
      </c>
    </row>
    <row r="806" spans="1:13" x14ac:dyDescent="0.25">
      <c r="A806" s="48">
        <v>1</v>
      </c>
      <c r="B806" s="48"/>
      <c r="C806" s="83">
        <f t="shared" ca="1" si="52"/>
        <v>44001</v>
      </c>
      <c r="D806" s="84">
        <f t="shared" si="53"/>
        <v>171</v>
      </c>
      <c r="E806" s="74" t="str">
        <f t="shared" ca="1" si="51"/>
        <v>HD_061920C171</v>
      </c>
      <c r="F806" s="75" t="str">
        <f ca="1">_xll.xlqName(E806,tda)</f>
        <v>#N/A</v>
      </c>
      <c r="G806" s="75" t="str">
        <f t="shared" ca="1" si="54"/>
        <v>BAD</v>
      </c>
      <c r="I806" s="83">
        <v>43966</v>
      </c>
      <c r="J806" s="84">
        <v>182</v>
      </c>
      <c r="K806" s="74" t="s">
        <v>1125</v>
      </c>
      <c r="L806" s="75" t="s">
        <v>53</v>
      </c>
      <c r="M806" s="75" t="s">
        <v>106</v>
      </c>
    </row>
    <row r="807" spans="1:13" x14ac:dyDescent="0.25">
      <c r="A807" s="48">
        <v>1</v>
      </c>
      <c r="B807" s="48"/>
      <c r="C807" s="83">
        <f t="shared" ca="1" si="52"/>
        <v>44001</v>
      </c>
      <c r="D807" s="84">
        <f t="shared" si="53"/>
        <v>172</v>
      </c>
      <c r="E807" s="74" t="str">
        <f t="shared" ca="1" si="51"/>
        <v>HD_061920C172</v>
      </c>
      <c r="F807" s="75" t="str">
        <f ca="1">_xll.xlqName(E807,tda)</f>
        <v>#N/A</v>
      </c>
      <c r="G807" s="75" t="str">
        <f t="shared" ca="1" si="54"/>
        <v>BAD</v>
      </c>
      <c r="I807" s="83">
        <v>43966</v>
      </c>
      <c r="J807" s="84">
        <v>183</v>
      </c>
      <c r="K807" s="74" t="s">
        <v>1126</v>
      </c>
      <c r="L807" s="75" t="s">
        <v>53</v>
      </c>
      <c r="M807" s="75" t="s">
        <v>106</v>
      </c>
    </row>
    <row r="808" spans="1:13" x14ac:dyDescent="0.25">
      <c r="A808" s="48">
        <v>1</v>
      </c>
      <c r="B808" s="48"/>
      <c r="C808" s="83">
        <f t="shared" ca="1" si="52"/>
        <v>44001</v>
      </c>
      <c r="D808" s="84">
        <f t="shared" si="53"/>
        <v>173</v>
      </c>
      <c r="E808" s="74" t="str">
        <f t="shared" ca="1" si="51"/>
        <v>HD_061920C173</v>
      </c>
      <c r="F808" s="75" t="str">
        <f ca="1">_xll.xlqName(E808,tda)</f>
        <v>#N/A</v>
      </c>
      <c r="G808" s="75" t="str">
        <f t="shared" ca="1" si="54"/>
        <v>BAD</v>
      </c>
      <c r="I808" s="83">
        <v>43966</v>
      </c>
      <c r="J808" s="84">
        <v>184</v>
      </c>
      <c r="K808" s="74" t="s">
        <v>1127</v>
      </c>
      <c r="L808" s="75" t="s">
        <v>53</v>
      </c>
      <c r="M808" s="75" t="s">
        <v>106</v>
      </c>
    </row>
    <row r="809" spans="1:13" x14ac:dyDescent="0.25">
      <c r="A809" s="48">
        <v>0.5</v>
      </c>
      <c r="B809" s="48"/>
      <c r="C809" s="83">
        <f t="shared" ca="1" si="52"/>
        <v>44001</v>
      </c>
      <c r="D809" s="84">
        <f t="shared" si="53"/>
        <v>173.5</v>
      </c>
      <c r="E809" s="74" t="str">
        <f t="shared" ca="1" si="51"/>
        <v>HD_061920C173.5</v>
      </c>
      <c r="F809" s="75" t="str">
        <f ca="1">_xll.xlqName(E809,tda)</f>
        <v>#N/A</v>
      </c>
      <c r="G809" s="75" t="str">
        <f t="shared" ca="1" si="54"/>
        <v>BAD</v>
      </c>
      <c r="I809" s="83">
        <v>43966</v>
      </c>
      <c r="J809" s="84">
        <v>184.5</v>
      </c>
      <c r="K809" s="74" t="s">
        <v>1128</v>
      </c>
      <c r="L809" s="75" t="s">
        <v>53</v>
      </c>
      <c r="M809" s="75" t="s">
        <v>106</v>
      </c>
    </row>
    <row r="810" spans="1:13" x14ac:dyDescent="0.25">
      <c r="A810" s="48">
        <v>0.5</v>
      </c>
      <c r="B810" s="48"/>
      <c r="C810" s="83">
        <f t="shared" ca="1" si="52"/>
        <v>44001</v>
      </c>
      <c r="D810" s="84">
        <f t="shared" si="53"/>
        <v>174</v>
      </c>
      <c r="E810" s="74" t="str">
        <f t="shared" ca="1" si="51"/>
        <v>HD_061920C174</v>
      </c>
      <c r="F810" s="75" t="str">
        <f ca="1">_xll.xlqName(E810,tda)</f>
        <v>#N/A</v>
      </c>
      <c r="G810" s="75" t="str">
        <f t="shared" ca="1" si="54"/>
        <v>BAD</v>
      </c>
      <c r="I810" s="83">
        <v>43966</v>
      </c>
      <c r="J810" s="84">
        <v>185</v>
      </c>
      <c r="K810" s="74" t="s">
        <v>1129</v>
      </c>
      <c r="L810" s="75" t="s">
        <v>1130</v>
      </c>
      <c r="M810" s="75" t="s">
        <v>111</v>
      </c>
    </row>
    <row r="811" spans="1:13" x14ac:dyDescent="0.25">
      <c r="A811" s="48">
        <v>1</v>
      </c>
      <c r="B811" s="48"/>
      <c r="C811" s="83">
        <f t="shared" ca="1" si="52"/>
        <v>44001</v>
      </c>
      <c r="D811" s="84">
        <f t="shared" si="53"/>
        <v>175</v>
      </c>
      <c r="E811" s="74" t="str">
        <f t="shared" ca="1" si="51"/>
        <v>HD_061920C175</v>
      </c>
      <c r="F811" s="75" t="str">
        <f ca="1">_xll.xlqName(E811,tda)</f>
        <v>HD Jun 19 2020 175 Call</v>
      </c>
      <c r="G811" s="75" t="str">
        <f t="shared" ca="1" si="54"/>
        <v/>
      </c>
      <c r="I811" s="83">
        <v>43966</v>
      </c>
      <c r="J811" s="84">
        <v>186</v>
      </c>
      <c r="K811" s="74" t="s">
        <v>1131</v>
      </c>
      <c r="L811" s="75" t="s">
        <v>53</v>
      </c>
      <c r="M811" s="75" t="s">
        <v>106</v>
      </c>
    </row>
    <row r="812" spans="1:13" x14ac:dyDescent="0.25">
      <c r="A812" s="48">
        <v>1</v>
      </c>
      <c r="B812" s="48"/>
      <c r="C812" s="83">
        <f t="shared" ca="1" si="52"/>
        <v>44001</v>
      </c>
      <c r="D812" s="84">
        <f t="shared" si="53"/>
        <v>176</v>
      </c>
      <c r="E812" s="74" t="str">
        <f t="shared" ca="1" si="51"/>
        <v>HD_061920C176</v>
      </c>
      <c r="F812" s="75" t="str">
        <f ca="1">_xll.xlqName(E812,tda)</f>
        <v>#N/A</v>
      </c>
      <c r="G812" s="75" t="str">
        <f t="shared" ca="1" si="54"/>
        <v>BAD</v>
      </c>
      <c r="I812" s="83">
        <v>43966</v>
      </c>
      <c r="J812" s="84">
        <v>187</v>
      </c>
      <c r="K812" s="74" t="s">
        <v>1132</v>
      </c>
      <c r="L812" s="75" t="s">
        <v>53</v>
      </c>
      <c r="M812" s="75" t="s">
        <v>106</v>
      </c>
    </row>
    <row r="813" spans="1:13" x14ac:dyDescent="0.25">
      <c r="A813" s="48">
        <v>1</v>
      </c>
      <c r="B813" s="48"/>
      <c r="C813" s="83">
        <f t="shared" ca="1" si="52"/>
        <v>44001</v>
      </c>
      <c r="D813" s="84">
        <f t="shared" si="53"/>
        <v>177</v>
      </c>
      <c r="E813" s="74" t="str">
        <f t="shared" ca="1" si="51"/>
        <v>HD_061920C177</v>
      </c>
      <c r="F813" s="75" t="str">
        <f ca="1">_xll.xlqName(E813,tda)</f>
        <v>#N/A</v>
      </c>
      <c r="G813" s="75" t="str">
        <f t="shared" ca="1" si="54"/>
        <v>BAD</v>
      </c>
      <c r="I813" s="83">
        <v>43966</v>
      </c>
      <c r="J813" s="84">
        <v>188</v>
      </c>
      <c r="K813" s="74" t="s">
        <v>1133</v>
      </c>
      <c r="L813" s="75" t="s">
        <v>53</v>
      </c>
      <c r="M813" s="75" t="s">
        <v>106</v>
      </c>
    </row>
    <row r="814" spans="1:13" x14ac:dyDescent="0.25">
      <c r="A814" s="48">
        <v>1</v>
      </c>
      <c r="B814" s="48"/>
      <c r="C814" s="83">
        <f t="shared" ca="1" si="52"/>
        <v>44001</v>
      </c>
      <c r="D814" s="84">
        <f t="shared" si="53"/>
        <v>178</v>
      </c>
      <c r="E814" s="74" t="str">
        <f t="shared" ca="1" si="51"/>
        <v>HD_061920C178</v>
      </c>
      <c r="F814" s="75" t="str">
        <f ca="1">_xll.xlqName(E814,tda)</f>
        <v>#N/A</v>
      </c>
      <c r="G814" s="75" t="str">
        <f t="shared" ca="1" si="54"/>
        <v>BAD</v>
      </c>
      <c r="I814" s="83">
        <v>43966</v>
      </c>
      <c r="J814" s="84">
        <v>189</v>
      </c>
      <c r="K814" s="74" t="s">
        <v>1134</v>
      </c>
      <c r="L814" s="75" t="s">
        <v>53</v>
      </c>
      <c r="M814" s="75" t="s">
        <v>106</v>
      </c>
    </row>
    <row r="815" spans="1:13" x14ac:dyDescent="0.25">
      <c r="A815" s="48">
        <v>0.5</v>
      </c>
      <c r="B815" s="48"/>
      <c r="C815" s="83">
        <f t="shared" ca="1" si="52"/>
        <v>44001</v>
      </c>
      <c r="D815" s="84">
        <f t="shared" si="53"/>
        <v>178.5</v>
      </c>
      <c r="E815" s="74" t="str">
        <f t="shared" ca="1" si="51"/>
        <v>HD_061920C178.5</v>
      </c>
      <c r="F815" s="75" t="str">
        <f ca="1">_xll.xlqName(E815,tda)</f>
        <v>#N/A</v>
      </c>
      <c r="G815" s="75" t="str">
        <f t="shared" ca="1" si="54"/>
        <v>BAD</v>
      </c>
      <c r="I815" s="83">
        <v>43966</v>
      </c>
      <c r="J815" s="84">
        <v>189.5</v>
      </c>
      <c r="K815" s="74" t="s">
        <v>1135</v>
      </c>
      <c r="L815" s="75" t="s">
        <v>53</v>
      </c>
      <c r="M815" s="75" t="s">
        <v>106</v>
      </c>
    </row>
    <row r="816" spans="1:13" x14ac:dyDescent="0.25">
      <c r="A816" s="48">
        <v>0.5</v>
      </c>
      <c r="B816" s="48"/>
      <c r="C816" s="83">
        <f t="shared" ca="1" si="52"/>
        <v>44001</v>
      </c>
      <c r="D816" s="84">
        <f t="shared" si="53"/>
        <v>179</v>
      </c>
      <c r="E816" s="74" t="str">
        <f t="shared" ca="1" si="51"/>
        <v>HD_061920C179</v>
      </c>
      <c r="F816" s="75" t="str">
        <f ca="1">_xll.xlqName(E816,tda)</f>
        <v>#N/A</v>
      </c>
      <c r="G816" s="75" t="str">
        <f t="shared" ca="1" si="54"/>
        <v>BAD</v>
      </c>
      <c r="I816" s="83">
        <v>43966</v>
      </c>
      <c r="J816" s="84">
        <v>190</v>
      </c>
      <c r="K816" s="74" t="s">
        <v>1136</v>
      </c>
      <c r="L816" s="75" t="s">
        <v>1137</v>
      </c>
      <c r="M816" s="75" t="s">
        <v>111</v>
      </c>
    </row>
    <row r="817" spans="1:13" x14ac:dyDescent="0.25">
      <c r="A817" s="48">
        <v>1</v>
      </c>
      <c r="B817" s="48"/>
      <c r="C817" s="83">
        <f t="shared" ca="1" si="52"/>
        <v>44001</v>
      </c>
      <c r="D817" s="84">
        <f t="shared" si="53"/>
        <v>180</v>
      </c>
      <c r="E817" s="74" t="str">
        <f t="shared" ca="1" si="51"/>
        <v>HD_061920C180</v>
      </c>
      <c r="F817" s="75" t="str">
        <f ca="1">_xll.xlqName(E817,tda)</f>
        <v>HD Jun 19 2020 180 Call</v>
      </c>
      <c r="G817" s="75" t="str">
        <f t="shared" ca="1" si="54"/>
        <v/>
      </c>
      <c r="I817" s="83">
        <v>43966</v>
      </c>
      <c r="J817" s="84">
        <v>191</v>
      </c>
      <c r="K817" s="74" t="s">
        <v>1138</v>
      </c>
      <c r="L817" s="75" t="s">
        <v>53</v>
      </c>
      <c r="M817" s="75" t="s">
        <v>106</v>
      </c>
    </row>
    <row r="818" spans="1:13" x14ac:dyDescent="0.25">
      <c r="A818" s="48">
        <v>1</v>
      </c>
      <c r="B818" s="48"/>
      <c r="C818" s="83">
        <f t="shared" ca="1" si="52"/>
        <v>44001</v>
      </c>
      <c r="D818" s="84">
        <f t="shared" si="53"/>
        <v>181</v>
      </c>
      <c r="E818" s="74" t="str">
        <f t="shared" ca="1" si="51"/>
        <v>HD_061920C181</v>
      </c>
      <c r="F818" s="75" t="str">
        <f ca="1">_xll.xlqName(E818,tda)</f>
        <v>#N/A</v>
      </c>
      <c r="G818" s="75" t="str">
        <f t="shared" ca="1" si="54"/>
        <v>BAD</v>
      </c>
      <c r="I818" s="83">
        <v>43966</v>
      </c>
      <c r="J818" s="84">
        <v>192</v>
      </c>
      <c r="K818" s="74" t="s">
        <v>1139</v>
      </c>
      <c r="L818" s="75" t="s">
        <v>53</v>
      </c>
      <c r="M818" s="75" t="s">
        <v>106</v>
      </c>
    </row>
    <row r="819" spans="1:13" x14ac:dyDescent="0.25">
      <c r="A819" s="48">
        <v>1</v>
      </c>
      <c r="B819" s="48"/>
      <c r="C819" s="83">
        <f t="shared" ca="1" si="52"/>
        <v>44001</v>
      </c>
      <c r="D819" s="84">
        <f t="shared" si="53"/>
        <v>182</v>
      </c>
      <c r="E819" s="74" t="str">
        <f t="shared" ca="1" si="51"/>
        <v>HD_061920C182</v>
      </c>
      <c r="F819" s="75" t="str">
        <f ca="1">_xll.xlqName(E819,tda)</f>
        <v>#N/A</v>
      </c>
      <c r="G819" s="75" t="str">
        <f t="shared" ca="1" si="54"/>
        <v>BAD</v>
      </c>
      <c r="I819" s="83">
        <v>43966</v>
      </c>
      <c r="J819" s="84">
        <v>193</v>
      </c>
      <c r="K819" s="74" t="s">
        <v>1140</v>
      </c>
      <c r="L819" s="75" t="s">
        <v>53</v>
      </c>
      <c r="M819" s="75" t="s">
        <v>106</v>
      </c>
    </row>
    <row r="820" spans="1:13" x14ac:dyDescent="0.25">
      <c r="A820" s="48">
        <v>1</v>
      </c>
      <c r="B820" s="48"/>
      <c r="C820" s="83">
        <f t="shared" ca="1" si="52"/>
        <v>44001</v>
      </c>
      <c r="D820" s="84">
        <f t="shared" si="53"/>
        <v>183</v>
      </c>
      <c r="E820" s="74" t="str">
        <f t="shared" ca="1" si="51"/>
        <v>HD_061920C183</v>
      </c>
      <c r="F820" s="75" t="str">
        <f ca="1">_xll.xlqName(E820,tda)</f>
        <v>#N/A</v>
      </c>
      <c r="G820" s="75" t="str">
        <f t="shared" ca="1" si="54"/>
        <v>BAD</v>
      </c>
      <c r="I820" s="83">
        <v>43966</v>
      </c>
      <c r="J820" s="84">
        <v>194</v>
      </c>
      <c r="K820" s="74" t="s">
        <v>1141</v>
      </c>
      <c r="L820" s="75" t="s">
        <v>53</v>
      </c>
      <c r="M820" s="75" t="s">
        <v>106</v>
      </c>
    </row>
    <row r="821" spans="1:13" x14ac:dyDescent="0.25">
      <c r="A821" s="48">
        <v>0.5</v>
      </c>
      <c r="B821" s="48"/>
      <c r="C821" s="83">
        <f t="shared" ca="1" si="52"/>
        <v>44001</v>
      </c>
      <c r="D821" s="84">
        <f t="shared" si="53"/>
        <v>183.5</v>
      </c>
      <c r="E821" s="74" t="str">
        <f t="shared" ca="1" si="51"/>
        <v>HD_061920C183.5</v>
      </c>
      <c r="F821" s="75" t="str">
        <f ca="1">_xll.xlqName(E821,tda)</f>
        <v>#N/A</v>
      </c>
      <c r="G821" s="75" t="str">
        <f t="shared" ca="1" si="54"/>
        <v>BAD</v>
      </c>
      <c r="I821" s="83">
        <v>43966</v>
      </c>
      <c r="J821" s="84">
        <v>194.5</v>
      </c>
      <c r="K821" s="74" t="s">
        <v>1142</v>
      </c>
      <c r="L821" s="75" t="s">
        <v>53</v>
      </c>
      <c r="M821" s="75" t="s">
        <v>106</v>
      </c>
    </row>
    <row r="822" spans="1:13" x14ac:dyDescent="0.25">
      <c r="A822" s="48">
        <v>0.5</v>
      </c>
      <c r="B822" s="48"/>
      <c r="C822" s="83">
        <f t="shared" ca="1" si="52"/>
        <v>44001</v>
      </c>
      <c r="D822" s="84">
        <f t="shared" si="53"/>
        <v>184</v>
      </c>
      <c r="E822" s="74" t="str">
        <f t="shared" ca="1" si="51"/>
        <v>HD_061920C184</v>
      </c>
      <c r="F822" s="75" t="str">
        <f ca="1">_xll.xlqName(E822,tda)</f>
        <v>#N/A</v>
      </c>
      <c r="G822" s="75" t="str">
        <f t="shared" ca="1" si="54"/>
        <v>BAD</v>
      </c>
      <c r="I822" s="83">
        <v>43966</v>
      </c>
      <c r="J822" s="84">
        <v>195</v>
      </c>
      <c r="K822" s="74" t="s">
        <v>1143</v>
      </c>
      <c r="L822" s="75" t="s">
        <v>1144</v>
      </c>
      <c r="M822" s="75" t="s">
        <v>111</v>
      </c>
    </row>
    <row r="823" spans="1:13" x14ac:dyDescent="0.25">
      <c r="A823" s="48">
        <v>1</v>
      </c>
      <c r="B823" s="48"/>
      <c r="C823" s="83">
        <f t="shared" ca="1" si="52"/>
        <v>44001</v>
      </c>
      <c r="D823" s="84">
        <f t="shared" si="53"/>
        <v>185</v>
      </c>
      <c r="E823" s="74" t="str">
        <f t="shared" ca="1" si="51"/>
        <v>HD_061920C185</v>
      </c>
      <c r="F823" s="75" t="str">
        <f ca="1">_xll.xlqName(E823,tda)</f>
        <v>HD Jun 19 2020 185 Call</v>
      </c>
      <c r="G823" s="75" t="str">
        <f t="shared" ca="1" si="54"/>
        <v/>
      </c>
      <c r="I823" s="83">
        <v>43966</v>
      </c>
      <c r="J823" s="84">
        <v>196</v>
      </c>
      <c r="K823" s="74" t="s">
        <v>1145</v>
      </c>
      <c r="L823" s="75" t="s">
        <v>53</v>
      </c>
      <c r="M823" s="75" t="s">
        <v>106</v>
      </c>
    </row>
    <row r="824" spans="1:13" x14ac:dyDescent="0.25">
      <c r="A824" s="48">
        <v>1</v>
      </c>
      <c r="B824" s="48"/>
      <c r="C824" s="83">
        <f t="shared" ca="1" si="52"/>
        <v>44001</v>
      </c>
      <c r="D824" s="84">
        <f t="shared" si="53"/>
        <v>186</v>
      </c>
      <c r="E824" s="74" t="str">
        <f t="shared" ca="1" si="51"/>
        <v>HD_061920C186</v>
      </c>
      <c r="F824" s="75" t="str">
        <f ca="1">_xll.xlqName(E824,tda)</f>
        <v>#N/A</v>
      </c>
      <c r="G824" s="75" t="str">
        <f t="shared" ca="1" si="54"/>
        <v>BAD</v>
      </c>
      <c r="I824" s="83">
        <v>43966</v>
      </c>
      <c r="J824" s="84">
        <v>197</v>
      </c>
      <c r="K824" s="74" t="s">
        <v>1146</v>
      </c>
      <c r="L824" s="75" t="s">
        <v>53</v>
      </c>
      <c r="M824" s="75" t="s">
        <v>106</v>
      </c>
    </row>
    <row r="825" spans="1:13" x14ac:dyDescent="0.25">
      <c r="A825" s="48">
        <v>1</v>
      </c>
      <c r="B825" s="48"/>
      <c r="C825" s="83">
        <f t="shared" ca="1" si="52"/>
        <v>44001</v>
      </c>
      <c r="D825" s="84">
        <f t="shared" si="53"/>
        <v>187</v>
      </c>
      <c r="E825" s="74" t="str">
        <f t="shared" ca="1" si="51"/>
        <v>HD_061920C187</v>
      </c>
      <c r="F825" s="75" t="str">
        <f ca="1">_xll.xlqName(E825,tda)</f>
        <v>#N/A</v>
      </c>
      <c r="G825" s="75" t="str">
        <f t="shared" ca="1" si="54"/>
        <v>BAD</v>
      </c>
      <c r="I825" s="83">
        <v>43966</v>
      </c>
      <c r="J825" s="84">
        <v>198</v>
      </c>
      <c r="K825" s="74" t="s">
        <v>1147</v>
      </c>
      <c r="L825" s="75" t="s">
        <v>53</v>
      </c>
      <c r="M825" s="75" t="s">
        <v>106</v>
      </c>
    </row>
    <row r="826" spans="1:13" x14ac:dyDescent="0.25">
      <c r="A826" s="48">
        <v>1</v>
      </c>
      <c r="B826" s="48"/>
      <c r="C826" s="83">
        <f t="shared" ca="1" si="52"/>
        <v>44001</v>
      </c>
      <c r="D826" s="84">
        <f t="shared" si="53"/>
        <v>188</v>
      </c>
      <c r="E826" s="74" t="str">
        <f t="shared" ca="1" si="51"/>
        <v>HD_061920C188</v>
      </c>
      <c r="F826" s="75" t="str">
        <f ca="1">_xll.xlqName(E826,tda)</f>
        <v>#N/A</v>
      </c>
      <c r="G826" s="75" t="str">
        <f t="shared" ca="1" si="54"/>
        <v>BAD</v>
      </c>
      <c r="I826" s="83">
        <v>43966</v>
      </c>
      <c r="J826" s="84">
        <v>199</v>
      </c>
      <c r="K826" s="74" t="s">
        <v>1148</v>
      </c>
      <c r="L826" s="75" t="s">
        <v>53</v>
      </c>
      <c r="M826" s="75" t="s">
        <v>106</v>
      </c>
    </row>
    <row r="827" spans="1:13" x14ac:dyDescent="0.25">
      <c r="A827" s="48">
        <v>0.5</v>
      </c>
      <c r="B827" s="48"/>
      <c r="C827" s="83">
        <f t="shared" ca="1" si="52"/>
        <v>44001</v>
      </c>
      <c r="D827" s="84">
        <f t="shared" si="53"/>
        <v>188.5</v>
      </c>
      <c r="E827" s="74" t="str">
        <f t="shared" ca="1" si="51"/>
        <v>HD_061920C188.5</v>
      </c>
      <c r="F827" s="75" t="str">
        <f ca="1">_xll.xlqName(E827,tda)</f>
        <v>#N/A</v>
      </c>
      <c r="G827" s="75" t="str">
        <f t="shared" ca="1" si="54"/>
        <v>BAD</v>
      </c>
      <c r="I827" s="83">
        <v>43966</v>
      </c>
      <c r="J827" s="84">
        <v>199.5</v>
      </c>
      <c r="K827" s="74" t="s">
        <v>1149</v>
      </c>
      <c r="L827" s="75" t="s">
        <v>53</v>
      </c>
      <c r="M827" s="75" t="s">
        <v>106</v>
      </c>
    </row>
    <row r="828" spans="1:13" x14ac:dyDescent="0.25">
      <c r="A828" s="48">
        <v>0.5</v>
      </c>
      <c r="B828" s="48"/>
      <c r="C828" s="83">
        <f t="shared" ca="1" si="52"/>
        <v>44001</v>
      </c>
      <c r="D828" s="84">
        <f t="shared" si="53"/>
        <v>189</v>
      </c>
      <c r="E828" s="74" t="str">
        <f t="shared" ca="1" si="51"/>
        <v>HD_061920C189</v>
      </c>
      <c r="F828" s="75" t="str">
        <f ca="1">_xll.xlqName(E828,tda)</f>
        <v>#N/A</v>
      </c>
      <c r="G828" s="75" t="str">
        <f t="shared" ca="1" si="54"/>
        <v>BAD</v>
      </c>
      <c r="I828" s="83">
        <v>43966</v>
      </c>
      <c r="J828" s="84">
        <v>200</v>
      </c>
      <c r="K828" s="74" t="s">
        <v>1150</v>
      </c>
      <c r="L828" s="75" t="s">
        <v>1151</v>
      </c>
      <c r="M828" s="75" t="s">
        <v>111</v>
      </c>
    </row>
    <row r="829" spans="1:13" x14ac:dyDescent="0.25">
      <c r="A829" s="48">
        <v>1</v>
      </c>
      <c r="B829" s="48"/>
      <c r="C829" s="83">
        <f t="shared" ca="1" si="52"/>
        <v>44001</v>
      </c>
      <c r="D829" s="84">
        <f t="shared" si="53"/>
        <v>190</v>
      </c>
      <c r="E829" s="74" t="str">
        <f t="shared" ca="1" si="51"/>
        <v>HD_061920C190</v>
      </c>
      <c r="F829" s="75" t="str">
        <f ca="1">_xll.xlqName(E829,tda)</f>
        <v>HD Jun 19 2020 190 Call</v>
      </c>
      <c r="G829" s="75" t="str">
        <f t="shared" ca="1" si="54"/>
        <v/>
      </c>
      <c r="I829" s="83">
        <v>43966</v>
      </c>
      <c r="J829" s="84">
        <v>201</v>
      </c>
      <c r="K829" s="74" t="s">
        <v>1152</v>
      </c>
      <c r="L829" s="75" t="s">
        <v>53</v>
      </c>
      <c r="M829" s="75" t="s">
        <v>106</v>
      </c>
    </row>
    <row r="830" spans="1:13" x14ac:dyDescent="0.25">
      <c r="A830" s="48">
        <v>1</v>
      </c>
      <c r="B830" s="48"/>
      <c r="C830" s="83">
        <f t="shared" ca="1" si="52"/>
        <v>44001</v>
      </c>
      <c r="D830" s="84">
        <f t="shared" si="53"/>
        <v>191</v>
      </c>
      <c r="E830" s="74" t="str">
        <f t="shared" ca="1" si="51"/>
        <v>HD_061920C191</v>
      </c>
      <c r="F830" s="75" t="str">
        <f ca="1">_xll.xlqName(E830,tda)</f>
        <v>#N/A</v>
      </c>
      <c r="G830" s="75" t="str">
        <f t="shared" ca="1" si="54"/>
        <v>BAD</v>
      </c>
      <c r="I830" s="83">
        <v>43966</v>
      </c>
      <c r="J830" s="84">
        <v>202</v>
      </c>
      <c r="K830" s="74" t="s">
        <v>1153</v>
      </c>
      <c r="L830" s="75" t="s">
        <v>53</v>
      </c>
      <c r="M830" s="75" t="s">
        <v>106</v>
      </c>
    </row>
    <row r="831" spans="1:13" x14ac:dyDescent="0.25">
      <c r="A831" s="48">
        <v>1</v>
      </c>
      <c r="B831" s="48"/>
      <c r="C831" s="83">
        <f t="shared" ca="1" si="52"/>
        <v>44001</v>
      </c>
      <c r="D831" s="84">
        <f t="shared" si="53"/>
        <v>192</v>
      </c>
      <c r="E831" s="74" t="str">
        <f t="shared" ca="1" si="51"/>
        <v>HD_061920C192</v>
      </c>
      <c r="F831" s="75" t="str">
        <f ca="1">_xll.xlqName(E831,tda)</f>
        <v>#N/A</v>
      </c>
      <c r="G831" s="75" t="str">
        <f t="shared" ca="1" si="54"/>
        <v>BAD</v>
      </c>
      <c r="I831" s="83">
        <v>43966</v>
      </c>
      <c r="J831" s="84">
        <v>203</v>
      </c>
      <c r="K831" s="74" t="s">
        <v>1154</v>
      </c>
      <c r="L831" s="75" t="s">
        <v>53</v>
      </c>
      <c r="M831" s="75" t="s">
        <v>106</v>
      </c>
    </row>
    <row r="832" spans="1:13" x14ac:dyDescent="0.25">
      <c r="A832" s="48">
        <v>1</v>
      </c>
      <c r="B832" s="48"/>
      <c r="C832" s="83">
        <f t="shared" ca="1" si="52"/>
        <v>44001</v>
      </c>
      <c r="D832" s="84">
        <f t="shared" si="53"/>
        <v>193</v>
      </c>
      <c r="E832" s="74" t="str">
        <f t="shared" ca="1" si="51"/>
        <v>HD_061920C193</v>
      </c>
      <c r="F832" s="75" t="str">
        <f ca="1">_xll.xlqName(E832,tda)</f>
        <v>#N/A</v>
      </c>
      <c r="G832" s="75" t="str">
        <f t="shared" ca="1" si="54"/>
        <v>BAD</v>
      </c>
      <c r="I832" s="83">
        <v>43966</v>
      </c>
      <c r="J832" s="84">
        <v>204</v>
      </c>
      <c r="K832" s="74" t="s">
        <v>1155</v>
      </c>
      <c r="L832" s="75" t="s">
        <v>53</v>
      </c>
      <c r="M832" s="75" t="s">
        <v>106</v>
      </c>
    </row>
    <row r="833" spans="1:13" x14ac:dyDescent="0.25">
      <c r="A833" s="48">
        <v>0.5</v>
      </c>
      <c r="B833" s="48"/>
      <c r="C833" s="83">
        <f t="shared" ca="1" si="52"/>
        <v>44001</v>
      </c>
      <c r="D833" s="84">
        <f t="shared" si="53"/>
        <v>193.5</v>
      </c>
      <c r="E833" s="74" t="str">
        <f t="shared" ca="1" si="51"/>
        <v>HD_061920C193.5</v>
      </c>
      <c r="F833" s="75" t="str">
        <f ca="1">_xll.xlqName(E833,tda)</f>
        <v>#N/A</v>
      </c>
      <c r="G833" s="75" t="str">
        <f t="shared" ca="1" si="54"/>
        <v>BAD</v>
      </c>
      <c r="I833" s="83">
        <v>43966</v>
      </c>
      <c r="J833" s="84">
        <v>204.5</v>
      </c>
      <c r="K833" s="74" t="s">
        <v>1156</v>
      </c>
      <c r="L833" s="75" t="s">
        <v>53</v>
      </c>
      <c r="M833" s="75" t="s">
        <v>106</v>
      </c>
    </row>
    <row r="834" spans="1:13" x14ac:dyDescent="0.25">
      <c r="A834" s="48">
        <v>0.5</v>
      </c>
      <c r="B834" s="48"/>
      <c r="C834" s="83">
        <f t="shared" ca="1" si="52"/>
        <v>44001</v>
      </c>
      <c r="D834" s="84">
        <f t="shared" si="53"/>
        <v>194</v>
      </c>
      <c r="E834" s="74" t="str">
        <f t="shared" ref="E834:E889" ca="1" si="55">CONCATENATE($Q$2,"_",TEXT(MONTH(C834),"00"),TEXT(DAY(C834),"00"),TEXT(MOD(YEAR(C834),100),"00"),$Q$3,D834&amp;"")</f>
        <v>HD_061920C194</v>
      </c>
      <c r="F834" s="75" t="str">
        <f ca="1">_xll.xlqName(E834,tda)</f>
        <v>#N/A</v>
      </c>
      <c r="G834" s="75" t="str">
        <f t="shared" ca="1" si="54"/>
        <v>BAD</v>
      </c>
      <c r="I834" s="83">
        <v>43966</v>
      </c>
      <c r="J834" s="84">
        <v>205</v>
      </c>
      <c r="K834" s="74" t="s">
        <v>1157</v>
      </c>
      <c r="L834" s="75" t="s">
        <v>1158</v>
      </c>
      <c r="M834" s="75" t="s">
        <v>111</v>
      </c>
    </row>
    <row r="835" spans="1:13" x14ac:dyDescent="0.25">
      <c r="A835" s="48">
        <v>1</v>
      </c>
      <c r="B835" s="48"/>
      <c r="C835" s="83">
        <f t="shared" ref="C835:C889" ca="1" si="56">IF(D835&gt;D834,C834,INDEX($O$14:$O$50,VLOOKUP(C834,$O$14:$P$50,2)+1))</f>
        <v>44001</v>
      </c>
      <c r="D835" s="84">
        <f t="shared" ref="D835:D889" si="57">IF(D834+A835&lt;=$Q$8,D834+A835,$Q$6)</f>
        <v>195</v>
      </c>
      <c r="E835" s="74" t="str">
        <f t="shared" ca="1" si="55"/>
        <v>HD_061920C195</v>
      </c>
      <c r="F835" s="75" t="str">
        <f ca="1">_xll.xlqName(E835,tda)</f>
        <v>HD Jun 19 2020 195 Call</v>
      </c>
      <c r="G835" s="75" t="str">
        <f t="shared" ref="G835:G889" ca="1" si="58">IF(AND(ISTEXT(F835),(F835&lt;&gt;"#N/A"),(F835&lt;&gt;"Busy...")),"","BAD")</f>
        <v/>
      </c>
      <c r="I835" s="83">
        <v>43966</v>
      </c>
      <c r="J835" s="84">
        <v>206</v>
      </c>
      <c r="K835" s="74" t="s">
        <v>1159</v>
      </c>
      <c r="L835" s="75" t="s">
        <v>53</v>
      </c>
      <c r="M835" s="75" t="s">
        <v>106</v>
      </c>
    </row>
    <row r="836" spans="1:13" x14ac:dyDescent="0.25">
      <c r="A836" s="48">
        <v>1</v>
      </c>
      <c r="B836" s="48"/>
      <c r="C836" s="83">
        <f t="shared" ca="1" si="56"/>
        <v>44001</v>
      </c>
      <c r="D836" s="84">
        <f t="shared" si="57"/>
        <v>196</v>
      </c>
      <c r="E836" s="74" t="str">
        <f t="shared" ca="1" si="55"/>
        <v>HD_061920C196</v>
      </c>
      <c r="F836" s="75" t="str">
        <f ca="1">_xll.xlqName(E836,tda)</f>
        <v>#N/A</v>
      </c>
      <c r="G836" s="75" t="str">
        <f t="shared" ca="1" si="58"/>
        <v>BAD</v>
      </c>
      <c r="I836" s="83">
        <v>43966</v>
      </c>
      <c r="J836" s="84">
        <v>207</v>
      </c>
      <c r="K836" s="74" t="s">
        <v>1160</v>
      </c>
      <c r="L836" s="75" t="s">
        <v>53</v>
      </c>
      <c r="M836" s="75" t="s">
        <v>106</v>
      </c>
    </row>
    <row r="837" spans="1:13" x14ac:dyDescent="0.25">
      <c r="A837" s="48">
        <v>1</v>
      </c>
      <c r="B837" s="48"/>
      <c r="C837" s="83">
        <f t="shared" ca="1" si="56"/>
        <v>44001</v>
      </c>
      <c r="D837" s="84">
        <f t="shared" si="57"/>
        <v>197</v>
      </c>
      <c r="E837" s="74" t="str">
        <f t="shared" ca="1" si="55"/>
        <v>HD_061920C197</v>
      </c>
      <c r="F837" s="75" t="str">
        <f ca="1">_xll.xlqName(E837,tda)</f>
        <v>#N/A</v>
      </c>
      <c r="G837" s="75" t="str">
        <f t="shared" ca="1" si="58"/>
        <v>BAD</v>
      </c>
      <c r="I837" s="83">
        <v>43966</v>
      </c>
      <c r="J837" s="84">
        <v>208</v>
      </c>
      <c r="K837" s="74" t="s">
        <v>1161</v>
      </c>
      <c r="L837" s="75" t="s">
        <v>53</v>
      </c>
      <c r="M837" s="75" t="s">
        <v>106</v>
      </c>
    </row>
    <row r="838" spans="1:13" x14ac:dyDescent="0.25">
      <c r="A838" s="48">
        <v>1</v>
      </c>
      <c r="B838" s="48"/>
      <c r="C838" s="83">
        <f t="shared" ca="1" si="56"/>
        <v>44001</v>
      </c>
      <c r="D838" s="84">
        <f t="shared" si="57"/>
        <v>198</v>
      </c>
      <c r="E838" s="74" t="str">
        <f t="shared" ca="1" si="55"/>
        <v>HD_061920C198</v>
      </c>
      <c r="F838" s="75" t="str">
        <f ca="1">_xll.xlqName(E838,tda)</f>
        <v>#N/A</v>
      </c>
      <c r="G838" s="75" t="str">
        <f t="shared" ca="1" si="58"/>
        <v>BAD</v>
      </c>
      <c r="I838" s="83">
        <v>43966</v>
      </c>
      <c r="J838" s="84">
        <v>209</v>
      </c>
      <c r="K838" s="74" t="s">
        <v>1162</v>
      </c>
      <c r="L838" s="75" t="s">
        <v>53</v>
      </c>
      <c r="M838" s="75" t="s">
        <v>106</v>
      </c>
    </row>
    <row r="839" spans="1:13" x14ac:dyDescent="0.25">
      <c r="A839" s="48">
        <v>0.5</v>
      </c>
      <c r="B839" s="48"/>
      <c r="C839" s="83">
        <f t="shared" ca="1" si="56"/>
        <v>44001</v>
      </c>
      <c r="D839" s="84">
        <f t="shared" si="57"/>
        <v>198.5</v>
      </c>
      <c r="E839" s="74" t="str">
        <f t="shared" ca="1" si="55"/>
        <v>HD_061920C198.5</v>
      </c>
      <c r="F839" s="75" t="str">
        <f ca="1">_xll.xlqName(E839,tda)</f>
        <v>#N/A</v>
      </c>
      <c r="G839" s="75" t="str">
        <f t="shared" ca="1" si="58"/>
        <v>BAD</v>
      </c>
      <c r="I839" s="83">
        <v>43966</v>
      </c>
      <c r="J839" s="84">
        <v>209.5</v>
      </c>
      <c r="K839" s="74" t="s">
        <v>1163</v>
      </c>
      <c r="L839" s="75" t="s">
        <v>53</v>
      </c>
      <c r="M839" s="75" t="s">
        <v>106</v>
      </c>
    </row>
    <row r="840" spans="1:13" x14ac:dyDescent="0.25">
      <c r="A840" s="48">
        <v>0.5</v>
      </c>
      <c r="B840" s="48"/>
      <c r="C840" s="83">
        <f t="shared" ca="1" si="56"/>
        <v>44001</v>
      </c>
      <c r="D840" s="84">
        <f t="shared" si="57"/>
        <v>199</v>
      </c>
      <c r="E840" s="74" t="str">
        <f t="shared" ca="1" si="55"/>
        <v>HD_061920C199</v>
      </c>
      <c r="F840" s="75" t="str">
        <f ca="1">_xll.xlqName(E840,tda)</f>
        <v>#N/A</v>
      </c>
      <c r="G840" s="75" t="str">
        <f t="shared" ca="1" si="58"/>
        <v>BAD</v>
      </c>
      <c r="I840" s="83">
        <v>43966</v>
      </c>
      <c r="J840" s="84">
        <v>210</v>
      </c>
      <c r="K840" s="74" t="s">
        <v>1164</v>
      </c>
      <c r="L840" s="75" t="s">
        <v>1165</v>
      </c>
      <c r="M840" s="75" t="s">
        <v>111</v>
      </c>
    </row>
    <row r="841" spans="1:13" x14ac:dyDescent="0.25">
      <c r="A841" s="48">
        <v>1</v>
      </c>
      <c r="B841" s="48"/>
      <c r="C841" s="83">
        <f t="shared" ca="1" si="56"/>
        <v>44001</v>
      </c>
      <c r="D841" s="84">
        <f t="shared" si="57"/>
        <v>200</v>
      </c>
      <c r="E841" s="74" t="str">
        <f t="shared" ca="1" si="55"/>
        <v>HD_061920C200</v>
      </c>
      <c r="F841" s="75" t="str">
        <f ca="1">_xll.xlqName(E841,tda)</f>
        <v>HD Jun 19 2020 200 Call</v>
      </c>
      <c r="G841" s="75" t="str">
        <f t="shared" ca="1" si="58"/>
        <v/>
      </c>
      <c r="I841" s="83">
        <v>43966</v>
      </c>
      <c r="J841" s="84">
        <v>211</v>
      </c>
      <c r="K841" s="74" t="s">
        <v>1166</v>
      </c>
      <c r="L841" s="75" t="s">
        <v>53</v>
      </c>
      <c r="M841" s="75" t="s">
        <v>106</v>
      </c>
    </row>
    <row r="842" spans="1:13" x14ac:dyDescent="0.25">
      <c r="A842" s="48">
        <v>1</v>
      </c>
      <c r="B842" s="48"/>
      <c r="C842" s="83">
        <f t="shared" ca="1" si="56"/>
        <v>44001</v>
      </c>
      <c r="D842" s="84">
        <f t="shared" si="57"/>
        <v>201</v>
      </c>
      <c r="E842" s="74" t="str">
        <f t="shared" ca="1" si="55"/>
        <v>HD_061920C201</v>
      </c>
      <c r="F842" s="75" t="str">
        <f ca="1">_xll.xlqName(E842,tda)</f>
        <v>#N/A</v>
      </c>
      <c r="G842" s="75" t="str">
        <f t="shared" ca="1" si="58"/>
        <v>BAD</v>
      </c>
      <c r="I842" s="83">
        <v>43966</v>
      </c>
      <c r="J842" s="84">
        <v>212</v>
      </c>
      <c r="K842" s="74" t="s">
        <v>1167</v>
      </c>
      <c r="L842" s="75" t="s">
        <v>53</v>
      </c>
      <c r="M842" s="75" t="s">
        <v>106</v>
      </c>
    </row>
    <row r="843" spans="1:13" x14ac:dyDescent="0.25">
      <c r="A843" s="48">
        <v>1</v>
      </c>
      <c r="B843" s="48"/>
      <c r="C843" s="83">
        <f t="shared" ca="1" si="56"/>
        <v>44001</v>
      </c>
      <c r="D843" s="84">
        <f t="shared" si="57"/>
        <v>202</v>
      </c>
      <c r="E843" s="74" t="str">
        <f t="shared" ca="1" si="55"/>
        <v>HD_061920C202</v>
      </c>
      <c r="F843" s="75" t="str">
        <f ca="1">_xll.xlqName(E843,tda)</f>
        <v>#N/A</v>
      </c>
      <c r="G843" s="75" t="str">
        <f t="shared" ca="1" si="58"/>
        <v>BAD</v>
      </c>
      <c r="I843" s="83">
        <v>43966</v>
      </c>
      <c r="J843" s="84">
        <v>213</v>
      </c>
      <c r="K843" s="74" t="s">
        <v>1168</v>
      </c>
      <c r="L843" s="75" t="s">
        <v>53</v>
      </c>
      <c r="M843" s="75" t="s">
        <v>106</v>
      </c>
    </row>
    <row r="844" spans="1:13" x14ac:dyDescent="0.25">
      <c r="A844" s="48">
        <v>1</v>
      </c>
      <c r="B844" s="48"/>
      <c r="C844" s="83">
        <f t="shared" ca="1" si="56"/>
        <v>44001</v>
      </c>
      <c r="D844" s="84">
        <f t="shared" si="57"/>
        <v>203</v>
      </c>
      <c r="E844" s="74" t="str">
        <f t="shared" ca="1" si="55"/>
        <v>HD_061920C203</v>
      </c>
      <c r="F844" s="75" t="str">
        <f ca="1">_xll.xlqName(E844,tda)</f>
        <v>#N/A</v>
      </c>
      <c r="G844" s="75" t="str">
        <f t="shared" ca="1" si="58"/>
        <v>BAD</v>
      </c>
      <c r="I844" s="83">
        <v>43966</v>
      </c>
      <c r="J844" s="84">
        <v>214</v>
      </c>
      <c r="K844" s="74" t="s">
        <v>1169</v>
      </c>
      <c r="L844" s="75" t="s">
        <v>53</v>
      </c>
      <c r="M844" s="75" t="s">
        <v>106</v>
      </c>
    </row>
    <row r="845" spans="1:13" x14ac:dyDescent="0.25">
      <c r="A845" s="48">
        <v>0.5</v>
      </c>
      <c r="B845" s="48"/>
      <c r="C845" s="83">
        <f t="shared" ca="1" si="56"/>
        <v>44001</v>
      </c>
      <c r="D845" s="84">
        <f t="shared" si="57"/>
        <v>203.5</v>
      </c>
      <c r="E845" s="74" t="str">
        <f t="shared" ca="1" si="55"/>
        <v>HD_061920C203.5</v>
      </c>
      <c r="F845" s="75" t="str">
        <f ca="1">_xll.xlqName(E845,tda)</f>
        <v>#N/A</v>
      </c>
      <c r="G845" s="75" t="str">
        <f t="shared" ca="1" si="58"/>
        <v>BAD</v>
      </c>
      <c r="I845" s="83">
        <v>43966</v>
      </c>
      <c r="J845" s="84">
        <v>214.5</v>
      </c>
      <c r="K845" s="74" t="s">
        <v>1170</v>
      </c>
      <c r="L845" s="75" t="s">
        <v>53</v>
      </c>
      <c r="M845" s="75" t="s">
        <v>106</v>
      </c>
    </row>
    <row r="846" spans="1:13" x14ac:dyDescent="0.25">
      <c r="A846" s="48">
        <v>0.5</v>
      </c>
      <c r="B846" s="48"/>
      <c r="C846" s="83">
        <f t="shared" ca="1" si="56"/>
        <v>44001</v>
      </c>
      <c r="D846" s="84">
        <f t="shared" si="57"/>
        <v>204</v>
      </c>
      <c r="E846" s="74" t="str">
        <f t="shared" ca="1" si="55"/>
        <v>HD_061920C204</v>
      </c>
      <c r="F846" s="75" t="str">
        <f ca="1">_xll.xlqName(E846,tda)</f>
        <v>#N/A</v>
      </c>
      <c r="G846" s="75" t="str">
        <f t="shared" ca="1" si="58"/>
        <v>BAD</v>
      </c>
      <c r="I846" s="83">
        <v>43966</v>
      </c>
      <c r="J846" s="84">
        <v>215</v>
      </c>
      <c r="K846" s="74" t="s">
        <v>1171</v>
      </c>
      <c r="L846" s="75" t="s">
        <v>1172</v>
      </c>
      <c r="M846" s="75" t="s">
        <v>111</v>
      </c>
    </row>
    <row r="847" spans="1:13" x14ac:dyDescent="0.25">
      <c r="A847" s="48">
        <v>1</v>
      </c>
      <c r="B847" s="48"/>
      <c r="C847" s="83">
        <f t="shared" ca="1" si="56"/>
        <v>44001</v>
      </c>
      <c r="D847" s="84">
        <f t="shared" si="57"/>
        <v>205</v>
      </c>
      <c r="E847" s="74" t="str">
        <f t="shared" ca="1" si="55"/>
        <v>HD_061920C205</v>
      </c>
      <c r="F847" s="75" t="str">
        <f ca="1">_xll.xlqName(E847,tda)</f>
        <v>HD Jun 19 2020 205 Call</v>
      </c>
      <c r="G847" s="75" t="str">
        <f t="shared" ca="1" si="58"/>
        <v/>
      </c>
      <c r="I847" s="83">
        <v>43966</v>
      </c>
      <c r="J847" s="84">
        <v>216</v>
      </c>
      <c r="K847" s="74" t="s">
        <v>1173</v>
      </c>
      <c r="L847" s="75" t="s">
        <v>53</v>
      </c>
      <c r="M847" s="75" t="s">
        <v>106</v>
      </c>
    </row>
    <row r="848" spans="1:13" x14ac:dyDescent="0.25">
      <c r="A848" s="48">
        <v>1</v>
      </c>
      <c r="B848" s="48"/>
      <c r="C848" s="83">
        <f t="shared" ca="1" si="56"/>
        <v>44001</v>
      </c>
      <c r="D848" s="84">
        <f t="shared" si="57"/>
        <v>206</v>
      </c>
      <c r="E848" s="74" t="str">
        <f t="shared" ca="1" si="55"/>
        <v>HD_061920C206</v>
      </c>
      <c r="F848" s="75" t="str">
        <f ca="1">_xll.xlqName(E848,tda)</f>
        <v>#N/A</v>
      </c>
      <c r="G848" s="75" t="str">
        <f t="shared" ca="1" si="58"/>
        <v>BAD</v>
      </c>
      <c r="I848" s="83">
        <v>43966</v>
      </c>
      <c r="J848" s="84">
        <v>217</v>
      </c>
      <c r="K848" s="74" t="s">
        <v>1174</v>
      </c>
      <c r="L848" s="75" t="s">
        <v>53</v>
      </c>
      <c r="M848" s="75" t="s">
        <v>106</v>
      </c>
    </row>
    <row r="849" spans="1:13" x14ac:dyDescent="0.25">
      <c r="A849" s="48">
        <v>1</v>
      </c>
      <c r="B849" s="48"/>
      <c r="C849" s="83">
        <f t="shared" ca="1" si="56"/>
        <v>44001</v>
      </c>
      <c r="D849" s="84">
        <f t="shared" si="57"/>
        <v>207</v>
      </c>
      <c r="E849" s="74" t="str">
        <f t="shared" ca="1" si="55"/>
        <v>HD_061920C207</v>
      </c>
      <c r="F849" s="75" t="str">
        <f ca="1">_xll.xlqName(E849,tda)</f>
        <v>#N/A</v>
      </c>
      <c r="G849" s="75" t="str">
        <f t="shared" ca="1" si="58"/>
        <v>BAD</v>
      </c>
      <c r="I849" s="83">
        <v>43966</v>
      </c>
      <c r="J849" s="84">
        <v>218</v>
      </c>
      <c r="K849" s="74" t="s">
        <v>1175</v>
      </c>
      <c r="L849" s="75" t="s">
        <v>53</v>
      </c>
      <c r="M849" s="75" t="s">
        <v>106</v>
      </c>
    </row>
    <row r="850" spans="1:13" x14ac:dyDescent="0.25">
      <c r="A850" s="48">
        <v>1</v>
      </c>
      <c r="B850" s="48"/>
      <c r="C850" s="83">
        <f t="shared" ca="1" si="56"/>
        <v>44001</v>
      </c>
      <c r="D850" s="84">
        <f t="shared" si="57"/>
        <v>208</v>
      </c>
      <c r="E850" s="74" t="str">
        <f t="shared" ca="1" si="55"/>
        <v>HD_061920C208</v>
      </c>
      <c r="F850" s="75" t="str">
        <f ca="1">_xll.xlqName(E850,tda)</f>
        <v>#N/A</v>
      </c>
      <c r="G850" s="75" t="str">
        <f t="shared" ca="1" si="58"/>
        <v>BAD</v>
      </c>
      <c r="I850" s="83">
        <v>43966</v>
      </c>
      <c r="J850" s="84">
        <v>219</v>
      </c>
      <c r="K850" s="74" t="s">
        <v>1176</v>
      </c>
      <c r="L850" s="75" t="s">
        <v>53</v>
      </c>
      <c r="M850" s="75" t="s">
        <v>106</v>
      </c>
    </row>
    <row r="851" spans="1:13" x14ac:dyDescent="0.25">
      <c r="A851" s="48">
        <v>0.5</v>
      </c>
      <c r="B851" s="48"/>
      <c r="C851" s="83">
        <f t="shared" ca="1" si="56"/>
        <v>44001</v>
      </c>
      <c r="D851" s="84">
        <f t="shared" si="57"/>
        <v>208.5</v>
      </c>
      <c r="E851" s="74" t="str">
        <f t="shared" ca="1" si="55"/>
        <v>HD_061920C208.5</v>
      </c>
      <c r="F851" s="75" t="str">
        <f ca="1">_xll.xlqName(E851,tda)</f>
        <v>#N/A</v>
      </c>
      <c r="G851" s="75" t="str">
        <f t="shared" ca="1" si="58"/>
        <v>BAD</v>
      </c>
      <c r="I851" s="83">
        <v>43966</v>
      </c>
      <c r="J851" s="84">
        <v>219.5</v>
      </c>
      <c r="K851" s="74" t="s">
        <v>1177</v>
      </c>
      <c r="L851" s="75" t="s">
        <v>53</v>
      </c>
      <c r="M851" s="75" t="s">
        <v>106</v>
      </c>
    </row>
    <row r="852" spans="1:13" x14ac:dyDescent="0.25">
      <c r="A852" s="48">
        <v>0.5</v>
      </c>
      <c r="B852" s="48"/>
      <c r="C852" s="83">
        <f t="shared" ca="1" si="56"/>
        <v>44001</v>
      </c>
      <c r="D852" s="84">
        <f t="shared" si="57"/>
        <v>209</v>
      </c>
      <c r="E852" s="74" t="str">
        <f t="shared" ca="1" si="55"/>
        <v>HD_061920C209</v>
      </c>
      <c r="F852" s="75" t="str">
        <f ca="1">_xll.xlqName(E852,tda)</f>
        <v>#N/A</v>
      </c>
      <c r="G852" s="75" t="str">
        <f t="shared" ca="1" si="58"/>
        <v>BAD</v>
      </c>
      <c r="I852" s="83">
        <v>43966</v>
      </c>
      <c r="J852" s="84">
        <v>220</v>
      </c>
      <c r="K852" s="74" t="s">
        <v>1178</v>
      </c>
      <c r="L852" s="75" t="s">
        <v>1179</v>
      </c>
      <c r="M852" s="75" t="s">
        <v>111</v>
      </c>
    </row>
    <row r="853" spans="1:13" x14ac:dyDescent="0.25">
      <c r="A853" s="48">
        <v>1</v>
      </c>
      <c r="B853" s="48"/>
      <c r="C853" s="83">
        <f t="shared" ca="1" si="56"/>
        <v>44001</v>
      </c>
      <c r="D853" s="84">
        <f t="shared" si="57"/>
        <v>210</v>
      </c>
      <c r="E853" s="74" t="str">
        <f t="shared" ca="1" si="55"/>
        <v>HD_061920C210</v>
      </c>
      <c r="F853" s="75" t="str">
        <f ca="1">_xll.xlqName(E853,tda)</f>
        <v>HD Jun 19 2020 210 Call</v>
      </c>
      <c r="G853" s="75" t="str">
        <f t="shared" ca="1" si="58"/>
        <v/>
      </c>
      <c r="I853" s="83">
        <v>43966</v>
      </c>
      <c r="J853" s="84">
        <v>221</v>
      </c>
      <c r="K853" s="74" t="s">
        <v>1180</v>
      </c>
      <c r="L853" s="75" t="s">
        <v>53</v>
      </c>
      <c r="M853" s="75" t="s">
        <v>106</v>
      </c>
    </row>
    <row r="854" spans="1:13" x14ac:dyDescent="0.25">
      <c r="A854" s="48">
        <v>1</v>
      </c>
      <c r="B854" s="48"/>
      <c r="C854" s="83">
        <f t="shared" ca="1" si="56"/>
        <v>44001</v>
      </c>
      <c r="D854" s="84">
        <f t="shared" si="57"/>
        <v>211</v>
      </c>
      <c r="E854" s="74" t="str">
        <f t="shared" ca="1" si="55"/>
        <v>HD_061920C211</v>
      </c>
      <c r="F854" s="75" t="str">
        <f ca="1">_xll.xlqName(E854,tda)</f>
        <v>#N/A</v>
      </c>
      <c r="G854" s="75" t="str">
        <f t="shared" ca="1" si="58"/>
        <v>BAD</v>
      </c>
      <c r="I854" s="83">
        <v>43966</v>
      </c>
      <c r="J854" s="84">
        <v>222</v>
      </c>
      <c r="K854" s="74" t="s">
        <v>1181</v>
      </c>
      <c r="L854" s="75" t="s">
        <v>53</v>
      </c>
      <c r="M854" s="75" t="s">
        <v>106</v>
      </c>
    </row>
    <row r="855" spans="1:13" x14ac:dyDescent="0.25">
      <c r="A855" s="48">
        <v>1</v>
      </c>
      <c r="B855" s="48"/>
      <c r="C855" s="83">
        <f t="shared" ca="1" si="56"/>
        <v>44001</v>
      </c>
      <c r="D855" s="84">
        <f t="shared" si="57"/>
        <v>212</v>
      </c>
      <c r="E855" s="74" t="str">
        <f t="shared" ca="1" si="55"/>
        <v>HD_061920C212</v>
      </c>
      <c r="F855" s="75" t="str">
        <f ca="1">_xll.xlqName(E855,tda)</f>
        <v>#N/A</v>
      </c>
      <c r="G855" s="75" t="str">
        <f t="shared" ca="1" si="58"/>
        <v>BAD</v>
      </c>
      <c r="I855" s="83">
        <v>43966</v>
      </c>
      <c r="J855" s="84">
        <v>223</v>
      </c>
      <c r="K855" s="74" t="s">
        <v>1182</v>
      </c>
      <c r="L855" s="75" t="s">
        <v>53</v>
      </c>
      <c r="M855" s="75" t="s">
        <v>106</v>
      </c>
    </row>
    <row r="856" spans="1:13" x14ac:dyDescent="0.25">
      <c r="A856" s="48">
        <v>1</v>
      </c>
      <c r="B856" s="48"/>
      <c r="C856" s="83">
        <f t="shared" ca="1" si="56"/>
        <v>44001</v>
      </c>
      <c r="D856" s="84">
        <f t="shared" si="57"/>
        <v>213</v>
      </c>
      <c r="E856" s="74" t="str">
        <f t="shared" ca="1" si="55"/>
        <v>HD_061920C213</v>
      </c>
      <c r="F856" s="75" t="str">
        <f ca="1">_xll.xlqName(E856,tda)</f>
        <v>#N/A</v>
      </c>
      <c r="G856" s="75" t="str">
        <f t="shared" ca="1" si="58"/>
        <v>BAD</v>
      </c>
      <c r="I856" s="83">
        <v>43966</v>
      </c>
      <c r="J856" s="84">
        <v>224</v>
      </c>
      <c r="K856" s="74" t="s">
        <v>1183</v>
      </c>
      <c r="L856" s="75" t="s">
        <v>53</v>
      </c>
      <c r="M856" s="75" t="s">
        <v>106</v>
      </c>
    </row>
    <row r="857" spans="1:13" x14ac:dyDescent="0.25">
      <c r="A857" s="48">
        <v>0.5</v>
      </c>
      <c r="B857" s="48"/>
      <c r="C857" s="83">
        <f t="shared" ca="1" si="56"/>
        <v>44001</v>
      </c>
      <c r="D857" s="84">
        <f t="shared" si="57"/>
        <v>213.5</v>
      </c>
      <c r="E857" s="74" t="str">
        <f t="shared" ca="1" si="55"/>
        <v>HD_061920C213.5</v>
      </c>
      <c r="F857" s="75" t="str">
        <f ca="1">_xll.xlqName(E857,tda)</f>
        <v>#N/A</v>
      </c>
      <c r="G857" s="75" t="str">
        <f t="shared" ca="1" si="58"/>
        <v>BAD</v>
      </c>
      <c r="I857" s="83">
        <v>43966</v>
      </c>
      <c r="J857" s="84">
        <v>224.5</v>
      </c>
      <c r="K857" s="74" t="s">
        <v>1184</v>
      </c>
      <c r="L857" s="75" t="s">
        <v>53</v>
      </c>
      <c r="M857" s="75" t="s">
        <v>106</v>
      </c>
    </row>
    <row r="858" spans="1:13" x14ac:dyDescent="0.25">
      <c r="A858" s="48">
        <v>0.5</v>
      </c>
      <c r="B858" s="48"/>
      <c r="C858" s="83">
        <f t="shared" ca="1" si="56"/>
        <v>44001</v>
      </c>
      <c r="D858" s="84">
        <f t="shared" si="57"/>
        <v>214</v>
      </c>
      <c r="E858" s="74" t="str">
        <f t="shared" ca="1" si="55"/>
        <v>HD_061920C214</v>
      </c>
      <c r="F858" s="75" t="str">
        <f ca="1">_xll.xlqName(E858,tda)</f>
        <v>#N/A</v>
      </c>
      <c r="G858" s="75" t="str">
        <f t="shared" ca="1" si="58"/>
        <v>BAD</v>
      </c>
      <c r="I858" s="83">
        <v>43966</v>
      </c>
      <c r="J858" s="84">
        <v>225</v>
      </c>
      <c r="K858" s="74" t="s">
        <v>1185</v>
      </c>
      <c r="L858" s="75" t="s">
        <v>1186</v>
      </c>
      <c r="M858" s="75" t="s">
        <v>111</v>
      </c>
    </row>
    <row r="859" spans="1:13" x14ac:dyDescent="0.25">
      <c r="A859" s="48">
        <v>1</v>
      </c>
      <c r="B859" s="48"/>
      <c r="C859" s="83">
        <f t="shared" ca="1" si="56"/>
        <v>44001</v>
      </c>
      <c r="D859" s="84">
        <f t="shared" si="57"/>
        <v>215</v>
      </c>
      <c r="E859" s="74" t="str">
        <f t="shared" ca="1" si="55"/>
        <v>HD_061920C215</v>
      </c>
      <c r="F859" s="75" t="str">
        <f ca="1">_xll.xlqName(E859,tda)</f>
        <v>HD Jun 19 2020 215 Call</v>
      </c>
      <c r="G859" s="75" t="str">
        <f t="shared" ca="1" si="58"/>
        <v/>
      </c>
      <c r="I859" s="83">
        <v>43966</v>
      </c>
      <c r="J859" s="84">
        <v>226</v>
      </c>
      <c r="K859" s="74" t="s">
        <v>1187</v>
      </c>
      <c r="L859" s="75" t="s">
        <v>53</v>
      </c>
      <c r="M859" s="75" t="s">
        <v>106</v>
      </c>
    </row>
    <row r="860" spans="1:13" x14ac:dyDescent="0.25">
      <c r="A860" s="48">
        <v>1</v>
      </c>
      <c r="B860" s="48"/>
      <c r="C860" s="83">
        <f t="shared" ca="1" si="56"/>
        <v>44001</v>
      </c>
      <c r="D860" s="84">
        <f t="shared" si="57"/>
        <v>216</v>
      </c>
      <c r="E860" s="74" t="str">
        <f t="shared" ca="1" si="55"/>
        <v>HD_061920C216</v>
      </c>
      <c r="F860" s="75" t="str">
        <f ca="1">_xll.xlqName(E860,tda)</f>
        <v>#N/A</v>
      </c>
      <c r="G860" s="75" t="str">
        <f t="shared" ca="1" si="58"/>
        <v>BAD</v>
      </c>
      <c r="I860" s="83">
        <v>43966</v>
      </c>
      <c r="J860" s="84">
        <v>227</v>
      </c>
      <c r="K860" s="74" t="s">
        <v>1188</v>
      </c>
      <c r="L860" s="75" t="s">
        <v>53</v>
      </c>
      <c r="M860" s="75" t="s">
        <v>106</v>
      </c>
    </row>
    <row r="861" spans="1:13" x14ac:dyDescent="0.25">
      <c r="A861" s="48">
        <v>1</v>
      </c>
      <c r="B861" s="48"/>
      <c r="C861" s="83">
        <f t="shared" ca="1" si="56"/>
        <v>44001</v>
      </c>
      <c r="D861" s="84">
        <f t="shared" si="57"/>
        <v>217</v>
      </c>
      <c r="E861" s="74" t="str">
        <f t="shared" ca="1" si="55"/>
        <v>HD_061920C217</v>
      </c>
      <c r="F861" s="75" t="str">
        <f ca="1">_xll.xlqName(E861,tda)</f>
        <v>#N/A</v>
      </c>
      <c r="G861" s="75" t="str">
        <f t="shared" ca="1" si="58"/>
        <v>BAD</v>
      </c>
      <c r="I861" s="83">
        <v>43966</v>
      </c>
      <c r="J861" s="84">
        <v>228</v>
      </c>
      <c r="K861" s="74" t="s">
        <v>1189</v>
      </c>
      <c r="L861" s="75" t="s">
        <v>53</v>
      </c>
      <c r="M861" s="75" t="s">
        <v>106</v>
      </c>
    </row>
    <row r="862" spans="1:13" x14ac:dyDescent="0.25">
      <c r="A862" s="48">
        <v>1</v>
      </c>
      <c r="B862" s="48"/>
      <c r="C862" s="83">
        <f t="shared" ca="1" si="56"/>
        <v>44001</v>
      </c>
      <c r="D862" s="84">
        <f t="shared" si="57"/>
        <v>218</v>
      </c>
      <c r="E862" s="74" t="str">
        <f t="shared" ca="1" si="55"/>
        <v>HD_061920C218</v>
      </c>
      <c r="F862" s="75" t="str">
        <f ca="1">_xll.xlqName(E862,tda)</f>
        <v>#N/A</v>
      </c>
      <c r="G862" s="75" t="str">
        <f t="shared" ca="1" si="58"/>
        <v>BAD</v>
      </c>
      <c r="I862" s="83">
        <v>43966</v>
      </c>
      <c r="J862" s="84">
        <v>229</v>
      </c>
      <c r="K862" s="74" t="s">
        <v>1190</v>
      </c>
      <c r="L862" s="75" t="s">
        <v>53</v>
      </c>
      <c r="M862" s="75" t="s">
        <v>106</v>
      </c>
    </row>
    <row r="863" spans="1:13" x14ac:dyDescent="0.25">
      <c r="A863" s="48">
        <v>0.5</v>
      </c>
      <c r="B863" s="48"/>
      <c r="C863" s="83">
        <f t="shared" ca="1" si="56"/>
        <v>44001</v>
      </c>
      <c r="D863" s="84">
        <f t="shared" si="57"/>
        <v>218.5</v>
      </c>
      <c r="E863" s="74" t="str">
        <f t="shared" ca="1" si="55"/>
        <v>HD_061920C218.5</v>
      </c>
      <c r="F863" s="75" t="str">
        <f ca="1">_xll.xlqName(E863,tda)</f>
        <v>#N/A</v>
      </c>
      <c r="G863" s="75" t="str">
        <f t="shared" ca="1" si="58"/>
        <v>BAD</v>
      </c>
      <c r="I863" s="83">
        <v>43966</v>
      </c>
      <c r="J863" s="84">
        <v>229.5</v>
      </c>
      <c r="K863" s="74" t="s">
        <v>1191</v>
      </c>
      <c r="L863" s="75" t="s">
        <v>53</v>
      </c>
      <c r="M863" s="75" t="s">
        <v>106</v>
      </c>
    </row>
    <row r="864" spans="1:13" x14ac:dyDescent="0.25">
      <c r="A864" s="48">
        <v>0.5</v>
      </c>
      <c r="B864" s="48"/>
      <c r="C864" s="83">
        <f t="shared" ca="1" si="56"/>
        <v>44001</v>
      </c>
      <c r="D864" s="84">
        <f t="shared" si="57"/>
        <v>219</v>
      </c>
      <c r="E864" s="74" t="str">
        <f t="shared" ca="1" si="55"/>
        <v>HD_061920C219</v>
      </c>
      <c r="F864" s="75" t="str">
        <f ca="1">_xll.xlqName(E864,tda)</f>
        <v>#N/A</v>
      </c>
      <c r="G864" s="75" t="str">
        <f t="shared" ca="1" si="58"/>
        <v>BAD</v>
      </c>
      <c r="I864" s="83">
        <v>43966</v>
      </c>
      <c r="J864" s="84">
        <v>230</v>
      </c>
      <c r="K864" s="74" t="s">
        <v>1192</v>
      </c>
      <c r="L864" s="75" t="s">
        <v>1193</v>
      </c>
      <c r="M864" s="75" t="s">
        <v>111</v>
      </c>
    </row>
    <row r="865" spans="1:13" x14ac:dyDescent="0.25">
      <c r="A865" s="48">
        <v>1</v>
      </c>
      <c r="B865" s="48"/>
      <c r="C865" s="83">
        <f t="shared" ca="1" si="56"/>
        <v>44001</v>
      </c>
      <c r="D865" s="84">
        <f t="shared" si="57"/>
        <v>220</v>
      </c>
      <c r="E865" s="74" t="str">
        <f t="shared" ca="1" si="55"/>
        <v>HD_061920C220</v>
      </c>
      <c r="F865" s="75" t="str">
        <f ca="1">_xll.xlqName(E865,tda)</f>
        <v>HD Jun 19 2020 220 Call</v>
      </c>
      <c r="G865" s="75" t="str">
        <f t="shared" ca="1" si="58"/>
        <v/>
      </c>
      <c r="I865" s="83">
        <v>43966</v>
      </c>
      <c r="J865" s="84">
        <v>231</v>
      </c>
      <c r="K865" s="74" t="s">
        <v>1194</v>
      </c>
      <c r="L865" s="75" t="s">
        <v>53</v>
      </c>
      <c r="M865" s="75" t="s">
        <v>106</v>
      </c>
    </row>
    <row r="866" spans="1:13" x14ac:dyDescent="0.25">
      <c r="A866" s="48">
        <v>1</v>
      </c>
      <c r="B866" s="48"/>
      <c r="C866" s="83">
        <f t="shared" ca="1" si="56"/>
        <v>44001</v>
      </c>
      <c r="D866" s="84">
        <f t="shared" si="57"/>
        <v>221</v>
      </c>
      <c r="E866" s="74" t="str">
        <f t="shared" ca="1" si="55"/>
        <v>HD_061920C221</v>
      </c>
      <c r="F866" s="75" t="str">
        <f ca="1">_xll.xlqName(E866,tda)</f>
        <v>#N/A</v>
      </c>
      <c r="G866" s="75" t="str">
        <f t="shared" ca="1" si="58"/>
        <v>BAD</v>
      </c>
      <c r="I866" s="83">
        <v>43966</v>
      </c>
      <c r="J866" s="84">
        <v>232</v>
      </c>
      <c r="K866" s="74" t="s">
        <v>1195</v>
      </c>
      <c r="L866" s="75" t="s">
        <v>53</v>
      </c>
      <c r="M866" s="75" t="s">
        <v>106</v>
      </c>
    </row>
    <row r="867" spans="1:13" x14ac:dyDescent="0.25">
      <c r="A867" s="48">
        <v>1</v>
      </c>
      <c r="B867" s="48"/>
      <c r="C867" s="83">
        <f t="shared" ca="1" si="56"/>
        <v>44001</v>
      </c>
      <c r="D867" s="84">
        <f t="shared" si="57"/>
        <v>222</v>
      </c>
      <c r="E867" s="74" t="str">
        <f t="shared" ca="1" si="55"/>
        <v>HD_061920C222</v>
      </c>
      <c r="F867" s="75" t="str">
        <f ca="1">_xll.xlqName(E867,tda)</f>
        <v>#N/A</v>
      </c>
      <c r="G867" s="75" t="str">
        <f t="shared" ca="1" si="58"/>
        <v>BAD</v>
      </c>
      <c r="I867" s="83">
        <v>43966</v>
      </c>
      <c r="J867" s="84">
        <v>233</v>
      </c>
      <c r="K867" s="74" t="s">
        <v>1196</v>
      </c>
      <c r="L867" s="75" t="s">
        <v>53</v>
      </c>
      <c r="M867" s="75" t="s">
        <v>106</v>
      </c>
    </row>
    <row r="868" spans="1:13" x14ac:dyDescent="0.25">
      <c r="A868" s="48">
        <v>1</v>
      </c>
      <c r="B868" s="48"/>
      <c r="C868" s="83">
        <f t="shared" ca="1" si="56"/>
        <v>44001</v>
      </c>
      <c r="D868" s="84">
        <f t="shared" si="57"/>
        <v>223</v>
      </c>
      <c r="E868" s="74" t="str">
        <f t="shared" ca="1" si="55"/>
        <v>HD_061920C223</v>
      </c>
      <c r="F868" s="75" t="str">
        <f ca="1">_xll.xlqName(E868,tda)</f>
        <v>#N/A</v>
      </c>
      <c r="G868" s="75" t="str">
        <f t="shared" ca="1" si="58"/>
        <v>BAD</v>
      </c>
      <c r="I868" s="83">
        <v>43966</v>
      </c>
      <c r="J868" s="84">
        <v>234</v>
      </c>
      <c r="K868" s="74" t="s">
        <v>1197</v>
      </c>
      <c r="L868" s="75" t="s">
        <v>53</v>
      </c>
      <c r="M868" s="75" t="s">
        <v>106</v>
      </c>
    </row>
    <row r="869" spans="1:13" x14ac:dyDescent="0.25">
      <c r="A869" s="48">
        <v>0.5</v>
      </c>
      <c r="B869" s="48"/>
      <c r="C869" s="83">
        <f t="shared" ca="1" si="56"/>
        <v>44001</v>
      </c>
      <c r="D869" s="84">
        <f t="shared" si="57"/>
        <v>223.5</v>
      </c>
      <c r="E869" s="74" t="str">
        <f t="shared" ca="1" si="55"/>
        <v>HD_061920C223.5</v>
      </c>
      <c r="F869" s="75" t="str">
        <f ca="1">_xll.xlqName(E869,tda)</f>
        <v>#N/A</v>
      </c>
      <c r="G869" s="75" t="str">
        <f t="shared" ca="1" si="58"/>
        <v>BAD</v>
      </c>
      <c r="I869" s="83">
        <v>43966</v>
      </c>
      <c r="J869" s="84">
        <v>234.5</v>
      </c>
      <c r="K869" s="74" t="s">
        <v>1198</v>
      </c>
      <c r="L869" s="75" t="s">
        <v>53</v>
      </c>
      <c r="M869" s="75" t="s">
        <v>106</v>
      </c>
    </row>
    <row r="870" spans="1:13" x14ac:dyDescent="0.25">
      <c r="A870" s="48">
        <v>0.5</v>
      </c>
      <c r="B870" s="48"/>
      <c r="C870" s="83">
        <f t="shared" ca="1" si="56"/>
        <v>44001</v>
      </c>
      <c r="D870" s="84">
        <f t="shared" si="57"/>
        <v>224</v>
      </c>
      <c r="E870" s="74" t="str">
        <f t="shared" ca="1" si="55"/>
        <v>HD_061920C224</v>
      </c>
      <c r="F870" s="75" t="str">
        <f ca="1">_xll.xlqName(E870,tda)</f>
        <v>#N/A</v>
      </c>
      <c r="G870" s="75" t="str">
        <f t="shared" ca="1" si="58"/>
        <v>BAD</v>
      </c>
      <c r="I870" s="83">
        <v>43966</v>
      </c>
      <c r="J870" s="84">
        <v>235</v>
      </c>
      <c r="K870" s="74" t="s">
        <v>1199</v>
      </c>
      <c r="L870" s="75" t="s">
        <v>1200</v>
      </c>
      <c r="M870" s="75" t="s">
        <v>111</v>
      </c>
    </row>
    <row r="871" spans="1:13" x14ac:dyDescent="0.25">
      <c r="A871" s="48">
        <v>1</v>
      </c>
      <c r="B871" s="48"/>
      <c r="C871" s="83">
        <f t="shared" ca="1" si="56"/>
        <v>44001</v>
      </c>
      <c r="D871" s="84">
        <f t="shared" si="57"/>
        <v>225</v>
      </c>
      <c r="E871" s="74" t="str">
        <f t="shared" ca="1" si="55"/>
        <v>HD_061920C225</v>
      </c>
      <c r="F871" s="75" t="str">
        <f ca="1">_xll.xlqName(E871,tda)</f>
        <v>HD Jun 19 2020 225 Call</v>
      </c>
      <c r="G871" s="75" t="str">
        <f t="shared" ca="1" si="58"/>
        <v/>
      </c>
      <c r="I871" s="83">
        <v>44001</v>
      </c>
      <c r="J871" s="84">
        <v>170</v>
      </c>
      <c r="K871" s="74" t="s">
        <v>1201</v>
      </c>
      <c r="L871" s="75" t="s">
        <v>1202</v>
      </c>
      <c r="M871" s="75" t="s">
        <v>111</v>
      </c>
    </row>
    <row r="872" spans="1:13" x14ac:dyDescent="0.25">
      <c r="A872" s="48">
        <v>1</v>
      </c>
      <c r="B872" s="48"/>
      <c r="C872" s="83">
        <f t="shared" ca="1" si="56"/>
        <v>44001</v>
      </c>
      <c r="D872" s="84">
        <f t="shared" si="57"/>
        <v>226</v>
      </c>
      <c r="E872" s="74" t="str">
        <f t="shared" ca="1" si="55"/>
        <v>HD_061920C226</v>
      </c>
      <c r="F872" s="75" t="str">
        <f ca="1">_xll.xlqName(E872,tda)</f>
        <v>#N/A</v>
      </c>
      <c r="G872" s="75" t="str">
        <f t="shared" ca="1" si="58"/>
        <v>BAD</v>
      </c>
      <c r="I872" s="83">
        <v>44001</v>
      </c>
      <c r="J872" s="84">
        <v>171</v>
      </c>
      <c r="K872" s="74" t="s">
        <v>1203</v>
      </c>
      <c r="L872" s="75" t="s">
        <v>53</v>
      </c>
      <c r="M872" s="75" t="s">
        <v>106</v>
      </c>
    </row>
    <row r="873" spans="1:13" x14ac:dyDescent="0.25">
      <c r="A873" s="48">
        <v>1</v>
      </c>
      <c r="B873" s="48"/>
      <c r="C873" s="83">
        <f t="shared" ca="1" si="56"/>
        <v>44001</v>
      </c>
      <c r="D873" s="84">
        <f t="shared" si="57"/>
        <v>227</v>
      </c>
      <c r="E873" s="74" t="str">
        <f t="shared" ca="1" si="55"/>
        <v>HD_061920C227</v>
      </c>
      <c r="F873" s="75" t="str">
        <f ca="1">_xll.xlqName(E873,tda)</f>
        <v>#N/A</v>
      </c>
      <c r="G873" s="75" t="str">
        <f t="shared" ca="1" si="58"/>
        <v>BAD</v>
      </c>
      <c r="I873" s="83">
        <v>44001</v>
      </c>
      <c r="J873" s="84">
        <v>172</v>
      </c>
      <c r="K873" s="74" t="s">
        <v>1204</v>
      </c>
      <c r="L873" s="75" t="s">
        <v>53</v>
      </c>
      <c r="M873" s="75" t="s">
        <v>106</v>
      </c>
    </row>
    <row r="874" spans="1:13" x14ac:dyDescent="0.25">
      <c r="A874" s="48">
        <v>1</v>
      </c>
      <c r="B874" s="48"/>
      <c r="C874" s="83">
        <f t="shared" ca="1" si="56"/>
        <v>44001</v>
      </c>
      <c r="D874" s="84">
        <f t="shared" si="57"/>
        <v>228</v>
      </c>
      <c r="E874" s="74" t="str">
        <f t="shared" ca="1" si="55"/>
        <v>HD_061920C228</v>
      </c>
      <c r="F874" s="75" t="str">
        <f ca="1">_xll.xlqName(E874,tda)</f>
        <v>#N/A</v>
      </c>
      <c r="G874" s="75" t="str">
        <f t="shared" ca="1" si="58"/>
        <v>BAD</v>
      </c>
      <c r="I874" s="83">
        <v>44001</v>
      </c>
      <c r="J874" s="84">
        <v>173</v>
      </c>
      <c r="K874" s="74" t="s">
        <v>1205</v>
      </c>
      <c r="L874" s="75" t="s">
        <v>53</v>
      </c>
      <c r="M874" s="75" t="s">
        <v>106</v>
      </c>
    </row>
    <row r="875" spans="1:13" x14ac:dyDescent="0.25">
      <c r="A875" s="48">
        <v>0.5</v>
      </c>
      <c r="B875" s="48"/>
      <c r="C875" s="83">
        <f t="shared" ca="1" si="56"/>
        <v>44001</v>
      </c>
      <c r="D875" s="84">
        <f t="shared" si="57"/>
        <v>228.5</v>
      </c>
      <c r="E875" s="74" t="str">
        <f t="shared" ca="1" si="55"/>
        <v>HD_061920C228.5</v>
      </c>
      <c r="F875" s="75" t="str">
        <f ca="1">_xll.xlqName(E875,tda)</f>
        <v>#N/A</v>
      </c>
      <c r="G875" s="75" t="str">
        <f t="shared" ca="1" si="58"/>
        <v>BAD</v>
      </c>
      <c r="I875" s="83">
        <v>44001</v>
      </c>
      <c r="J875" s="84">
        <v>173.5</v>
      </c>
      <c r="K875" s="74" t="s">
        <v>1206</v>
      </c>
      <c r="L875" s="75" t="s">
        <v>53</v>
      </c>
      <c r="M875" s="75" t="s">
        <v>106</v>
      </c>
    </row>
    <row r="876" spans="1:13" x14ac:dyDescent="0.25">
      <c r="A876" s="48">
        <v>0.5</v>
      </c>
      <c r="B876" s="48"/>
      <c r="C876" s="83">
        <f t="shared" ca="1" si="56"/>
        <v>44001</v>
      </c>
      <c r="D876" s="84">
        <f t="shared" si="57"/>
        <v>229</v>
      </c>
      <c r="E876" s="74" t="str">
        <f t="shared" ca="1" si="55"/>
        <v>HD_061920C229</v>
      </c>
      <c r="F876" s="75" t="str">
        <f ca="1">_xll.xlqName(E876,tda)</f>
        <v>#N/A</v>
      </c>
      <c r="G876" s="75" t="str">
        <f t="shared" ca="1" si="58"/>
        <v>BAD</v>
      </c>
      <c r="I876" s="83">
        <v>44001</v>
      </c>
      <c r="J876" s="84">
        <v>174</v>
      </c>
      <c r="K876" s="74" t="s">
        <v>1207</v>
      </c>
      <c r="L876" s="75" t="s">
        <v>53</v>
      </c>
      <c r="M876" s="75" t="s">
        <v>106</v>
      </c>
    </row>
    <row r="877" spans="1:13" x14ac:dyDescent="0.25">
      <c r="A877" s="48">
        <v>1</v>
      </c>
      <c r="B877" s="48"/>
      <c r="C877" s="83">
        <f t="shared" ca="1" si="56"/>
        <v>44001</v>
      </c>
      <c r="D877" s="84">
        <f t="shared" si="57"/>
        <v>230</v>
      </c>
      <c r="E877" s="74" t="str">
        <f t="shared" ca="1" si="55"/>
        <v>HD_061920C230</v>
      </c>
      <c r="F877" s="75" t="str">
        <f ca="1">_xll.xlqName(E877,tda)</f>
        <v>HD Jun 19 2020 230 Call</v>
      </c>
      <c r="G877" s="75" t="str">
        <f t="shared" ca="1" si="58"/>
        <v/>
      </c>
      <c r="I877" s="83">
        <v>44001</v>
      </c>
      <c r="J877" s="84">
        <v>175</v>
      </c>
      <c r="K877" s="74" t="s">
        <v>1208</v>
      </c>
      <c r="L877" s="75" t="s">
        <v>1209</v>
      </c>
      <c r="M877" s="75" t="s">
        <v>111</v>
      </c>
    </row>
    <row r="878" spans="1:13" x14ac:dyDescent="0.25">
      <c r="A878" s="48">
        <v>1</v>
      </c>
      <c r="B878" s="48"/>
      <c r="C878" s="83">
        <f t="shared" ca="1" si="56"/>
        <v>44029</v>
      </c>
      <c r="D878" s="84">
        <f t="shared" si="57"/>
        <v>170</v>
      </c>
      <c r="E878" s="74" t="str">
        <f t="shared" ca="1" si="55"/>
        <v>HD_071720C170</v>
      </c>
      <c r="F878" s="75" t="str">
        <f ca="1">_xll.xlqName(E878,tda)</f>
        <v>#N/A</v>
      </c>
      <c r="G878" s="75" t="str">
        <f t="shared" ca="1" si="58"/>
        <v>BAD</v>
      </c>
      <c r="I878" s="83">
        <v>44001</v>
      </c>
      <c r="J878" s="84">
        <v>176</v>
      </c>
      <c r="K878" s="74" t="s">
        <v>1210</v>
      </c>
      <c r="L878" s="75" t="s">
        <v>53</v>
      </c>
      <c r="M878" s="75" t="s">
        <v>106</v>
      </c>
    </row>
    <row r="879" spans="1:13" x14ac:dyDescent="0.25">
      <c r="A879" s="48">
        <v>1</v>
      </c>
      <c r="B879" s="48"/>
      <c r="C879" s="83">
        <f t="shared" ca="1" si="56"/>
        <v>44029</v>
      </c>
      <c r="D879" s="84">
        <f t="shared" si="57"/>
        <v>171</v>
      </c>
      <c r="E879" s="74" t="str">
        <f t="shared" ca="1" si="55"/>
        <v>HD_071720C171</v>
      </c>
      <c r="F879" s="75" t="str">
        <f ca="1">_xll.xlqName(E879,tda)</f>
        <v>#N/A</v>
      </c>
      <c r="G879" s="75" t="str">
        <f t="shared" ca="1" si="58"/>
        <v>BAD</v>
      </c>
      <c r="I879" s="83">
        <v>44001</v>
      </c>
      <c r="J879" s="84">
        <v>177</v>
      </c>
      <c r="K879" s="74" t="s">
        <v>1211</v>
      </c>
      <c r="L879" s="75" t="s">
        <v>53</v>
      </c>
      <c r="M879" s="75" t="s">
        <v>106</v>
      </c>
    </row>
    <row r="880" spans="1:13" x14ac:dyDescent="0.25">
      <c r="A880" s="48">
        <v>1</v>
      </c>
      <c r="B880" s="48"/>
      <c r="C880" s="83">
        <f t="shared" ca="1" si="56"/>
        <v>44029</v>
      </c>
      <c r="D880" s="84">
        <f t="shared" si="57"/>
        <v>172</v>
      </c>
      <c r="E880" s="74" t="str">
        <f t="shared" ca="1" si="55"/>
        <v>HD_071720C172</v>
      </c>
      <c r="F880" s="75" t="str">
        <f ca="1">_xll.xlqName(E880,tda)</f>
        <v>#N/A</v>
      </c>
      <c r="G880" s="75" t="str">
        <f t="shared" ca="1" si="58"/>
        <v>BAD</v>
      </c>
      <c r="I880" s="83">
        <v>44001</v>
      </c>
      <c r="J880" s="84">
        <v>178</v>
      </c>
      <c r="K880" s="74" t="s">
        <v>1212</v>
      </c>
      <c r="L880" s="75" t="s">
        <v>53</v>
      </c>
      <c r="M880" s="75" t="s">
        <v>106</v>
      </c>
    </row>
    <row r="881" spans="1:13" x14ac:dyDescent="0.25">
      <c r="A881" s="48">
        <v>0.5</v>
      </c>
      <c r="B881" s="48"/>
      <c r="C881" s="83">
        <f t="shared" ca="1" si="56"/>
        <v>44029</v>
      </c>
      <c r="D881" s="84">
        <f t="shared" si="57"/>
        <v>172.5</v>
      </c>
      <c r="E881" s="74" t="str">
        <f t="shared" ca="1" si="55"/>
        <v>HD_071720C172.5</v>
      </c>
      <c r="F881" s="75" t="str">
        <f ca="1">_xll.xlqName(E881,tda)</f>
        <v>#N/A</v>
      </c>
      <c r="G881" s="75" t="str">
        <f t="shared" ca="1" si="58"/>
        <v>BAD</v>
      </c>
      <c r="I881" s="83">
        <v>44001</v>
      </c>
      <c r="J881" s="84">
        <v>178.5</v>
      </c>
      <c r="K881" s="74" t="s">
        <v>1213</v>
      </c>
      <c r="L881" s="75" t="s">
        <v>53</v>
      </c>
      <c r="M881" s="75" t="s">
        <v>106</v>
      </c>
    </row>
    <row r="882" spans="1:13" x14ac:dyDescent="0.25">
      <c r="A882" s="48">
        <v>0.5</v>
      </c>
      <c r="B882" s="48"/>
      <c r="C882" s="83">
        <f t="shared" ca="1" si="56"/>
        <v>44029</v>
      </c>
      <c r="D882" s="84">
        <f t="shared" si="57"/>
        <v>173</v>
      </c>
      <c r="E882" s="74" t="str">
        <f t="shared" ca="1" si="55"/>
        <v>HD_071720C173</v>
      </c>
      <c r="F882" s="75" t="str">
        <f ca="1">_xll.xlqName(E882,tda)</f>
        <v>#N/A</v>
      </c>
      <c r="G882" s="75" t="str">
        <f t="shared" ca="1" si="58"/>
        <v>BAD</v>
      </c>
      <c r="I882" s="83">
        <v>44001</v>
      </c>
      <c r="J882" s="84">
        <v>179</v>
      </c>
      <c r="K882" s="74" t="s">
        <v>1214</v>
      </c>
      <c r="L882" s="75" t="s">
        <v>53</v>
      </c>
      <c r="M882" s="75" t="s">
        <v>106</v>
      </c>
    </row>
    <row r="883" spans="1:13" x14ac:dyDescent="0.25">
      <c r="A883" s="48">
        <v>1</v>
      </c>
      <c r="B883" s="48"/>
      <c r="C883" s="83">
        <f t="shared" ca="1" si="56"/>
        <v>44029</v>
      </c>
      <c r="D883" s="84">
        <f t="shared" si="57"/>
        <v>174</v>
      </c>
      <c r="E883" s="74" t="str">
        <f t="shared" ca="1" si="55"/>
        <v>HD_071720C174</v>
      </c>
      <c r="F883" s="75" t="str">
        <f ca="1">_xll.xlqName(E883,tda)</f>
        <v>#N/A</v>
      </c>
      <c r="G883" s="75" t="str">
        <f t="shared" ca="1" si="58"/>
        <v>BAD</v>
      </c>
      <c r="I883" s="83">
        <v>44001</v>
      </c>
      <c r="J883" s="84">
        <v>180</v>
      </c>
      <c r="K883" s="74" t="s">
        <v>1215</v>
      </c>
      <c r="L883" s="75" t="s">
        <v>1216</v>
      </c>
      <c r="M883" s="75" t="s">
        <v>111</v>
      </c>
    </row>
    <row r="884" spans="1:13" x14ac:dyDescent="0.25">
      <c r="A884" s="48">
        <v>1</v>
      </c>
      <c r="B884" s="48"/>
      <c r="C884" s="83">
        <f t="shared" ca="1" si="56"/>
        <v>44029</v>
      </c>
      <c r="D884" s="84">
        <f t="shared" si="57"/>
        <v>175</v>
      </c>
      <c r="E884" s="74" t="str">
        <f t="shared" ca="1" si="55"/>
        <v>HD_071720C175</v>
      </c>
      <c r="F884" s="75" t="str">
        <f ca="1">_xll.xlqName(E884,tda)</f>
        <v>#N/A</v>
      </c>
      <c r="G884" s="75" t="str">
        <f t="shared" ca="1" si="58"/>
        <v>BAD</v>
      </c>
      <c r="I884" s="83">
        <v>44001</v>
      </c>
      <c r="J884" s="84">
        <v>181</v>
      </c>
      <c r="K884" s="74" t="s">
        <v>1217</v>
      </c>
      <c r="L884" s="75" t="s">
        <v>53</v>
      </c>
      <c r="M884" s="75" t="s">
        <v>106</v>
      </c>
    </row>
    <row r="885" spans="1:13" x14ac:dyDescent="0.25">
      <c r="A885" s="48">
        <v>1</v>
      </c>
      <c r="B885" s="48"/>
      <c r="C885" s="83">
        <f t="shared" ca="1" si="56"/>
        <v>44029</v>
      </c>
      <c r="D885" s="84">
        <f t="shared" si="57"/>
        <v>176</v>
      </c>
      <c r="E885" s="74" t="str">
        <f t="shared" ca="1" si="55"/>
        <v>HD_071720C176</v>
      </c>
      <c r="F885" s="75" t="str">
        <f ca="1">_xll.xlqName(E885,tda)</f>
        <v>#N/A</v>
      </c>
      <c r="G885" s="75" t="str">
        <f t="shared" ca="1" si="58"/>
        <v>BAD</v>
      </c>
      <c r="I885" s="83">
        <v>44001</v>
      </c>
      <c r="J885" s="84">
        <v>182</v>
      </c>
      <c r="K885" s="74" t="s">
        <v>1218</v>
      </c>
      <c r="L885" s="75" t="s">
        <v>53</v>
      </c>
      <c r="M885" s="75" t="s">
        <v>106</v>
      </c>
    </row>
    <row r="886" spans="1:13" x14ac:dyDescent="0.25">
      <c r="A886" s="48">
        <v>1</v>
      </c>
      <c r="B886" s="48"/>
      <c r="C886" s="83">
        <f t="shared" ca="1" si="56"/>
        <v>44029</v>
      </c>
      <c r="D886" s="84">
        <f t="shared" si="57"/>
        <v>177</v>
      </c>
      <c r="E886" s="74" t="str">
        <f t="shared" ca="1" si="55"/>
        <v>HD_071720C177</v>
      </c>
      <c r="F886" s="75" t="str">
        <f ca="1">_xll.xlqName(E886,tda)</f>
        <v>#N/A</v>
      </c>
      <c r="G886" s="75" t="str">
        <f t="shared" ca="1" si="58"/>
        <v>BAD</v>
      </c>
      <c r="I886" s="83">
        <v>44001</v>
      </c>
      <c r="J886" s="84">
        <v>183</v>
      </c>
      <c r="K886" s="74" t="s">
        <v>1219</v>
      </c>
      <c r="L886" s="75" t="s">
        <v>53</v>
      </c>
      <c r="M886" s="75" t="s">
        <v>106</v>
      </c>
    </row>
    <row r="887" spans="1:13" x14ac:dyDescent="0.25">
      <c r="A887" s="48">
        <v>0.5</v>
      </c>
      <c r="B887" s="48"/>
      <c r="C887" s="83">
        <f t="shared" ca="1" si="56"/>
        <v>44029</v>
      </c>
      <c r="D887" s="84">
        <f t="shared" si="57"/>
        <v>177.5</v>
      </c>
      <c r="E887" s="74" t="str">
        <f t="shared" ca="1" si="55"/>
        <v>HD_071720C177.5</v>
      </c>
      <c r="F887" s="75" t="str">
        <f ca="1">_xll.xlqName(E887,tda)</f>
        <v>#N/A</v>
      </c>
      <c r="G887" s="75" t="str">
        <f t="shared" ca="1" si="58"/>
        <v>BAD</v>
      </c>
      <c r="I887" s="83">
        <v>44001</v>
      </c>
      <c r="J887" s="84">
        <v>183.5</v>
      </c>
      <c r="K887" s="74" t="s">
        <v>1220</v>
      </c>
      <c r="L887" s="75" t="s">
        <v>53</v>
      </c>
      <c r="M887" s="75" t="s">
        <v>106</v>
      </c>
    </row>
    <row r="888" spans="1:13" x14ac:dyDescent="0.25">
      <c r="A888" s="48">
        <v>0.5</v>
      </c>
      <c r="B888" s="48"/>
      <c r="C888" s="83">
        <f t="shared" ca="1" si="56"/>
        <v>44029</v>
      </c>
      <c r="D888" s="84">
        <f t="shared" si="57"/>
        <v>178</v>
      </c>
      <c r="E888" s="74" t="str">
        <f t="shared" ca="1" si="55"/>
        <v>HD_071720C178</v>
      </c>
      <c r="F888" s="75" t="str">
        <f ca="1">_xll.xlqName(E888,tda)</f>
        <v>#N/A</v>
      </c>
      <c r="G888" s="75" t="str">
        <f t="shared" ca="1" si="58"/>
        <v>BAD</v>
      </c>
      <c r="I888" s="83">
        <v>44001</v>
      </c>
      <c r="J888" s="84">
        <v>184</v>
      </c>
      <c r="K888" s="74" t="s">
        <v>1221</v>
      </c>
      <c r="L888" s="75" t="s">
        <v>53</v>
      </c>
      <c r="M888" s="75" t="s">
        <v>106</v>
      </c>
    </row>
    <row r="889" spans="1:13" x14ac:dyDescent="0.25">
      <c r="A889" s="48">
        <v>1</v>
      </c>
      <c r="B889" s="48"/>
      <c r="C889" s="83">
        <f t="shared" ca="1" si="56"/>
        <v>44029</v>
      </c>
      <c r="D889" s="84">
        <f t="shared" si="57"/>
        <v>179</v>
      </c>
      <c r="E889" s="74" t="str">
        <f t="shared" ca="1" si="55"/>
        <v>HD_071720C179</v>
      </c>
      <c r="F889" s="75" t="str">
        <f ca="1">_xll.xlqName(E889,tda)</f>
        <v>#N/A</v>
      </c>
      <c r="G889" s="75" t="str">
        <f t="shared" ca="1" si="58"/>
        <v>BAD</v>
      </c>
      <c r="I889" s="83">
        <v>44001</v>
      </c>
      <c r="J889" s="84">
        <v>185</v>
      </c>
      <c r="K889" s="74" t="s">
        <v>1222</v>
      </c>
      <c r="L889" s="75" t="s">
        <v>1223</v>
      </c>
      <c r="M889" s="75" t="s">
        <v>111</v>
      </c>
    </row>
  </sheetData>
  <sortState xmlns:xlrd2="http://schemas.microsoft.com/office/spreadsheetml/2017/richdata2" ref="I2:M889">
    <sortCondition ref="M8"/>
  </sortState>
  <conditionalFormatting sqref="D2:D889">
    <cfRule type="cellIs" dxfId="19" priority="59" operator="lessThan">
      <formula>$Q$4</formula>
    </cfRule>
  </conditionalFormatting>
  <conditionalFormatting sqref="J2:J889">
    <cfRule type="cellIs" dxfId="18" priority="1" operator="lessThan">
      <formula>$Q$4</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AB5E-DFB0-4EA6-B43B-4CD7FD515D84}">
  <dimension ref="A1:AD100"/>
  <sheetViews>
    <sheetView workbookViewId="0">
      <pane ySplit="1" topLeftCell="A2" activePane="bottomLeft" state="frozen"/>
      <selection pane="bottomLeft" activeCell="S17" sqref="S17"/>
    </sheetView>
  </sheetViews>
  <sheetFormatPr defaultColWidth="14.42578125" defaultRowHeight="15" customHeight="1" x14ac:dyDescent="0.25"/>
  <cols>
    <col min="1" max="1" width="10.5703125" customWidth="1"/>
    <col min="2" max="2" width="10.140625" customWidth="1"/>
    <col min="3" max="3" width="14.85546875" customWidth="1"/>
    <col min="4" max="4" width="9.7109375" bestFit="1" customWidth="1"/>
    <col min="5" max="5" width="10" bestFit="1" customWidth="1"/>
    <col min="6" max="6" width="11.140625" bestFit="1" customWidth="1"/>
    <col min="7" max="7" width="4.7109375" customWidth="1"/>
    <col min="8" max="8" width="7.28515625" customWidth="1"/>
    <col min="9" max="9" width="9.42578125" customWidth="1"/>
    <col min="10" max="10" width="11" bestFit="1" customWidth="1"/>
    <col min="11" max="11" width="8.85546875" bestFit="1" customWidth="1"/>
    <col min="12" max="12" width="10.140625" bestFit="1" customWidth="1"/>
    <col min="13" max="13" width="10.140625" customWidth="1"/>
    <col min="14" max="14" width="6.28515625" customWidth="1"/>
    <col min="15" max="15" width="9.140625" customWidth="1"/>
    <col min="16" max="16" width="9" customWidth="1"/>
    <col min="17" max="17" width="8.140625" customWidth="1"/>
    <col min="18" max="18" width="7.140625" customWidth="1"/>
    <col min="19" max="19" width="8.5703125" bestFit="1" customWidth="1"/>
    <col min="20" max="20" width="9.140625" customWidth="1"/>
    <col min="21" max="21" width="32.140625" customWidth="1"/>
    <col min="22" max="22" width="2.42578125" customWidth="1"/>
    <col min="23" max="23" width="2.42578125" style="17" customWidth="1"/>
    <col min="24" max="24" width="14.42578125" customWidth="1"/>
    <col min="25" max="25" width="8.7109375" customWidth="1"/>
    <col min="26" max="26" width="6" customWidth="1"/>
  </cols>
  <sheetData>
    <row r="1" spans="1:30" s="13" customFormat="1" ht="14.25" customHeight="1" x14ac:dyDescent="0.25">
      <c r="A1" s="178" t="s">
        <v>52</v>
      </c>
      <c r="B1" s="13" t="s">
        <v>10</v>
      </c>
      <c r="C1" s="13" t="s">
        <v>32</v>
      </c>
      <c r="D1" s="13" t="s">
        <v>12</v>
      </c>
      <c r="E1" s="13" t="s">
        <v>13</v>
      </c>
      <c r="F1" s="15" t="s">
        <v>14</v>
      </c>
      <c r="G1" s="13" t="s">
        <v>15</v>
      </c>
      <c r="H1" s="13" t="s">
        <v>16</v>
      </c>
      <c r="I1" s="13" t="s">
        <v>17</v>
      </c>
      <c r="J1" s="18" t="s">
        <v>34</v>
      </c>
      <c r="K1" s="13" t="s">
        <v>33</v>
      </c>
      <c r="L1" s="178" t="s">
        <v>19</v>
      </c>
      <c r="M1" s="178" t="s">
        <v>73</v>
      </c>
      <c r="N1" s="178" t="s">
        <v>20</v>
      </c>
      <c r="O1" s="178" t="s">
        <v>21</v>
      </c>
      <c r="P1" s="178" t="s">
        <v>22</v>
      </c>
      <c r="Q1" s="56" t="s">
        <v>60</v>
      </c>
      <c r="R1" s="178" t="s">
        <v>23</v>
      </c>
      <c r="S1" s="178" t="s">
        <v>35</v>
      </c>
      <c r="T1" s="56" t="s">
        <v>59</v>
      </c>
      <c r="U1" s="13" t="s">
        <v>37</v>
      </c>
      <c r="V1" s="13" t="s">
        <v>94</v>
      </c>
      <c r="X1" s="32" t="s">
        <v>0</v>
      </c>
      <c r="Y1" s="120" t="s">
        <v>66</v>
      </c>
      <c r="AD1" s="178"/>
    </row>
    <row r="2" spans="1:30" ht="14.25" customHeight="1" x14ac:dyDescent="0.25">
      <c r="A2" s="3">
        <v>43882</v>
      </c>
      <c r="B2" s="4">
        <v>35</v>
      </c>
      <c r="C2" s="61" t="str">
        <f t="shared" ref="C2:C33" si="0">CONCATENATE($Y$2,"_",TEXT(MONTH(A2),"00"),TEXT(DAY(A2),"00"),TEXT(MOD(YEAR(A2),100),"00"),$Y$3,B2&amp;"")</f>
        <v>SSTK_022120C35</v>
      </c>
      <c r="D2" s="4">
        <f>_xll.xlqBid(C2,tda)</f>
        <v>8.9</v>
      </c>
      <c r="E2" s="4">
        <f>_xll.xlqAsk(C2,tda)</f>
        <v>9.7000000000000011</v>
      </c>
      <c r="F2" s="5">
        <f t="shared" ref="F2:F33" si="1">(D2+E2)/2</f>
        <v>9.3000000000000007</v>
      </c>
      <c r="G2" s="6">
        <f t="shared" ref="G2:G33" ca="1" si="2">A2-TODAY()</f>
        <v>79</v>
      </c>
      <c r="H2" s="7">
        <f t="shared" ref="H2:H33" ca="1" si="3">G2/30.5</f>
        <v>2.5901639344262297</v>
      </c>
      <c r="I2" s="8">
        <f t="shared" ref="I2:I33" si="4">F2/B2</f>
        <v>0.26571428571428574</v>
      </c>
      <c r="J2" s="19">
        <f t="shared" ref="J2:J33" ca="1" si="5">(1+L2/B2)^(1/H2)-1</f>
        <v>5.0538136556388391E-3</v>
      </c>
      <c r="K2" s="4">
        <f t="shared" ref="K2:K33" si="6">MAX(0,$Y$4-B2)</f>
        <v>8.8400000000000034</v>
      </c>
      <c r="L2" s="4">
        <f t="shared" ref="L2:L33" si="7">F2-K2</f>
        <v>0.4599999999999973</v>
      </c>
      <c r="M2" s="4">
        <f t="shared" ref="M2:M33" si="8">F2+B2</f>
        <v>44.3</v>
      </c>
      <c r="N2" s="9"/>
      <c r="O2" s="10">
        <f t="shared" ref="O2:O33" si="9">B2-$Y$6</f>
        <v>-2.5</v>
      </c>
      <c r="P2" s="10">
        <f t="shared" ref="P2:P33" si="10">$Y$7-F2</f>
        <v>-2.25</v>
      </c>
      <c r="Q2" s="10">
        <f t="shared" ref="Q2:Q33" si="11">O2-P2</f>
        <v>-0.25</v>
      </c>
      <c r="R2" s="11">
        <f t="shared" ref="R2:R33" si="12">Q2/P2</f>
        <v>0.1111111111111111</v>
      </c>
      <c r="S2" s="11">
        <f t="shared" ref="S2:S33" ca="1" si="13">R2/(H2/3)</f>
        <v>0.12869198312236285</v>
      </c>
      <c r="T2" s="57">
        <f t="shared" ref="T2:T33" ca="1" si="14">(Q2/($Y$6+P2))*(365.24/G2)</f>
        <v>-3.2789298859861746E-2</v>
      </c>
      <c r="U2" s="17" t="str">
        <f>_xll.xlqName(C2,tda)</f>
        <v>SSTK Feb 21 2020 35 Call</v>
      </c>
      <c r="V2" s="17"/>
      <c r="W2"/>
      <c r="X2" s="120" t="s">
        <v>32</v>
      </c>
      <c r="Y2" s="120" t="str">
        <f>Y1</f>
        <v>SSTK</v>
      </c>
      <c r="AD2" s="14"/>
    </row>
    <row r="3" spans="1:30" ht="14.25" customHeight="1" x14ac:dyDescent="0.25">
      <c r="A3" s="3">
        <v>43882</v>
      </c>
      <c r="B3" s="4">
        <v>37.5</v>
      </c>
      <c r="C3" s="61" t="str">
        <f t="shared" si="0"/>
        <v>SSTK_022120C37.5</v>
      </c>
      <c r="D3" s="4">
        <f>_xll.xlqBid(C3,tda)</f>
        <v>6.9</v>
      </c>
      <c r="E3" s="4">
        <f>_xll.xlqAsk(C3,tda)</f>
        <v>7.2</v>
      </c>
      <c r="F3" s="5">
        <f t="shared" si="1"/>
        <v>7.0500000000000007</v>
      </c>
      <c r="G3" s="6">
        <f t="shared" ca="1" si="2"/>
        <v>79</v>
      </c>
      <c r="H3" s="7">
        <f t="shared" ca="1" si="3"/>
        <v>2.5901639344262297</v>
      </c>
      <c r="I3" s="8">
        <f t="shared" si="4"/>
        <v>0.18800000000000003</v>
      </c>
      <c r="J3" s="19">
        <f t="shared" ca="1" si="5"/>
        <v>7.2676494270211833E-3</v>
      </c>
      <c r="K3" s="4">
        <f t="shared" si="6"/>
        <v>6.3400000000000034</v>
      </c>
      <c r="L3" s="4">
        <f t="shared" si="7"/>
        <v>0.7099999999999973</v>
      </c>
      <c r="M3" s="4">
        <f t="shared" si="8"/>
        <v>44.55</v>
      </c>
      <c r="N3" s="9">
        <v>1</v>
      </c>
      <c r="O3" s="10">
        <f t="shared" si="9"/>
        <v>0</v>
      </c>
      <c r="P3" s="10">
        <f t="shared" si="10"/>
        <v>0</v>
      </c>
      <c r="Q3" s="10">
        <f t="shared" si="11"/>
        <v>0</v>
      </c>
      <c r="R3" s="11" t="e">
        <f t="shared" si="12"/>
        <v>#DIV/0!</v>
      </c>
      <c r="S3" s="11" t="e">
        <f t="shared" ca="1" si="13"/>
        <v>#DIV/0!</v>
      </c>
      <c r="T3" s="57">
        <f t="shared" ca="1" si="14"/>
        <v>0</v>
      </c>
      <c r="U3" s="17" t="str">
        <f>_xll.xlqName(C3,tda)</f>
        <v>SSTK Feb 21 2020 37.5 Call</v>
      </c>
      <c r="V3" s="17"/>
      <c r="W3"/>
      <c r="X3" s="32" t="s">
        <v>30</v>
      </c>
      <c r="Y3" s="64" t="s">
        <v>29</v>
      </c>
    </row>
    <row r="4" spans="1:30" s="13" customFormat="1" ht="14.25" customHeight="1" x14ac:dyDescent="0.25">
      <c r="A4" s="3">
        <v>43882</v>
      </c>
      <c r="B4" s="4">
        <v>40</v>
      </c>
      <c r="C4" s="61" t="str">
        <f t="shared" si="0"/>
        <v>SSTK_022120C40</v>
      </c>
      <c r="D4" s="4">
        <f>_xll.xlqBid(C4,tda)</f>
        <v>5</v>
      </c>
      <c r="E4" s="4">
        <f>_xll.xlqAsk(C4,tda)</f>
        <v>5.2</v>
      </c>
      <c r="F4" s="5">
        <f t="shared" si="1"/>
        <v>5.0999999999999996</v>
      </c>
      <c r="G4" s="6">
        <f t="shared" ca="1" si="2"/>
        <v>79</v>
      </c>
      <c r="H4" s="7">
        <f t="shared" ca="1" si="3"/>
        <v>2.5901639344262297</v>
      </c>
      <c r="I4" s="8">
        <f t="shared" si="4"/>
        <v>0.1275</v>
      </c>
      <c r="J4" s="19">
        <f t="shared" ca="1" si="5"/>
        <v>1.2045752840477597E-2</v>
      </c>
      <c r="K4" s="4">
        <f t="shared" si="6"/>
        <v>3.8400000000000034</v>
      </c>
      <c r="L4" s="4">
        <f t="shared" si="7"/>
        <v>1.2599999999999962</v>
      </c>
      <c r="M4" s="4">
        <f t="shared" si="8"/>
        <v>45.1</v>
      </c>
      <c r="N4" s="9"/>
      <c r="O4" s="10">
        <f t="shared" si="9"/>
        <v>2.5</v>
      </c>
      <c r="P4" s="10">
        <f t="shared" si="10"/>
        <v>1.9500000000000011</v>
      </c>
      <c r="Q4" s="10">
        <f t="shared" si="11"/>
        <v>0.54999999999999893</v>
      </c>
      <c r="R4" s="11">
        <f t="shared" si="12"/>
        <v>0.28205128205128133</v>
      </c>
      <c r="S4" s="11">
        <f t="shared" ca="1" si="13"/>
        <v>0.32667964946445871</v>
      </c>
      <c r="T4" s="57">
        <f t="shared" ca="1" si="14"/>
        <v>6.4456530458359265E-2</v>
      </c>
      <c r="U4" s="17" t="str">
        <f>_xll.xlqName(C4,tda)</f>
        <v>SSTK Feb 21 2020 40 Call</v>
      </c>
      <c r="V4" s="17"/>
      <c r="X4" s="32" t="s">
        <v>18</v>
      </c>
      <c r="Y4" s="60">
        <f>_xll.xlqPrice(Y1,tda)</f>
        <v>43.84</v>
      </c>
    </row>
    <row r="5" spans="1:30" ht="14.25" customHeight="1" x14ac:dyDescent="0.25">
      <c r="A5" s="3">
        <v>43882</v>
      </c>
      <c r="B5" s="4">
        <v>42.5</v>
      </c>
      <c r="C5" s="61" t="str">
        <f t="shared" si="0"/>
        <v>SSTK_022120C42.5</v>
      </c>
      <c r="D5" s="4">
        <f>_xll.xlqBid(C5,tda)</f>
        <v>3.3000000000000003</v>
      </c>
      <c r="E5" s="4">
        <f>_xll.xlqAsk(C5,tda)</f>
        <v>3.6</v>
      </c>
      <c r="F5" s="5">
        <f t="shared" si="1"/>
        <v>3.45</v>
      </c>
      <c r="G5" s="6">
        <f t="shared" ca="1" si="2"/>
        <v>79</v>
      </c>
      <c r="H5" s="7">
        <f t="shared" ca="1" si="3"/>
        <v>2.5901639344262297</v>
      </c>
      <c r="I5" s="8">
        <f t="shared" si="4"/>
        <v>8.1176470588235294E-2</v>
      </c>
      <c r="J5" s="19">
        <f t="shared" ca="1" si="5"/>
        <v>1.8882984216073151E-2</v>
      </c>
      <c r="K5" s="4">
        <f t="shared" si="6"/>
        <v>1.3400000000000034</v>
      </c>
      <c r="L5" s="4">
        <f t="shared" si="7"/>
        <v>2.1099999999999968</v>
      </c>
      <c r="M5" s="4">
        <f t="shared" si="8"/>
        <v>45.95</v>
      </c>
      <c r="N5" s="9"/>
      <c r="O5" s="10">
        <f t="shared" si="9"/>
        <v>5</v>
      </c>
      <c r="P5" s="10">
        <f t="shared" si="10"/>
        <v>3.6000000000000005</v>
      </c>
      <c r="Q5" s="10">
        <f t="shared" si="11"/>
        <v>1.3999999999999995</v>
      </c>
      <c r="R5" s="11">
        <f t="shared" si="12"/>
        <v>0.38888888888888867</v>
      </c>
      <c r="S5" s="11">
        <f t="shared" ca="1" si="13"/>
        <v>0.45042194092826976</v>
      </c>
      <c r="T5" s="57">
        <f t="shared" ca="1" si="14"/>
        <v>0.15748436970648921</v>
      </c>
      <c r="U5" s="17" t="str">
        <f>_xll.xlqName(C5,tda)</f>
        <v>SSTK Feb 21 2020 42.5 Call</v>
      </c>
      <c r="V5" s="17"/>
      <c r="W5"/>
      <c r="X5" s="32" t="s">
        <v>48</v>
      </c>
      <c r="Y5" s="80">
        <v>300</v>
      </c>
    </row>
    <row r="6" spans="1:30" ht="14.25" customHeight="1" x14ac:dyDescent="0.25">
      <c r="A6" s="3">
        <v>43882</v>
      </c>
      <c r="B6" s="4">
        <v>45</v>
      </c>
      <c r="C6" s="61" t="str">
        <f t="shared" si="0"/>
        <v>SSTK_022120C45</v>
      </c>
      <c r="D6" s="4">
        <f>_xll.xlqBid(C6,tda)</f>
        <v>2.0500000000000003</v>
      </c>
      <c r="E6" s="4">
        <f>_xll.xlqAsk(C6,tda)</f>
        <v>2.25</v>
      </c>
      <c r="F6" s="5">
        <f t="shared" si="1"/>
        <v>2.1500000000000004</v>
      </c>
      <c r="G6" s="6">
        <f t="shared" ca="1" si="2"/>
        <v>79</v>
      </c>
      <c r="H6" s="7">
        <f t="shared" ca="1" si="3"/>
        <v>2.5901639344262297</v>
      </c>
      <c r="I6" s="8">
        <f t="shared" si="4"/>
        <v>4.7777777777777787E-2</v>
      </c>
      <c r="J6" s="19">
        <f t="shared" ca="1" si="5"/>
        <v>1.8182068270726548E-2</v>
      </c>
      <c r="K6" s="4">
        <f t="shared" si="6"/>
        <v>0</v>
      </c>
      <c r="L6" s="4">
        <f t="shared" si="7"/>
        <v>2.1500000000000004</v>
      </c>
      <c r="M6" s="4">
        <f t="shared" si="8"/>
        <v>47.15</v>
      </c>
      <c r="N6" s="9"/>
      <c r="O6" s="10">
        <f t="shared" si="9"/>
        <v>7.5</v>
      </c>
      <c r="P6" s="10">
        <f t="shared" si="10"/>
        <v>4.9000000000000004</v>
      </c>
      <c r="Q6" s="10">
        <f t="shared" si="11"/>
        <v>2.5999999999999996</v>
      </c>
      <c r="R6" s="11">
        <f t="shared" si="12"/>
        <v>0.53061224489795911</v>
      </c>
      <c r="S6" s="11">
        <f t="shared" ca="1" si="13"/>
        <v>0.61456987858434498</v>
      </c>
      <c r="T6" s="57">
        <f t="shared" ca="1" si="14"/>
        <v>0.28350370193455932</v>
      </c>
      <c r="U6" s="17" t="str">
        <f>_xll.xlqName(C6,tda)</f>
        <v>SSTK Feb 21 2020 45 Call</v>
      </c>
      <c r="V6" s="17"/>
      <c r="W6"/>
      <c r="X6" s="32" t="s">
        <v>92</v>
      </c>
      <c r="Y6" s="91">
        <f>SUMPRODUCT($B$2:$B$100,$N$2:$N$100)</f>
        <v>37.5</v>
      </c>
    </row>
    <row r="7" spans="1:30" s="13" customFormat="1" ht="14.25" customHeight="1" x14ac:dyDescent="0.25">
      <c r="A7" s="3">
        <v>43882</v>
      </c>
      <c r="B7" s="4">
        <v>47.5</v>
      </c>
      <c r="C7" s="61" t="str">
        <f t="shared" si="0"/>
        <v>SSTK_022120C47.5</v>
      </c>
      <c r="D7" s="4">
        <f>_xll.xlqBid(C7,tda)</f>
        <v>1.1500000000000001</v>
      </c>
      <c r="E7" s="4">
        <f>_xll.xlqAsk(C7,tda)</f>
        <v>1.35</v>
      </c>
      <c r="F7" s="5">
        <f t="shared" si="1"/>
        <v>1.25</v>
      </c>
      <c r="G7" s="6">
        <f t="shared" ca="1" si="2"/>
        <v>79</v>
      </c>
      <c r="H7" s="7">
        <f t="shared" ca="1" si="3"/>
        <v>2.5901639344262297</v>
      </c>
      <c r="I7" s="8">
        <f t="shared" si="4"/>
        <v>2.6315789473684209E-2</v>
      </c>
      <c r="J7" s="19">
        <f t="shared" ca="1" si="5"/>
        <v>1.0078964604120166E-2</v>
      </c>
      <c r="K7" s="4">
        <f t="shared" si="6"/>
        <v>0</v>
      </c>
      <c r="L7" s="4">
        <f t="shared" si="7"/>
        <v>1.25</v>
      </c>
      <c r="M7" s="4">
        <f t="shared" si="8"/>
        <v>48.75</v>
      </c>
      <c r="N7" s="9"/>
      <c r="O7" s="10">
        <f t="shared" si="9"/>
        <v>10</v>
      </c>
      <c r="P7" s="10">
        <f t="shared" si="10"/>
        <v>5.8000000000000007</v>
      </c>
      <c r="Q7" s="10">
        <f t="shared" si="11"/>
        <v>4.1999999999999993</v>
      </c>
      <c r="R7" s="11">
        <f t="shared" si="12"/>
        <v>0.72413793103448254</v>
      </c>
      <c r="S7" s="11">
        <f t="shared" ca="1" si="13"/>
        <v>0.83871671759057154</v>
      </c>
      <c r="T7" s="57">
        <f t="shared" ca="1" si="14"/>
        <v>0.4484485631595872</v>
      </c>
      <c r="U7" s="17" t="str">
        <f>_xll.xlqName(C7,tda)</f>
        <v>SSTK Feb 21 2020 47.5 Call</v>
      </c>
      <c r="V7" s="17"/>
      <c r="X7" s="32" t="s">
        <v>93</v>
      </c>
      <c r="Y7" s="91">
        <f>SUMPRODUCT($F$2:$F$100,$N$2:$N$100)</f>
        <v>7.0500000000000007</v>
      </c>
    </row>
    <row r="8" spans="1:30" s="13" customFormat="1" ht="14.25" customHeight="1" x14ac:dyDescent="0.25">
      <c r="A8" s="3">
        <v>43882</v>
      </c>
      <c r="B8" s="4">
        <v>50</v>
      </c>
      <c r="C8" s="61" t="str">
        <f t="shared" si="0"/>
        <v>SSTK_022120C50</v>
      </c>
      <c r="D8" s="4">
        <f>_xll.xlqBid(C8,tda)</f>
        <v>0.6</v>
      </c>
      <c r="E8" s="4">
        <f>_xll.xlqAsk(C8,tda)</f>
        <v>0.75</v>
      </c>
      <c r="F8" s="5">
        <f t="shared" si="1"/>
        <v>0.67500000000000004</v>
      </c>
      <c r="G8" s="6">
        <f t="shared" ca="1" si="2"/>
        <v>79</v>
      </c>
      <c r="H8" s="7">
        <f t="shared" ca="1" si="3"/>
        <v>2.5901639344262297</v>
      </c>
      <c r="I8" s="8">
        <f t="shared" si="4"/>
        <v>1.3500000000000002E-2</v>
      </c>
      <c r="J8" s="19">
        <f t="shared" ca="1" si="5"/>
        <v>5.1905822420490466E-3</v>
      </c>
      <c r="K8" s="4">
        <f t="shared" si="6"/>
        <v>0</v>
      </c>
      <c r="L8" s="4">
        <f t="shared" si="7"/>
        <v>0.67500000000000004</v>
      </c>
      <c r="M8" s="4">
        <f t="shared" si="8"/>
        <v>50.674999999999997</v>
      </c>
      <c r="N8" s="9"/>
      <c r="O8" s="10">
        <f t="shared" si="9"/>
        <v>12.5</v>
      </c>
      <c r="P8" s="10">
        <f t="shared" si="10"/>
        <v>6.3750000000000009</v>
      </c>
      <c r="Q8" s="10">
        <f t="shared" si="11"/>
        <v>6.1249999999999991</v>
      </c>
      <c r="R8" s="11">
        <f t="shared" si="12"/>
        <v>0.96078431372548989</v>
      </c>
      <c r="S8" s="11">
        <f t="shared" ca="1" si="13"/>
        <v>1.1128071481757256</v>
      </c>
      <c r="T8" s="57">
        <f t="shared" ca="1" si="14"/>
        <v>0.64541671174582549</v>
      </c>
      <c r="U8" s="17" t="str">
        <f>_xll.xlqName(C8,tda)</f>
        <v>SSTK Feb 21 2020 50 Call</v>
      </c>
      <c r="V8" s="17"/>
    </row>
    <row r="9" spans="1:30" ht="14.25" customHeight="1" x14ac:dyDescent="0.25">
      <c r="A9" s="3">
        <v>43882</v>
      </c>
      <c r="B9" s="4">
        <v>52.5</v>
      </c>
      <c r="C9" s="61" t="str">
        <f t="shared" si="0"/>
        <v>SSTK_022120C52.5</v>
      </c>
      <c r="D9" s="4">
        <f>_xll.xlqBid(C9,tda)</f>
        <v>0.3</v>
      </c>
      <c r="E9" s="4">
        <f>_xll.xlqAsk(C9,tda)</f>
        <v>0.45</v>
      </c>
      <c r="F9" s="5">
        <f t="shared" si="1"/>
        <v>0.375</v>
      </c>
      <c r="G9" s="6">
        <f t="shared" ca="1" si="2"/>
        <v>79</v>
      </c>
      <c r="H9" s="7">
        <f t="shared" ca="1" si="3"/>
        <v>2.5901639344262297</v>
      </c>
      <c r="I9" s="8">
        <f t="shared" si="4"/>
        <v>7.1428571428571426E-3</v>
      </c>
      <c r="J9" s="19">
        <f t="shared" ca="1" si="5"/>
        <v>2.7516620173153594E-3</v>
      </c>
      <c r="K9" s="4">
        <f t="shared" si="6"/>
        <v>0</v>
      </c>
      <c r="L9" s="4">
        <f t="shared" si="7"/>
        <v>0.375</v>
      </c>
      <c r="M9" s="4">
        <f t="shared" si="8"/>
        <v>52.875</v>
      </c>
      <c r="N9" s="9"/>
      <c r="O9" s="10">
        <f t="shared" si="9"/>
        <v>15</v>
      </c>
      <c r="P9" s="10">
        <f t="shared" si="10"/>
        <v>6.6750000000000007</v>
      </c>
      <c r="Q9" s="10">
        <f t="shared" si="11"/>
        <v>8.3249999999999993</v>
      </c>
      <c r="R9" s="11">
        <f t="shared" si="12"/>
        <v>1.2471910112359548</v>
      </c>
      <c r="S9" s="11">
        <f t="shared" ca="1" si="13"/>
        <v>1.4445313611150614</v>
      </c>
      <c r="T9" s="57">
        <f t="shared" ca="1" si="14"/>
        <v>0.87128237089252325</v>
      </c>
      <c r="U9" s="17" t="str">
        <f>_xll.xlqName(C9,tda)</f>
        <v>SSTK Feb 21 2020 52.5 Call</v>
      </c>
      <c r="V9" s="17"/>
      <c r="W9"/>
    </row>
    <row r="10" spans="1:30" ht="14.25" customHeight="1" x14ac:dyDescent="0.25">
      <c r="A10" s="3">
        <v>43882</v>
      </c>
      <c r="B10" s="4">
        <v>55</v>
      </c>
      <c r="C10" s="61" t="str">
        <f t="shared" si="0"/>
        <v>SSTK_022120C55</v>
      </c>
      <c r="D10" s="4">
        <f>_xll.xlqBid(C10,tda)</f>
        <v>0.1</v>
      </c>
      <c r="E10" s="4">
        <f>_xll.xlqAsk(C10,tda)</f>
        <v>0.25</v>
      </c>
      <c r="F10" s="5">
        <f t="shared" si="1"/>
        <v>0.17499999999999999</v>
      </c>
      <c r="G10" s="6">
        <f t="shared" ca="1" si="2"/>
        <v>79</v>
      </c>
      <c r="H10" s="7">
        <f t="shared" ca="1" si="3"/>
        <v>2.5901639344262297</v>
      </c>
      <c r="I10" s="8">
        <f t="shared" si="4"/>
        <v>3.1818181818181815E-3</v>
      </c>
      <c r="J10" s="19">
        <f t="shared" ca="1" si="5"/>
        <v>1.2272257267806896E-3</v>
      </c>
      <c r="K10" s="4">
        <f t="shared" si="6"/>
        <v>0</v>
      </c>
      <c r="L10" s="4">
        <f t="shared" si="7"/>
        <v>0.17499999999999999</v>
      </c>
      <c r="M10" s="4">
        <f t="shared" si="8"/>
        <v>55.174999999999997</v>
      </c>
      <c r="N10" s="9"/>
      <c r="O10" s="10">
        <f t="shared" si="9"/>
        <v>17.5</v>
      </c>
      <c r="P10" s="10">
        <f t="shared" si="10"/>
        <v>6.8750000000000009</v>
      </c>
      <c r="Q10" s="10">
        <f t="shared" si="11"/>
        <v>10.625</v>
      </c>
      <c r="R10" s="11">
        <f t="shared" si="12"/>
        <v>1.5454545454545452</v>
      </c>
      <c r="S10" s="11">
        <f t="shared" ca="1" si="13"/>
        <v>1.7899884925201377</v>
      </c>
      <c r="T10" s="57">
        <f t="shared" ca="1" si="14"/>
        <v>1.1069852023533606</v>
      </c>
      <c r="U10" s="17" t="str">
        <f>_xll.xlqName(C10,tda)</f>
        <v>SSTK Feb 21 2020 55 Call</v>
      </c>
      <c r="V10" s="17"/>
      <c r="W10"/>
    </row>
    <row r="11" spans="1:30" s="13" customFormat="1" ht="14.25" customHeight="1" x14ac:dyDescent="0.25">
      <c r="A11" s="3">
        <v>43882</v>
      </c>
      <c r="B11" s="4">
        <v>50</v>
      </c>
      <c r="C11" s="61" t="str">
        <f t="shared" si="0"/>
        <v>SSTK_022120C50</v>
      </c>
      <c r="D11" s="4">
        <f>_xll.xlqBid(C11,tda)</f>
        <v>0.6</v>
      </c>
      <c r="E11" s="4">
        <f>_xll.xlqAsk(C11,tda)</f>
        <v>0.75</v>
      </c>
      <c r="F11" s="5">
        <f t="shared" si="1"/>
        <v>0.67500000000000004</v>
      </c>
      <c r="G11" s="6">
        <f t="shared" ca="1" si="2"/>
        <v>79</v>
      </c>
      <c r="H11" s="7">
        <f t="shared" ca="1" si="3"/>
        <v>2.5901639344262297</v>
      </c>
      <c r="I11" s="8">
        <f t="shared" si="4"/>
        <v>1.3500000000000002E-2</v>
      </c>
      <c r="J11" s="19">
        <f t="shared" ca="1" si="5"/>
        <v>5.1905822420490466E-3</v>
      </c>
      <c r="K11" s="4">
        <f t="shared" si="6"/>
        <v>0</v>
      </c>
      <c r="L11" s="4">
        <f t="shared" si="7"/>
        <v>0.67500000000000004</v>
      </c>
      <c r="M11" s="4">
        <f t="shared" si="8"/>
        <v>50.674999999999997</v>
      </c>
      <c r="N11" s="9"/>
      <c r="O11" s="10">
        <f t="shared" si="9"/>
        <v>12.5</v>
      </c>
      <c r="P11" s="10">
        <f t="shared" si="10"/>
        <v>6.3750000000000009</v>
      </c>
      <c r="Q11" s="10">
        <f t="shared" si="11"/>
        <v>6.1249999999999991</v>
      </c>
      <c r="R11" s="11">
        <f t="shared" si="12"/>
        <v>0.96078431372548989</v>
      </c>
      <c r="S11" s="11">
        <f t="shared" ca="1" si="13"/>
        <v>1.1128071481757256</v>
      </c>
      <c r="T11" s="57">
        <f t="shared" ca="1" si="14"/>
        <v>0.64541671174582549</v>
      </c>
      <c r="U11" s="17" t="str">
        <f>_xll.xlqName(C11,tda)</f>
        <v>SSTK Feb 21 2020 50 Call</v>
      </c>
      <c r="V11" s="17"/>
    </row>
    <row r="12" spans="1:30" s="13" customFormat="1" ht="14.25" customHeight="1" x14ac:dyDescent="0.25">
      <c r="A12" s="3">
        <v>43882</v>
      </c>
      <c r="B12" s="4">
        <v>50</v>
      </c>
      <c r="C12" s="61" t="str">
        <f t="shared" si="0"/>
        <v>SSTK_022120C50</v>
      </c>
      <c r="D12" s="4">
        <f>_xll.xlqBid(C12,tda)</f>
        <v>0.6</v>
      </c>
      <c r="E12" s="4">
        <f>_xll.xlqAsk(C12,tda)</f>
        <v>0.75</v>
      </c>
      <c r="F12" s="5">
        <f t="shared" si="1"/>
        <v>0.67500000000000004</v>
      </c>
      <c r="G12" s="6">
        <f t="shared" ca="1" si="2"/>
        <v>79</v>
      </c>
      <c r="H12" s="7">
        <f t="shared" ca="1" si="3"/>
        <v>2.5901639344262297</v>
      </c>
      <c r="I12" s="8">
        <f t="shared" si="4"/>
        <v>1.3500000000000002E-2</v>
      </c>
      <c r="J12" s="19">
        <f t="shared" ca="1" si="5"/>
        <v>5.1905822420490466E-3</v>
      </c>
      <c r="K12" s="4">
        <f t="shared" si="6"/>
        <v>0</v>
      </c>
      <c r="L12" s="4">
        <f t="shared" si="7"/>
        <v>0.67500000000000004</v>
      </c>
      <c r="M12" s="4">
        <f t="shared" si="8"/>
        <v>50.674999999999997</v>
      </c>
      <c r="N12" s="9"/>
      <c r="O12" s="10">
        <f t="shared" si="9"/>
        <v>12.5</v>
      </c>
      <c r="P12" s="10">
        <f t="shared" si="10"/>
        <v>6.3750000000000009</v>
      </c>
      <c r="Q12" s="10">
        <f t="shared" si="11"/>
        <v>6.1249999999999991</v>
      </c>
      <c r="R12" s="11">
        <f t="shared" si="12"/>
        <v>0.96078431372548989</v>
      </c>
      <c r="S12" s="11">
        <f t="shared" ca="1" si="13"/>
        <v>1.1128071481757256</v>
      </c>
      <c r="T12" s="57">
        <f t="shared" ca="1" si="14"/>
        <v>0.64541671174582549</v>
      </c>
      <c r="U12" s="17" t="str">
        <f>_xll.xlqName(C12,tda)</f>
        <v>SSTK Feb 21 2020 50 Call</v>
      </c>
      <c r="V12" s="17"/>
    </row>
    <row r="13" spans="1:30" ht="14.25" customHeight="1" x14ac:dyDescent="0.25">
      <c r="A13" s="3">
        <v>43819</v>
      </c>
      <c r="B13" s="4">
        <v>30</v>
      </c>
      <c r="C13" s="61" t="str">
        <f t="shared" si="0"/>
        <v>SSTK_122019C30</v>
      </c>
      <c r="D13" s="4">
        <f>_xll.xlqBid(C13,tda)</f>
        <v>12.9</v>
      </c>
      <c r="E13" s="4">
        <f>_xll.xlqAsk(C13,tda)</f>
        <v>14.8</v>
      </c>
      <c r="F13" s="5">
        <f t="shared" si="1"/>
        <v>13.850000000000001</v>
      </c>
      <c r="G13" s="6">
        <f t="shared" ca="1" si="2"/>
        <v>16</v>
      </c>
      <c r="H13" s="7">
        <f t="shared" ca="1" si="3"/>
        <v>0.52459016393442626</v>
      </c>
      <c r="I13" s="8">
        <f t="shared" si="4"/>
        <v>0.46166666666666673</v>
      </c>
      <c r="J13" s="19">
        <f t="shared" ca="1" si="5"/>
        <v>6.3551264005923258E-4</v>
      </c>
      <c r="K13" s="4">
        <f t="shared" si="6"/>
        <v>13.840000000000003</v>
      </c>
      <c r="L13" s="4">
        <f t="shared" si="7"/>
        <v>9.9999999999980105E-3</v>
      </c>
      <c r="M13" s="4">
        <f t="shared" si="8"/>
        <v>43.85</v>
      </c>
      <c r="N13" s="9"/>
      <c r="O13" s="10">
        <f t="shared" si="9"/>
        <v>-7.5</v>
      </c>
      <c r="P13" s="10">
        <f t="shared" si="10"/>
        <v>-6.8000000000000007</v>
      </c>
      <c r="Q13" s="10">
        <f t="shared" si="11"/>
        <v>-0.69999999999999929</v>
      </c>
      <c r="R13" s="11">
        <f t="shared" si="12"/>
        <v>0.10294117647058812</v>
      </c>
      <c r="S13" s="11">
        <f t="shared" ca="1" si="13"/>
        <v>0.58869485294117585</v>
      </c>
      <c r="T13" s="57">
        <f t="shared" ca="1" si="14"/>
        <v>-0.52049674267100932</v>
      </c>
      <c r="U13" s="17" t="str">
        <f>_xll.xlqName(C13,tda)</f>
        <v>SSTK Dec 20 2019 30 Call</v>
      </c>
      <c r="V13" s="17"/>
      <c r="W13"/>
    </row>
    <row r="14" spans="1:30" s="13" customFormat="1" ht="14.25" customHeight="1" x14ac:dyDescent="0.25">
      <c r="A14" s="3">
        <v>43819</v>
      </c>
      <c r="B14" s="4">
        <v>30</v>
      </c>
      <c r="C14" s="61" t="str">
        <f t="shared" si="0"/>
        <v>SSTK_122019C30</v>
      </c>
      <c r="D14" s="4">
        <f>_xll.xlqBid(C14,tda)</f>
        <v>12.9</v>
      </c>
      <c r="E14" s="4">
        <f>_xll.xlqAsk(C14,tda)</f>
        <v>14.8</v>
      </c>
      <c r="F14" s="5">
        <f t="shared" si="1"/>
        <v>13.850000000000001</v>
      </c>
      <c r="G14" s="6">
        <f t="shared" ca="1" si="2"/>
        <v>16</v>
      </c>
      <c r="H14" s="7">
        <f t="shared" ca="1" si="3"/>
        <v>0.52459016393442626</v>
      </c>
      <c r="I14" s="8">
        <f t="shared" si="4"/>
        <v>0.46166666666666673</v>
      </c>
      <c r="J14" s="19">
        <f t="shared" ca="1" si="5"/>
        <v>6.3551264005923258E-4</v>
      </c>
      <c r="K14" s="4">
        <f t="shared" si="6"/>
        <v>13.840000000000003</v>
      </c>
      <c r="L14" s="4">
        <f t="shared" si="7"/>
        <v>9.9999999999980105E-3</v>
      </c>
      <c r="M14" s="4">
        <f t="shared" si="8"/>
        <v>43.85</v>
      </c>
      <c r="N14" s="9"/>
      <c r="O14" s="10">
        <f t="shared" si="9"/>
        <v>-7.5</v>
      </c>
      <c r="P14" s="10">
        <f t="shared" si="10"/>
        <v>-6.8000000000000007</v>
      </c>
      <c r="Q14" s="10">
        <f t="shared" si="11"/>
        <v>-0.69999999999999929</v>
      </c>
      <c r="R14" s="11">
        <f t="shared" si="12"/>
        <v>0.10294117647058812</v>
      </c>
      <c r="S14" s="11">
        <f t="shared" ca="1" si="13"/>
        <v>0.58869485294117585</v>
      </c>
      <c r="T14" s="57">
        <f t="shared" ca="1" si="14"/>
        <v>-0.52049674267100932</v>
      </c>
      <c r="U14" s="17" t="str">
        <f>_xll.xlqName(C14,tda)</f>
        <v>SSTK Dec 20 2019 30 Call</v>
      </c>
      <c r="V14" s="17"/>
    </row>
    <row r="15" spans="1:30" s="13" customFormat="1" ht="14.25" customHeight="1" x14ac:dyDescent="0.25">
      <c r="A15" s="3">
        <v>43819</v>
      </c>
      <c r="B15" s="4">
        <v>30</v>
      </c>
      <c r="C15" s="61" t="str">
        <f t="shared" si="0"/>
        <v>SSTK_122019C30</v>
      </c>
      <c r="D15" s="4">
        <f>_xll.xlqBid(C15,tda)</f>
        <v>12.9</v>
      </c>
      <c r="E15" s="4">
        <f>_xll.xlqAsk(C15,tda)</f>
        <v>14.8</v>
      </c>
      <c r="F15" s="5">
        <f t="shared" si="1"/>
        <v>13.850000000000001</v>
      </c>
      <c r="G15" s="6">
        <f t="shared" ca="1" si="2"/>
        <v>16</v>
      </c>
      <c r="H15" s="7">
        <f t="shared" ca="1" si="3"/>
        <v>0.52459016393442626</v>
      </c>
      <c r="I15" s="8">
        <f t="shared" si="4"/>
        <v>0.46166666666666673</v>
      </c>
      <c r="J15" s="19">
        <f t="shared" ca="1" si="5"/>
        <v>6.3551264005923258E-4</v>
      </c>
      <c r="K15" s="4">
        <f t="shared" si="6"/>
        <v>13.840000000000003</v>
      </c>
      <c r="L15" s="4">
        <f t="shared" si="7"/>
        <v>9.9999999999980105E-3</v>
      </c>
      <c r="M15" s="4">
        <f t="shared" si="8"/>
        <v>43.85</v>
      </c>
      <c r="N15" s="9"/>
      <c r="O15" s="10">
        <f t="shared" si="9"/>
        <v>-7.5</v>
      </c>
      <c r="P15" s="10">
        <f t="shared" si="10"/>
        <v>-6.8000000000000007</v>
      </c>
      <c r="Q15" s="10">
        <f t="shared" si="11"/>
        <v>-0.69999999999999929</v>
      </c>
      <c r="R15" s="11">
        <f t="shared" si="12"/>
        <v>0.10294117647058812</v>
      </c>
      <c r="S15" s="11">
        <f t="shared" ca="1" si="13"/>
        <v>0.58869485294117585</v>
      </c>
      <c r="T15" s="57">
        <f t="shared" ca="1" si="14"/>
        <v>-0.52049674267100932</v>
      </c>
      <c r="U15" s="17" t="str">
        <f>_xll.xlqName(C15,tda)</f>
        <v>SSTK Dec 20 2019 30 Call</v>
      </c>
      <c r="V15" s="17"/>
    </row>
    <row r="16" spans="1:30" s="17" customFormat="1" ht="14.25" customHeight="1" x14ac:dyDescent="0.25">
      <c r="A16" s="3">
        <v>43819</v>
      </c>
      <c r="B16" s="4">
        <v>30</v>
      </c>
      <c r="C16" s="61" t="str">
        <f t="shared" si="0"/>
        <v>SSTK_122019C30</v>
      </c>
      <c r="D16" s="4">
        <f>_xll.xlqBid(C16,tda)</f>
        <v>12.9</v>
      </c>
      <c r="E16" s="4">
        <f>_xll.xlqAsk(C16,tda)</f>
        <v>14.8</v>
      </c>
      <c r="F16" s="5">
        <f t="shared" si="1"/>
        <v>13.850000000000001</v>
      </c>
      <c r="G16" s="6">
        <f t="shared" ca="1" si="2"/>
        <v>16</v>
      </c>
      <c r="H16" s="7">
        <f t="shared" ca="1" si="3"/>
        <v>0.52459016393442626</v>
      </c>
      <c r="I16" s="8">
        <f t="shared" si="4"/>
        <v>0.46166666666666673</v>
      </c>
      <c r="J16" s="19">
        <f t="shared" ca="1" si="5"/>
        <v>6.3551264005923258E-4</v>
      </c>
      <c r="K16" s="4">
        <f t="shared" si="6"/>
        <v>13.840000000000003</v>
      </c>
      <c r="L16" s="4">
        <f t="shared" si="7"/>
        <v>9.9999999999980105E-3</v>
      </c>
      <c r="M16" s="4">
        <f t="shared" si="8"/>
        <v>43.85</v>
      </c>
      <c r="N16" s="9"/>
      <c r="O16" s="10">
        <f t="shared" si="9"/>
        <v>-7.5</v>
      </c>
      <c r="P16" s="10">
        <f t="shared" si="10"/>
        <v>-6.8000000000000007</v>
      </c>
      <c r="Q16" s="10">
        <f t="shared" si="11"/>
        <v>-0.69999999999999929</v>
      </c>
      <c r="R16" s="11">
        <f t="shared" si="12"/>
        <v>0.10294117647058812</v>
      </c>
      <c r="S16" s="11">
        <f t="shared" ca="1" si="13"/>
        <v>0.58869485294117585</v>
      </c>
      <c r="T16" s="57">
        <f t="shared" ca="1" si="14"/>
        <v>-0.52049674267100932</v>
      </c>
      <c r="U16" s="17" t="str">
        <f>_xll.xlqName(C16,tda)</f>
        <v>SSTK Dec 20 2019 30 Call</v>
      </c>
    </row>
    <row r="17" spans="1:22" s="13" customFormat="1" ht="14.25" customHeight="1" x14ac:dyDescent="0.25">
      <c r="A17" s="3">
        <v>43819</v>
      </c>
      <c r="B17" s="4">
        <v>30</v>
      </c>
      <c r="C17" s="61" t="str">
        <f t="shared" si="0"/>
        <v>SSTK_122019C30</v>
      </c>
      <c r="D17" s="4">
        <f>_xll.xlqBid(C17,tda)</f>
        <v>12.9</v>
      </c>
      <c r="E17" s="4">
        <f>_xll.xlqAsk(C17,tda)</f>
        <v>14.8</v>
      </c>
      <c r="F17" s="5">
        <f t="shared" si="1"/>
        <v>13.850000000000001</v>
      </c>
      <c r="G17" s="6">
        <f t="shared" ca="1" si="2"/>
        <v>16</v>
      </c>
      <c r="H17" s="7">
        <f t="shared" ca="1" si="3"/>
        <v>0.52459016393442626</v>
      </c>
      <c r="I17" s="8">
        <f t="shared" si="4"/>
        <v>0.46166666666666673</v>
      </c>
      <c r="J17" s="19">
        <f t="shared" ca="1" si="5"/>
        <v>6.3551264005923258E-4</v>
      </c>
      <c r="K17" s="4">
        <f t="shared" si="6"/>
        <v>13.840000000000003</v>
      </c>
      <c r="L17" s="4">
        <f t="shared" si="7"/>
        <v>9.9999999999980105E-3</v>
      </c>
      <c r="M17" s="4">
        <f t="shared" si="8"/>
        <v>43.85</v>
      </c>
      <c r="N17" s="9"/>
      <c r="O17" s="10">
        <f t="shared" si="9"/>
        <v>-7.5</v>
      </c>
      <c r="P17" s="10">
        <f t="shared" si="10"/>
        <v>-6.8000000000000007</v>
      </c>
      <c r="Q17" s="10">
        <f t="shared" si="11"/>
        <v>-0.69999999999999929</v>
      </c>
      <c r="R17" s="11">
        <f t="shared" si="12"/>
        <v>0.10294117647058812</v>
      </c>
      <c r="S17" s="11">
        <f t="shared" ca="1" si="13"/>
        <v>0.58869485294117585</v>
      </c>
      <c r="T17" s="57">
        <f t="shared" ca="1" si="14"/>
        <v>-0.52049674267100932</v>
      </c>
      <c r="U17" s="17" t="str">
        <f>_xll.xlqName(C17,tda)</f>
        <v>SSTK Dec 20 2019 30 Call</v>
      </c>
      <c r="V17" s="17"/>
    </row>
    <row r="18" spans="1:22" s="17" customFormat="1" ht="14.25" customHeight="1" x14ac:dyDescent="0.25">
      <c r="A18" s="3">
        <v>43819</v>
      </c>
      <c r="B18" s="4">
        <v>30</v>
      </c>
      <c r="C18" s="61" t="str">
        <f t="shared" si="0"/>
        <v>SSTK_122019C30</v>
      </c>
      <c r="D18" s="4">
        <f>_xll.xlqBid(C18,tda)</f>
        <v>12.9</v>
      </c>
      <c r="E18" s="4">
        <f>_xll.xlqAsk(C18,tda)</f>
        <v>14.8</v>
      </c>
      <c r="F18" s="5">
        <f t="shared" si="1"/>
        <v>13.850000000000001</v>
      </c>
      <c r="G18" s="6">
        <f t="shared" ca="1" si="2"/>
        <v>16</v>
      </c>
      <c r="H18" s="7">
        <f t="shared" ca="1" si="3"/>
        <v>0.52459016393442626</v>
      </c>
      <c r="I18" s="8">
        <f t="shared" si="4"/>
        <v>0.46166666666666673</v>
      </c>
      <c r="J18" s="19">
        <f t="shared" ca="1" si="5"/>
        <v>6.3551264005923258E-4</v>
      </c>
      <c r="K18" s="4">
        <f t="shared" si="6"/>
        <v>13.840000000000003</v>
      </c>
      <c r="L18" s="4">
        <f t="shared" si="7"/>
        <v>9.9999999999980105E-3</v>
      </c>
      <c r="M18" s="4">
        <f t="shared" si="8"/>
        <v>43.85</v>
      </c>
      <c r="N18" s="9"/>
      <c r="O18" s="10">
        <f t="shared" si="9"/>
        <v>-7.5</v>
      </c>
      <c r="P18" s="10">
        <f t="shared" si="10"/>
        <v>-6.8000000000000007</v>
      </c>
      <c r="Q18" s="10">
        <f t="shared" si="11"/>
        <v>-0.69999999999999929</v>
      </c>
      <c r="R18" s="11">
        <f t="shared" si="12"/>
        <v>0.10294117647058812</v>
      </c>
      <c r="S18" s="11">
        <f t="shared" ca="1" si="13"/>
        <v>0.58869485294117585</v>
      </c>
      <c r="T18" s="57">
        <f t="shared" ca="1" si="14"/>
        <v>-0.52049674267100932</v>
      </c>
      <c r="U18" s="17" t="str">
        <f>_xll.xlqName(C18,tda)</f>
        <v>SSTK Dec 20 2019 30 Call</v>
      </c>
    </row>
    <row r="19" spans="1:22" s="17" customFormat="1" ht="14.25" customHeight="1" x14ac:dyDescent="0.25">
      <c r="A19" s="3">
        <v>43819</v>
      </c>
      <c r="B19" s="4">
        <v>30</v>
      </c>
      <c r="C19" s="61" t="str">
        <f t="shared" si="0"/>
        <v>SSTK_122019C30</v>
      </c>
      <c r="D19" s="4">
        <f>_xll.xlqBid(C19,tda)</f>
        <v>12.9</v>
      </c>
      <c r="E19" s="4">
        <f>_xll.xlqAsk(C19,tda)</f>
        <v>14.8</v>
      </c>
      <c r="F19" s="5">
        <f t="shared" si="1"/>
        <v>13.850000000000001</v>
      </c>
      <c r="G19" s="6">
        <f t="shared" ca="1" si="2"/>
        <v>16</v>
      </c>
      <c r="H19" s="7">
        <f t="shared" ca="1" si="3"/>
        <v>0.52459016393442626</v>
      </c>
      <c r="I19" s="8">
        <f t="shared" si="4"/>
        <v>0.46166666666666673</v>
      </c>
      <c r="J19" s="19">
        <f t="shared" ca="1" si="5"/>
        <v>6.3551264005923258E-4</v>
      </c>
      <c r="K19" s="4">
        <f t="shared" si="6"/>
        <v>13.840000000000003</v>
      </c>
      <c r="L19" s="4">
        <f t="shared" si="7"/>
        <v>9.9999999999980105E-3</v>
      </c>
      <c r="M19" s="4">
        <f t="shared" si="8"/>
        <v>43.85</v>
      </c>
      <c r="N19" s="9"/>
      <c r="O19" s="10">
        <f t="shared" si="9"/>
        <v>-7.5</v>
      </c>
      <c r="P19" s="10">
        <f t="shared" si="10"/>
        <v>-6.8000000000000007</v>
      </c>
      <c r="Q19" s="10">
        <f t="shared" si="11"/>
        <v>-0.69999999999999929</v>
      </c>
      <c r="R19" s="11">
        <f t="shared" si="12"/>
        <v>0.10294117647058812</v>
      </c>
      <c r="S19" s="11">
        <f t="shared" ca="1" si="13"/>
        <v>0.58869485294117585</v>
      </c>
      <c r="T19" s="57">
        <f t="shared" ca="1" si="14"/>
        <v>-0.52049674267100932</v>
      </c>
      <c r="U19" s="17" t="str">
        <f>_xll.xlqName(C19,tda)</f>
        <v>SSTK Dec 20 2019 30 Call</v>
      </c>
    </row>
    <row r="20" spans="1:22" s="17" customFormat="1" ht="14.25" customHeight="1" x14ac:dyDescent="0.25">
      <c r="A20" s="3">
        <v>43819</v>
      </c>
      <c r="B20" s="4">
        <v>30</v>
      </c>
      <c r="C20" s="61" t="str">
        <f t="shared" si="0"/>
        <v>SSTK_122019C30</v>
      </c>
      <c r="D20" s="4">
        <f>_xll.xlqBid(C20,tda)</f>
        <v>12.9</v>
      </c>
      <c r="E20" s="4">
        <f>_xll.xlqAsk(C20,tda)</f>
        <v>14.8</v>
      </c>
      <c r="F20" s="5">
        <f t="shared" si="1"/>
        <v>13.850000000000001</v>
      </c>
      <c r="G20" s="6">
        <f t="shared" ca="1" si="2"/>
        <v>16</v>
      </c>
      <c r="H20" s="7">
        <f t="shared" ca="1" si="3"/>
        <v>0.52459016393442626</v>
      </c>
      <c r="I20" s="8">
        <f t="shared" si="4"/>
        <v>0.46166666666666673</v>
      </c>
      <c r="J20" s="19">
        <f t="shared" ca="1" si="5"/>
        <v>6.3551264005923258E-4</v>
      </c>
      <c r="K20" s="4">
        <f t="shared" si="6"/>
        <v>13.840000000000003</v>
      </c>
      <c r="L20" s="4">
        <f t="shared" si="7"/>
        <v>9.9999999999980105E-3</v>
      </c>
      <c r="M20" s="4">
        <f t="shared" si="8"/>
        <v>43.85</v>
      </c>
      <c r="N20" s="9"/>
      <c r="O20" s="10">
        <f t="shared" si="9"/>
        <v>-7.5</v>
      </c>
      <c r="P20" s="10">
        <f t="shared" si="10"/>
        <v>-6.8000000000000007</v>
      </c>
      <c r="Q20" s="10">
        <f t="shared" si="11"/>
        <v>-0.69999999999999929</v>
      </c>
      <c r="R20" s="11">
        <f t="shared" si="12"/>
        <v>0.10294117647058812</v>
      </c>
      <c r="S20" s="11">
        <f t="shared" ca="1" si="13"/>
        <v>0.58869485294117585</v>
      </c>
      <c r="T20" s="57">
        <f t="shared" ca="1" si="14"/>
        <v>-0.52049674267100932</v>
      </c>
      <c r="U20" s="17" t="str">
        <f>_xll.xlqName(C20,tda)</f>
        <v>SSTK Dec 20 2019 30 Call</v>
      </c>
    </row>
    <row r="21" spans="1:22" s="17" customFormat="1" ht="14.25" customHeight="1" x14ac:dyDescent="0.25">
      <c r="A21" s="3">
        <v>43819</v>
      </c>
      <c r="B21" s="4">
        <v>30</v>
      </c>
      <c r="C21" s="61" t="str">
        <f t="shared" si="0"/>
        <v>SSTK_122019C30</v>
      </c>
      <c r="D21" s="4">
        <f>_xll.xlqBid(C21,tda)</f>
        <v>12.9</v>
      </c>
      <c r="E21" s="4">
        <f>_xll.xlqAsk(C21,tda)</f>
        <v>14.8</v>
      </c>
      <c r="F21" s="5">
        <f t="shared" si="1"/>
        <v>13.850000000000001</v>
      </c>
      <c r="G21" s="6">
        <f t="shared" ca="1" si="2"/>
        <v>16</v>
      </c>
      <c r="H21" s="7">
        <f t="shared" ca="1" si="3"/>
        <v>0.52459016393442626</v>
      </c>
      <c r="I21" s="8">
        <f t="shared" si="4"/>
        <v>0.46166666666666673</v>
      </c>
      <c r="J21" s="19">
        <f t="shared" ca="1" si="5"/>
        <v>6.3551264005923258E-4</v>
      </c>
      <c r="K21" s="4">
        <f t="shared" si="6"/>
        <v>13.840000000000003</v>
      </c>
      <c r="L21" s="4">
        <f t="shared" si="7"/>
        <v>9.9999999999980105E-3</v>
      </c>
      <c r="M21" s="4">
        <f t="shared" si="8"/>
        <v>43.85</v>
      </c>
      <c r="N21" s="9"/>
      <c r="O21" s="10">
        <f t="shared" si="9"/>
        <v>-7.5</v>
      </c>
      <c r="P21" s="10">
        <f t="shared" si="10"/>
        <v>-6.8000000000000007</v>
      </c>
      <c r="Q21" s="10">
        <f t="shared" si="11"/>
        <v>-0.69999999999999929</v>
      </c>
      <c r="R21" s="11">
        <f t="shared" si="12"/>
        <v>0.10294117647058812</v>
      </c>
      <c r="S21" s="11">
        <f t="shared" ca="1" si="13"/>
        <v>0.58869485294117585</v>
      </c>
      <c r="T21" s="57">
        <f t="shared" ca="1" si="14"/>
        <v>-0.52049674267100932</v>
      </c>
      <c r="U21" s="17" t="str">
        <f>_xll.xlqName(C21,tda)</f>
        <v>SSTK Dec 20 2019 30 Call</v>
      </c>
    </row>
    <row r="22" spans="1:22" s="17" customFormat="1" ht="14.25" customHeight="1" x14ac:dyDescent="0.25">
      <c r="A22" s="3">
        <v>43819</v>
      </c>
      <c r="B22" s="4">
        <v>30</v>
      </c>
      <c r="C22" s="61" t="str">
        <f t="shared" si="0"/>
        <v>SSTK_122019C30</v>
      </c>
      <c r="D22" s="4">
        <f>_xll.xlqBid(C22,tda)</f>
        <v>12.9</v>
      </c>
      <c r="E22" s="4">
        <f>_xll.xlqAsk(C22,tda)</f>
        <v>14.8</v>
      </c>
      <c r="F22" s="5">
        <f t="shared" si="1"/>
        <v>13.850000000000001</v>
      </c>
      <c r="G22" s="6">
        <f t="shared" ca="1" si="2"/>
        <v>16</v>
      </c>
      <c r="H22" s="7">
        <f t="shared" ca="1" si="3"/>
        <v>0.52459016393442626</v>
      </c>
      <c r="I22" s="8">
        <f t="shared" si="4"/>
        <v>0.46166666666666673</v>
      </c>
      <c r="J22" s="19">
        <f t="shared" ca="1" si="5"/>
        <v>6.3551264005923258E-4</v>
      </c>
      <c r="K22" s="4">
        <f t="shared" si="6"/>
        <v>13.840000000000003</v>
      </c>
      <c r="L22" s="4">
        <f t="shared" si="7"/>
        <v>9.9999999999980105E-3</v>
      </c>
      <c r="M22" s="4">
        <f t="shared" si="8"/>
        <v>43.85</v>
      </c>
      <c r="N22" s="9"/>
      <c r="O22" s="10">
        <f t="shared" si="9"/>
        <v>-7.5</v>
      </c>
      <c r="P22" s="10">
        <f t="shared" si="10"/>
        <v>-6.8000000000000007</v>
      </c>
      <c r="Q22" s="10">
        <f t="shared" si="11"/>
        <v>-0.69999999999999929</v>
      </c>
      <c r="R22" s="11">
        <f t="shared" si="12"/>
        <v>0.10294117647058812</v>
      </c>
      <c r="S22" s="11">
        <f t="shared" ca="1" si="13"/>
        <v>0.58869485294117585</v>
      </c>
      <c r="T22" s="57">
        <f t="shared" ca="1" si="14"/>
        <v>-0.52049674267100932</v>
      </c>
      <c r="U22" s="17" t="str">
        <f>_xll.xlqName(C22,tda)</f>
        <v>SSTK Dec 20 2019 30 Call</v>
      </c>
    </row>
    <row r="23" spans="1:22" s="17" customFormat="1" ht="14.25" customHeight="1" x14ac:dyDescent="0.25">
      <c r="A23" s="3">
        <v>43819</v>
      </c>
      <c r="B23" s="4">
        <v>30</v>
      </c>
      <c r="C23" s="61" t="str">
        <f t="shared" si="0"/>
        <v>SSTK_122019C30</v>
      </c>
      <c r="D23" s="4">
        <f>_xll.xlqBid(C23,tda)</f>
        <v>12.9</v>
      </c>
      <c r="E23" s="4">
        <f>_xll.xlqAsk(C23,tda)</f>
        <v>14.8</v>
      </c>
      <c r="F23" s="5">
        <f t="shared" si="1"/>
        <v>13.850000000000001</v>
      </c>
      <c r="G23" s="6">
        <f t="shared" ca="1" si="2"/>
        <v>16</v>
      </c>
      <c r="H23" s="7">
        <f t="shared" ca="1" si="3"/>
        <v>0.52459016393442626</v>
      </c>
      <c r="I23" s="8">
        <f t="shared" si="4"/>
        <v>0.46166666666666673</v>
      </c>
      <c r="J23" s="19">
        <f t="shared" ca="1" si="5"/>
        <v>6.3551264005923258E-4</v>
      </c>
      <c r="K23" s="4">
        <f t="shared" si="6"/>
        <v>13.840000000000003</v>
      </c>
      <c r="L23" s="4">
        <f t="shared" si="7"/>
        <v>9.9999999999980105E-3</v>
      </c>
      <c r="M23" s="4">
        <f t="shared" si="8"/>
        <v>43.85</v>
      </c>
      <c r="N23" s="9"/>
      <c r="O23" s="10">
        <f t="shared" si="9"/>
        <v>-7.5</v>
      </c>
      <c r="P23" s="10">
        <f t="shared" si="10"/>
        <v>-6.8000000000000007</v>
      </c>
      <c r="Q23" s="10">
        <f t="shared" si="11"/>
        <v>-0.69999999999999929</v>
      </c>
      <c r="R23" s="11">
        <f t="shared" si="12"/>
        <v>0.10294117647058812</v>
      </c>
      <c r="S23" s="11">
        <f t="shared" ca="1" si="13"/>
        <v>0.58869485294117585</v>
      </c>
      <c r="T23" s="57">
        <f t="shared" ca="1" si="14"/>
        <v>-0.52049674267100932</v>
      </c>
      <c r="U23" s="17" t="str">
        <f>_xll.xlqName(C23,tda)</f>
        <v>SSTK Dec 20 2019 30 Call</v>
      </c>
    </row>
    <row r="24" spans="1:22" s="17" customFormat="1" ht="14.25" customHeight="1" x14ac:dyDescent="0.25">
      <c r="A24" s="3">
        <v>43819</v>
      </c>
      <c r="B24" s="4">
        <v>30</v>
      </c>
      <c r="C24" s="61" t="str">
        <f t="shared" si="0"/>
        <v>SSTK_122019C30</v>
      </c>
      <c r="D24" s="4">
        <f>_xll.xlqBid(C24,tda)</f>
        <v>12.9</v>
      </c>
      <c r="E24" s="4">
        <f>_xll.xlqAsk(C24,tda)</f>
        <v>14.8</v>
      </c>
      <c r="F24" s="5">
        <f t="shared" si="1"/>
        <v>13.850000000000001</v>
      </c>
      <c r="G24" s="6">
        <f t="shared" ca="1" si="2"/>
        <v>16</v>
      </c>
      <c r="H24" s="7">
        <f t="shared" ca="1" si="3"/>
        <v>0.52459016393442626</v>
      </c>
      <c r="I24" s="8">
        <f t="shared" si="4"/>
        <v>0.46166666666666673</v>
      </c>
      <c r="J24" s="19">
        <f t="shared" ca="1" si="5"/>
        <v>6.3551264005923258E-4</v>
      </c>
      <c r="K24" s="4">
        <f t="shared" si="6"/>
        <v>13.840000000000003</v>
      </c>
      <c r="L24" s="4">
        <f t="shared" si="7"/>
        <v>9.9999999999980105E-3</v>
      </c>
      <c r="M24" s="4">
        <f t="shared" si="8"/>
        <v>43.85</v>
      </c>
      <c r="N24" s="9"/>
      <c r="O24" s="10">
        <f t="shared" si="9"/>
        <v>-7.5</v>
      </c>
      <c r="P24" s="10">
        <f t="shared" si="10"/>
        <v>-6.8000000000000007</v>
      </c>
      <c r="Q24" s="10">
        <f t="shared" si="11"/>
        <v>-0.69999999999999929</v>
      </c>
      <c r="R24" s="11">
        <f t="shared" si="12"/>
        <v>0.10294117647058812</v>
      </c>
      <c r="S24" s="11">
        <f t="shared" ca="1" si="13"/>
        <v>0.58869485294117585</v>
      </c>
      <c r="T24" s="57">
        <f t="shared" ca="1" si="14"/>
        <v>-0.52049674267100932</v>
      </c>
      <c r="U24" s="17" t="str">
        <f>_xll.xlqName(C24,tda)</f>
        <v>SSTK Dec 20 2019 30 Call</v>
      </c>
    </row>
    <row r="25" spans="1:22" s="17" customFormat="1" ht="14.25" customHeight="1" x14ac:dyDescent="0.25">
      <c r="A25" s="3">
        <v>43819</v>
      </c>
      <c r="B25" s="4">
        <v>30</v>
      </c>
      <c r="C25" s="61" t="str">
        <f t="shared" si="0"/>
        <v>SSTK_122019C30</v>
      </c>
      <c r="D25" s="4">
        <f>_xll.xlqBid(C25,tda)</f>
        <v>12.9</v>
      </c>
      <c r="E25" s="4">
        <f>_xll.xlqAsk(C25,tda)</f>
        <v>14.8</v>
      </c>
      <c r="F25" s="5">
        <f t="shared" si="1"/>
        <v>13.850000000000001</v>
      </c>
      <c r="G25" s="6">
        <f t="shared" ca="1" si="2"/>
        <v>16</v>
      </c>
      <c r="H25" s="7">
        <f t="shared" ca="1" si="3"/>
        <v>0.52459016393442626</v>
      </c>
      <c r="I25" s="8">
        <f t="shared" si="4"/>
        <v>0.46166666666666673</v>
      </c>
      <c r="J25" s="19">
        <f t="shared" ca="1" si="5"/>
        <v>6.3551264005923258E-4</v>
      </c>
      <c r="K25" s="4">
        <f t="shared" si="6"/>
        <v>13.840000000000003</v>
      </c>
      <c r="L25" s="4">
        <f t="shared" si="7"/>
        <v>9.9999999999980105E-3</v>
      </c>
      <c r="M25" s="4">
        <f t="shared" si="8"/>
        <v>43.85</v>
      </c>
      <c r="N25" s="9"/>
      <c r="O25" s="10">
        <f t="shared" si="9"/>
        <v>-7.5</v>
      </c>
      <c r="P25" s="10">
        <f t="shared" si="10"/>
        <v>-6.8000000000000007</v>
      </c>
      <c r="Q25" s="10">
        <f t="shared" si="11"/>
        <v>-0.69999999999999929</v>
      </c>
      <c r="R25" s="11">
        <f t="shared" si="12"/>
        <v>0.10294117647058812</v>
      </c>
      <c r="S25" s="11">
        <f t="shared" ca="1" si="13"/>
        <v>0.58869485294117585</v>
      </c>
      <c r="T25" s="57">
        <f t="shared" ca="1" si="14"/>
        <v>-0.52049674267100932</v>
      </c>
      <c r="U25" s="17" t="str">
        <f>_xll.xlqName(C25,tda)</f>
        <v>SSTK Dec 20 2019 30 Call</v>
      </c>
    </row>
    <row r="26" spans="1:22" s="17" customFormat="1" ht="14.25" customHeight="1" x14ac:dyDescent="0.25">
      <c r="A26" s="3">
        <v>43819</v>
      </c>
      <c r="B26" s="4">
        <v>30</v>
      </c>
      <c r="C26" s="61" t="str">
        <f t="shared" si="0"/>
        <v>SSTK_122019C30</v>
      </c>
      <c r="D26" s="4">
        <f>_xll.xlqBid(C26,tda)</f>
        <v>12.9</v>
      </c>
      <c r="E26" s="4">
        <f>_xll.xlqAsk(C26,tda)</f>
        <v>14.8</v>
      </c>
      <c r="F26" s="5">
        <f t="shared" si="1"/>
        <v>13.850000000000001</v>
      </c>
      <c r="G26" s="6">
        <f t="shared" ca="1" si="2"/>
        <v>16</v>
      </c>
      <c r="H26" s="7">
        <f t="shared" ca="1" si="3"/>
        <v>0.52459016393442626</v>
      </c>
      <c r="I26" s="8">
        <f t="shared" si="4"/>
        <v>0.46166666666666673</v>
      </c>
      <c r="J26" s="19">
        <f t="shared" ca="1" si="5"/>
        <v>6.3551264005923258E-4</v>
      </c>
      <c r="K26" s="4">
        <f t="shared" si="6"/>
        <v>13.840000000000003</v>
      </c>
      <c r="L26" s="4">
        <f t="shared" si="7"/>
        <v>9.9999999999980105E-3</v>
      </c>
      <c r="M26" s="4">
        <f t="shared" si="8"/>
        <v>43.85</v>
      </c>
      <c r="N26" s="9"/>
      <c r="O26" s="10">
        <f t="shared" si="9"/>
        <v>-7.5</v>
      </c>
      <c r="P26" s="10">
        <f t="shared" si="10"/>
        <v>-6.8000000000000007</v>
      </c>
      <c r="Q26" s="10">
        <f t="shared" si="11"/>
        <v>-0.69999999999999929</v>
      </c>
      <c r="R26" s="11">
        <f t="shared" si="12"/>
        <v>0.10294117647058812</v>
      </c>
      <c r="S26" s="11">
        <f t="shared" ca="1" si="13"/>
        <v>0.58869485294117585</v>
      </c>
      <c r="T26" s="57">
        <f t="shared" ca="1" si="14"/>
        <v>-0.52049674267100932</v>
      </c>
      <c r="U26" s="17" t="str">
        <f>_xll.xlqName(C26,tda)</f>
        <v>SSTK Dec 20 2019 30 Call</v>
      </c>
    </row>
    <row r="27" spans="1:22" s="17" customFormat="1" ht="14.25" customHeight="1" x14ac:dyDescent="0.25">
      <c r="A27" s="3">
        <v>43819</v>
      </c>
      <c r="B27" s="4">
        <v>30</v>
      </c>
      <c r="C27" s="61" t="str">
        <f t="shared" si="0"/>
        <v>SSTK_122019C30</v>
      </c>
      <c r="D27" s="4">
        <f>_xll.xlqBid(C27,tda)</f>
        <v>12.9</v>
      </c>
      <c r="E27" s="4">
        <f>_xll.xlqAsk(C27,tda)</f>
        <v>14.8</v>
      </c>
      <c r="F27" s="5">
        <f t="shared" si="1"/>
        <v>13.850000000000001</v>
      </c>
      <c r="G27" s="6">
        <f t="shared" ca="1" si="2"/>
        <v>16</v>
      </c>
      <c r="H27" s="7">
        <f t="shared" ca="1" si="3"/>
        <v>0.52459016393442626</v>
      </c>
      <c r="I27" s="8">
        <f t="shared" si="4"/>
        <v>0.46166666666666673</v>
      </c>
      <c r="J27" s="19">
        <f t="shared" ca="1" si="5"/>
        <v>6.3551264005923258E-4</v>
      </c>
      <c r="K27" s="4">
        <f t="shared" si="6"/>
        <v>13.840000000000003</v>
      </c>
      <c r="L27" s="4">
        <f t="shared" si="7"/>
        <v>9.9999999999980105E-3</v>
      </c>
      <c r="M27" s="4">
        <f t="shared" si="8"/>
        <v>43.85</v>
      </c>
      <c r="N27" s="9"/>
      <c r="O27" s="10">
        <f t="shared" si="9"/>
        <v>-7.5</v>
      </c>
      <c r="P27" s="10">
        <f t="shared" si="10"/>
        <v>-6.8000000000000007</v>
      </c>
      <c r="Q27" s="10">
        <f t="shared" si="11"/>
        <v>-0.69999999999999929</v>
      </c>
      <c r="R27" s="11">
        <f t="shared" si="12"/>
        <v>0.10294117647058812</v>
      </c>
      <c r="S27" s="11">
        <f t="shared" ca="1" si="13"/>
        <v>0.58869485294117585</v>
      </c>
      <c r="T27" s="57">
        <f t="shared" ca="1" si="14"/>
        <v>-0.52049674267100932</v>
      </c>
      <c r="U27" s="17" t="str">
        <f>_xll.xlqName(C27,tda)</f>
        <v>SSTK Dec 20 2019 30 Call</v>
      </c>
    </row>
    <row r="28" spans="1:22" s="17" customFormat="1" ht="14.25" customHeight="1" x14ac:dyDescent="0.25">
      <c r="A28" s="3">
        <v>43819</v>
      </c>
      <c r="B28" s="4">
        <v>30</v>
      </c>
      <c r="C28" s="61" t="str">
        <f t="shared" si="0"/>
        <v>SSTK_122019C30</v>
      </c>
      <c r="D28" s="4">
        <f>_xll.xlqBid(C28,tda)</f>
        <v>12.9</v>
      </c>
      <c r="E28" s="4">
        <f>_xll.xlqAsk(C28,tda)</f>
        <v>14.8</v>
      </c>
      <c r="F28" s="5">
        <f t="shared" si="1"/>
        <v>13.850000000000001</v>
      </c>
      <c r="G28" s="6">
        <f t="shared" ca="1" si="2"/>
        <v>16</v>
      </c>
      <c r="H28" s="7">
        <f t="shared" ca="1" si="3"/>
        <v>0.52459016393442626</v>
      </c>
      <c r="I28" s="8">
        <f t="shared" si="4"/>
        <v>0.46166666666666673</v>
      </c>
      <c r="J28" s="19">
        <f t="shared" ca="1" si="5"/>
        <v>6.3551264005923258E-4</v>
      </c>
      <c r="K28" s="4">
        <f t="shared" si="6"/>
        <v>13.840000000000003</v>
      </c>
      <c r="L28" s="4">
        <f t="shared" si="7"/>
        <v>9.9999999999980105E-3</v>
      </c>
      <c r="M28" s="4">
        <f t="shared" si="8"/>
        <v>43.85</v>
      </c>
      <c r="N28" s="9"/>
      <c r="O28" s="10">
        <f t="shared" si="9"/>
        <v>-7.5</v>
      </c>
      <c r="P28" s="10">
        <f t="shared" si="10"/>
        <v>-6.8000000000000007</v>
      </c>
      <c r="Q28" s="10">
        <f t="shared" si="11"/>
        <v>-0.69999999999999929</v>
      </c>
      <c r="R28" s="11">
        <f t="shared" si="12"/>
        <v>0.10294117647058812</v>
      </c>
      <c r="S28" s="11">
        <f t="shared" ca="1" si="13"/>
        <v>0.58869485294117585</v>
      </c>
      <c r="T28" s="57">
        <f t="shared" ca="1" si="14"/>
        <v>-0.52049674267100932</v>
      </c>
      <c r="U28" s="17" t="str">
        <f>_xll.xlqName(C28,tda)</f>
        <v>SSTK Dec 20 2019 30 Call</v>
      </c>
    </row>
    <row r="29" spans="1:22" s="13" customFormat="1" ht="14.25" customHeight="1" x14ac:dyDescent="0.25">
      <c r="A29" s="3">
        <v>43819</v>
      </c>
      <c r="B29" s="4">
        <v>30</v>
      </c>
      <c r="C29" s="61" t="str">
        <f t="shared" si="0"/>
        <v>SSTK_122019C30</v>
      </c>
      <c r="D29" s="4">
        <f>_xll.xlqBid(C29,tda)</f>
        <v>12.9</v>
      </c>
      <c r="E29" s="4">
        <f>_xll.xlqAsk(C29,tda)</f>
        <v>14.8</v>
      </c>
      <c r="F29" s="5">
        <f t="shared" si="1"/>
        <v>13.850000000000001</v>
      </c>
      <c r="G29" s="6">
        <f t="shared" ca="1" si="2"/>
        <v>16</v>
      </c>
      <c r="H29" s="7">
        <f t="shared" ca="1" si="3"/>
        <v>0.52459016393442626</v>
      </c>
      <c r="I29" s="8">
        <f t="shared" si="4"/>
        <v>0.46166666666666673</v>
      </c>
      <c r="J29" s="19">
        <f t="shared" ca="1" si="5"/>
        <v>6.3551264005923258E-4</v>
      </c>
      <c r="K29" s="4">
        <f t="shared" si="6"/>
        <v>13.840000000000003</v>
      </c>
      <c r="L29" s="4">
        <f t="shared" si="7"/>
        <v>9.9999999999980105E-3</v>
      </c>
      <c r="M29" s="4">
        <f t="shared" si="8"/>
        <v>43.85</v>
      </c>
      <c r="N29" s="9"/>
      <c r="O29" s="10">
        <f t="shared" si="9"/>
        <v>-7.5</v>
      </c>
      <c r="P29" s="10">
        <f t="shared" si="10"/>
        <v>-6.8000000000000007</v>
      </c>
      <c r="Q29" s="10">
        <f t="shared" si="11"/>
        <v>-0.69999999999999929</v>
      </c>
      <c r="R29" s="11">
        <f t="shared" si="12"/>
        <v>0.10294117647058812</v>
      </c>
      <c r="S29" s="11">
        <f t="shared" ca="1" si="13"/>
        <v>0.58869485294117585</v>
      </c>
      <c r="T29" s="57">
        <f t="shared" ca="1" si="14"/>
        <v>-0.52049674267100932</v>
      </c>
      <c r="U29" s="17" t="str">
        <f>_xll.xlqName(C29,tda)</f>
        <v>SSTK Dec 20 2019 30 Call</v>
      </c>
      <c r="V29" s="17"/>
    </row>
    <row r="30" spans="1:22" s="17" customFormat="1" ht="14.25" customHeight="1" x14ac:dyDescent="0.25">
      <c r="A30" s="3">
        <v>43819</v>
      </c>
      <c r="B30" s="4">
        <v>30</v>
      </c>
      <c r="C30" s="61" t="str">
        <f t="shared" si="0"/>
        <v>SSTK_122019C30</v>
      </c>
      <c r="D30" s="4">
        <f>_xll.xlqBid(C30,tda)</f>
        <v>12.9</v>
      </c>
      <c r="E30" s="4">
        <f>_xll.xlqAsk(C30,tda)</f>
        <v>14.8</v>
      </c>
      <c r="F30" s="5">
        <f t="shared" si="1"/>
        <v>13.850000000000001</v>
      </c>
      <c r="G30" s="6">
        <f t="shared" ca="1" si="2"/>
        <v>16</v>
      </c>
      <c r="H30" s="7">
        <f t="shared" ca="1" si="3"/>
        <v>0.52459016393442626</v>
      </c>
      <c r="I30" s="8">
        <f t="shared" si="4"/>
        <v>0.46166666666666673</v>
      </c>
      <c r="J30" s="19">
        <f t="shared" ca="1" si="5"/>
        <v>6.3551264005923258E-4</v>
      </c>
      <c r="K30" s="4">
        <f t="shared" si="6"/>
        <v>13.840000000000003</v>
      </c>
      <c r="L30" s="4">
        <f t="shared" si="7"/>
        <v>9.9999999999980105E-3</v>
      </c>
      <c r="M30" s="4">
        <f t="shared" si="8"/>
        <v>43.85</v>
      </c>
      <c r="N30" s="9"/>
      <c r="O30" s="10">
        <f t="shared" si="9"/>
        <v>-7.5</v>
      </c>
      <c r="P30" s="10">
        <f t="shared" si="10"/>
        <v>-6.8000000000000007</v>
      </c>
      <c r="Q30" s="10">
        <f t="shared" si="11"/>
        <v>-0.69999999999999929</v>
      </c>
      <c r="R30" s="11">
        <f t="shared" si="12"/>
        <v>0.10294117647058812</v>
      </c>
      <c r="S30" s="11">
        <f t="shared" ca="1" si="13"/>
        <v>0.58869485294117585</v>
      </c>
      <c r="T30" s="57">
        <f t="shared" ca="1" si="14"/>
        <v>-0.52049674267100932</v>
      </c>
      <c r="U30" s="17" t="str">
        <f>_xll.xlqName(C30,tda)</f>
        <v>SSTK Dec 20 2019 30 Call</v>
      </c>
    </row>
    <row r="31" spans="1:22" s="17" customFormat="1" ht="14.25" customHeight="1" x14ac:dyDescent="0.25">
      <c r="A31" s="3">
        <v>43819</v>
      </c>
      <c r="B31" s="4">
        <v>30</v>
      </c>
      <c r="C31" s="61" t="str">
        <f t="shared" si="0"/>
        <v>SSTK_122019C30</v>
      </c>
      <c r="D31" s="4">
        <f>_xll.xlqBid(C31,tda)</f>
        <v>12.9</v>
      </c>
      <c r="E31" s="4">
        <f>_xll.xlqAsk(C31,tda)</f>
        <v>14.8</v>
      </c>
      <c r="F31" s="5">
        <f t="shared" si="1"/>
        <v>13.850000000000001</v>
      </c>
      <c r="G31" s="6">
        <f t="shared" ca="1" si="2"/>
        <v>16</v>
      </c>
      <c r="H31" s="7">
        <f t="shared" ca="1" si="3"/>
        <v>0.52459016393442626</v>
      </c>
      <c r="I31" s="8">
        <f t="shared" si="4"/>
        <v>0.46166666666666673</v>
      </c>
      <c r="J31" s="19">
        <f t="shared" ca="1" si="5"/>
        <v>6.3551264005923258E-4</v>
      </c>
      <c r="K31" s="4">
        <f t="shared" si="6"/>
        <v>13.840000000000003</v>
      </c>
      <c r="L31" s="4">
        <f t="shared" si="7"/>
        <v>9.9999999999980105E-3</v>
      </c>
      <c r="M31" s="4">
        <f t="shared" si="8"/>
        <v>43.85</v>
      </c>
      <c r="N31" s="9"/>
      <c r="O31" s="10">
        <f t="shared" si="9"/>
        <v>-7.5</v>
      </c>
      <c r="P31" s="10">
        <f t="shared" si="10"/>
        <v>-6.8000000000000007</v>
      </c>
      <c r="Q31" s="10">
        <f t="shared" si="11"/>
        <v>-0.69999999999999929</v>
      </c>
      <c r="R31" s="11">
        <f t="shared" si="12"/>
        <v>0.10294117647058812</v>
      </c>
      <c r="S31" s="11">
        <f t="shared" ca="1" si="13"/>
        <v>0.58869485294117585</v>
      </c>
      <c r="T31" s="57">
        <f t="shared" ca="1" si="14"/>
        <v>-0.52049674267100932</v>
      </c>
      <c r="U31" s="17" t="str">
        <f>_xll.xlqName(C31,tda)</f>
        <v>SSTK Dec 20 2019 30 Call</v>
      </c>
    </row>
    <row r="32" spans="1:22" s="17" customFormat="1" ht="14.25" customHeight="1" x14ac:dyDescent="0.25">
      <c r="A32" s="3">
        <v>43819</v>
      </c>
      <c r="B32" s="4">
        <v>30</v>
      </c>
      <c r="C32" s="61" t="str">
        <f t="shared" si="0"/>
        <v>SSTK_122019C30</v>
      </c>
      <c r="D32" s="4">
        <f>_xll.xlqBid(C32,tda)</f>
        <v>12.9</v>
      </c>
      <c r="E32" s="4">
        <f>_xll.xlqAsk(C32,tda)</f>
        <v>14.8</v>
      </c>
      <c r="F32" s="5">
        <f t="shared" si="1"/>
        <v>13.850000000000001</v>
      </c>
      <c r="G32" s="6">
        <f t="shared" ca="1" si="2"/>
        <v>16</v>
      </c>
      <c r="H32" s="7">
        <f t="shared" ca="1" si="3"/>
        <v>0.52459016393442626</v>
      </c>
      <c r="I32" s="8">
        <f t="shared" si="4"/>
        <v>0.46166666666666673</v>
      </c>
      <c r="J32" s="19">
        <f t="shared" ca="1" si="5"/>
        <v>6.3551264005923258E-4</v>
      </c>
      <c r="K32" s="4">
        <f t="shared" si="6"/>
        <v>13.840000000000003</v>
      </c>
      <c r="L32" s="4">
        <f t="shared" si="7"/>
        <v>9.9999999999980105E-3</v>
      </c>
      <c r="M32" s="4">
        <f t="shared" si="8"/>
        <v>43.85</v>
      </c>
      <c r="N32" s="9"/>
      <c r="O32" s="10">
        <f t="shared" si="9"/>
        <v>-7.5</v>
      </c>
      <c r="P32" s="10">
        <f t="shared" si="10"/>
        <v>-6.8000000000000007</v>
      </c>
      <c r="Q32" s="10">
        <f t="shared" si="11"/>
        <v>-0.69999999999999929</v>
      </c>
      <c r="R32" s="11">
        <f t="shared" si="12"/>
        <v>0.10294117647058812</v>
      </c>
      <c r="S32" s="11">
        <f t="shared" ca="1" si="13"/>
        <v>0.58869485294117585</v>
      </c>
      <c r="T32" s="57">
        <f t="shared" ca="1" si="14"/>
        <v>-0.52049674267100932</v>
      </c>
      <c r="U32" s="17" t="str">
        <f>_xll.xlqName(C32,tda)</f>
        <v>SSTK Dec 20 2019 30 Call</v>
      </c>
    </row>
    <row r="33" spans="1:29" s="17" customFormat="1" ht="14.25" customHeight="1" x14ac:dyDescent="0.25">
      <c r="A33" s="3">
        <v>43819</v>
      </c>
      <c r="B33" s="4">
        <v>30</v>
      </c>
      <c r="C33" s="61" t="str">
        <f t="shared" si="0"/>
        <v>SSTK_122019C30</v>
      </c>
      <c r="D33" s="4">
        <f>_xll.xlqBid(C33,tda)</f>
        <v>12.9</v>
      </c>
      <c r="E33" s="4">
        <f>_xll.xlqAsk(C33,tda)</f>
        <v>14.8</v>
      </c>
      <c r="F33" s="5">
        <f t="shared" si="1"/>
        <v>13.850000000000001</v>
      </c>
      <c r="G33" s="6">
        <f t="shared" ca="1" si="2"/>
        <v>16</v>
      </c>
      <c r="H33" s="7">
        <f t="shared" ca="1" si="3"/>
        <v>0.52459016393442626</v>
      </c>
      <c r="I33" s="8">
        <f t="shared" si="4"/>
        <v>0.46166666666666673</v>
      </c>
      <c r="J33" s="19">
        <f t="shared" ca="1" si="5"/>
        <v>6.3551264005923258E-4</v>
      </c>
      <c r="K33" s="4">
        <f t="shared" si="6"/>
        <v>13.840000000000003</v>
      </c>
      <c r="L33" s="4">
        <f t="shared" si="7"/>
        <v>9.9999999999980105E-3</v>
      </c>
      <c r="M33" s="4">
        <f t="shared" si="8"/>
        <v>43.85</v>
      </c>
      <c r="N33" s="9"/>
      <c r="O33" s="10">
        <f t="shared" si="9"/>
        <v>-7.5</v>
      </c>
      <c r="P33" s="10">
        <f t="shared" si="10"/>
        <v>-6.8000000000000007</v>
      </c>
      <c r="Q33" s="10">
        <f t="shared" si="11"/>
        <v>-0.69999999999999929</v>
      </c>
      <c r="R33" s="11">
        <f t="shared" si="12"/>
        <v>0.10294117647058812</v>
      </c>
      <c r="S33" s="11">
        <f t="shared" ca="1" si="13"/>
        <v>0.58869485294117585</v>
      </c>
      <c r="T33" s="57">
        <f t="shared" ca="1" si="14"/>
        <v>-0.52049674267100932</v>
      </c>
      <c r="U33" s="17" t="str">
        <f>_xll.xlqName(C33,tda)</f>
        <v>SSTK Dec 20 2019 30 Call</v>
      </c>
    </row>
    <row r="34" spans="1:29" s="13" customFormat="1" ht="14.25" customHeight="1" x14ac:dyDescent="0.25">
      <c r="A34" s="3">
        <v>43819</v>
      </c>
      <c r="B34" s="4">
        <v>30</v>
      </c>
      <c r="C34" s="61" t="str">
        <f t="shared" ref="C34:C65" si="15">CONCATENATE($Y$2,"_",TEXT(MONTH(A34),"00"),TEXT(DAY(A34),"00"),TEXT(MOD(YEAR(A34),100),"00"),$Y$3,B34&amp;"")</f>
        <v>SSTK_122019C30</v>
      </c>
      <c r="D34" s="4">
        <f>_xll.xlqBid(C34,tda)</f>
        <v>12.9</v>
      </c>
      <c r="E34" s="4">
        <f>_xll.xlqAsk(C34,tda)</f>
        <v>14.8</v>
      </c>
      <c r="F34" s="5">
        <f t="shared" ref="F34:F65" si="16">(D34+E34)/2</f>
        <v>13.850000000000001</v>
      </c>
      <c r="G34" s="6">
        <f t="shared" ref="G34:G65" ca="1" si="17">A34-TODAY()</f>
        <v>16</v>
      </c>
      <c r="H34" s="7">
        <f t="shared" ref="H34:H65" ca="1" si="18">G34/30.5</f>
        <v>0.52459016393442626</v>
      </c>
      <c r="I34" s="8">
        <f t="shared" ref="I34:I65" si="19">F34/B34</f>
        <v>0.46166666666666673</v>
      </c>
      <c r="J34" s="19">
        <f t="shared" ref="J34:J65" ca="1" si="20">(1+L34/B34)^(1/H34)-1</f>
        <v>6.3551264005923258E-4</v>
      </c>
      <c r="K34" s="4">
        <f t="shared" ref="K34:K65" si="21">MAX(0,$Y$4-B34)</f>
        <v>13.840000000000003</v>
      </c>
      <c r="L34" s="4">
        <f t="shared" ref="L34:L65" si="22">F34-K34</f>
        <v>9.9999999999980105E-3</v>
      </c>
      <c r="M34" s="4">
        <f t="shared" ref="M34:M65" si="23">F34+B34</f>
        <v>43.85</v>
      </c>
      <c r="N34" s="9"/>
      <c r="O34" s="10">
        <f t="shared" ref="O34:O65" si="24">B34-$Y$6</f>
        <v>-7.5</v>
      </c>
      <c r="P34" s="10">
        <f t="shared" ref="P34:P65" si="25">$Y$7-F34</f>
        <v>-6.8000000000000007</v>
      </c>
      <c r="Q34" s="10">
        <f t="shared" ref="Q34:Q65" si="26">O34-P34</f>
        <v>-0.69999999999999929</v>
      </c>
      <c r="R34" s="11">
        <f t="shared" ref="R34:R65" si="27">Q34/P34</f>
        <v>0.10294117647058812</v>
      </c>
      <c r="S34" s="11">
        <f t="shared" ref="S34:S65" ca="1" si="28">R34/(H34/3)</f>
        <v>0.58869485294117585</v>
      </c>
      <c r="T34" s="57">
        <f t="shared" ref="T34:T65" ca="1" si="29">(Q34/($Y$6+P34))*(365.24/G34)</f>
        <v>-0.52049674267100932</v>
      </c>
      <c r="U34" s="17" t="str">
        <f>_xll.xlqName(C34,tda)</f>
        <v>SSTK Dec 20 2019 30 Call</v>
      </c>
      <c r="V34" s="17"/>
    </row>
    <row r="35" spans="1:29" s="13" customFormat="1" ht="14.25" customHeight="1" x14ac:dyDescent="0.25">
      <c r="A35" s="3">
        <v>43819</v>
      </c>
      <c r="B35" s="4">
        <v>30</v>
      </c>
      <c r="C35" s="61" t="str">
        <f t="shared" si="15"/>
        <v>SSTK_122019C30</v>
      </c>
      <c r="D35" s="4">
        <f>_xll.xlqBid(C35,tda)</f>
        <v>12.9</v>
      </c>
      <c r="E35" s="4">
        <f>_xll.xlqAsk(C35,tda)</f>
        <v>14.8</v>
      </c>
      <c r="F35" s="5">
        <f t="shared" si="16"/>
        <v>13.850000000000001</v>
      </c>
      <c r="G35" s="6">
        <f t="shared" ca="1" si="17"/>
        <v>16</v>
      </c>
      <c r="H35" s="7">
        <f t="shared" ca="1" si="18"/>
        <v>0.52459016393442626</v>
      </c>
      <c r="I35" s="8">
        <f t="shared" si="19"/>
        <v>0.46166666666666673</v>
      </c>
      <c r="J35" s="19">
        <f t="shared" ca="1" si="20"/>
        <v>6.3551264005923258E-4</v>
      </c>
      <c r="K35" s="4">
        <f t="shared" si="21"/>
        <v>13.840000000000003</v>
      </c>
      <c r="L35" s="4">
        <f t="shared" si="22"/>
        <v>9.9999999999980105E-3</v>
      </c>
      <c r="M35" s="4">
        <f t="shared" si="23"/>
        <v>43.85</v>
      </c>
      <c r="N35" s="9"/>
      <c r="O35" s="10">
        <f t="shared" si="24"/>
        <v>-7.5</v>
      </c>
      <c r="P35" s="10">
        <f t="shared" si="25"/>
        <v>-6.8000000000000007</v>
      </c>
      <c r="Q35" s="10">
        <f t="shared" si="26"/>
        <v>-0.69999999999999929</v>
      </c>
      <c r="R35" s="11">
        <f t="shared" si="27"/>
        <v>0.10294117647058812</v>
      </c>
      <c r="S35" s="11">
        <f t="shared" ca="1" si="28"/>
        <v>0.58869485294117585</v>
      </c>
      <c r="T35" s="57">
        <f t="shared" ca="1" si="29"/>
        <v>-0.52049674267100932</v>
      </c>
      <c r="U35" s="17" t="str">
        <f>_xll.xlqName(C35,tda)</f>
        <v>SSTK Dec 20 2019 30 Call</v>
      </c>
      <c r="V35" s="17"/>
    </row>
    <row r="36" spans="1:29" s="13" customFormat="1" ht="14.25" customHeight="1" x14ac:dyDescent="0.25">
      <c r="A36" s="3">
        <v>43819</v>
      </c>
      <c r="B36" s="4">
        <v>30</v>
      </c>
      <c r="C36" s="61" t="str">
        <f t="shared" si="15"/>
        <v>SSTK_122019C30</v>
      </c>
      <c r="D36" s="4">
        <f>_xll.xlqBid(C36,tda)</f>
        <v>12.9</v>
      </c>
      <c r="E36" s="4">
        <f>_xll.xlqAsk(C36,tda)</f>
        <v>14.8</v>
      </c>
      <c r="F36" s="5">
        <f t="shared" si="16"/>
        <v>13.850000000000001</v>
      </c>
      <c r="G36" s="6">
        <f t="shared" ca="1" si="17"/>
        <v>16</v>
      </c>
      <c r="H36" s="7">
        <f t="shared" ca="1" si="18"/>
        <v>0.52459016393442626</v>
      </c>
      <c r="I36" s="8">
        <f t="shared" si="19"/>
        <v>0.46166666666666673</v>
      </c>
      <c r="J36" s="19">
        <f t="shared" ca="1" si="20"/>
        <v>6.3551264005923258E-4</v>
      </c>
      <c r="K36" s="4">
        <f t="shared" si="21"/>
        <v>13.840000000000003</v>
      </c>
      <c r="L36" s="4">
        <f t="shared" si="22"/>
        <v>9.9999999999980105E-3</v>
      </c>
      <c r="M36" s="4">
        <f t="shared" si="23"/>
        <v>43.85</v>
      </c>
      <c r="N36" s="9"/>
      <c r="O36" s="10">
        <f t="shared" si="24"/>
        <v>-7.5</v>
      </c>
      <c r="P36" s="10">
        <f t="shared" si="25"/>
        <v>-6.8000000000000007</v>
      </c>
      <c r="Q36" s="10">
        <f t="shared" si="26"/>
        <v>-0.69999999999999929</v>
      </c>
      <c r="R36" s="11">
        <f t="shared" si="27"/>
        <v>0.10294117647058812</v>
      </c>
      <c r="S36" s="11">
        <f t="shared" ca="1" si="28"/>
        <v>0.58869485294117585</v>
      </c>
      <c r="T36" s="57">
        <f t="shared" ca="1" si="29"/>
        <v>-0.52049674267100932</v>
      </c>
      <c r="U36" s="17" t="str">
        <f>_xll.xlqName(C36,tda)</f>
        <v>SSTK Dec 20 2019 30 Call</v>
      </c>
      <c r="V36" s="17"/>
    </row>
    <row r="37" spans="1:29" s="17" customFormat="1" ht="14.25" customHeight="1" x14ac:dyDescent="0.25">
      <c r="A37" s="3">
        <v>43819</v>
      </c>
      <c r="B37" s="4">
        <v>30</v>
      </c>
      <c r="C37" s="61" t="str">
        <f t="shared" si="15"/>
        <v>SSTK_122019C30</v>
      </c>
      <c r="D37" s="4">
        <f>_xll.xlqBid(C37,tda)</f>
        <v>12.9</v>
      </c>
      <c r="E37" s="4">
        <f>_xll.xlqAsk(C37,tda)</f>
        <v>14.8</v>
      </c>
      <c r="F37" s="5">
        <f t="shared" si="16"/>
        <v>13.850000000000001</v>
      </c>
      <c r="G37" s="6">
        <f t="shared" ca="1" si="17"/>
        <v>16</v>
      </c>
      <c r="H37" s="7">
        <f t="shared" ca="1" si="18"/>
        <v>0.52459016393442626</v>
      </c>
      <c r="I37" s="8">
        <f t="shared" si="19"/>
        <v>0.46166666666666673</v>
      </c>
      <c r="J37" s="19">
        <f t="shared" ca="1" si="20"/>
        <v>6.3551264005923258E-4</v>
      </c>
      <c r="K37" s="4">
        <f t="shared" si="21"/>
        <v>13.840000000000003</v>
      </c>
      <c r="L37" s="4">
        <f t="shared" si="22"/>
        <v>9.9999999999980105E-3</v>
      </c>
      <c r="M37" s="4">
        <f t="shared" si="23"/>
        <v>43.85</v>
      </c>
      <c r="N37" s="9"/>
      <c r="O37" s="10">
        <f t="shared" si="24"/>
        <v>-7.5</v>
      </c>
      <c r="P37" s="10">
        <f t="shared" si="25"/>
        <v>-6.8000000000000007</v>
      </c>
      <c r="Q37" s="10">
        <f t="shared" si="26"/>
        <v>-0.69999999999999929</v>
      </c>
      <c r="R37" s="11">
        <f t="shared" si="27"/>
        <v>0.10294117647058812</v>
      </c>
      <c r="S37" s="11">
        <f t="shared" ca="1" si="28"/>
        <v>0.58869485294117585</v>
      </c>
      <c r="T37" s="57">
        <f t="shared" ca="1" si="29"/>
        <v>-0.52049674267100932</v>
      </c>
      <c r="U37" s="17" t="str">
        <f>_xll.xlqName(C37,tda)</f>
        <v>SSTK Dec 20 2019 30 Call</v>
      </c>
    </row>
    <row r="38" spans="1:29" s="17" customFormat="1" ht="14.25" customHeight="1" x14ac:dyDescent="0.25">
      <c r="A38" s="3">
        <v>43819</v>
      </c>
      <c r="B38" s="4">
        <v>30</v>
      </c>
      <c r="C38" s="61" t="str">
        <f t="shared" si="15"/>
        <v>SSTK_122019C30</v>
      </c>
      <c r="D38" s="4">
        <f>_xll.xlqBid(C38,tda)</f>
        <v>12.9</v>
      </c>
      <c r="E38" s="4">
        <f>_xll.xlqAsk(C38,tda)</f>
        <v>14.8</v>
      </c>
      <c r="F38" s="5">
        <f t="shared" si="16"/>
        <v>13.850000000000001</v>
      </c>
      <c r="G38" s="6">
        <f t="shared" ca="1" si="17"/>
        <v>16</v>
      </c>
      <c r="H38" s="7">
        <f t="shared" ca="1" si="18"/>
        <v>0.52459016393442626</v>
      </c>
      <c r="I38" s="8">
        <f t="shared" si="19"/>
        <v>0.46166666666666673</v>
      </c>
      <c r="J38" s="19">
        <f t="shared" ca="1" si="20"/>
        <v>6.3551264005923258E-4</v>
      </c>
      <c r="K38" s="4">
        <f t="shared" si="21"/>
        <v>13.840000000000003</v>
      </c>
      <c r="L38" s="4">
        <f t="shared" si="22"/>
        <v>9.9999999999980105E-3</v>
      </c>
      <c r="M38" s="4">
        <f t="shared" si="23"/>
        <v>43.85</v>
      </c>
      <c r="N38" s="9"/>
      <c r="O38" s="10">
        <f t="shared" si="24"/>
        <v>-7.5</v>
      </c>
      <c r="P38" s="10">
        <f t="shared" si="25"/>
        <v>-6.8000000000000007</v>
      </c>
      <c r="Q38" s="10">
        <f t="shared" si="26"/>
        <v>-0.69999999999999929</v>
      </c>
      <c r="R38" s="11">
        <f t="shared" si="27"/>
        <v>0.10294117647058812</v>
      </c>
      <c r="S38" s="11">
        <f t="shared" ca="1" si="28"/>
        <v>0.58869485294117585</v>
      </c>
      <c r="T38" s="57">
        <f t="shared" ca="1" si="29"/>
        <v>-0.52049674267100932</v>
      </c>
      <c r="U38" s="17" t="str">
        <f>_xll.xlqName(C38,tda)</f>
        <v>SSTK Dec 20 2019 30 Call</v>
      </c>
    </row>
    <row r="39" spans="1:29" s="13" customFormat="1" ht="14.25" customHeight="1" x14ac:dyDescent="0.25">
      <c r="A39" s="3">
        <v>43819</v>
      </c>
      <c r="B39" s="4">
        <v>30</v>
      </c>
      <c r="C39" s="61" t="str">
        <f t="shared" si="15"/>
        <v>SSTK_122019C30</v>
      </c>
      <c r="D39" s="4">
        <f>_xll.xlqBid(C39,tda)</f>
        <v>12.9</v>
      </c>
      <c r="E39" s="4">
        <f>_xll.xlqAsk(C39,tda)</f>
        <v>14.8</v>
      </c>
      <c r="F39" s="5">
        <f t="shared" si="16"/>
        <v>13.850000000000001</v>
      </c>
      <c r="G39" s="6">
        <f t="shared" ca="1" si="17"/>
        <v>16</v>
      </c>
      <c r="H39" s="7">
        <f t="shared" ca="1" si="18"/>
        <v>0.52459016393442626</v>
      </c>
      <c r="I39" s="8">
        <f t="shared" si="19"/>
        <v>0.46166666666666673</v>
      </c>
      <c r="J39" s="19">
        <f t="shared" ca="1" si="20"/>
        <v>6.3551264005923258E-4</v>
      </c>
      <c r="K39" s="4">
        <f t="shared" si="21"/>
        <v>13.840000000000003</v>
      </c>
      <c r="L39" s="4">
        <f t="shared" si="22"/>
        <v>9.9999999999980105E-3</v>
      </c>
      <c r="M39" s="4">
        <f t="shared" si="23"/>
        <v>43.85</v>
      </c>
      <c r="N39" s="9"/>
      <c r="O39" s="10">
        <f t="shared" si="24"/>
        <v>-7.5</v>
      </c>
      <c r="P39" s="10">
        <f t="shared" si="25"/>
        <v>-6.8000000000000007</v>
      </c>
      <c r="Q39" s="10">
        <f t="shared" si="26"/>
        <v>-0.69999999999999929</v>
      </c>
      <c r="R39" s="11">
        <f t="shared" si="27"/>
        <v>0.10294117647058812</v>
      </c>
      <c r="S39" s="11">
        <f t="shared" ca="1" si="28"/>
        <v>0.58869485294117585</v>
      </c>
      <c r="T39" s="57">
        <f t="shared" ca="1" si="29"/>
        <v>-0.52049674267100932</v>
      </c>
      <c r="U39" s="17" t="str">
        <f>_xll.xlqName(C39,tda)</f>
        <v>SSTK Dec 20 2019 30 Call</v>
      </c>
      <c r="V39" s="17"/>
    </row>
    <row r="40" spans="1:29" s="13" customFormat="1" ht="14.25" customHeight="1" x14ac:dyDescent="0.25">
      <c r="A40" s="3">
        <v>43819</v>
      </c>
      <c r="B40" s="4">
        <v>30</v>
      </c>
      <c r="C40" s="61" t="str">
        <f t="shared" si="15"/>
        <v>SSTK_122019C30</v>
      </c>
      <c r="D40" s="4">
        <f>_xll.xlqBid(C40,tda)</f>
        <v>12.9</v>
      </c>
      <c r="E40" s="4">
        <f>_xll.xlqAsk(C40,tda)</f>
        <v>14.8</v>
      </c>
      <c r="F40" s="5">
        <f t="shared" si="16"/>
        <v>13.850000000000001</v>
      </c>
      <c r="G40" s="6">
        <f t="shared" ca="1" si="17"/>
        <v>16</v>
      </c>
      <c r="H40" s="7">
        <f t="shared" ca="1" si="18"/>
        <v>0.52459016393442626</v>
      </c>
      <c r="I40" s="8">
        <f t="shared" si="19"/>
        <v>0.46166666666666673</v>
      </c>
      <c r="J40" s="19">
        <f t="shared" ca="1" si="20"/>
        <v>6.3551264005923258E-4</v>
      </c>
      <c r="K40" s="4">
        <f t="shared" si="21"/>
        <v>13.840000000000003</v>
      </c>
      <c r="L40" s="4">
        <f t="shared" si="22"/>
        <v>9.9999999999980105E-3</v>
      </c>
      <c r="M40" s="4">
        <f t="shared" si="23"/>
        <v>43.85</v>
      </c>
      <c r="N40" s="9"/>
      <c r="O40" s="10">
        <f t="shared" si="24"/>
        <v>-7.5</v>
      </c>
      <c r="P40" s="10">
        <f t="shared" si="25"/>
        <v>-6.8000000000000007</v>
      </c>
      <c r="Q40" s="10">
        <f t="shared" si="26"/>
        <v>-0.69999999999999929</v>
      </c>
      <c r="R40" s="11">
        <f t="shared" si="27"/>
        <v>0.10294117647058812</v>
      </c>
      <c r="S40" s="11">
        <f t="shared" ca="1" si="28"/>
        <v>0.58869485294117585</v>
      </c>
      <c r="T40" s="57">
        <f t="shared" ca="1" si="29"/>
        <v>-0.52049674267100932</v>
      </c>
      <c r="U40" s="17" t="str">
        <f>_xll.xlqName(C40,tda)</f>
        <v>SSTK Dec 20 2019 30 Call</v>
      </c>
      <c r="V40" s="17"/>
      <c r="AA40" s="124"/>
      <c r="AB40" s="124"/>
      <c r="AC40" s="124"/>
    </row>
    <row r="41" spans="1:29" s="13" customFormat="1" ht="14.25" customHeight="1" x14ac:dyDescent="0.25">
      <c r="A41" s="3">
        <v>43819</v>
      </c>
      <c r="B41" s="4">
        <v>30</v>
      </c>
      <c r="C41" s="61" t="str">
        <f t="shared" si="15"/>
        <v>SSTK_122019C30</v>
      </c>
      <c r="D41" s="4">
        <f>_xll.xlqBid(C41,tda)</f>
        <v>12.9</v>
      </c>
      <c r="E41" s="4">
        <f>_xll.xlqAsk(C41,tda)</f>
        <v>14.8</v>
      </c>
      <c r="F41" s="5">
        <f t="shared" si="16"/>
        <v>13.850000000000001</v>
      </c>
      <c r="G41" s="6">
        <f t="shared" ca="1" si="17"/>
        <v>16</v>
      </c>
      <c r="H41" s="7">
        <f t="shared" ca="1" si="18"/>
        <v>0.52459016393442626</v>
      </c>
      <c r="I41" s="8">
        <f t="shared" si="19"/>
        <v>0.46166666666666673</v>
      </c>
      <c r="J41" s="19">
        <f t="shared" ca="1" si="20"/>
        <v>6.3551264005923258E-4</v>
      </c>
      <c r="K41" s="4">
        <f t="shared" si="21"/>
        <v>13.840000000000003</v>
      </c>
      <c r="L41" s="4">
        <f t="shared" si="22"/>
        <v>9.9999999999980105E-3</v>
      </c>
      <c r="M41" s="4">
        <f t="shared" si="23"/>
        <v>43.85</v>
      </c>
      <c r="N41" s="9"/>
      <c r="O41" s="10">
        <f t="shared" si="24"/>
        <v>-7.5</v>
      </c>
      <c r="P41" s="10">
        <f t="shared" si="25"/>
        <v>-6.8000000000000007</v>
      </c>
      <c r="Q41" s="10">
        <f t="shared" si="26"/>
        <v>-0.69999999999999929</v>
      </c>
      <c r="R41" s="11">
        <f t="shared" si="27"/>
        <v>0.10294117647058812</v>
      </c>
      <c r="S41" s="11">
        <f t="shared" ca="1" si="28"/>
        <v>0.58869485294117585</v>
      </c>
      <c r="T41" s="57">
        <f t="shared" ca="1" si="29"/>
        <v>-0.52049674267100932</v>
      </c>
      <c r="U41" s="17" t="str">
        <f>_xll.xlqName(C41,tda)</f>
        <v>SSTK Dec 20 2019 30 Call</v>
      </c>
      <c r="V41" s="17"/>
      <c r="AA41" s="98"/>
      <c r="AB41" s="98"/>
      <c r="AC41" s="98"/>
    </row>
    <row r="42" spans="1:29" s="13" customFormat="1" ht="14.25" customHeight="1" x14ac:dyDescent="0.25">
      <c r="A42" s="3">
        <v>43819</v>
      </c>
      <c r="B42" s="4">
        <v>30</v>
      </c>
      <c r="C42" s="61" t="str">
        <f t="shared" si="15"/>
        <v>SSTK_122019C30</v>
      </c>
      <c r="D42" s="4">
        <f>_xll.xlqBid(C42,tda)</f>
        <v>12.9</v>
      </c>
      <c r="E42" s="4">
        <f>_xll.xlqAsk(C42,tda)</f>
        <v>14.8</v>
      </c>
      <c r="F42" s="5">
        <f t="shared" si="16"/>
        <v>13.850000000000001</v>
      </c>
      <c r="G42" s="6">
        <f t="shared" ca="1" si="17"/>
        <v>16</v>
      </c>
      <c r="H42" s="7">
        <f t="shared" ca="1" si="18"/>
        <v>0.52459016393442626</v>
      </c>
      <c r="I42" s="8">
        <f t="shared" si="19"/>
        <v>0.46166666666666673</v>
      </c>
      <c r="J42" s="19">
        <f t="shared" ca="1" si="20"/>
        <v>6.3551264005923258E-4</v>
      </c>
      <c r="K42" s="4">
        <f t="shared" si="21"/>
        <v>13.840000000000003</v>
      </c>
      <c r="L42" s="4">
        <f t="shared" si="22"/>
        <v>9.9999999999980105E-3</v>
      </c>
      <c r="M42" s="4">
        <f t="shared" si="23"/>
        <v>43.85</v>
      </c>
      <c r="N42" s="9"/>
      <c r="O42" s="10">
        <f t="shared" si="24"/>
        <v>-7.5</v>
      </c>
      <c r="P42" s="10">
        <f t="shared" si="25"/>
        <v>-6.8000000000000007</v>
      </c>
      <c r="Q42" s="10">
        <f t="shared" si="26"/>
        <v>-0.69999999999999929</v>
      </c>
      <c r="R42" s="11">
        <f t="shared" si="27"/>
        <v>0.10294117647058812</v>
      </c>
      <c r="S42" s="11">
        <f t="shared" ca="1" si="28"/>
        <v>0.58869485294117585</v>
      </c>
      <c r="T42" s="57">
        <f t="shared" ca="1" si="29"/>
        <v>-0.52049674267100932</v>
      </c>
      <c r="U42" s="17" t="str">
        <f>_xll.xlqName(C42,tda)</f>
        <v>SSTK Dec 20 2019 30 Call</v>
      </c>
      <c r="V42" s="17"/>
      <c r="AA42" s="98"/>
      <c r="AB42" s="98"/>
      <c r="AC42" s="98"/>
    </row>
    <row r="43" spans="1:29" s="13" customFormat="1" ht="14.25" customHeight="1" x14ac:dyDescent="0.25">
      <c r="A43" s="3">
        <v>43819</v>
      </c>
      <c r="B43" s="4">
        <v>30</v>
      </c>
      <c r="C43" s="61" t="str">
        <f t="shared" si="15"/>
        <v>SSTK_122019C30</v>
      </c>
      <c r="D43" s="4">
        <f>_xll.xlqBid(C43,tda)</f>
        <v>12.9</v>
      </c>
      <c r="E43" s="4">
        <f>_xll.xlqAsk(C43,tda)</f>
        <v>14.8</v>
      </c>
      <c r="F43" s="5">
        <f t="shared" si="16"/>
        <v>13.850000000000001</v>
      </c>
      <c r="G43" s="6">
        <f t="shared" ca="1" si="17"/>
        <v>16</v>
      </c>
      <c r="H43" s="7">
        <f t="shared" ca="1" si="18"/>
        <v>0.52459016393442626</v>
      </c>
      <c r="I43" s="8">
        <f t="shared" si="19"/>
        <v>0.46166666666666673</v>
      </c>
      <c r="J43" s="19">
        <f t="shared" ca="1" si="20"/>
        <v>6.3551264005923258E-4</v>
      </c>
      <c r="K43" s="4">
        <f t="shared" si="21"/>
        <v>13.840000000000003</v>
      </c>
      <c r="L43" s="4">
        <f t="shared" si="22"/>
        <v>9.9999999999980105E-3</v>
      </c>
      <c r="M43" s="4">
        <f t="shared" si="23"/>
        <v>43.85</v>
      </c>
      <c r="N43" s="9"/>
      <c r="O43" s="10">
        <f t="shared" si="24"/>
        <v>-7.5</v>
      </c>
      <c r="P43" s="10">
        <f t="shared" si="25"/>
        <v>-6.8000000000000007</v>
      </c>
      <c r="Q43" s="10">
        <f t="shared" si="26"/>
        <v>-0.69999999999999929</v>
      </c>
      <c r="R43" s="11">
        <f t="shared" si="27"/>
        <v>0.10294117647058812</v>
      </c>
      <c r="S43" s="11">
        <f t="shared" ca="1" si="28"/>
        <v>0.58869485294117585</v>
      </c>
      <c r="T43" s="57">
        <f t="shared" ca="1" si="29"/>
        <v>-0.52049674267100932</v>
      </c>
      <c r="U43" s="17" t="str">
        <f>_xll.xlqName(C43,tda)</f>
        <v>SSTK Dec 20 2019 30 Call</v>
      </c>
      <c r="V43" s="17"/>
      <c r="AA43" s="98"/>
      <c r="AB43" s="98"/>
      <c r="AC43" s="98"/>
    </row>
    <row r="44" spans="1:29" s="13" customFormat="1" ht="14.25" customHeight="1" x14ac:dyDescent="0.25">
      <c r="A44" s="3">
        <v>43819</v>
      </c>
      <c r="B44" s="4">
        <v>30</v>
      </c>
      <c r="C44" s="61" t="str">
        <f t="shared" si="15"/>
        <v>SSTK_122019C30</v>
      </c>
      <c r="D44" s="4">
        <f>_xll.xlqBid(C44,tda)</f>
        <v>12.9</v>
      </c>
      <c r="E44" s="4">
        <f>_xll.xlqAsk(C44,tda)</f>
        <v>14.8</v>
      </c>
      <c r="F44" s="5">
        <f t="shared" si="16"/>
        <v>13.850000000000001</v>
      </c>
      <c r="G44" s="6">
        <f t="shared" ca="1" si="17"/>
        <v>16</v>
      </c>
      <c r="H44" s="7">
        <f t="shared" ca="1" si="18"/>
        <v>0.52459016393442626</v>
      </c>
      <c r="I44" s="8">
        <f t="shared" si="19"/>
        <v>0.46166666666666673</v>
      </c>
      <c r="J44" s="19">
        <f t="shared" ca="1" si="20"/>
        <v>6.3551264005923258E-4</v>
      </c>
      <c r="K44" s="4">
        <f t="shared" si="21"/>
        <v>13.840000000000003</v>
      </c>
      <c r="L44" s="4">
        <f t="shared" si="22"/>
        <v>9.9999999999980105E-3</v>
      </c>
      <c r="M44" s="4">
        <f t="shared" si="23"/>
        <v>43.85</v>
      </c>
      <c r="N44" s="9"/>
      <c r="O44" s="10">
        <f t="shared" si="24"/>
        <v>-7.5</v>
      </c>
      <c r="P44" s="10">
        <f t="shared" si="25"/>
        <v>-6.8000000000000007</v>
      </c>
      <c r="Q44" s="10">
        <f t="shared" si="26"/>
        <v>-0.69999999999999929</v>
      </c>
      <c r="R44" s="11">
        <f t="shared" si="27"/>
        <v>0.10294117647058812</v>
      </c>
      <c r="S44" s="11">
        <f t="shared" ca="1" si="28"/>
        <v>0.58869485294117585</v>
      </c>
      <c r="T44" s="57">
        <f t="shared" ca="1" si="29"/>
        <v>-0.52049674267100932</v>
      </c>
      <c r="U44" s="17" t="str">
        <f>_xll.xlqName(C44,tda)</f>
        <v>SSTK Dec 20 2019 30 Call</v>
      </c>
      <c r="V44" s="17"/>
      <c r="AA44" s="98"/>
      <c r="AB44" s="98"/>
      <c r="AC44" s="98"/>
    </row>
    <row r="45" spans="1:29" s="13" customFormat="1" ht="14.25" customHeight="1" x14ac:dyDescent="0.25">
      <c r="A45" s="3">
        <v>43819</v>
      </c>
      <c r="B45" s="4">
        <v>30</v>
      </c>
      <c r="C45" s="61" t="str">
        <f t="shared" si="15"/>
        <v>SSTK_122019C30</v>
      </c>
      <c r="D45" s="4">
        <f>_xll.xlqBid(C45,tda)</f>
        <v>12.9</v>
      </c>
      <c r="E45" s="4">
        <f>_xll.xlqAsk(C45,tda)</f>
        <v>14.8</v>
      </c>
      <c r="F45" s="5">
        <f t="shared" si="16"/>
        <v>13.850000000000001</v>
      </c>
      <c r="G45" s="6">
        <f t="shared" ca="1" si="17"/>
        <v>16</v>
      </c>
      <c r="H45" s="7">
        <f t="shared" ca="1" si="18"/>
        <v>0.52459016393442626</v>
      </c>
      <c r="I45" s="8">
        <f t="shared" si="19"/>
        <v>0.46166666666666673</v>
      </c>
      <c r="J45" s="19">
        <f t="shared" ca="1" si="20"/>
        <v>6.3551264005923258E-4</v>
      </c>
      <c r="K45" s="4">
        <f t="shared" si="21"/>
        <v>13.840000000000003</v>
      </c>
      <c r="L45" s="4">
        <f t="shared" si="22"/>
        <v>9.9999999999980105E-3</v>
      </c>
      <c r="M45" s="4">
        <f t="shared" si="23"/>
        <v>43.85</v>
      </c>
      <c r="N45" s="9"/>
      <c r="O45" s="10">
        <f t="shared" si="24"/>
        <v>-7.5</v>
      </c>
      <c r="P45" s="10">
        <f t="shared" si="25"/>
        <v>-6.8000000000000007</v>
      </c>
      <c r="Q45" s="10">
        <f t="shared" si="26"/>
        <v>-0.69999999999999929</v>
      </c>
      <c r="R45" s="11">
        <f t="shared" si="27"/>
        <v>0.10294117647058812</v>
      </c>
      <c r="S45" s="11">
        <f t="shared" ca="1" si="28"/>
        <v>0.58869485294117585</v>
      </c>
      <c r="T45" s="57">
        <f t="shared" ca="1" si="29"/>
        <v>-0.52049674267100932</v>
      </c>
      <c r="U45" s="17" t="str">
        <f>_xll.xlqName(C45,tda)</f>
        <v>SSTK Dec 20 2019 30 Call</v>
      </c>
      <c r="V45" s="17"/>
      <c r="AA45" s="98"/>
      <c r="AB45" s="98"/>
      <c r="AC45" s="98"/>
    </row>
    <row r="46" spans="1:29" s="13" customFormat="1" ht="14.25" customHeight="1" x14ac:dyDescent="0.25">
      <c r="A46" s="3">
        <v>43819</v>
      </c>
      <c r="B46" s="4">
        <v>30</v>
      </c>
      <c r="C46" s="61" t="str">
        <f t="shared" si="15"/>
        <v>SSTK_122019C30</v>
      </c>
      <c r="D46" s="4">
        <f>_xll.xlqBid(C46,tda)</f>
        <v>12.9</v>
      </c>
      <c r="E46" s="4">
        <f>_xll.xlqAsk(C46,tda)</f>
        <v>14.8</v>
      </c>
      <c r="F46" s="5">
        <f t="shared" si="16"/>
        <v>13.850000000000001</v>
      </c>
      <c r="G46" s="6">
        <f t="shared" ca="1" si="17"/>
        <v>16</v>
      </c>
      <c r="H46" s="7">
        <f t="shared" ca="1" si="18"/>
        <v>0.52459016393442626</v>
      </c>
      <c r="I46" s="8">
        <f t="shared" si="19"/>
        <v>0.46166666666666673</v>
      </c>
      <c r="J46" s="19">
        <f t="shared" ca="1" si="20"/>
        <v>6.3551264005923258E-4</v>
      </c>
      <c r="K46" s="4">
        <f t="shared" si="21"/>
        <v>13.840000000000003</v>
      </c>
      <c r="L46" s="4">
        <f t="shared" si="22"/>
        <v>9.9999999999980105E-3</v>
      </c>
      <c r="M46" s="4">
        <f t="shared" si="23"/>
        <v>43.85</v>
      </c>
      <c r="N46" s="9"/>
      <c r="O46" s="10">
        <f t="shared" si="24"/>
        <v>-7.5</v>
      </c>
      <c r="P46" s="10">
        <f t="shared" si="25"/>
        <v>-6.8000000000000007</v>
      </c>
      <c r="Q46" s="10">
        <f t="shared" si="26"/>
        <v>-0.69999999999999929</v>
      </c>
      <c r="R46" s="11">
        <f t="shared" si="27"/>
        <v>0.10294117647058812</v>
      </c>
      <c r="S46" s="11">
        <f t="shared" ca="1" si="28"/>
        <v>0.58869485294117585</v>
      </c>
      <c r="T46" s="57">
        <f t="shared" ca="1" si="29"/>
        <v>-0.52049674267100932</v>
      </c>
      <c r="U46" s="17" t="str">
        <f>_xll.xlqName(C46,tda)</f>
        <v>SSTK Dec 20 2019 30 Call</v>
      </c>
      <c r="V46" s="17"/>
      <c r="AA46" s="98"/>
      <c r="AB46" s="98"/>
      <c r="AC46" s="98"/>
    </row>
    <row r="47" spans="1:29" s="13" customFormat="1" ht="14.25" customHeight="1" x14ac:dyDescent="0.25">
      <c r="A47" s="3">
        <v>43819</v>
      </c>
      <c r="B47" s="4">
        <v>30</v>
      </c>
      <c r="C47" s="61" t="str">
        <f t="shared" si="15"/>
        <v>SSTK_122019C30</v>
      </c>
      <c r="D47" s="4">
        <f>_xll.xlqBid(C47,tda)</f>
        <v>12.9</v>
      </c>
      <c r="E47" s="4">
        <f>_xll.xlqAsk(C47,tda)</f>
        <v>14.8</v>
      </c>
      <c r="F47" s="5">
        <f t="shared" si="16"/>
        <v>13.850000000000001</v>
      </c>
      <c r="G47" s="6">
        <f t="shared" ca="1" si="17"/>
        <v>16</v>
      </c>
      <c r="H47" s="7">
        <f t="shared" ca="1" si="18"/>
        <v>0.52459016393442626</v>
      </c>
      <c r="I47" s="8">
        <f t="shared" si="19"/>
        <v>0.46166666666666673</v>
      </c>
      <c r="J47" s="19">
        <f t="shared" ca="1" si="20"/>
        <v>6.3551264005923258E-4</v>
      </c>
      <c r="K47" s="4">
        <f t="shared" si="21"/>
        <v>13.840000000000003</v>
      </c>
      <c r="L47" s="4">
        <f t="shared" si="22"/>
        <v>9.9999999999980105E-3</v>
      </c>
      <c r="M47" s="4">
        <f t="shared" si="23"/>
        <v>43.85</v>
      </c>
      <c r="N47" s="9"/>
      <c r="O47" s="10">
        <f t="shared" si="24"/>
        <v>-7.5</v>
      </c>
      <c r="P47" s="10">
        <f t="shared" si="25"/>
        <v>-6.8000000000000007</v>
      </c>
      <c r="Q47" s="10">
        <f t="shared" si="26"/>
        <v>-0.69999999999999929</v>
      </c>
      <c r="R47" s="11">
        <f t="shared" si="27"/>
        <v>0.10294117647058812</v>
      </c>
      <c r="S47" s="11">
        <f t="shared" ca="1" si="28"/>
        <v>0.58869485294117585</v>
      </c>
      <c r="T47" s="57">
        <f t="shared" ca="1" si="29"/>
        <v>-0.52049674267100932</v>
      </c>
      <c r="U47" s="17" t="str">
        <f>_xll.xlqName(C47,tda)</f>
        <v>SSTK Dec 20 2019 30 Call</v>
      </c>
      <c r="V47" s="17"/>
      <c r="AA47" s="98"/>
      <c r="AB47" s="98"/>
      <c r="AC47" s="98"/>
    </row>
    <row r="48" spans="1:29" s="13" customFormat="1" ht="14.25" customHeight="1" x14ac:dyDescent="0.25">
      <c r="A48" s="3">
        <v>43819</v>
      </c>
      <c r="B48" s="4">
        <v>30</v>
      </c>
      <c r="C48" s="61" t="str">
        <f t="shared" si="15"/>
        <v>SSTK_122019C30</v>
      </c>
      <c r="D48" s="4">
        <f>_xll.xlqBid(C48,tda)</f>
        <v>12.9</v>
      </c>
      <c r="E48" s="4">
        <f>_xll.xlqAsk(C48,tda)</f>
        <v>14.8</v>
      </c>
      <c r="F48" s="5">
        <f t="shared" si="16"/>
        <v>13.850000000000001</v>
      </c>
      <c r="G48" s="6">
        <f t="shared" ca="1" si="17"/>
        <v>16</v>
      </c>
      <c r="H48" s="7">
        <f t="shared" ca="1" si="18"/>
        <v>0.52459016393442626</v>
      </c>
      <c r="I48" s="8">
        <f t="shared" si="19"/>
        <v>0.46166666666666673</v>
      </c>
      <c r="J48" s="19">
        <f t="shared" ca="1" si="20"/>
        <v>6.3551264005923258E-4</v>
      </c>
      <c r="K48" s="4">
        <f t="shared" si="21"/>
        <v>13.840000000000003</v>
      </c>
      <c r="L48" s="4">
        <f t="shared" si="22"/>
        <v>9.9999999999980105E-3</v>
      </c>
      <c r="M48" s="4">
        <f t="shared" si="23"/>
        <v>43.85</v>
      </c>
      <c r="N48" s="9"/>
      <c r="O48" s="10">
        <f t="shared" si="24"/>
        <v>-7.5</v>
      </c>
      <c r="P48" s="10">
        <f t="shared" si="25"/>
        <v>-6.8000000000000007</v>
      </c>
      <c r="Q48" s="10">
        <f t="shared" si="26"/>
        <v>-0.69999999999999929</v>
      </c>
      <c r="R48" s="11">
        <f t="shared" si="27"/>
        <v>0.10294117647058812</v>
      </c>
      <c r="S48" s="11">
        <f t="shared" ca="1" si="28"/>
        <v>0.58869485294117585</v>
      </c>
      <c r="T48" s="57">
        <f t="shared" ca="1" si="29"/>
        <v>-0.52049674267100932</v>
      </c>
      <c r="U48" s="17" t="str">
        <f>_xll.xlqName(C48,tda)</f>
        <v>SSTK Dec 20 2019 30 Call</v>
      </c>
      <c r="V48" s="17"/>
      <c r="AA48" s="98"/>
      <c r="AB48" s="98"/>
      <c r="AC48" s="98"/>
    </row>
    <row r="49" spans="1:29" s="13" customFormat="1" ht="14.25" customHeight="1" x14ac:dyDescent="0.25">
      <c r="A49" s="3">
        <v>43819</v>
      </c>
      <c r="B49" s="4">
        <v>30</v>
      </c>
      <c r="C49" s="61" t="str">
        <f t="shared" si="15"/>
        <v>SSTK_122019C30</v>
      </c>
      <c r="D49" s="4">
        <f>_xll.xlqBid(C49,tda)</f>
        <v>12.9</v>
      </c>
      <c r="E49" s="4">
        <f>_xll.xlqAsk(C49,tda)</f>
        <v>14.8</v>
      </c>
      <c r="F49" s="5">
        <f t="shared" si="16"/>
        <v>13.850000000000001</v>
      </c>
      <c r="G49" s="6">
        <f t="shared" ca="1" si="17"/>
        <v>16</v>
      </c>
      <c r="H49" s="7">
        <f t="shared" ca="1" si="18"/>
        <v>0.52459016393442626</v>
      </c>
      <c r="I49" s="8">
        <f t="shared" si="19"/>
        <v>0.46166666666666673</v>
      </c>
      <c r="J49" s="19">
        <f t="shared" ca="1" si="20"/>
        <v>6.3551264005923258E-4</v>
      </c>
      <c r="K49" s="4">
        <f t="shared" si="21"/>
        <v>13.840000000000003</v>
      </c>
      <c r="L49" s="4">
        <f t="shared" si="22"/>
        <v>9.9999999999980105E-3</v>
      </c>
      <c r="M49" s="4">
        <f t="shared" si="23"/>
        <v>43.85</v>
      </c>
      <c r="N49" s="9"/>
      <c r="O49" s="10">
        <f t="shared" si="24"/>
        <v>-7.5</v>
      </c>
      <c r="P49" s="10">
        <f t="shared" si="25"/>
        <v>-6.8000000000000007</v>
      </c>
      <c r="Q49" s="10">
        <f t="shared" si="26"/>
        <v>-0.69999999999999929</v>
      </c>
      <c r="R49" s="11">
        <f t="shared" si="27"/>
        <v>0.10294117647058812</v>
      </c>
      <c r="S49" s="11">
        <f t="shared" ca="1" si="28"/>
        <v>0.58869485294117585</v>
      </c>
      <c r="T49" s="57">
        <f t="shared" ca="1" si="29"/>
        <v>-0.52049674267100932</v>
      </c>
      <c r="U49" s="17" t="str">
        <f>_xll.xlqName(C49,tda)</f>
        <v>SSTK Dec 20 2019 30 Call</v>
      </c>
      <c r="V49" s="17"/>
      <c r="AA49" s="98"/>
      <c r="AB49" s="98"/>
      <c r="AC49" s="98"/>
    </row>
    <row r="50" spans="1:29" s="13" customFormat="1" ht="14.25" customHeight="1" x14ac:dyDescent="0.25">
      <c r="A50" s="3">
        <v>43819</v>
      </c>
      <c r="B50" s="4">
        <v>30</v>
      </c>
      <c r="C50" s="61" t="str">
        <f t="shared" si="15"/>
        <v>SSTK_122019C30</v>
      </c>
      <c r="D50" s="4">
        <f>_xll.xlqBid(C50,tda)</f>
        <v>12.9</v>
      </c>
      <c r="E50" s="4">
        <f>_xll.xlqAsk(C50,tda)</f>
        <v>14.8</v>
      </c>
      <c r="F50" s="5">
        <f t="shared" si="16"/>
        <v>13.850000000000001</v>
      </c>
      <c r="G50" s="6">
        <f t="shared" ca="1" si="17"/>
        <v>16</v>
      </c>
      <c r="H50" s="7">
        <f t="shared" ca="1" si="18"/>
        <v>0.52459016393442626</v>
      </c>
      <c r="I50" s="8">
        <f t="shared" si="19"/>
        <v>0.46166666666666673</v>
      </c>
      <c r="J50" s="19">
        <f t="shared" ca="1" si="20"/>
        <v>6.3551264005923258E-4</v>
      </c>
      <c r="K50" s="4">
        <f t="shared" si="21"/>
        <v>13.840000000000003</v>
      </c>
      <c r="L50" s="4">
        <f t="shared" si="22"/>
        <v>9.9999999999980105E-3</v>
      </c>
      <c r="M50" s="4">
        <f t="shared" si="23"/>
        <v>43.85</v>
      </c>
      <c r="N50" s="9"/>
      <c r="O50" s="10">
        <f t="shared" si="24"/>
        <v>-7.5</v>
      </c>
      <c r="P50" s="10">
        <f t="shared" si="25"/>
        <v>-6.8000000000000007</v>
      </c>
      <c r="Q50" s="10">
        <f t="shared" si="26"/>
        <v>-0.69999999999999929</v>
      </c>
      <c r="R50" s="11">
        <f t="shared" si="27"/>
        <v>0.10294117647058812</v>
      </c>
      <c r="S50" s="11">
        <f t="shared" ca="1" si="28"/>
        <v>0.58869485294117585</v>
      </c>
      <c r="T50" s="57">
        <f t="shared" ca="1" si="29"/>
        <v>-0.52049674267100932</v>
      </c>
      <c r="U50" s="17" t="str">
        <f>_xll.xlqName(C50,tda)</f>
        <v>SSTK Dec 20 2019 30 Call</v>
      </c>
      <c r="V50" s="17"/>
      <c r="AA50" s="98"/>
      <c r="AB50" s="98"/>
      <c r="AC50" s="98"/>
    </row>
    <row r="51" spans="1:29" s="13" customFormat="1" ht="14.25" customHeight="1" x14ac:dyDescent="0.25">
      <c r="A51" s="3">
        <v>43819</v>
      </c>
      <c r="B51" s="4">
        <v>30</v>
      </c>
      <c r="C51" s="61" t="str">
        <f t="shared" si="15"/>
        <v>SSTK_122019C30</v>
      </c>
      <c r="D51" s="4">
        <f>_xll.xlqBid(C51,tda)</f>
        <v>12.9</v>
      </c>
      <c r="E51" s="4">
        <f>_xll.xlqAsk(C51,tda)</f>
        <v>14.8</v>
      </c>
      <c r="F51" s="5">
        <f t="shared" si="16"/>
        <v>13.850000000000001</v>
      </c>
      <c r="G51" s="6">
        <f t="shared" ca="1" si="17"/>
        <v>16</v>
      </c>
      <c r="H51" s="7">
        <f t="shared" ca="1" si="18"/>
        <v>0.52459016393442626</v>
      </c>
      <c r="I51" s="8">
        <f t="shared" si="19"/>
        <v>0.46166666666666673</v>
      </c>
      <c r="J51" s="19">
        <f t="shared" ca="1" si="20"/>
        <v>6.3551264005923258E-4</v>
      </c>
      <c r="K51" s="4">
        <f t="shared" si="21"/>
        <v>13.840000000000003</v>
      </c>
      <c r="L51" s="4">
        <f t="shared" si="22"/>
        <v>9.9999999999980105E-3</v>
      </c>
      <c r="M51" s="4">
        <f t="shared" si="23"/>
        <v>43.85</v>
      </c>
      <c r="N51" s="9"/>
      <c r="O51" s="10">
        <f t="shared" si="24"/>
        <v>-7.5</v>
      </c>
      <c r="P51" s="10">
        <f t="shared" si="25"/>
        <v>-6.8000000000000007</v>
      </c>
      <c r="Q51" s="10">
        <f t="shared" si="26"/>
        <v>-0.69999999999999929</v>
      </c>
      <c r="R51" s="11">
        <f t="shared" si="27"/>
        <v>0.10294117647058812</v>
      </c>
      <c r="S51" s="11">
        <f t="shared" ca="1" si="28"/>
        <v>0.58869485294117585</v>
      </c>
      <c r="T51" s="57">
        <f t="shared" ca="1" si="29"/>
        <v>-0.52049674267100932</v>
      </c>
      <c r="U51" s="17" t="str">
        <f>_xll.xlqName(C51,tda)</f>
        <v>SSTK Dec 20 2019 30 Call</v>
      </c>
      <c r="V51" s="17"/>
      <c r="W51" s="17"/>
      <c r="AA51" s="98"/>
      <c r="AB51" s="98"/>
      <c r="AC51" s="98"/>
    </row>
    <row r="52" spans="1:29" s="13" customFormat="1" ht="14.25" customHeight="1" x14ac:dyDescent="0.25">
      <c r="A52" s="3">
        <v>43819</v>
      </c>
      <c r="B52" s="4">
        <v>30</v>
      </c>
      <c r="C52" s="61" t="str">
        <f t="shared" si="15"/>
        <v>SSTK_122019C30</v>
      </c>
      <c r="D52" s="4">
        <f>_xll.xlqBid(C52,tda)</f>
        <v>12.9</v>
      </c>
      <c r="E52" s="4">
        <f>_xll.xlqAsk(C52,tda)</f>
        <v>14.8</v>
      </c>
      <c r="F52" s="5">
        <f t="shared" si="16"/>
        <v>13.850000000000001</v>
      </c>
      <c r="G52" s="6">
        <f t="shared" ca="1" si="17"/>
        <v>16</v>
      </c>
      <c r="H52" s="7">
        <f t="shared" ca="1" si="18"/>
        <v>0.52459016393442626</v>
      </c>
      <c r="I52" s="8">
        <f t="shared" si="19"/>
        <v>0.46166666666666673</v>
      </c>
      <c r="J52" s="19">
        <f t="shared" ca="1" si="20"/>
        <v>6.3551264005923258E-4</v>
      </c>
      <c r="K52" s="4">
        <f t="shared" si="21"/>
        <v>13.840000000000003</v>
      </c>
      <c r="L52" s="4">
        <f t="shared" si="22"/>
        <v>9.9999999999980105E-3</v>
      </c>
      <c r="M52" s="4">
        <f t="shared" si="23"/>
        <v>43.85</v>
      </c>
      <c r="N52" s="9"/>
      <c r="O52" s="10">
        <f t="shared" si="24"/>
        <v>-7.5</v>
      </c>
      <c r="P52" s="10">
        <f t="shared" si="25"/>
        <v>-6.8000000000000007</v>
      </c>
      <c r="Q52" s="10">
        <f t="shared" si="26"/>
        <v>-0.69999999999999929</v>
      </c>
      <c r="R52" s="11">
        <f t="shared" si="27"/>
        <v>0.10294117647058812</v>
      </c>
      <c r="S52" s="11">
        <f t="shared" ca="1" si="28"/>
        <v>0.58869485294117585</v>
      </c>
      <c r="T52" s="57">
        <f t="shared" ca="1" si="29"/>
        <v>-0.52049674267100932</v>
      </c>
      <c r="U52" s="17" t="str">
        <f>_xll.xlqName(C52,tda)</f>
        <v>SSTK Dec 20 2019 30 Call</v>
      </c>
      <c r="V52" s="17"/>
      <c r="W52" s="17"/>
      <c r="AA52" s="98"/>
      <c r="AB52" s="98"/>
      <c r="AC52" s="98"/>
    </row>
    <row r="53" spans="1:29" s="13" customFormat="1" ht="14.25" customHeight="1" x14ac:dyDescent="0.25">
      <c r="A53" s="3">
        <v>43819</v>
      </c>
      <c r="B53" s="4">
        <v>30</v>
      </c>
      <c r="C53" s="61" t="str">
        <f t="shared" si="15"/>
        <v>SSTK_122019C30</v>
      </c>
      <c r="D53" s="4">
        <f>_xll.xlqBid(C53,tda)</f>
        <v>12.9</v>
      </c>
      <c r="E53" s="4">
        <f>_xll.xlqAsk(C53,tda)</f>
        <v>14.8</v>
      </c>
      <c r="F53" s="5">
        <f t="shared" si="16"/>
        <v>13.850000000000001</v>
      </c>
      <c r="G53" s="6">
        <f t="shared" ca="1" si="17"/>
        <v>16</v>
      </c>
      <c r="H53" s="7">
        <f t="shared" ca="1" si="18"/>
        <v>0.52459016393442626</v>
      </c>
      <c r="I53" s="8">
        <f t="shared" si="19"/>
        <v>0.46166666666666673</v>
      </c>
      <c r="J53" s="19">
        <f t="shared" ca="1" si="20"/>
        <v>6.3551264005923258E-4</v>
      </c>
      <c r="K53" s="4">
        <f t="shared" si="21"/>
        <v>13.840000000000003</v>
      </c>
      <c r="L53" s="4">
        <f t="shared" si="22"/>
        <v>9.9999999999980105E-3</v>
      </c>
      <c r="M53" s="4">
        <f t="shared" si="23"/>
        <v>43.85</v>
      </c>
      <c r="N53" s="9"/>
      <c r="O53" s="10">
        <f t="shared" si="24"/>
        <v>-7.5</v>
      </c>
      <c r="P53" s="10">
        <f t="shared" si="25"/>
        <v>-6.8000000000000007</v>
      </c>
      <c r="Q53" s="10">
        <f t="shared" si="26"/>
        <v>-0.69999999999999929</v>
      </c>
      <c r="R53" s="11">
        <f t="shared" si="27"/>
        <v>0.10294117647058812</v>
      </c>
      <c r="S53" s="11">
        <f t="shared" ca="1" si="28"/>
        <v>0.58869485294117585</v>
      </c>
      <c r="T53" s="57">
        <f t="shared" ca="1" si="29"/>
        <v>-0.52049674267100932</v>
      </c>
      <c r="U53" s="17" t="str">
        <f>_xll.xlqName(C53,tda)</f>
        <v>SSTK Dec 20 2019 30 Call</v>
      </c>
      <c r="V53" s="17"/>
      <c r="AA53" s="98"/>
      <c r="AB53" s="98"/>
      <c r="AC53" s="98"/>
    </row>
    <row r="54" spans="1:29" s="13" customFormat="1" ht="14.25" customHeight="1" x14ac:dyDescent="0.25">
      <c r="A54" s="3">
        <v>43819</v>
      </c>
      <c r="B54" s="4">
        <v>30</v>
      </c>
      <c r="C54" s="61" t="str">
        <f t="shared" si="15"/>
        <v>SSTK_122019C30</v>
      </c>
      <c r="D54" s="4">
        <f>_xll.xlqBid(C54,tda)</f>
        <v>12.9</v>
      </c>
      <c r="E54" s="4">
        <f>_xll.xlqAsk(C54,tda)</f>
        <v>14.8</v>
      </c>
      <c r="F54" s="5">
        <f t="shared" si="16"/>
        <v>13.850000000000001</v>
      </c>
      <c r="G54" s="6">
        <f t="shared" ca="1" si="17"/>
        <v>16</v>
      </c>
      <c r="H54" s="7">
        <f t="shared" ca="1" si="18"/>
        <v>0.52459016393442626</v>
      </c>
      <c r="I54" s="8">
        <f t="shared" si="19"/>
        <v>0.46166666666666673</v>
      </c>
      <c r="J54" s="19">
        <f t="shared" ca="1" si="20"/>
        <v>6.3551264005923258E-4</v>
      </c>
      <c r="K54" s="4">
        <f t="shared" si="21"/>
        <v>13.840000000000003</v>
      </c>
      <c r="L54" s="4">
        <f t="shared" si="22"/>
        <v>9.9999999999980105E-3</v>
      </c>
      <c r="M54" s="4">
        <f t="shared" si="23"/>
        <v>43.85</v>
      </c>
      <c r="N54" s="9"/>
      <c r="O54" s="10">
        <f t="shared" si="24"/>
        <v>-7.5</v>
      </c>
      <c r="P54" s="10">
        <f t="shared" si="25"/>
        <v>-6.8000000000000007</v>
      </c>
      <c r="Q54" s="10">
        <f t="shared" si="26"/>
        <v>-0.69999999999999929</v>
      </c>
      <c r="R54" s="11">
        <f t="shared" si="27"/>
        <v>0.10294117647058812</v>
      </c>
      <c r="S54" s="11">
        <f t="shared" ca="1" si="28"/>
        <v>0.58869485294117585</v>
      </c>
      <c r="T54" s="57">
        <f t="shared" ca="1" si="29"/>
        <v>-0.52049674267100932</v>
      </c>
      <c r="U54" s="17" t="str">
        <f>_xll.xlqName(C54,tda)</f>
        <v>SSTK Dec 20 2019 30 Call</v>
      </c>
      <c r="V54" s="17"/>
      <c r="AA54" s="98"/>
      <c r="AB54" s="98"/>
      <c r="AC54" s="98"/>
    </row>
    <row r="55" spans="1:29" s="13" customFormat="1" ht="14.25" customHeight="1" x14ac:dyDescent="0.25">
      <c r="A55" s="3">
        <v>43819</v>
      </c>
      <c r="B55" s="4">
        <v>30</v>
      </c>
      <c r="C55" s="61" t="str">
        <f t="shared" si="15"/>
        <v>SSTK_122019C30</v>
      </c>
      <c r="D55" s="4">
        <f>_xll.xlqBid(C55,tda)</f>
        <v>12.9</v>
      </c>
      <c r="E55" s="4">
        <f>_xll.xlqAsk(C55,tda)</f>
        <v>14.8</v>
      </c>
      <c r="F55" s="5">
        <f t="shared" si="16"/>
        <v>13.850000000000001</v>
      </c>
      <c r="G55" s="6">
        <f t="shared" ca="1" si="17"/>
        <v>16</v>
      </c>
      <c r="H55" s="7">
        <f t="shared" ca="1" si="18"/>
        <v>0.52459016393442626</v>
      </c>
      <c r="I55" s="8">
        <f t="shared" si="19"/>
        <v>0.46166666666666673</v>
      </c>
      <c r="J55" s="19">
        <f t="shared" ca="1" si="20"/>
        <v>6.3551264005923258E-4</v>
      </c>
      <c r="K55" s="4">
        <f t="shared" si="21"/>
        <v>13.840000000000003</v>
      </c>
      <c r="L55" s="4">
        <f t="shared" si="22"/>
        <v>9.9999999999980105E-3</v>
      </c>
      <c r="M55" s="4">
        <f t="shared" si="23"/>
        <v>43.85</v>
      </c>
      <c r="N55" s="9"/>
      <c r="O55" s="10">
        <f t="shared" si="24"/>
        <v>-7.5</v>
      </c>
      <c r="P55" s="10">
        <f t="shared" si="25"/>
        <v>-6.8000000000000007</v>
      </c>
      <c r="Q55" s="10">
        <f t="shared" si="26"/>
        <v>-0.69999999999999929</v>
      </c>
      <c r="R55" s="11">
        <f t="shared" si="27"/>
        <v>0.10294117647058812</v>
      </c>
      <c r="S55" s="11">
        <f t="shared" ca="1" si="28"/>
        <v>0.58869485294117585</v>
      </c>
      <c r="T55" s="57">
        <f t="shared" ca="1" si="29"/>
        <v>-0.52049674267100932</v>
      </c>
      <c r="U55" s="17" t="str">
        <f>_xll.xlqName(C55,tda)</f>
        <v>SSTK Dec 20 2019 30 Call</v>
      </c>
      <c r="V55" s="17"/>
      <c r="AA55" s="98"/>
      <c r="AB55" s="98"/>
      <c r="AC55" s="98"/>
    </row>
    <row r="56" spans="1:29" s="13" customFormat="1" ht="14.25" customHeight="1" x14ac:dyDescent="0.25">
      <c r="A56" s="3">
        <v>43819</v>
      </c>
      <c r="B56" s="4">
        <v>30</v>
      </c>
      <c r="C56" s="61" t="str">
        <f t="shared" si="15"/>
        <v>SSTK_122019C30</v>
      </c>
      <c r="D56" s="4">
        <f>_xll.xlqBid(C56,tda)</f>
        <v>12.9</v>
      </c>
      <c r="E56" s="4">
        <f>_xll.xlqAsk(C56,tda)</f>
        <v>14.8</v>
      </c>
      <c r="F56" s="5">
        <f t="shared" si="16"/>
        <v>13.850000000000001</v>
      </c>
      <c r="G56" s="6">
        <f t="shared" ca="1" si="17"/>
        <v>16</v>
      </c>
      <c r="H56" s="7">
        <f t="shared" ca="1" si="18"/>
        <v>0.52459016393442626</v>
      </c>
      <c r="I56" s="8">
        <f t="shared" si="19"/>
        <v>0.46166666666666673</v>
      </c>
      <c r="J56" s="19">
        <f t="shared" ca="1" si="20"/>
        <v>6.3551264005923258E-4</v>
      </c>
      <c r="K56" s="4">
        <f t="shared" si="21"/>
        <v>13.840000000000003</v>
      </c>
      <c r="L56" s="4">
        <f t="shared" si="22"/>
        <v>9.9999999999980105E-3</v>
      </c>
      <c r="M56" s="4">
        <f t="shared" si="23"/>
        <v>43.85</v>
      </c>
      <c r="N56" s="9"/>
      <c r="O56" s="10">
        <f t="shared" si="24"/>
        <v>-7.5</v>
      </c>
      <c r="P56" s="10">
        <f t="shared" si="25"/>
        <v>-6.8000000000000007</v>
      </c>
      <c r="Q56" s="10">
        <f t="shared" si="26"/>
        <v>-0.69999999999999929</v>
      </c>
      <c r="R56" s="11">
        <f t="shared" si="27"/>
        <v>0.10294117647058812</v>
      </c>
      <c r="S56" s="11">
        <f t="shared" ca="1" si="28"/>
        <v>0.58869485294117585</v>
      </c>
      <c r="T56" s="57">
        <f t="shared" ca="1" si="29"/>
        <v>-0.52049674267100932</v>
      </c>
      <c r="U56" s="17" t="str">
        <f>_xll.xlqName(C56,tda)</f>
        <v>SSTK Dec 20 2019 30 Call</v>
      </c>
      <c r="V56" s="17"/>
    </row>
    <row r="57" spans="1:29" s="13" customFormat="1" ht="14.25" customHeight="1" x14ac:dyDescent="0.25">
      <c r="A57" s="3">
        <v>43819</v>
      </c>
      <c r="B57" s="4">
        <v>30</v>
      </c>
      <c r="C57" s="61" t="str">
        <f t="shared" si="15"/>
        <v>SSTK_122019C30</v>
      </c>
      <c r="D57" s="4">
        <f>_xll.xlqBid(C57,tda)</f>
        <v>12.9</v>
      </c>
      <c r="E57" s="4">
        <f>_xll.xlqAsk(C57,tda)</f>
        <v>14.8</v>
      </c>
      <c r="F57" s="5">
        <f t="shared" si="16"/>
        <v>13.850000000000001</v>
      </c>
      <c r="G57" s="6">
        <f t="shared" ca="1" si="17"/>
        <v>16</v>
      </c>
      <c r="H57" s="7">
        <f t="shared" ca="1" si="18"/>
        <v>0.52459016393442626</v>
      </c>
      <c r="I57" s="8">
        <f t="shared" si="19"/>
        <v>0.46166666666666673</v>
      </c>
      <c r="J57" s="19">
        <f t="shared" ca="1" si="20"/>
        <v>6.3551264005923258E-4</v>
      </c>
      <c r="K57" s="4">
        <f t="shared" si="21"/>
        <v>13.840000000000003</v>
      </c>
      <c r="L57" s="4">
        <f t="shared" si="22"/>
        <v>9.9999999999980105E-3</v>
      </c>
      <c r="M57" s="4">
        <f t="shared" si="23"/>
        <v>43.85</v>
      </c>
      <c r="N57" s="9"/>
      <c r="O57" s="10">
        <f t="shared" si="24"/>
        <v>-7.5</v>
      </c>
      <c r="P57" s="10">
        <f t="shared" si="25"/>
        <v>-6.8000000000000007</v>
      </c>
      <c r="Q57" s="10">
        <f t="shared" si="26"/>
        <v>-0.69999999999999929</v>
      </c>
      <c r="R57" s="11">
        <f t="shared" si="27"/>
        <v>0.10294117647058812</v>
      </c>
      <c r="S57" s="11">
        <f t="shared" ca="1" si="28"/>
        <v>0.58869485294117585</v>
      </c>
      <c r="T57" s="57">
        <f t="shared" ca="1" si="29"/>
        <v>-0.52049674267100932</v>
      </c>
      <c r="U57" s="17" t="str">
        <f>_xll.xlqName(C57,tda)</f>
        <v>SSTK Dec 20 2019 30 Call</v>
      </c>
      <c r="V57" s="17"/>
    </row>
    <row r="58" spans="1:29" s="13" customFormat="1" ht="14.25" customHeight="1" x14ac:dyDescent="0.25">
      <c r="A58" s="3">
        <v>43819</v>
      </c>
      <c r="B58" s="4">
        <v>30</v>
      </c>
      <c r="C58" s="61" t="str">
        <f t="shared" si="15"/>
        <v>SSTK_122019C30</v>
      </c>
      <c r="D58" s="4">
        <f>_xll.xlqBid(C58,tda)</f>
        <v>12.9</v>
      </c>
      <c r="E58" s="4">
        <f>_xll.xlqAsk(C58,tda)</f>
        <v>14.8</v>
      </c>
      <c r="F58" s="5">
        <f t="shared" si="16"/>
        <v>13.850000000000001</v>
      </c>
      <c r="G58" s="6">
        <f t="shared" ca="1" si="17"/>
        <v>16</v>
      </c>
      <c r="H58" s="7">
        <f t="shared" ca="1" si="18"/>
        <v>0.52459016393442626</v>
      </c>
      <c r="I58" s="8">
        <f t="shared" si="19"/>
        <v>0.46166666666666673</v>
      </c>
      <c r="J58" s="19">
        <f t="shared" ca="1" si="20"/>
        <v>6.3551264005923258E-4</v>
      </c>
      <c r="K58" s="4">
        <f t="shared" si="21"/>
        <v>13.840000000000003</v>
      </c>
      <c r="L58" s="4">
        <f t="shared" si="22"/>
        <v>9.9999999999980105E-3</v>
      </c>
      <c r="M58" s="4">
        <f t="shared" si="23"/>
        <v>43.85</v>
      </c>
      <c r="N58" s="9"/>
      <c r="O58" s="10">
        <f t="shared" si="24"/>
        <v>-7.5</v>
      </c>
      <c r="P58" s="10">
        <f t="shared" si="25"/>
        <v>-6.8000000000000007</v>
      </c>
      <c r="Q58" s="10">
        <f t="shared" si="26"/>
        <v>-0.69999999999999929</v>
      </c>
      <c r="R58" s="11">
        <f t="shared" si="27"/>
        <v>0.10294117647058812</v>
      </c>
      <c r="S58" s="11">
        <f t="shared" ca="1" si="28"/>
        <v>0.58869485294117585</v>
      </c>
      <c r="T58" s="57">
        <f t="shared" ca="1" si="29"/>
        <v>-0.52049674267100932</v>
      </c>
      <c r="U58" s="17" t="str">
        <f>_xll.xlqName(C58,tda)</f>
        <v>SSTK Dec 20 2019 30 Call</v>
      </c>
      <c r="V58" s="17"/>
      <c r="W58" s="17"/>
    </row>
    <row r="59" spans="1:29" s="13" customFormat="1" ht="14.25" customHeight="1" x14ac:dyDescent="0.25">
      <c r="A59" s="3">
        <v>43819</v>
      </c>
      <c r="B59" s="4">
        <v>30</v>
      </c>
      <c r="C59" s="61" t="str">
        <f t="shared" si="15"/>
        <v>SSTK_122019C30</v>
      </c>
      <c r="D59" s="4">
        <f>_xll.xlqBid(C59,tda)</f>
        <v>12.9</v>
      </c>
      <c r="E59" s="4">
        <f>_xll.xlqAsk(C59,tda)</f>
        <v>14.8</v>
      </c>
      <c r="F59" s="5">
        <f t="shared" si="16"/>
        <v>13.850000000000001</v>
      </c>
      <c r="G59" s="6">
        <f t="shared" ca="1" si="17"/>
        <v>16</v>
      </c>
      <c r="H59" s="7">
        <f t="shared" ca="1" si="18"/>
        <v>0.52459016393442626</v>
      </c>
      <c r="I59" s="8">
        <f t="shared" si="19"/>
        <v>0.46166666666666673</v>
      </c>
      <c r="J59" s="19">
        <f t="shared" ca="1" si="20"/>
        <v>6.3551264005923258E-4</v>
      </c>
      <c r="K59" s="4">
        <f t="shared" si="21"/>
        <v>13.840000000000003</v>
      </c>
      <c r="L59" s="4">
        <f t="shared" si="22"/>
        <v>9.9999999999980105E-3</v>
      </c>
      <c r="M59" s="4">
        <f t="shared" si="23"/>
        <v>43.85</v>
      </c>
      <c r="N59" s="9"/>
      <c r="O59" s="10">
        <f t="shared" si="24"/>
        <v>-7.5</v>
      </c>
      <c r="P59" s="10">
        <f t="shared" si="25"/>
        <v>-6.8000000000000007</v>
      </c>
      <c r="Q59" s="10">
        <f t="shared" si="26"/>
        <v>-0.69999999999999929</v>
      </c>
      <c r="R59" s="11">
        <f t="shared" si="27"/>
        <v>0.10294117647058812</v>
      </c>
      <c r="S59" s="11">
        <f t="shared" ca="1" si="28"/>
        <v>0.58869485294117585</v>
      </c>
      <c r="T59" s="57">
        <f t="shared" ca="1" si="29"/>
        <v>-0.52049674267100932</v>
      </c>
      <c r="U59" s="17" t="str">
        <f>_xll.xlqName(C59,tda)</f>
        <v>SSTK Dec 20 2019 30 Call</v>
      </c>
      <c r="V59" s="17"/>
    </row>
    <row r="60" spans="1:29" s="17" customFormat="1" ht="14.25" customHeight="1" x14ac:dyDescent="0.25">
      <c r="A60" s="3">
        <v>43819</v>
      </c>
      <c r="B60" s="4">
        <v>30</v>
      </c>
      <c r="C60" s="61" t="str">
        <f t="shared" si="15"/>
        <v>SSTK_122019C30</v>
      </c>
      <c r="D60" s="4">
        <f>_xll.xlqBid(C60,tda)</f>
        <v>12.9</v>
      </c>
      <c r="E60" s="4">
        <f>_xll.xlqAsk(C60,tda)</f>
        <v>14.8</v>
      </c>
      <c r="F60" s="5">
        <f t="shared" si="16"/>
        <v>13.850000000000001</v>
      </c>
      <c r="G60" s="6">
        <f t="shared" ca="1" si="17"/>
        <v>16</v>
      </c>
      <c r="H60" s="7">
        <f t="shared" ca="1" si="18"/>
        <v>0.52459016393442626</v>
      </c>
      <c r="I60" s="8">
        <f t="shared" si="19"/>
        <v>0.46166666666666673</v>
      </c>
      <c r="J60" s="19">
        <f t="shared" ca="1" si="20"/>
        <v>6.3551264005923258E-4</v>
      </c>
      <c r="K60" s="4">
        <f t="shared" si="21"/>
        <v>13.840000000000003</v>
      </c>
      <c r="L60" s="4">
        <f t="shared" si="22"/>
        <v>9.9999999999980105E-3</v>
      </c>
      <c r="M60" s="4">
        <f t="shared" si="23"/>
        <v>43.85</v>
      </c>
      <c r="N60" s="9"/>
      <c r="O60" s="10">
        <f t="shared" si="24"/>
        <v>-7.5</v>
      </c>
      <c r="P60" s="10">
        <f t="shared" si="25"/>
        <v>-6.8000000000000007</v>
      </c>
      <c r="Q60" s="10">
        <f t="shared" si="26"/>
        <v>-0.69999999999999929</v>
      </c>
      <c r="R60" s="11">
        <f t="shared" si="27"/>
        <v>0.10294117647058812</v>
      </c>
      <c r="S60" s="11">
        <f t="shared" ca="1" si="28"/>
        <v>0.58869485294117585</v>
      </c>
      <c r="T60" s="57">
        <f t="shared" ca="1" si="29"/>
        <v>-0.52049674267100932</v>
      </c>
      <c r="U60" s="17" t="str">
        <f>_xll.xlqName(C60,tda)</f>
        <v>SSTK Dec 20 2019 30 Call</v>
      </c>
    </row>
    <row r="61" spans="1:29" s="17" customFormat="1" ht="14.25" customHeight="1" x14ac:dyDescent="0.25">
      <c r="A61" s="3">
        <v>43819</v>
      </c>
      <c r="B61" s="4">
        <v>30</v>
      </c>
      <c r="C61" s="61" t="str">
        <f t="shared" si="15"/>
        <v>SSTK_122019C30</v>
      </c>
      <c r="D61" s="4">
        <f>_xll.xlqBid(C61,tda)</f>
        <v>12.9</v>
      </c>
      <c r="E61" s="4">
        <f>_xll.xlqAsk(C61,tda)</f>
        <v>14.8</v>
      </c>
      <c r="F61" s="5">
        <f t="shared" si="16"/>
        <v>13.850000000000001</v>
      </c>
      <c r="G61" s="6">
        <f t="shared" ca="1" si="17"/>
        <v>16</v>
      </c>
      <c r="H61" s="7">
        <f t="shared" ca="1" si="18"/>
        <v>0.52459016393442626</v>
      </c>
      <c r="I61" s="8">
        <f t="shared" si="19"/>
        <v>0.46166666666666673</v>
      </c>
      <c r="J61" s="19">
        <f t="shared" ca="1" si="20"/>
        <v>6.3551264005923258E-4</v>
      </c>
      <c r="K61" s="4">
        <f t="shared" si="21"/>
        <v>13.840000000000003</v>
      </c>
      <c r="L61" s="4">
        <f t="shared" si="22"/>
        <v>9.9999999999980105E-3</v>
      </c>
      <c r="M61" s="4">
        <f t="shared" si="23"/>
        <v>43.85</v>
      </c>
      <c r="N61" s="9"/>
      <c r="O61" s="10">
        <f t="shared" si="24"/>
        <v>-7.5</v>
      </c>
      <c r="P61" s="10">
        <f t="shared" si="25"/>
        <v>-6.8000000000000007</v>
      </c>
      <c r="Q61" s="10">
        <f t="shared" si="26"/>
        <v>-0.69999999999999929</v>
      </c>
      <c r="R61" s="11">
        <f t="shared" si="27"/>
        <v>0.10294117647058812</v>
      </c>
      <c r="S61" s="11">
        <f t="shared" ca="1" si="28"/>
        <v>0.58869485294117585</v>
      </c>
      <c r="T61" s="57">
        <f t="shared" ca="1" si="29"/>
        <v>-0.52049674267100932</v>
      </c>
      <c r="U61" s="17" t="str">
        <f>_xll.xlqName(C61,tda)</f>
        <v>SSTK Dec 20 2019 30 Call</v>
      </c>
    </row>
    <row r="62" spans="1:29" s="17" customFormat="1" ht="14.25" customHeight="1" x14ac:dyDescent="0.25">
      <c r="A62" s="3">
        <v>43819</v>
      </c>
      <c r="B62" s="4">
        <v>30</v>
      </c>
      <c r="C62" s="61" t="str">
        <f t="shared" si="15"/>
        <v>SSTK_122019C30</v>
      </c>
      <c r="D62" s="4">
        <f>_xll.xlqBid(C62,tda)</f>
        <v>12.9</v>
      </c>
      <c r="E62" s="4">
        <f>_xll.xlqAsk(C62,tda)</f>
        <v>14.8</v>
      </c>
      <c r="F62" s="5">
        <f t="shared" si="16"/>
        <v>13.850000000000001</v>
      </c>
      <c r="G62" s="6">
        <f t="shared" ca="1" si="17"/>
        <v>16</v>
      </c>
      <c r="H62" s="7">
        <f t="shared" ca="1" si="18"/>
        <v>0.52459016393442626</v>
      </c>
      <c r="I62" s="8">
        <f t="shared" si="19"/>
        <v>0.46166666666666673</v>
      </c>
      <c r="J62" s="19">
        <f t="shared" ca="1" si="20"/>
        <v>6.3551264005923258E-4</v>
      </c>
      <c r="K62" s="4">
        <f t="shared" si="21"/>
        <v>13.840000000000003</v>
      </c>
      <c r="L62" s="4">
        <f t="shared" si="22"/>
        <v>9.9999999999980105E-3</v>
      </c>
      <c r="M62" s="4">
        <f t="shared" si="23"/>
        <v>43.85</v>
      </c>
      <c r="N62" s="9"/>
      <c r="O62" s="10">
        <f t="shared" si="24"/>
        <v>-7.5</v>
      </c>
      <c r="P62" s="10">
        <f t="shared" si="25"/>
        <v>-6.8000000000000007</v>
      </c>
      <c r="Q62" s="10">
        <f t="shared" si="26"/>
        <v>-0.69999999999999929</v>
      </c>
      <c r="R62" s="11">
        <f t="shared" si="27"/>
        <v>0.10294117647058812</v>
      </c>
      <c r="S62" s="11">
        <f t="shared" ca="1" si="28"/>
        <v>0.58869485294117585</v>
      </c>
      <c r="T62" s="57">
        <f t="shared" ca="1" si="29"/>
        <v>-0.52049674267100932</v>
      </c>
      <c r="U62" s="17" t="str">
        <f>_xll.xlqName(C62,tda)</f>
        <v>SSTK Dec 20 2019 30 Call</v>
      </c>
    </row>
    <row r="63" spans="1:29" s="17" customFormat="1" ht="14.25" customHeight="1" x14ac:dyDescent="0.25">
      <c r="A63" s="3">
        <v>43819</v>
      </c>
      <c r="B63" s="4">
        <v>30</v>
      </c>
      <c r="C63" s="61" t="str">
        <f t="shared" si="15"/>
        <v>SSTK_122019C30</v>
      </c>
      <c r="D63" s="4">
        <f>_xll.xlqBid(C63,tda)</f>
        <v>12.9</v>
      </c>
      <c r="E63" s="4">
        <f>_xll.xlqAsk(C63,tda)</f>
        <v>14.8</v>
      </c>
      <c r="F63" s="5">
        <f t="shared" si="16"/>
        <v>13.850000000000001</v>
      </c>
      <c r="G63" s="6">
        <f t="shared" ca="1" si="17"/>
        <v>16</v>
      </c>
      <c r="H63" s="7">
        <f t="shared" ca="1" si="18"/>
        <v>0.52459016393442626</v>
      </c>
      <c r="I63" s="8">
        <f t="shared" si="19"/>
        <v>0.46166666666666673</v>
      </c>
      <c r="J63" s="19">
        <f t="shared" ca="1" si="20"/>
        <v>6.3551264005923258E-4</v>
      </c>
      <c r="K63" s="4">
        <f t="shared" si="21"/>
        <v>13.840000000000003</v>
      </c>
      <c r="L63" s="4">
        <f t="shared" si="22"/>
        <v>9.9999999999980105E-3</v>
      </c>
      <c r="M63" s="4">
        <f t="shared" si="23"/>
        <v>43.85</v>
      </c>
      <c r="N63" s="9"/>
      <c r="O63" s="10">
        <f t="shared" si="24"/>
        <v>-7.5</v>
      </c>
      <c r="P63" s="10">
        <f t="shared" si="25"/>
        <v>-6.8000000000000007</v>
      </c>
      <c r="Q63" s="10">
        <f t="shared" si="26"/>
        <v>-0.69999999999999929</v>
      </c>
      <c r="R63" s="11">
        <f t="shared" si="27"/>
        <v>0.10294117647058812</v>
      </c>
      <c r="S63" s="11">
        <f t="shared" ca="1" si="28"/>
        <v>0.58869485294117585</v>
      </c>
      <c r="T63" s="57">
        <f t="shared" ca="1" si="29"/>
        <v>-0.52049674267100932</v>
      </c>
      <c r="U63" s="17" t="str">
        <f>_xll.xlqName(C63,tda)</f>
        <v>SSTK Dec 20 2019 30 Call</v>
      </c>
    </row>
    <row r="64" spans="1:29" s="17" customFormat="1" ht="14.1" customHeight="1" x14ac:dyDescent="0.25">
      <c r="A64" s="3">
        <v>43819</v>
      </c>
      <c r="B64" s="4">
        <v>30</v>
      </c>
      <c r="C64" s="61" t="str">
        <f t="shared" si="15"/>
        <v>SSTK_122019C30</v>
      </c>
      <c r="D64" s="4">
        <f>_xll.xlqBid(C64,tda)</f>
        <v>12.9</v>
      </c>
      <c r="E64" s="4">
        <f>_xll.xlqAsk(C64,tda)</f>
        <v>14.8</v>
      </c>
      <c r="F64" s="5">
        <f t="shared" si="16"/>
        <v>13.850000000000001</v>
      </c>
      <c r="G64" s="6">
        <f t="shared" ca="1" si="17"/>
        <v>16</v>
      </c>
      <c r="H64" s="7">
        <f t="shared" ca="1" si="18"/>
        <v>0.52459016393442626</v>
      </c>
      <c r="I64" s="8">
        <f t="shared" si="19"/>
        <v>0.46166666666666673</v>
      </c>
      <c r="J64" s="19">
        <f t="shared" ca="1" si="20"/>
        <v>6.3551264005923258E-4</v>
      </c>
      <c r="K64" s="4">
        <f t="shared" si="21"/>
        <v>13.840000000000003</v>
      </c>
      <c r="L64" s="4">
        <f t="shared" si="22"/>
        <v>9.9999999999980105E-3</v>
      </c>
      <c r="M64" s="4">
        <f t="shared" si="23"/>
        <v>43.85</v>
      </c>
      <c r="N64" s="9"/>
      <c r="O64" s="10">
        <f t="shared" si="24"/>
        <v>-7.5</v>
      </c>
      <c r="P64" s="10">
        <f t="shared" si="25"/>
        <v>-6.8000000000000007</v>
      </c>
      <c r="Q64" s="10">
        <f t="shared" si="26"/>
        <v>-0.69999999999999929</v>
      </c>
      <c r="R64" s="11">
        <f t="shared" si="27"/>
        <v>0.10294117647058812</v>
      </c>
      <c r="S64" s="11">
        <f t="shared" ca="1" si="28"/>
        <v>0.58869485294117585</v>
      </c>
      <c r="T64" s="57">
        <f t="shared" ca="1" si="29"/>
        <v>-0.52049674267100932</v>
      </c>
      <c r="U64" s="17" t="str">
        <f>_xll.xlqName(C64,tda)</f>
        <v>SSTK Dec 20 2019 30 Call</v>
      </c>
    </row>
    <row r="65" spans="1:23" s="17" customFormat="1" ht="14.25" customHeight="1" x14ac:dyDescent="0.25">
      <c r="A65" s="3">
        <v>43819</v>
      </c>
      <c r="B65" s="4">
        <v>30</v>
      </c>
      <c r="C65" s="61" t="str">
        <f t="shared" si="15"/>
        <v>SSTK_122019C30</v>
      </c>
      <c r="D65" s="4">
        <f>_xll.xlqBid(C65,tda)</f>
        <v>12.9</v>
      </c>
      <c r="E65" s="4">
        <f>_xll.xlqAsk(C65,tda)</f>
        <v>14.8</v>
      </c>
      <c r="F65" s="5">
        <f t="shared" si="16"/>
        <v>13.850000000000001</v>
      </c>
      <c r="G65" s="6">
        <f t="shared" ca="1" si="17"/>
        <v>16</v>
      </c>
      <c r="H65" s="7">
        <f t="shared" ca="1" si="18"/>
        <v>0.52459016393442626</v>
      </c>
      <c r="I65" s="8">
        <f t="shared" si="19"/>
        <v>0.46166666666666673</v>
      </c>
      <c r="J65" s="19">
        <f t="shared" ca="1" si="20"/>
        <v>6.3551264005923258E-4</v>
      </c>
      <c r="K65" s="4">
        <f t="shared" si="21"/>
        <v>13.840000000000003</v>
      </c>
      <c r="L65" s="4">
        <f t="shared" si="22"/>
        <v>9.9999999999980105E-3</v>
      </c>
      <c r="M65" s="4">
        <f t="shared" si="23"/>
        <v>43.85</v>
      </c>
      <c r="N65" s="9"/>
      <c r="O65" s="10">
        <f t="shared" si="24"/>
        <v>-7.5</v>
      </c>
      <c r="P65" s="10">
        <f t="shared" si="25"/>
        <v>-6.8000000000000007</v>
      </c>
      <c r="Q65" s="10">
        <f t="shared" si="26"/>
        <v>-0.69999999999999929</v>
      </c>
      <c r="R65" s="11">
        <f t="shared" si="27"/>
        <v>0.10294117647058812</v>
      </c>
      <c r="S65" s="11">
        <f t="shared" ca="1" si="28"/>
        <v>0.58869485294117585</v>
      </c>
      <c r="T65" s="57">
        <f t="shared" ca="1" si="29"/>
        <v>-0.52049674267100932</v>
      </c>
      <c r="U65" s="17" t="str">
        <f>_xll.xlqName(C65,tda)</f>
        <v>SSTK Dec 20 2019 30 Call</v>
      </c>
    </row>
    <row r="66" spans="1:23" s="17" customFormat="1" ht="14.25" customHeight="1" x14ac:dyDescent="0.25">
      <c r="A66" s="3">
        <v>43819</v>
      </c>
      <c r="B66" s="4">
        <v>30</v>
      </c>
      <c r="C66" s="61" t="str">
        <f t="shared" ref="C66:C97" si="30">CONCATENATE($Y$2,"_",TEXT(MONTH(A66),"00"),TEXT(DAY(A66),"00"),TEXT(MOD(YEAR(A66),100),"00"),$Y$3,B66&amp;"")</f>
        <v>SSTK_122019C30</v>
      </c>
      <c r="D66" s="4">
        <f>_xll.xlqBid(C66,tda)</f>
        <v>12.9</v>
      </c>
      <c r="E66" s="4">
        <f>_xll.xlqAsk(C66,tda)</f>
        <v>14.8</v>
      </c>
      <c r="F66" s="5">
        <f t="shared" ref="F66:F97" si="31">(D66+E66)/2</f>
        <v>13.850000000000001</v>
      </c>
      <c r="G66" s="6">
        <f t="shared" ref="G66:G100" ca="1" si="32">A66-TODAY()</f>
        <v>16</v>
      </c>
      <c r="H66" s="7">
        <f t="shared" ref="H66:H97" ca="1" si="33">G66/30.5</f>
        <v>0.52459016393442626</v>
      </c>
      <c r="I66" s="8">
        <f t="shared" ref="I66:I100" si="34">F66/B66</f>
        <v>0.46166666666666673</v>
      </c>
      <c r="J66" s="19">
        <f t="shared" ref="J66:J100" ca="1" si="35">(1+L66/B66)^(1/H66)-1</f>
        <v>6.3551264005923258E-4</v>
      </c>
      <c r="K66" s="4">
        <f t="shared" ref="K66:K100" si="36">MAX(0,$Y$4-B66)</f>
        <v>13.840000000000003</v>
      </c>
      <c r="L66" s="4">
        <f t="shared" ref="L66:L97" si="37">F66-K66</f>
        <v>9.9999999999980105E-3</v>
      </c>
      <c r="M66" s="4">
        <f t="shared" ref="M66:M100" si="38">F66+B66</f>
        <v>43.85</v>
      </c>
      <c r="N66" s="9"/>
      <c r="O66" s="10">
        <f t="shared" ref="O66:O100" si="39">B66-$Y$6</f>
        <v>-7.5</v>
      </c>
      <c r="P66" s="10">
        <f t="shared" ref="P66:P100" si="40">$Y$7-F66</f>
        <v>-6.8000000000000007</v>
      </c>
      <c r="Q66" s="10">
        <f t="shared" ref="Q66:Q97" si="41">O66-P66</f>
        <v>-0.69999999999999929</v>
      </c>
      <c r="R66" s="11">
        <f t="shared" ref="R66:R97" si="42">Q66/P66</f>
        <v>0.10294117647058812</v>
      </c>
      <c r="S66" s="11">
        <f t="shared" ref="S66:S97" ca="1" si="43">R66/(H66/3)</f>
        <v>0.58869485294117585</v>
      </c>
      <c r="T66" s="57">
        <f t="shared" ref="T66:T100" ca="1" si="44">(Q66/($Y$6+P66))*(365.24/G66)</f>
        <v>-0.52049674267100932</v>
      </c>
      <c r="U66" s="17" t="str">
        <f>_xll.xlqName(C66,tda)</f>
        <v>SSTK Dec 20 2019 30 Call</v>
      </c>
    </row>
    <row r="67" spans="1:23" s="13" customFormat="1" ht="14.25" customHeight="1" x14ac:dyDescent="0.25">
      <c r="A67" s="3">
        <v>43819</v>
      </c>
      <c r="B67" s="4">
        <v>30</v>
      </c>
      <c r="C67" s="61" t="str">
        <f t="shared" si="30"/>
        <v>SSTK_122019C30</v>
      </c>
      <c r="D67" s="4">
        <f>_xll.xlqBid(C67,tda)</f>
        <v>12.9</v>
      </c>
      <c r="E67" s="4">
        <f>_xll.xlqAsk(C67,tda)</f>
        <v>14.8</v>
      </c>
      <c r="F67" s="5">
        <f t="shared" si="31"/>
        <v>13.850000000000001</v>
      </c>
      <c r="G67" s="6">
        <f t="shared" ca="1" si="32"/>
        <v>16</v>
      </c>
      <c r="H67" s="7">
        <f t="shared" ca="1" si="33"/>
        <v>0.52459016393442626</v>
      </c>
      <c r="I67" s="8">
        <f t="shared" si="34"/>
        <v>0.46166666666666673</v>
      </c>
      <c r="J67" s="19">
        <f t="shared" ca="1" si="35"/>
        <v>6.3551264005923258E-4</v>
      </c>
      <c r="K67" s="4">
        <f t="shared" si="36"/>
        <v>13.840000000000003</v>
      </c>
      <c r="L67" s="4">
        <f t="shared" si="37"/>
        <v>9.9999999999980105E-3</v>
      </c>
      <c r="M67" s="4">
        <f t="shared" si="38"/>
        <v>43.85</v>
      </c>
      <c r="N67" s="9"/>
      <c r="O67" s="10">
        <f t="shared" si="39"/>
        <v>-7.5</v>
      </c>
      <c r="P67" s="10">
        <f t="shared" si="40"/>
        <v>-6.8000000000000007</v>
      </c>
      <c r="Q67" s="10">
        <f t="shared" si="41"/>
        <v>-0.69999999999999929</v>
      </c>
      <c r="R67" s="11">
        <f t="shared" si="42"/>
        <v>0.10294117647058812</v>
      </c>
      <c r="S67" s="11">
        <f t="shared" ca="1" si="43"/>
        <v>0.58869485294117585</v>
      </c>
      <c r="T67" s="57">
        <f t="shared" ca="1" si="44"/>
        <v>-0.52049674267100932</v>
      </c>
      <c r="U67" s="17" t="str">
        <f>_xll.xlqName(C67,tda)</f>
        <v>SSTK Dec 20 2019 30 Call</v>
      </c>
      <c r="V67" s="17"/>
    </row>
    <row r="68" spans="1:23" s="17" customFormat="1" ht="14.25" customHeight="1" x14ac:dyDescent="0.25">
      <c r="A68" s="3">
        <v>43819</v>
      </c>
      <c r="B68" s="4">
        <v>32.5</v>
      </c>
      <c r="C68" s="61" t="str">
        <f t="shared" si="30"/>
        <v>SSTK_122019C32.5</v>
      </c>
      <c r="D68" s="4">
        <f>_xll.xlqBid(C68,tda)</f>
        <v>11</v>
      </c>
      <c r="E68" s="4">
        <f>_xll.xlqAsk(C68,tda)</f>
        <v>12.100000000000001</v>
      </c>
      <c r="F68" s="5">
        <f t="shared" si="31"/>
        <v>11.55</v>
      </c>
      <c r="G68" s="6">
        <f t="shared" ca="1" si="32"/>
        <v>16</v>
      </c>
      <c r="H68" s="7">
        <f t="shared" ca="1" si="33"/>
        <v>0.52459016393442626</v>
      </c>
      <c r="I68" s="8">
        <f t="shared" si="34"/>
        <v>0.35538461538461541</v>
      </c>
      <c r="J68" s="19">
        <f t="shared" ca="1" si="35"/>
        <v>1.2353364078749873E-2</v>
      </c>
      <c r="K68" s="4">
        <f t="shared" si="36"/>
        <v>11.340000000000003</v>
      </c>
      <c r="L68" s="4">
        <f t="shared" si="37"/>
        <v>0.2099999999999973</v>
      </c>
      <c r="M68" s="4">
        <f t="shared" si="38"/>
        <v>44.05</v>
      </c>
      <c r="N68" s="9"/>
      <c r="O68" s="10">
        <f t="shared" si="39"/>
        <v>-5</v>
      </c>
      <c r="P68" s="10">
        <f t="shared" si="40"/>
        <v>-4.5</v>
      </c>
      <c r="Q68" s="10">
        <f t="shared" si="41"/>
        <v>-0.5</v>
      </c>
      <c r="R68" s="11">
        <f t="shared" si="42"/>
        <v>0.1111111111111111</v>
      </c>
      <c r="S68" s="11">
        <f t="shared" ca="1" si="43"/>
        <v>0.63541666666666663</v>
      </c>
      <c r="T68" s="57">
        <f t="shared" ca="1" si="44"/>
        <v>-0.34587121212121213</v>
      </c>
      <c r="U68" s="17" t="str">
        <f>_xll.xlqName(C68,tda)</f>
        <v>SSTK Dec 20 2019 32.5 Call</v>
      </c>
    </row>
    <row r="69" spans="1:23" s="17" customFormat="1" ht="14.25" customHeight="1" x14ac:dyDescent="0.25">
      <c r="A69" s="3">
        <v>43819</v>
      </c>
      <c r="B69" s="4">
        <v>35</v>
      </c>
      <c r="C69" s="61" t="str">
        <f t="shared" si="30"/>
        <v>SSTK_122019C35</v>
      </c>
      <c r="D69" s="4">
        <f>_xll.xlqBid(C69,tda)</f>
        <v>8.7000000000000011</v>
      </c>
      <c r="E69" s="4">
        <f>_xll.xlqAsk(C69,tda)</f>
        <v>9.4</v>
      </c>
      <c r="F69" s="5">
        <f t="shared" si="31"/>
        <v>9.0500000000000007</v>
      </c>
      <c r="G69" s="6">
        <f t="shared" ca="1" si="32"/>
        <v>16</v>
      </c>
      <c r="H69" s="7">
        <f t="shared" ca="1" si="33"/>
        <v>0.52459016393442626</v>
      </c>
      <c r="I69" s="8">
        <f t="shared" si="34"/>
        <v>0.25857142857142862</v>
      </c>
      <c r="J69" s="19">
        <f t="shared" ca="1" si="35"/>
        <v>1.1468589882222213E-2</v>
      </c>
      <c r="K69" s="4">
        <f t="shared" si="36"/>
        <v>8.8400000000000034</v>
      </c>
      <c r="L69" s="4">
        <f t="shared" si="37"/>
        <v>0.2099999999999973</v>
      </c>
      <c r="M69" s="4">
        <f t="shared" si="38"/>
        <v>44.05</v>
      </c>
      <c r="N69" s="9"/>
      <c r="O69" s="10">
        <f t="shared" si="39"/>
        <v>-2.5</v>
      </c>
      <c r="P69" s="10">
        <f t="shared" si="40"/>
        <v>-2</v>
      </c>
      <c r="Q69" s="10">
        <f t="shared" si="41"/>
        <v>-0.5</v>
      </c>
      <c r="R69" s="11">
        <f t="shared" si="42"/>
        <v>0.25</v>
      </c>
      <c r="S69" s="11">
        <f t="shared" ca="1" si="43"/>
        <v>1.4296875</v>
      </c>
      <c r="T69" s="57">
        <f t="shared" ca="1" si="44"/>
        <v>-0.32151408450704227</v>
      </c>
      <c r="U69" s="17" t="str">
        <f>_xll.xlqName(C69,tda)</f>
        <v>SSTK Dec 20 2019 35 Call</v>
      </c>
    </row>
    <row r="70" spans="1:23" s="17" customFormat="1" ht="14.25" customHeight="1" x14ac:dyDescent="0.25">
      <c r="A70" s="3">
        <v>43819</v>
      </c>
      <c r="B70" s="4">
        <v>37.5</v>
      </c>
      <c r="C70" s="61" t="str">
        <f t="shared" si="30"/>
        <v>SSTK_122019C37.5</v>
      </c>
      <c r="D70" s="4">
        <f>_xll.xlqBid(C70,tda)</f>
        <v>6.2</v>
      </c>
      <c r="E70" s="4">
        <f>_xll.xlqAsk(C70,tda)</f>
        <v>6.9</v>
      </c>
      <c r="F70" s="5">
        <f t="shared" si="31"/>
        <v>6.5500000000000007</v>
      </c>
      <c r="G70" s="6">
        <f t="shared" ca="1" si="32"/>
        <v>16</v>
      </c>
      <c r="H70" s="7">
        <f t="shared" ca="1" si="33"/>
        <v>0.52459016393442626</v>
      </c>
      <c r="I70" s="8">
        <f t="shared" si="34"/>
        <v>0.17466666666666669</v>
      </c>
      <c r="J70" s="19">
        <f t="shared" ca="1" si="35"/>
        <v>1.0702083079374258E-2</v>
      </c>
      <c r="K70" s="4">
        <f t="shared" si="36"/>
        <v>6.3400000000000034</v>
      </c>
      <c r="L70" s="4">
        <f t="shared" si="37"/>
        <v>0.2099999999999973</v>
      </c>
      <c r="M70" s="4">
        <f t="shared" si="38"/>
        <v>44.05</v>
      </c>
      <c r="N70" s="9"/>
      <c r="O70" s="10">
        <f t="shared" si="39"/>
        <v>0</v>
      </c>
      <c r="P70" s="10">
        <f t="shared" si="40"/>
        <v>0.5</v>
      </c>
      <c r="Q70" s="10">
        <f t="shared" si="41"/>
        <v>-0.5</v>
      </c>
      <c r="R70" s="11">
        <f t="shared" si="42"/>
        <v>-1</v>
      </c>
      <c r="S70" s="11">
        <f t="shared" ca="1" si="43"/>
        <v>-5.71875</v>
      </c>
      <c r="T70" s="57">
        <f t="shared" ca="1" si="44"/>
        <v>-0.30036184210526312</v>
      </c>
      <c r="U70" s="17" t="str">
        <f>_xll.xlqName(C70,tda)</f>
        <v>SSTK Dec 20 2019 37.5 Call</v>
      </c>
    </row>
    <row r="71" spans="1:23" s="17" customFormat="1" ht="14.25" customHeight="1" x14ac:dyDescent="0.25">
      <c r="A71" s="3">
        <v>43819</v>
      </c>
      <c r="B71" s="4">
        <v>40</v>
      </c>
      <c r="C71" s="61" t="str">
        <f t="shared" si="30"/>
        <v>SSTK_122019C40</v>
      </c>
      <c r="D71" s="4">
        <f>_xll.xlqBid(C71,tda)</f>
        <v>3.9000000000000004</v>
      </c>
      <c r="E71" s="4">
        <f>_xll.xlqAsk(C71,tda)</f>
        <v>4.2</v>
      </c>
      <c r="F71" s="5">
        <f t="shared" si="31"/>
        <v>4.0500000000000007</v>
      </c>
      <c r="G71" s="6">
        <f t="shared" ca="1" si="32"/>
        <v>16</v>
      </c>
      <c r="H71" s="7">
        <f t="shared" ca="1" si="33"/>
        <v>0.52459016393442626</v>
      </c>
      <c r="I71" s="8">
        <f t="shared" si="34"/>
        <v>0.10125000000000002</v>
      </c>
      <c r="J71" s="19">
        <f t="shared" ca="1" si="35"/>
        <v>1.0031616247357711E-2</v>
      </c>
      <c r="K71" s="4">
        <f t="shared" si="36"/>
        <v>3.8400000000000034</v>
      </c>
      <c r="L71" s="4">
        <f t="shared" si="37"/>
        <v>0.2099999999999973</v>
      </c>
      <c r="M71" s="4">
        <f t="shared" si="38"/>
        <v>44.05</v>
      </c>
      <c r="N71" s="9"/>
      <c r="O71" s="10">
        <f t="shared" si="39"/>
        <v>2.5</v>
      </c>
      <c r="P71" s="10">
        <f t="shared" si="40"/>
        <v>3</v>
      </c>
      <c r="Q71" s="10">
        <f t="shared" si="41"/>
        <v>-0.5</v>
      </c>
      <c r="R71" s="11">
        <f t="shared" si="42"/>
        <v>-0.16666666666666666</v>
      </c>
      <c r="S71" s="11">
        <f t="shared" ca="1" si="43"/>
        <v>-0.953125</v>
      </c>
      <c r="T71" s="57">
        <f t="shared" ca="1" si="44"/>
        <v>-0.28182098765432095</v>
      </c>
      <c r="U71" s="17" t="str">
        <f>_xll.xlqName(C71,tda)</f>
        <v>SSTK Dec 20 2019 40 Call</v>
      </c>
    </row>
    <row r="72" spans="1:23" s="17" customFormat="1" ht="14.25" customHeight="1" x14ac:dyDescent="0.25">
      <c r="A72" s="3">
        <v>43819</v>
      </c>
      <c r="B72" s="4">
        <v>42.5</v>
      </c>
      <c r="C72" s="61" t="str">
        <f t="shared" si="30"/>
        <v>SSTK_122019C42.5</v>
      </c>
      <c r="D72" s="4">
        <f>_xll.xlqBid(C72,tda)</f>
        <v>1.9000000000000001</v>
      </c>
      <c r="E72" s="4">
        <f>_xll.xlqAsk(C72,tda)</f>
        <v>2.1</v>
      </c>
      <c r="F72" s="5">
        <f t="shared" si="31"/>
        <v>2</v>
      </c>
      <c r="G72" s="6">
        <f t="shared" ca="1" si="32"/>
        <v>16</v>
      </c>
      <c r="H72" s="7">
        <f t="shared" ca="1" si="33"/>
        <v>0.52459016393442626</v>
      </c>
      <c r="I72" s="8">
        <f t="shared" si="34"/>
        <v>4.7058823529411764E-2</v>
      </c>
      <c r="J72" s="19">
        <f t="shared" ca="1" si="35"/>
        <v>2.9811149443528251E-2</v>
      </c>
      <c r="K72" s="4">
        <f t="shared" si="36"/>
        <v>1.3400000000000034</v>
      </c>
      <c r="L72" s="4">
        <f t="shared" si="37"/>
        <v>0.65999999999999659</v>
      </c>
      <c r="M72" s="4">
        <f t="shared" si="38"/>
        <v>44.5</v>
      </c>
      <c r="N72" s="9"/>
      <c r="O72" s="10">
        <f t="shared" si="39"/>
        <v>5</v>
      </c>
      <c r="P72" s="10">
        <f t="shared" si="40"/>
        <v>5.0500000000000007</v>
      </c>
      <c r="Q72" s="10">
        <f t="shared" si="41"/>
        <v>-5.0000000000000711E-2</v>
      </c>
      <c r="R72" s="11">
        <f t="shared" si="42"/>
        <v>-9.9009900990100399E-3</v>
      </c>
      <c r="S72" s="11">
        <f t="shared" ca="1" si="43"/>
        <v>-5.6621287128713664E-2</v>
      </c>
      <c r="T72" s="57">
        <f t="shared" ca="1" si="44"/>
        <v>-2.682432432432471E-2</v>
      </c>
      <c r="U72" s="17" t="str">
        <f>_xll.xlqName(C72,tda)</f>
        <v>SSTK Dec 20 2019 42.5 Call</v>
      </c>
    </row>
    <row r="73" spans="1:23" s="17" customFormat="1" ht="14.25" customHeight="1" x14ac:dyDescent="0.25">
      <c r="A73" s="3">
        <v>43819</v>
      </c>
      <c r="B73" s="4">
        <v>45</v>
      </c>
      <c r="C73" s="61" t="str">
        <f t="shared" si="30"/>
        <v>SSTK_122019C45</v>
      </c>
      <c r="D73" s="4">
        <f>_xll.xlqBid(C73,tda)</f>
        <v>0.6</v>
      </c>
      <c r="E73" s="4">
        <f>_xll.xlqAsk(C73,tda)</f>
        <v>0.70000000000000007</v>
      </c>
      <c r="F73" s="5">
        <f t="shared" si="31"/>
        <v>0.65</v>
      </c>
      <c r="G73" s="6">
        <f t="shared" ca="1" si="32"/>
        <v>16</v>
      </c>
      <c r="H73" s="7">
        <f t="shared" ca="1" si="33"/>
        <v>0.52459016393442626</v>
      </c>
      <c r="I73" s="8">
        <f t="shared" si="34"/>
        <v>1.4444444444444446E-2</v>
      </c>
      <c r="J73" s="19">
        <f t="shared" ca="1" si="35"/>
        <v>2.7714859774138567E-2</v>
      </c>
      <c r="K73" s="4">
        <f t="shared" si="36"/>
        <v>0</v>
      </c>
      <c r="L73" s="4">
        <f t="shared" si="37"/>
        <v>0.65</v>
      </c>
      <c r="M73" s="4">
        <f t="shared" si="38"/>
        <v>45.65</v>
      </c>
      <c r="N73" s="9"/>
      <c r="O73" s="10">
        <f t="shared" si="39"/>
        <v>7.5</v>
      </c>
      <c r="P73" s="10">
        <f t="shared" si="40"/>
        <v>6.4</v>
      </c>
      <c r="Q73" s="10">
        <f t="shared" si="41"/>
        <v>1.0999999999999996</v>
      </c>
      <c r="R73" s="11">
        <f t="shared" si="42"/>
        <v>0.17187499999999994</v>
      </c>
      <c r="S73" s="11">
        <f t="shared" ca="1" si="43"/>
        <v>0.98291015624999967</v>
      </c>
      <c r="T73" s="57">
        <f t="shared" ca="1" si="44"/>
        <v>0.57198747152619578</v>
      </c>
      <c r="U73" s="17" t="str">
        <f>_xll.xlqName(C73,tda)</f>
        <v>SSTK Dec 20 2019 45 Call</v>
      </c>
    </row>
    <row r="74" spans="1:23" s="17" customFormat="1" ht="14.25" customHeight="1" x14ac:dyDescent="0.25">
      <c r="A74" s="3">
        <v>43819</v>
      </c>
      <c r="B74" s="4">
        <v>47.5</v>
      </c>
      <c r="C74" s="61" t="str">
        <f t="shared" si="30"/>
        <v>SSTK_122019C47.5</v>
      </c>
      <c r="D74" s="4">
        <f>_xll.xlqBid(C74,tda)</f>
        <v>0.1</v>
      </c>
      <c r="E74" s="4">
        <f>_xll.xlqAsk(C74,tda)</f>
        <v>0.2</v>
      </c>
      <c r="F74" s="5">
        <f t="shared" si="31"/>
        <v>0.15000000000000002</v>
      </c>
      <c r="G74" s="6">
        <f t="shared" ca="1" si="32"/>
        <v>16</v>
      </c>
      <c r="H74" s="7">
        <f t="shared" ca="1" si="33"/>
        <v>0.52459016393442626</v>
      </c>
      <c r="I74" s="8">
        <f t="shared" si="34"/>
        <v>3.1578947368421056E-3</v>
      </c>
      <c r="J74" s="19">
        <f t="shared" ca="1" si="35"/>
        <v>6.0283497609738834E-3</v>
      </c>
      <c r="K74" s="4">
        <f t="shared" si="36"/>
        <v>0</v>
      </c>
      <c r="L74" s="4">
        <f t="shared" si="37"/>
        <v>0.15000000000000002</v>
      </c>
      <c r="M74" s="4">
        <f t="shared" si="38"/>
        <v>47.65</v>
      </c>
      <c r="N74" s="9"/>
      <c r="O74" s="10">
        <f t="shared" si="39"/>
        <v>10</v>
      </c>
      <c r="P74" s="10">
        <f t="shared" si="40"/>
        <v>6.9</v>
      </c>
      <c r="Q74" s="10">
        <f t="shared" si="41"/>
        <v>3.0999999999999996</v>
      </c>
      <c r="R74" s="11">
        <f t="shared" si="42"/>
        <v>0.44927536231884052</v>
      </c>
      <c r="S74" s="11">
        <f t="shared" ca="1" si="43"/>
        <v>2.5692934782608692</v>
      </c>
      <c r="T74" s="57">
        <f t="shared" ca="1" si="44"/>
        <v>1.5938119369369368</v>
      </c>
      <c r="U74" s="17" t="str">
        <f>_xll.xlqName(C74,tda)</f>
        <v>SSTK Dec 20 2019 47.5 Call</v>
      </c>
    </row>
    <row r="75" spans="1:23" s="17" customFormat="1" ht="14.25" customHeight="1" x14ac:dyDescent="0.25">
      <c r="A75" s="3">
        <v>43819</v>
      </c>
      <c r="B75" s="4">
        <v>50</v>
      </c>
      <c r="C75" s="61" t="str">
        <f t="shared" si="30"/>
        <v>SSTK_122019C50</v>
      </c>
      <c r="D75" s="4">
        <f>_xll.xlqBid(C75,tda)</f>
        <v>0</v>
      </c>
      <c r="E75" s="4">
        <f>_xll.xlqAsk(C75,tda)</f>
        <v>0.4</v>
      </c>
      <c r="F75" s="5">
        <f t="shared" si="31"/>
        <v>0.2</v>
      </c>
      <c r="G75" s="6">
        <f t="shared" ca="1" si="32"/>
        <v>16</v>
      </c>
      <c r="H75" s="7">
        <f t="shared" ca="1" si="33"/>
        <v>0.52459016393442626</v>
      </c>
      <c r="I75" s="8">
        <f t="shared" si="34"/>
        <v>4.0000000000000001E-3</v>
      </c>
      <c r="J75" s="19">
        <f t="shared" ca="1" si="35"/>
        <v>7.6388185868472291E-3</v>
      </c>
      <c r="K75" s="4">
        <f t="shared" si="36"/>
        <v>0</v>
      </c>
      <c r="L75" s="4">
        <f t="shared" si="37"/>
        <v>0.2</v>
      </c>
      <c r="M75" s="4">
        <f t="shared" si="38"/>
        <v>50.2</v>
      </c>
      <c r="N75" s="9"/>
      <c r="O75" s="10">
        <f t="shared" si="39"/>
        <v>12.5</v>
      </c>
      <c r="P75" s="10">
        <f t="shared" si="40"/>
        <v>6.8500000000000005</v>
      </c>
      <c r="Q75" s="10">
        <f t="shared" si="41"/>
        <v>5.6499999999999995</v>
      </c>
      <c r="R75" s="11">
        <f t="shared" si="42"/>
        <v>0.82481751824817506</v>
      </c>
      <c r="S75" s="11">
        <f t="shared" ca="1" si="43"/>
        <v>4.7169251824817513</v>
      </c>
      <c r="T75" s="57">
        <f t="shared" ca="1" si="44"/>
        <v>2.9081257046223219</v>
      </c>
      <c r="U75" s="17" t="str">
        <f>_xll.xlqName(C75,tda)</f>
        <v>SSTK Dec 20 2019 50 Call</v>
      </c>
    </row>
    <row r="76" spans="1:23" s="17" customFormat="1" ht="14.25" customHeight="1" x14ac:dyDescent="0.25">
      <c r="A76" s="3">
        <v>43819</v>
      </c>
      <c r="B76" s="4">
        <v>52.5</v>
      </c>
      <c r="C76" s="61" t="str">
        <f t="shared" si="30"/>
        <v>SSTK_122019C52.5</v>
      </c>
      <c r="D76" s="4">
        <f>_xll.xlqBid(C76,tda)</f>
        <v>0</v>
      </c>
      <c r="E76" s="4">
        <f>_xll.xlqAsk(C76,tda)</f>
        <v>0.55000000000000004</v>
      </c>
      <c r="F76" s="5">
        <f t="shared" si="31"/>
        <v>0.27500000000000002</v>
      </c>
      <c r="G76" s="6">
        <f t="shared" ca="1" si="32"/>
        <v>16</v>
      </c>
      <c r="H76" s="7">
        <f t="shared" ca="1" si="33"/>
        <v>0.52459016393442626</v>
      </c>
      <c r="I76" s="8">
        <f t="shared" si="34"/>
        <v>5.2380952380952387E-3</v>
      </c>
      <c r="J76" s="19">
        <f t="shared" ca="1" si="35"/>
        <v>1.0008814972662039E-2</v>
      </c>
      <c r="K76" s="4">
        <f t="shared" si="36"/>
        <v>0</v>
      </c>
      <c r="L76" s="4">
        <f t="shared" si="37"/>
        <v>0.27500000000000002</v>
      </c>
      <c r="M76" s="4">
        <f t="shared" si="38"/>
        <v>52.774999999999999</v>
      </c>
      <c r="N76" s="9"/>
      <c r="O76" s="10">
        <f t="shared" si="39"/>
        <v>15</v>
      </c>
      <c r="P76" s="10">
        <f t="shared" si="40"/>
        <v>6.7750000000000004</v>
      </c>
      <c r="Q76" s="10">
        <f t="shared" si="41"/>
        <v>8.2249999999999996</v>
      </c>
      <c r="R76" s="11">
        <f t="shared" si="42"/>
        <v>1.2140221402214022</v>
      </c>
      <c r="S76" s="11">
        <f t="shared" ca="1" si="43"/>
        <v>6.9426891143911442</v>
      </c>
      <c r="T76" s="57">
        <f t="shared" ca="1" si="44"/>
        <v>4.2406818181818187</v>
      </c>
      <c r="U76" s="17" t="str">
        <f>_xll.xlqName(C76,tda)</f>
        <v>SSTK Dec 20 2019 52.5 Call</v>
      </c>
    </row>
    <row r="77" spans="1:23" s="17" customFormat="1" ht="14.25" customHeight="1" x14ac:dyDescent="0.25">
      <c r="A77" s="3">
        <v>43819</v>
      </c>
      <c r="B77" s="4">
        <v>55</v>
      </c>
      <c r="C77" s="61" t="str">
        <f t="shared" si="30"/>
        <v>SSTK_122019C55</v>
      </c>
      <c r="D77" s="4">
        <f>_xll.xlqBid(C77,tda)</f>
        <v>0</v>
      </c>
      <c r="E77" s="4">
        <f>_xll.xlqAsk(C77,tda)</f>
        <v>0.9</v>
      </c>
      <c r="F77" s="5">
        <f t="shared" si="31"/>
        <v>0.45</v>
      </c>
      <c r="G77" s="6">
        <f t="shared" ca="1" si="32"/>
        <v>16</v>
      </c>
      <c r="H77" s="7">
        <f t="shared" ca="1" si="33"/>
        <v>0.52459016393442626</v>
      </c>
      <c r="I77" s="8">
        <f t="shared" si="34"/>
        <v>8.1818181818181825E-3</v>
      </c>
      <c r="J77" s="19">
        <f t="shared" ca="1" si="35"/>
        <v>1.5654398746324683E-2</v>
      </c>
      <c r="K77" s="4">
        <f t="shared" si="36"/>
        <v>0</v>
      </c>
      <c r="L77" s="4">
        <f t="shared" si="37"/>
        <v>0.45</v>
      </c>
      <c r="M77" s="4">
        <f t="shared" si="38"/>
        <v>55.45</v>
      </c>
      <c r="N77" s="9"/>
      <c r="O77" s="10">
        <f t="shared" si="39"/>
        <v>17.5</v>
      </c>
      <c r="P77" s="10">
        <f t="shared" si="40"/>
        <v>6.6000000000000005</v>
      </c>
      <c r="Q77" s="10">
        <f t="shared" si="41"/>
        <v>10.899999999999999</v>
      </c>
      <c r="R77" s="11">
        <f t="shared" si="42"/>
        <v>1.6515151515151512</v>
      </c>
      <c r="S77" s="11">
        <f t="shared" ca="1" si="43"/>
        <v>9.4446022727272698</v>
      </c>
      <c r="T77" s="57">
        <f t="shared" ca="1" si="44"/>
        <v>5.6421712018140582</v>
      </c>
      <c r="U77" s="17" t="str">
        <f>_xll.xlqName(C77,tda)</f>
        <v>SSTK Dec 20 2019 55 Call</v>
      </c>
    </row>
    <row r="78" spans="1:23" s="17" customFormat="1" ht="14.25" customHeight="1" x14ac:dyDescent="0.25">
      <c r="A78" s="3">
        <v>43819</v>
      </c>
      <c r="B78" s="4">
        <v>55</v>
      </c>
      <c r="C78" s="61" t="str">
        <f t="shared" si="30"/>
        <v>SSTK_122019C55</v>
      </c>
      <c r="D78" s="4">
        <f>_xll.xlqBid(C78,tda)</f>
        <v>0</v>
      </c>
      <c r="E78" s="4">
        <f>_xll.xlqAsk(C78,tda)</f>
        <v>0.9</v>
      </c>
      <c r="F78" s="5">
        <f t="shared" si="31"/>
        <v>0.45</v>
      </c>
      <c r="G78" s="6">
        <f t="shared" ca="1" si="32"/>
        <v>16</v>
      </c>
      <c r="H78" s="7">
        <f t="shared" ca="1" si="33"/>
        <v>0.52459016393442626</v>
      </c>
      <c r="I78" s="8">
        <f t="shared" si="34"/>
        <v>8.1818181818181825E-3</v>
      </c>
      <c r="J78" s="19">
        <f t="shared" ca="1" si="35"/>
        <v>1.5654398746324683E-2</v>
      </c>
      <c r="K78" s="4">
        <f t="shared" si="36"/>
        <v>0</v>
      </c>
      <c r="L78" s="4">
        <f t="shared" si="37"/>
        <v>0.45</v>
      </c>
      <c r="M78" s="4">
        <f t="shared" si="38"/>
        <v>55.45</v>
      </c>
      <c r="N78" s="9"/>
      <c r="O78" s="10">
        <f t="shared" si="39"/>
        <v>17.5</v>
      </c>
      <c r="P78" s="10">
        <f t="shared" si="40"/>
        <v>6.6000000000000005</v>
      </c>
      <c r="Q78" s="10">
        <f t="shared" si="41"/>
        <v>10.899999999999999</v>
      </c>
      <c r="R78" s="11">
        <f t="shared" si="42"/>
        <v>1.6515151515151512</v>
      </c>
      <c r="S78" s="11">
        <f t="shared" ca="1" si="43"/>
        <v>9.4446022727272698</v>
      </c>
      <c r="T78" s="57">
        <f t="shared" ca="1" si="44"/>
        <v>5.6421712018140582</v>
      </c>
      <c r="U78" s="17" t="str">
        <f>_xll.xlqName(C78,tda)</f>
        <v>SSTK Dec 20 2019 55 Call</v>
      </c>
    </row>
    <row r="79" spans="1:23" ht="14.25" customHeight="1" x14ac:dyDescent="0.25">
      <c r="A79" s="3">
        <v>43819</v>
      </c>
      <c r="B79" s="4">
        <v>55</v>
      </c>
      <c r="C79" s="61" t="str">
        <f t="shared" si="30"/>
        <v>SSTK_122019C55</v>
      </c>
      <c r="D79" s="4">
        <f>_xll.xlqBid(C79,tda)</f>
        <v>0</v>
      </c>
      <c r="E79" s="4">
        <f>_xll.xlqAsk(C79,tda)</f>
        <v>0.9</v>
      </c>
      <c r="F79" s="5">
        <f t="shared" si="31"/>
        <v>0.45</v>
      </c>
      <c r="G79" s="6">
        <f t="shared" ca="1" si="32"/>
        <v>16</v>
      </c>
      <c r="H79" s="7">
        <f t="shared" ca="1" si="33"/>
        <v>0.52459016393442626</v>
      </c>
      <c r="I79" s="8">
        <f t="shared" si="34"/>
        <v>8.1818181818181825E-3</v>
      </c>
      <c r="J79" s="19">
        <f t="shared" ca="1" si="35"/>
        <v>1.5654398746324683E-2</v>
      </c>
      <c r="K79" s="4">
        <f t="shared" si="36"/>
        <v>0</v>
      </c>
      <c r="L79" s="4">
        <f t="shared" si="37"/>
        <v>0.45</v>
      </c>
      <c r="M79" s="4">
        <f t="shared" si="38"/>
        <v>55.45</v>
      </c>
      <c r="N79" s="9"/>
      <c r="O79" s="10">
        <f t="shared" si="39"/>
        <v>17.5</v>
      </c>
      <c r="P79" s="10">
        <f t="shared" si="40"/>
        <v>6.6000000000000005</v>
      </c>
      <c r="Q79" s="10">
        <f t="shared" si="41"/>
        <v>10.899999999999999</v>
      </c>
      <c r="R79" s="11">
        <f t="shared" si="42"/>
        <v>1.6515151515151512</v>
      </c>
      <c r="S79" s="11">
        <f t="shared" ca="1" si="43"/>
        <v>9.4446022727272698</v>
      </c>
      <c r="T79" s="57">
        <f t="shared" ca="1" si="44"/>
        <v>5.6421712018140582</v>
      </c>
      <c r="U79" s="17" t="str">
        <f>_xll.xlqName(C79,tda)</f>
        <v>SSTK Dec 20 2019 55 Call</v>
      </c>
      <c r="V79" s="17"/>
      <c r="W79"/>
    </row>
    <row r="80" spans="1:23" ht="14.25" customHeight="1" x14ac:dyDescent="0.25">
      <c r="A80" s="3">
        <v>43819</v>
      </c>
      <c r="B80" s="4">
        <v>55</v>
      </c>
      <c r="C80" s="61" t="str">
        <f t="shared" si="30"/>
        <v>SSTK_122019C55</v>
      </c>
      <c r="D80" s="4">
        <f>_xll.xlqBid(C80,tda)</f>
        <v>0</v>
      </c>
      <c r="E80" s="4">
        <f>_xll.xlqAsk(C80,tda)</f>
        <v>0.9</v>
      </c>
      <c r="F80" s="5">
        <f t="shared" si="31"/>
        <v>0.45</v>
      </c>
      <c r="G80" s="6">
        <f t="shared" ca="1" si="32"/>
        <v>16</v>
      </c>
      <c r="H80" s="7">
        <f t="shared" ca="1" si="33"/>
        <v>0.52459016393442626</v>
      </c>
      <c r="I80" s="8">
        <f t="shared" si="34"/>
        <v>8.1818181818181825E-3</v>
      </c>
      <c r="J80" s="19">
        <f t="shared" ca="1" si="35"/>
        <v>1.5654398746324683E-2</v>
      </c>
      <c r="K80" s="4">
        <f t="shared" si="36"/>
        <v>0</v>
      </c>
      <c r="L80" s="4">
        <f t="shared" si="37"/>
        <v>0.45</v>
      </c>
      <c r="M80" s="4">
        <f t="shared" si="38"/>
        <v>55.45</v>
      </c>
      <c r="N80" s="9"/>
      <c r="O80" s="10">
        <f t="shared" si="39"/>
        <v>17.5</v>
      </c>
      <c r="P80" s="10">
        <f t="shared" si="40"/>
        <v>6.6000000000000005</v>
      </c>
      <c r="Q80" s="10">
        <f t="shared" si="41"/>
        <v>10.899999999999999</v>
      </c>
      <c r="R80" s="11">
        <f t="shared" si="42"/>
        <v>1.6515151515151512</v>
      </c>
      <c r="S80" s="11">
        <f t="shared" ca="1" si="43"/>
        <v>9.4446022727272698</v>
      </c>
      <c r="T80" s="57">
        <f t="shared" ca="1" si="44"/>
        <v>5.6421712018140582</v>
      </c>
      <c r="U80" s="17" t="str">
        <f>_xll.xlqName(C80,tda)</f>
        <v>SSTK Dec 20 2019 55 Call</v>
      </c>
      <c r="V80" s="17"/>
      <c r="W80"/>
    </row>
    <row r="81" spans="1:23" s="13" customFormat="1" ht="14.25" customHeight="1" x14ac:dyDescent="0.25">
      <c r="A81" s="3">
        <v>43819</v>
      </c>
      <c r="B81" s="4">
        <v>55</v>
      </c>
      <c r="C81" s="61" t="str">
        <f t="shared" si="30"/>
        <v>SSTK_122019C55</v>
      </c>
      <c r="D81" s="4">
        <f>_xll.xlqBid(C81,tda)</f>
        <v>0</v>
      </c>
      <c r="E81" s="4">
        <f>_xll.xlqAsk(C81,tda)</f>
        <v>0.9</v>
      </c>
      <c r="F81" s="5">
        <f t="shared" si="31"/>
        <v>0.45</v>
      </c>
      <c r="G81" s="6">
        <f t="shared" ca="1" si="32"/>
        <v>16</v>
      </c>
      <c r="H81" s="7">
        <f t="shared" ca="1" si="33"/>
        <v>0.52459016393442626</v>
      </c>
      <c r="I81" s="8">
        <f t="shared" si="34"/>
        <v>8.1818181818181825E-3</v>
      </c>
      <c r="J81" s="19">
        <f t="shared" ca="1" si="35"/>
        <v>1.5654398746324683E-2</v>
      </c>
      <c r="K81" s="4">
        <f t="shared" si="36"/>
        <v>0</v>
      </c>
      <c r="L81" s="4">
        <f t="shared" si="37"/>
        <v>0.45</v>
      </c>
      <c r="M81" s="4">
        <f t="shared" si="38"/>
        <v>55.45</v>
      </c>
      <c r="N81" s="9"/>
      <c r="O81" s="10">
        <f t="shared" si="39"/>
        <v>17.5</v>
      </c>
      <c r="P81" s="10">
        <f t="shared" si="40"/>
        <v>6.6000000000000005</v>
      </c>
      <c r="Q81" s="10">
        <f t="shared" si="41"/>
        <v>10.899999999999999</v>
      </c>
      <c r="R81" s="11">
        <f t="shared" si="42"/>
        <v>1.6515151515151512</v>
      </c>
      <c r="S81" s="11">
        <f t="shared" ca="1" si="43"/>
        <v>9.4446022727272698</v>
      </c>
      <c r="T81" s="57">
        <f t="shared" ca="1" si="44"/>
        <v>5.6421712018140582</v>
      </c>
      <c r="U81" s="17" t="str">
        <f>_xll.xlqName(C81,tda)</f>
        <v>SSTK Dec 20 2019 55 Call</v>
      </c>
      <c r="V81" s="17"/>
    </row>
    <row r="82" spans="1:23" ht="14.25" customHeight="1" x14ac:dyDescent="0.25">
      <c r="A82" s="3">
        <v>43819</v>
      </c>
      <c r="B82" s="4">
        <v>55</v>
      </c>
      <c r="C82" s="61" t="str">
        <f t="shared" si="30"/>
        <v>SSTK_122019C55</v>
      </c>
      <c r="D82" s="4">
        <f>_xll.xlqBid(C82,tda)</f>
        <v>0</v>
      </c>
      <c r="E82" s="4">
        <f>_xll.xlqAsk(C82,tda)</f>
        <v>0.9</v>
      </c>
      <c r="F82" s="5">
        <f t="shared" si="31"/>
        <v>0.45</v>
      </c>
      <c r="G82" s="6">
        <f t="shared" ca="1" si="32"/>
        <v>16</v>
      </c>
      <c r="H82" s="7">
        <f t="shared" ca="1" si="33"/>
        <v>0.52459016393442626</v>
      </c>
      <c r="I82" s="8">
        <f t="shared" si="34"/>
        <v>8.1818181818181825E-3</v>
      </c>
      <c r="J82" s="19">
        <f t="shared" ca="1" si="35"/>
        <v>1.5654398746324683E-2</v>
      </c>
      <c r="K82" s="4">
        <f t="shared" si="36"/>
        <v>0</v>
      </c>
      <c r="L82" s="4">
        <f t="shared" si="37"/>
        <v>0.45</v>
      </c>
      <c r="M82" s="4">
        <f t="shared" si="38"/>
        <v>55.45</v>
      </c>
      <c r="N82" s="9"/>
      <c r="O82" s="10">
        <f t="shared" si="39"/>
        <v>17.5</v>
      </c>
      <c r="P82" s="10">
        <f t="shared" si="40"/>
        <v>6.6000000000000005</v>
      </c>
      <c r="Q82" s="10">
        <f t="shared" si="41"/>
        <v>10.899999999999999</v>
      </c>
      <c r="R82" s="11">
        <f t="shared" si="42"/>
        <v>1.6515151515151512</v>
      </c>
      <c r="S82" s="11">
        <f t="shared" ca="1" si="43"/>
        <v>9.4446022727272698</v>
      </c>
      <c r="T82" s="57">
        <f t="shared" ca="1" si="44"/>
        <v>5.6421712018140582</v>
      </c>
      <c r="U82" s="17" t="str">
        <f>_xll.xlqName(C82,tda)</f>
        <v>SSTK Dec 20 2019 55 Call</v>
      </c>
      <c r="V82" s="17"/>
    </row>
    <row r="83" spans="1:23" ht="14.25" customHeight="1" x14ac:dyDescent="0.25">
      <c r="A83" s="3">
        <v>43819</v>
      </c>
      <c r="B83" s="4">
        <v>55</v>
      </c>
      <c r="C83" s="61" t="str">
        <f t="shared" si="30"/>
        <v>SSTK_122019C55</v>
      </c>
      <c r="D83" s="4">
        <f>_xll.xlqBid(C83,tda)</f>
        <v>0</v>
      </c>
      <c r="E83" s="4">
        <f>_xll.xlqAsk(C83,tda)</f>
        <v>0.9</v>
      </c>
      <c r="F83" s="5">
        <f t="shared" si="31"/>
        <v>0.45</v>
      </c>
      <c r="G83" s="6">
        <f t="shared" ca="1" si="32"/>
        <v>16</v>
      </c>
      <c r="H83" s="7">
        <f t="shared" ca="1" si="33"/>
        <v>0.52459016393442626</v>
      </c>
      <c r="I83" s="8">
        <f t="shared" si="34"/>
        <v>8.1818181818181825E-3</v>
      </c>
      <c r="J83" s="19">
        <f t="shared" ca="1" si="35"/>
        <v>1.5654398746324683E-2</v>
      </c>
      <c r="K83" s="4">
        <f t="shared" si="36"/>
        <v>0</v>
      </c>
      <c r="L83" s="4">
        <f t="shared" si="37"/>
        <v>0.45</v>
      </c>
      <c r="M83" s="4">
        <f t="shared" si="38"/>
        <v>55.45</v>
      </c>
      <c r="N83" s="9"/>
      <c r="O83" s="10">
        <f t="shared" si="39"/>
        <v>17.5</v>
      </c>
      <c r="P83" s="10">
        <f t="shared" si="40"/>
        <v>6.6000000000000005</v>
      </c>
      <c r="Q83" s="10">
        <f t="shared" si="41"/>
        <v>10.899999999999999</v>
      </c>
      <c r="R83" s="11">
        <f t="shared" si="42"/>
        <v>1.6515151515151512</v>
      </c>
      <c r="S83" s="11">
        <f t="shared" ca="1" si="43"/>
        <v>9.4446022727272698</v>
      </c>
      <c r="T83" s="57">
        <f t="shared" ca="1" si="44"/>
        <v>5.6421712018140582</v>
      </c>
      <c r="U83" s="17" t="str">
        <f>_xll.xlqName(C83,tda)</f>
        <v>SSTK Dec 20 2019 55 Call</v>
      </c>
      <c r="V83" s="17"/>
      <c r="W83"/>
    </row>
    <row r="84" spans="1:23" ht="14.25" customHeight="1" x14ac:dyDescent="0.25">
      <c r="A84" s="3">
        <v>43819</v>
      </c>
      <c r="B84" s="4">
        <v>55</v>
      </c>
      <c r="C84" s="61" t="str">
        <f t="shared" si="30"/>
        <v>SSTK_122019C55</v>
      </c>
      <c r="D84" s="4">
        <f>_xll.xlqBid(C84,tda)</f>
        <v>0</v>
      </c>
      <c r="E84" s="4">
        <f>_xll.xlqAsk(C84,tda)</f>
        <v>0.9</v>
      </c>
      <c r="F84" s="5">
        <f t="shared" si="31"/>
        <v>0.45</v>
      </c>
      <c r="G84" s="6">
        <f t="shared" ca="1" si="32"/>
        <v>16</v>
      </c>
      <c r="H84" s="7">
        <f t="shared" ca="1" si="33"/>
        <v>0.52459016393442626</v>
      </c>
      <c r="I84" s="8">
        <f t="shared" si="34"/>
        <v>8.1818181818181825E-3</v>
      </c>
      <c r="J84" s="19">
        <f t="shared" ca="1" si="35"/>
        <v>1.5654398746324683E-2</v>
      </c>
      <c r="K84" s="4">
        <f t="shared" si="36"/>
        <v>0</v>
      </c>
      <c r="L84" s="4">
        <f t="shared" si="37"/>
        <v>0.45</v>
      </c>
      <c r="M84" s="4">
        <f t="shared" si="38"/>
        <v>55.45</v>
      </c>
      <c r="N84" s="9"/>
      <c r="O84" s="10">
        <f t="shared" si="39"/>
        <v>17.5</v>
      </c>
      <c r="P84" s="10">
        <f t="shared" si="40"/>
        <v>6.6000000000000005</v>
      </c>
      <c r="Q84" s="10">
        <f t="shared" si="41"/>
        <v>10.899999999999999</v>
      </c>
      <c r="R84" s="11">
        <f t="shared" si="42"/>
        <v>1.6515151515151512</v>
      </c>
      <c r="S84" s="11">
        <f t="shared" ca="1" si="43"/>
        <v>9.4446022727272698</v>
      </c>
      <c r="T84" s="57">
        <f t="shared" ca="1" si="44"/>
        <v>5.6421712018140582</v>
      </c>
      <c r="U84" s="17" t="str">
        <f>_xll.xlqName(C84,tda)</f>
        <v>SSTK Dec 20 2019 55 Call</v>
      </c>
      <c r="V84" s="17"/>
      <c r="W84"/>
    </row>
    <row r="85" spans="1:23" ht="14.25" customHeight="1" x14ac:dyDescent="0.25">
      <c r="A85" s="3">
        <v>43819</v>
      </c>
      <c r="B85" s="4">
        <v>55</v>
      </c>
      <c r="C85" s="61" t="str">
        <f t="shared" si="30"/>
        <v>SSTK_122019C55</v>
      </c>
      <c r="D85" s="4">
        <f>_xll.xlqBid(C85,tda)</f>
        <v>0</v>
      </c>
      <c r="E85" s="4">
        <f>_xll.xlqAsk(C85,tda)</f>
        <v>0.9</v>
      </c>
      <c r="F85" s="5">
        <f t="shared" si="31"/>
        <v>0.45</v>
      </c>
      <c r="G85" s="6">
        <f t="shared" ca="1" si="32"/>
        <v>16</v>
      </c>
      <c r="H85" s="7">
        <f t="shared" ca="1" si="33"/>
        <v>0.52459016393442626</v>
      </c>
      <c r="I85" s="8">
        <f t="shared" si="34"/>
        <v>8.1818181818181825E-3</v>
      </c>
      <c r="J85" s="19">
        <f t="shared" ca="1" si="35"/>
        <v>1.5654398746324683E-2</v>
      </c>
      <c r="K85" s="4">
        <f t="shared" si="36"/>
        <v>0</v>
      </c>
      <c r="L85" s="4">
        <f t="shared" si="37"/>
        <v>0.45</v>
      </c>
      <c r="M85" s="4">
        <f t="shared" si="38"/>
        <v>55.45</v>
      </c>
      <c r="N85" s="9"/>
      <c r="O85" s="10">
        <f t="shared" si="39"/>
        <v>17.5</v>
      </c>
      <c r="P85" s="10">
        <f t="shared" si="40"/>
        <v>6.6000000000000005</v>
      </c>
      <c r="Q85" s="10">
        <f t="shared" si="41"/>
        <v>10.899999999999999</v>
      </c>
      <c r="R85" s="11">
        <f t="shared" si="42"/>
        <v>1.6515151515151512</v>
      </c>
      <c r="S85" s="11">
        <f t="shared" ca="1" si="43"/>
        <v>9.4446022727272698</v>
      </c>
      <c r="T85" s="57">
        <f t="shared" ca="1" si="44"/>
        <v>5.6421712018140582</v>
      </c>
      <c r="U85" s="17" t="str">
        <f>_xll.xlqName(C85,tda)</f>
        <v>SSTK Dec 20 2019 55 Call</v>
      </c>
      <c r="V85" s="17"/>
      <c r="W85"/>
    </row>
    <row r="86" spans="1:23" ht="14.25" customHeight="1" x14ac:dyDescent="0.25">
      <c r="A86" s="3">
        <v>43819</v>
      </c>
      <c r="B86" s="4">
        <v>55</v>
      </c>
      <c r="C86" s="61" t="str">
        <f t="shared" si="30"/>
        <v>SSTK_122019C55</v>
      </c>
      <c r="D86" s="4">
        <f>_xll.xlqBid(C86,tda)</f>
        <v>0</v>
      </c>
      <c r="E86" s="4">
        <f>_xll.xlqAsk(C86,tda)</f>
        <v>0.9</v>
      </c>
      <c r="F86" s="5">
        <f t="shared" si="31"/>
        <v>0.45</v>
      </c>
      <c r="G86" s="6">
        <f t="shared" ca="1" si="32"/>
        <v>16</v>
      </c>
      <c r="H86" s="7">
        <f t="shared" ca="1" si="33"/>
        <v>0.52459016393442626</v>
      </c>
      <c r="I86" s="8">
        <f t="shared" si="34"/>
        <v>8.1818181818181825E-3</v>
      </c>
      <c r="J86" s="19">
        <f t="shared" ca="1" si="35"/>
        <v>1.5654398746324683E-2</v>
      </c>
      <c r="K86" s="4">
        <f t="shared" si="36"/>
        <v>0</v>
      </c>
      <c r="L86" s="4">
        <f t="shared" si="37"/>
        <v>0.45</v>
      </c>
      <c r="M86" s="4">
        <f t="shared" si="38"/>
        <v>55.45</v>
      </c>
      <c r="N86" s="9"/>
      <c r="O86" s="10">
        <f t="shared" si="39"/>
        <v>17.5</v>
      </c>
      <c r="P86" s="10">
        <f t="shared" si="40"/>
        <v>6.6000000000000005</v>
      </c>
      <c r="Q86" s="10">
        <f t="shared" si="41"/>
        <v>10.899999999999999</v>
      </c>
      <c r="R86" s="11">
        <f t="shared" si="42"/>
        <v>1.6515151515151512</v>
      </c>
      <c r="S86" s="11">
        <f t="shared" ca="1" si="43"/>
        <v>9.4446022727272698</v>
      </c>
      <c r="T86" s="57">
        <f t="shared" ca="1" si="44"/>
        <v>5.6421712018140582</v>
      </c>
      <c r="U86" s="17" t="str">
        <f>_xll.xlqName(C86,tda)</f>
        <v>SSTK Dec 20 2019 55 Call</v>
      </c>
      <c r="V86" s="17"/>
      <c r="W86"/>
    </row>
    <row r="87" spans="1:23" s="17" customFormat="1" ht="14.25" customHeight="1" x14ac:dyDescent="0.25">
      <c r="A87" s="3">
        <v>43882</v>
      </c>
      <c r="B87" s="4">
        <v>35</v>
      </c>
      <c r="C87" s="61" t="str">
        <f t="shared" si="30"/>
        <v>SSTK_022120C35</v>
      </c>
      <c r="D87" s="4">
        <f>_xll.xlqBid(C87,tda)</f>
        <v>8.9</v>
      </c>
      <c r="E87" s="4">
        <f>_xll.xlqAsk(C87,tda)</f>
        <v>9.7000000000000011</v>
      </c>
      <c r="F87" s="5">
        <f t="shared" si="31"/>
        <v>9.3000000000000007</v>
      </c>
      <c r="G87" s="6">
        <f t="shared" ca="1" si="32"/>
        <v>79</v>
      </c>
      <c r="H87" s="7">
        <f t="shared" ca="1" si="33"/>
        <v>2.5901639344262297</v>
      </c>
      <c r="I87" s="8">
        <f t="shared" si="34"/>
        <v>0.26571428571428574</v>
      </c>
      <c r="J87" s="19">
        <f t="shared" ca="1" si="35"/>
        <v>5.0538136556388391E-3</v>
      </c>
      <c r="K87" s="4">
        <f t="shared" si="36"/>
        <v>8.8400000000000034</v>
      </c>
      <c r="L87" s="4">
        <f t="shared" si="37"/>
        <v>0.4599999999999973</v>
      </c>
      <c r="M87" s="4">
        <f t="shared" si="38"/>
        <v>44.3</v>
      </c>
      <c r="N87" s="9"/>
      <c r="O87" s="10">
        <f t="shared" si="39"/>
        <v>-2.5</v>
      </c>
      <c r="P87" s="10">
        <f t="shared" si="40"/>
        <v>-2.25</v>
      </c>
      <c r="Q87" s="10">
        <f t="shared" si="41"/>
        <v>-0.25</v>
      </c>
      <c r="R87" s="11">
        <f t="shared" si="42"/>
        <v>0.1111111111111111</v>
      </c>
      <c r="S87" s="11">
        <f t="shared" ca="1" si="43"/>
        <v>0.12869198312236285</v>
      </c>
      <c r="T87" s="57">
        <f t="shared" ca="1" si="44"/>
        <v>-3.2789298859861746E-2</v>
      </c>
      <c r="U87" s="17" t="str">
        <f>_xll.xlqName(C87,tda)</f>
        <v>SSTK Feb 21 2020 35 Call</v>
      </c>
    </row>
    <row r="88" spans="1:23" ht="14.25" customHeight="1" x14ac:dyDescent="0.25">
      <c r="A88" s="3">
        <v>43882</v>
      </c>
      <c r="B88" s="4">
        <v>37.5</v>
      </c>
      <c r="C88" s="61" t="str">
        <f t="shared" si="30"/>
        <v>SSTK_022120C37.5</v>
      </c>
      <c r="D88" s="4">
        <f>_xll.xlqBid(C88,tda)</f>
        <v>6.9</v>
      </c>
      <c r="E88" s="4">
        <f>_xll.xlqAsk(C88,tda)</f>
        <v>7.2</v>
      </c>
      <c r="F88" s="5">
        <f t="shared" si="31"/>
        <v>7.0500000000000007</v>
      </c>
      <c r="G88" s="6">
        <f t="shared" ca="1" si="32"/>
        <v>79</v>
      </c>
      <c r="H88" s="7">
        <f t="shared" ca="1" si="33"/>
        <v>2.5901639344262297</v>
      </c>
      <c r="I88" s="8">
        <f t="shared" si="34"/>
        <v>0.18800000000000003</v>
      </c>
      <c r="J88" s="19">
        <f t="shared" ca="1" si="35"/>
        <v>7.2676494270211833E-3</v>
      </c>
      <c r="K88" s="4">
        <f t="shared" si="36"/>
        <v>6.3400000000000034</v>
      </c>
      <c r="L88" s="4">
        <f t="shared" si="37"/>
        <v>0.7099999999999973</v>
      </c>
      <c r="M88" s="4">
        <f t="shared" si="38"/>
        <v>44.55</v>
      </c>
      <c r="N88" s="9"/>
      <c r="O88" s="10">
        <f t="shared" si="39"/>
        <v>0</v>
      </c>
      <c r="P88" s="10">
        <f t="shared" si="40"/>
        <v>0</v>
      </c>
      <c r="Q88" s="10">
        <f t="shared" si="41"/>
        <v>0</v>
      </c>
      <c r="R88" s="11" t="e">
        <f t="shared" si="42"/>
        <v>#DIV/0!</v>
      </c>
      <c r="S88" s="11" t="e">
        <f t="shared" ca="1" si="43"/>
        <v>#DIV/0!</v>
      </c>
      <c r="T88" s="57">
        <f t="shared" ca="1" si="44"/>
        <v>0</v>
      </c>
      <c r="U88" s="17" t="str">
        <f>_xll.xlqName(C88,tda)</f>
        <v>SSTK Feb 21 2020 37.5 Call</v>
      </c>
      <c r="V88" s="17"/>
      <c r="W88"/>
    </row>
    <row r="89" spans="1:23" ht="14.25" customHeight="1" x14ac:dyDescent="0.25">
      <c r="A89" s="3">
        <v>43882</v>
      </c>
      <c r="B89" s="4">
        <v>37.5</v>
      </c>
      <c r="C89" s="61" t="str">
        <f t="shared" si="30"/>
        <v>SSTK_022120C37.5</v>
      </c>
      <c r="D89" s="4">
        <f>_xll.xlqBid(C89,tda)</f>
        <v>6.9</v>
      </c>
      <c r="E89" s="4">
        <f>_xll.xlqAsk(C89,tda)</f>
        <v>7.2</v>
      </c>
      <c r="F89" s="5">
        <f t="shared" si="31"/>
        <v>7.0500000000000007</v>
      </c>
      <c r="G89" s="6">
        <f t="shared" ca="1" si="32"/>
        <v>79</v>
      </c>
      <c r="H89" s="7">
        <f t="shared" ca="1" si="33"/>
        <v>2.5901639344262297</v>
      </c>
      <c r="I89" s="8">
        <f t="shared" si="34"/>
        <v>0.18800000000000003</v>
      </c>
      <c r="J89" s="19">
        <f t="shared" ca="1" si="35"/>
        <v>7.2676494270211833E-3</v>
      </c>
      <c r="K89" s="4">
        <f t="shared" si="36"/>
        <v>6.3400000000000034</v>
      </c>
      <c r="L89" s="4">
        <f t="shared" si="37"/>
        <v>0.7099999999999973</v>
      </c>
      <c r="M89" s="4">
        <f t="shared" si="38"/>
        <v>44.55</v>
      </c>
      <c r="N89" s="9"/>
      <c r="O89" s="10">
        <f t="shared" si="39"/>
        <v>0</v>
      </c>
      <c r="P89" s="10">
        <f t="shared" si="40"/>
        <v>0</v>
      </c>
      <c r="Q89" s="10">
        <f t="shared" si="41"/>
        <v>0</v>
      </c>
      <c r="R89" s="11" t="e">
        <f t="shared" si="42"/>
        <v>#DIV/0!</v>
      </c>
      <c r="S89" s="11" t="e">
        <f t="shared" ca="1" si="43"/>
        <v>#DIV/0!</v>
      </c>
      <c r="T89" s="57">
        <f t="shared" ca="1" si="44"/>
        <v>0</v>
      </c>
      <c r="U89" s="17" t="str">
        <f>_xll.xlqName(C89,tda)</f>
        <v>SSTK Feb 21 2020 37.5 Call</v>
      </c>
      <c r="V89" s="17"/>
      <c r="W89"/>
    </row>
    <row r="90" spans="1:23" ht="14.25" customHeight="1" x14ac:dyDescent="0.25">
      <c r="A90" s="3">
        <v>43882</v>
      </c>
      <c r="B90" s="4">
        <v>40</v>
      </c>
      <c r="C90" s="61" t="str">
        <f t="shared" si="30"/>
        <v>SSTK_022120C40</v>
      </c>
      <c r="D90" s="4">
        <f>_xll.xlqBid(C90,tda)</f>
        <v>5</v>
      </c>
      <c r="E90" s="4">
        <f>_xll.xlqAsk(C90,tda)</f>
        <v>5.2</v>
      </c>
      <c r="F90" s="5">
        <f t="shared" si="31"/>
        <v>5.0999999999999996</v>
      </c>
      <c r="G90" s="6">
        <f t="shared" ca="1" si="32"/>
        <v>79</v>
      </c>
      <c r="H90" s="7">
        <f t="shared" ca="1" si="33"/>
        <v>2.5901639344262297</v>
      </c>
      <c r="I90" s="8">
        <f t="shared" si="34"/>
        <v>0.1275</v>
      </c>
      <c r="J90" s="19">
        <f t="shared" ca="1" si="35"/>
        <v>1.2045752840477597E-2</v>
      </c>
      <c r="K90" s="4">
        <f t="shared" si="36"/>
        <v>3.8400000000000034</v>
      </c>
      <c r="L90" s="4">
        <f t="shared" si="37"/>
        <v>1.2599999999999962</v>
      </c>
      <c r="M90" s="4">
        <f t="shared" si="38"/>
        <v>45.1</v>
      </c>
      <c r="N90" s="9"/>
      <c r="O90" s="10">
        <f t="shared" si="39"/>
        <v>2.5</v>
      </c>
      <c r="P90" s="10">
        <f t="shared" si="40"/>
        <v>1.9500000000000011</v>
      </c>
      <c r="Q90" s="10">
        <f t="shared" si="41"/>
        <v>0.54999999999999893</v>
      </c>
      <c r="R90" s="11">
        <f t="shared" si="42"/>
        <v>0.28205128205128133</v>
      </c>
      <c r="S90" s="11">
        <f t="shared" ca="1" si="43"/>
        <v>0.32667964946445871</v>
      </c>
      <c r="T90" s="57">
        <f t="shared" ca="1" si="44"/>
        <v>6.4456530458359265E-2</v>
      </c>
      <c r="U90" s="17" t="str">
        <f>_xll.xlqName(C90,tda)</f>
        <v>SSTK Feb 21 2020 40 Call</v>
      </c>
      <c r="V90" s="17"/>
    </row>
    <row r="91" spans="1:23" s="17" customFormat="1" ht="14.25" customHeight="1" x14ac:dyDescent="0.25">
      <c r="A91" s="3">
        <v>43882</v>
      </c>
      <c r="B91" s="4">
        <v>40</v>
      </c>
      <c r="C91" s="61" t="str">
        <f t="shared" si="30"/>
        <v>SSTK_022120C40</v>
      </c>
      <c r="D91" s="4">
        <f>_xll.xlqBid(C91,tda)</f>
        <v>5</v>
      </c>
      <c r="E91" s="4">
        <f>_xll.xlqAsk(C91,tda)</f>
        <v>5.2</v>
      </c>
      <c r="F91" s="5">
        <f t="shared" si="31"/>
        <v>5.0999999999999996</v>
      </c>
      <c r="G91" s="6">
        <f t="shared" ca="1" si="32"/>
        <v>79</v>
      </c>
      <c r="H91" s="7">
        <f t="shared" ca="1" si="33"/>
        <v>2.5901639344262297</v>
      </c>
      <c r="I91" s="8">
        <f t="shared" si="34"/>
        <v>0.1275</v>
      </c>
      <c r="J91" s="19">
        <f t="shared" ca="1" si="35"/>
        <v>1.2045752840477597E-2</v>
      </c>
      <c r="K91" s="4">
        <f t="shared" si="36"/>
        <v>3.8400000000000034</v>
      </c>
      <c r="L91" s="4">
        <f t="shared" si="37"/>
        <v>1.2599999999999962</v>
      </c>
      <c r="M91" s="4">
        <f t="shared" si="38"/>
        <v>45.1</v>
      </c>
      <c r="N91" s="9"/>
      <c r="O91" s="10">
        <f t="shared" si="39"/>
        <v>2.5</v>
      </c>
      <c r="P91" s="10">
        <f t="shared" si="40"/>
        <v>1.9500000000000011</v>
      </c>
      <c r="Q91" s="10">
        <f t="shared" si="41"/>
        <v>0.54999999999999893</v>
      </c>
      <c r="R91" s="11">
        <f t="shared" si="42"/>
        <v>0.28205128205128133</v>
      </c>
      <c r="S91" s="11">
        <f t="shared" ca="1" si="43"/>
        <v>0.32667964946445871</v>
      </c>
      <c r="T91" s="57">
        <f t="shared" ca="1" si="44"/>
        <v>6.4456530458359265E-2</v>
      </c>
      <c r="U91" s="17" t="str">
        <f>_xll.xlqName(C91,tda)</f>
        <v>SSTK Feb 21 2020 40 Call</v>
      </c>
    </row>
    <row r="92" spans="1:23" s="17" customFormat="1" ht="14.25" customHeight="1" x14ac:dyDescent="0.25">
      <c r="A92" s="3">
        <v>43882</v>
      </c>
      <c r="B92" s="4">
        <v>42.5</v>
      </c>
      <c r="C92" s="61" t="str">
        <f t="shared" si="30"/>
        <v>SSTK_022120C42.5</v>
      </c>
      <c r="D92" s="4">
        <f>_xll.xlqBid(C92,tda)</f>
        <v>3.3000000000000003</v>
      </c>
      <c r="E92" s="4">
        <f>_xll.xlqAsk(C92,tda)</f>
        <v>3.6</v>
      </c>
      <c r="F92" s="5">
        <f t="shared" si="31"/>
        <v>3.45</v>
      </c>
      <c r="G92" s="6">
        <f t="shared" ca="1" si="32"/>
        <v>79</v>
      </c>
      <c r="H92" s="7">
        <f t="shared" ca="1" si="33"/>
        <v>2.5901639344262297</v>
      </c>
      <c r="I92" s="8">
        <f t="shared" si="34"/>
        <v>8.1176470588235294E-2</v>
      </c>
      <c r="J92" s="19">
        <f t="shared" ca="1" si="35"/>
        <v>1.8882984216073151E-2</v>
      </c>
      <c r="K92" s="4">
        <f t="shared" si="36"/>
        <v>1.3400000000000034</v>
      </c>
      <c r="L92" s="4">
        <f t="shared" si="37"/>
        <v>2.1099999999999968</v>
      </c>
      <c r="M92" s="4">
        <f t="shared" si="38"/>
        <v>45.95</v>
      </c>
      <c r="N92" s="9"/>
      <c r="O92" s="10">
        <f t="shared" si="39"/>
        <v>5</v>
      </c>
      <c r="P92" s="10">
        <f t="shared" si="40"/>
        <v>3.6000000000000005</v>
      </c>
      <c r="Q92" s="10">
        <f t="shared" si="41"/>
        <v>1.3999999999999995</v>
      </c>
      <c r="R92" s="11">
        <f t="shared" si="42"/>
        <v>0.38888888888888867</v>
      </c>
      <c r="S92" s="11">
        <f t="shared" ca="1" si="43"/>
        <v>0.45042194092826976</v>
      </c>
      <c r="T92" s="57">
        <f t="shared" ca="1" si="44"/>
        <v>0.15748436970648921</v>
      </c>
      <c r="U92" s="17" t="str">
        <f>_xll.xlqName(C92,tda)</f>
        <v>SSTK Feb 21 2020 42.5 Call</v>
      </c>
    </row>
    <row r="93" spans="1:23" s="17" customFormat="1" ht="14.25" customHeight="1" x14ac:dyDescent="0.25">
      <c r="A93" s="3">
        <v>43882</v>
      </c>
      <c r="B93" s="4">
        <v>42.5</v>
      </c>
      <c r="C93" s="61" t="str">
        <f t="shared" si="30"/>
        <v>SSTK_022120C42.5</v>
      </c>
      <c r="D93" s="4">
        <f>_xll.xlqBid(C93,tda)</f>
        <v>3.3000000000000003</v>
      </c>
      <c r="E93" s="4">
        <f>_xll.xlqAsk(C93,tda)</f>
        <v>3.6</v>
      </c>
      <c r="F93" s="5">
        <f t="shared" si="31"/>
        <v>3.45</v>
      </c>
      <c r="G93" s="6">
        <f t="shared" ca="1" si="32"/>
        <v>79</v>
      </c>
      <c r="H93" s="7">
        <f t="shared" ca="1" si="33"/>
        <v>2.5901639344262297</v>
      </c>
      <c r="I93" s="8">
        <f t="shared" si="34"/>
        <v>8.1176470588235294E-2</v>
      </c>
      <c r="J93" s="19">
        <f t="shared" ca="1" si="35"/>
        <v>1.8882984216073151E-2</v>
      </c>
      <c r="K93" s="4">
        <f t="shared" si="36"/>
        <v>1.3400000000000034</v>
      </c>
      <c r="L93" s="4">
        <f t="shared" si="37"/>
        <v>2.1099999999999968</v>
      </c>
      <c r="M93" s="4">
        <f t="shared" si="38"/>
        <v>45.95</v>
      </c>
      <c r="N93" s="9"/>
      <c r="O93" s="10">
        <f t="shared" si="39"/>
        <v>5</v>
      </c>
      <c r="P93" s="10">
        <f t="shared" si="40"/>
        <v>3.6000000000000005</v>
      </c>
      <c r="Q93" s="10">
        <f t="shared" si="41"/>
        <v>1.3999999999999995</v>
      </c>
      <c r="R93" s="11">
        <f t="shared" si="42"/>
        <v>0.38888888888888867</v>
      </c>
      <c r="S93" s="11">
        <f t="shared" ca="1" si="43"/>
        <v>0.45042194092826976</v>
      </c>
      <c r="T93" s="57">
        <f t="shared" ca="1" si="44"/>
        <v>0.15748436970648921</v>
      </c>
      <c r="U93" s="17" t="str">
        <f>_xll.xlqName(C93,tda)</f>
        <v>SSTK Feb 21 2020 42.5 Call</v>
      </c>
    </row>
    <row r="94" spans="1:23" s="17" customFormat="1" ht="14.25" customHeight="1" x14ac:dyDescent="0.25">
      <c r="A94" s="3">
        <v>43882</v>
      </c>
      <c r="B94" s="4">
        <v>45</v>
      </c>
      <c r="C94" s="61" t="str">
        <f t="shared" si="30"/>
        <v>SSTK_022120C45</v>
      </c>
      <c r="D94" s="4">
        <f>_xll.xlqBid(C94,tda)</f>
        <v>2.0500000000000003</v>
      </c>
      <c r="E94" s="4">
        <f>_xll.xlqAsk(C94,tda)</f>
        <v>2.25</v>
      </c>
      <c r="F94" s="5">
        <f t="shared" si="31"/>
        <v>2.1500000000000004</v>
      </c>
      <c r="G94" s="6">
        <f t="shared" ca="1" si="32"/>
        <v>79</v>
      </c>
      <c r="H94" s="7">
        <f t="shared" ca="1" si="33"/>
        <v>2.5901639344262297</v>
      </c>
      <c r="I94" s="8">
        <f t="shared" si="34"/>
        <v>4.7777777777777787E-2</v>
      </c>
      <c r="J94" s="19">
        <f t="shared" ca="1" si="35"/>
        <v>1.8182068270726548E-2</v>
      </c>
      <c r="K94" s="4">
        <f t="shared" si="36"/>
        <v>0</v>
      </c>
      <c r="L94" s="4">
        <f t="shared" si="37"/>
        <v>2.1500000000000004</v>
      </c>
      <c r="M94" s="4">
        <f t="shared" si="38"/>
        <v>47.15</v>
      </c>
      <c r="N94" s="9"/>
      <c r="O94" s="10">
        <f t="shared" si="39"/>
        <v>7.5</v>
      </c>
      <c r="P94" s="10">
        <f t="shared" si="40"/>
        <v>4.9000000000000004</v>
      </c>
      <c r="Q94" s="10">
        <f t="shared" si="41"/>
        <v>2.5999999999999996</v>
      </c>
      <c r="R94" s="11">
        <f t="shared" si="42"/>
        <v>0.53061224489795911</v>
      </c>
      <c r="S94" s="11">
        <f t="shared" ca="1" si="43"/>
        <v>0.61456987858434498</v>
      </c>
      <c r="T94" s="57">
        <f t="shared" ca="1" si="44"/>
        <v>0.28350370193455932</v>
      </c>
      <c r="U94" s="17" t="str">
        <f>_xll.xlqName(C94,tda)</f>
        <v>SSTK Feb 21 2020 45 Call</v>
      </c>
    </row>
    <row r="95" spans="1:23" s="17" customFormat="1" ht="14.25" customHeight="1" x14ac:dyDescent="0.25">
      <c r="A95" s="3">
        <v>43882</v>
      </c>
      <c r="B95" s="4">
        <v>45</v>
      </c>
      <c r="C95" s="61" t="str">
        <f t="shared" si="30"/>
        <v>SSTK_022120C45</v>
      </c>
      <c r="D95" s="4">
        <f>_xll.xlqBid(C95,tda)</f>
        <v>2.0500000000000003</v>
      </c>
      <c r="E95" s="4">
        <f>_xll.xlqAsk(C95,tda)</f>
        <v>2.25</v>
      </c>
      <c r="F95" s="5">
        <f t="shared" si="31"/>
        <v>2.1500000000000004</v>
      </c>
      <c r="G95" s="6">
        <f t="shared" ca="1" si="32"/>
        <v>79</v>
      </c>
      <c r="H95" s="7">
        <f t="shared" ca="1" si="33"/>
        <v>2.5901639344262297</v>
      </c>
      <c r="I95" s="8">
        <f t="shared" si="34"/>
        <v>4.7777777777777787E-2</v>
      </c>
      <c r="J95" s="19">
        <f t="shared" ca="1" si="35"/>
        <v>1.8182068270726548E-2</v>
      </c>
      <c r="K95" s="4">
        <f t="shared" si="36"/>
        <v>0</v>
      </c>
      <c r="L95" s="4">
        <f t="shared" si="37"/>
        <v>2.1500000000000004</v>
      </c>
      <c r="M95" s="4">
        <f t="shared" si="38"/>
        <v>47.15</v>
      </c>
      <c r="N95" s="9"/>
      <c r="O95" s="10">
        <f t="shared" si="39"/>
        <v>7.5</v>
      </c>
      <c r="P95" s="10">
        <f t="shared" si="40"/>
        <v>4.9000000000000004</v>
      </c>
      <c r="Q95" s="10">
        <f t="shared" si="41"/>
        <v>2.5999999999999996</v>
      </c>
      <c r="R95" s="11">
        <f t="shared" si="42"/>
        <v>0.53061224489795911</v>
      </c>
      <c r="S95" s="11">
        <f t="shared" ca="1" si="43"/>
        <v>0.61456987858434498</v>
      </c>
      <c r="T95" s="57">
        <f t="shared" ca="1" si="44"/>
        <v>0.28350370193455932</v>
      </c>
      <c r="U95" s="17" t="str">
        <f>_xll.xlqName(C95,tda)</f>
        <v>SSTK Feb 21 2020 45 Call</v>
      </c>
    </row>
    <row r="96" spans="1:23" s="17" customFormat="1" ht="14.25" customHeight="1" x14ac:dyDescent="0.25">
      <c r="A96" s="3">
        <v>43882</v>
      </c>
      <c r="B96" s="4">
        <v>47.5</v>
      </c>
      <c r="C96" s="61" t="str">
        <f t="shared" si="30"/>
        <v>SSTK_022120C47.5</v>
      </c>
      <c r="D96" s="4">
        <f>_xll.xlqBid(C96,tda)</f>
        <v>1.1500000000000001</v>
      </c>
      <c r="E96" s="4">
        <f>_xll.xlqAsk(C96,tda)</f>
        <v>1.35</v>
      </c>
      <c r="F96" s="5">
        <f t="shared" si="31"/>
        <v>1.25</v>
      </c>
      <c r="G96" s="6">
        <f t="shared" ca="1" si="32"/>
        <v>79</v>
      </c>
      <c r="H96" s="7">
        <f t="shared" ca="1" si="33"/>
        <v>2.5901639344262297</v>
      </c>
      <c r="I96" s="8">
        <f t="shared" si="34"/>
        <v>2.6315789473684209E-2</v>
      </c>
      <c r="J96" s="19">
        <f t="shared" ca="1" si="35"/>
        <v>1.0078964604120166E-2</v>
      </c>
      <c r="K96" s="4">
        <f t="shared" si="36"/>
        <v>0</v>
      </c>
      <c r="L96" s="4">
        <f t="shared" si="37"/>
        <v>1.25</v>
      </c>
      <c r="M96" s="4">
        <f t="shared" si="38"/>
        <v>48.75</v>
      </c>
      <c r="N96" s="9"/>
      <c r="O96" s="10">
        <f t="shared" si="39"/>
        <v>10</v>
      </c>
      <c r="P96" s="10">
        <f t="shared" si="40"/>
        <v>5.8000000000000007</v>
      </c>
      <c r="Q96" s="10">
        <f t="shared" si="41"/>
        <v>4.1999999999999993</v>
      </c>
      <c r="R96" s="11">
        <f t="shared" si="42"/>
        <v>0.72413793103448254</v>
      </c>
      <c r="S96" s="11">
        <f t="shared" ca="1" si="43"/>
        <v>0.83871671759057154</v>
      </c>
      <c r="T96" s="57">
        <f t="shared" ca="1" si="44"/>
        <v>0.4484485631595872</v>
      </c>
      <c r="U96" s="17" t="str">
        <f>_xll.xlqName(C96,tda)</f>
        <v>SSTK Feb 21 2020 47.5 Call</v>
      </c>
    </row>
    <row r="97" spans="1:21" s="17" customFormat="1" ht="14.25" customHeight="1" x14ac:dyDescent="0.25">
      <c r="A97" s="3">
        <v>43882</v>
      </c>
      <c r="B97" s="4">
        <v>47.5</v>
      </c>
      <c r="C97" s="61" t="str">
        <f t="shared" si="30"/>
        <v>SSTK_022120C47.5</v>
      </c>
      <c r="D97" s="4">
        <f>_xll.xlqBid(C97,tda)</f>
        <v>1.1500000000000001</v>
      </c>
      <c r="E97" s="4">
        <f>_xll.xlqAsk(C97,tda)</f>
        <v>1.35</v>
      </c>
      <c r="F97" s="5">
        <f t="shared" si="31"/>
        <v>1.25</v>
      </c>
      <c r="G97" s="6">
        <f t="shared" ca="1" si="32"/>
        <v>79</v>
      </c>
      <c r="H97" s="7">
        <f t="shared" ca="1" si="33"/>
        <v>2.5901639344262297</v>
      </c>
      <c r="I97" s="8">
        <f t="shared" si="34"/>
        <v>2.6315789473684209E-2</v>
      </c>
      <c r="J97" s="19">
        <f t="shared" ca="1" si="35"/>
        <v>1.0078964604120166E-2</v>
      </c>
      <c r="K97" s="4">
        <f t="shared" si="36"/>
        <v>0</v>
      </c>
      <c r="L97" s="4">
        <f t="shared" si="37"/>
        <v>1.25</v>
      </c>
      <c r="M97" s="4">
        <f t="shared" si="38"/>
        <v>48.75</v>
      </c>
      <c r="N97" s="9"/>
      <c r="O97" s="10">
        <f t="shared" si="39"/>
        <v>10</v>
      </c>
      <c r="P97" s="10">
        <f t="shared" si="40"/>
        <v>5.8000000000000007</v>
      </c>
      <c r="Q97" s="10">
        <f t="shared" si="41"/>
        <v>4.1999999999999993</v>
      </c>
      <c r="R97" s="11">
        <f t="shared" si="42"/>
        <v>0.72413793103448254</v>
      </c>
      <c r="S97" s="11">
        <f t="shared" ca="1" si="43"/>
        <v>0.83871671759057154</v>
      </c>
      <c r="T97" s="57">
        <f t="shared" ca="1" si="44"/>
        <v>0.4484485631595872</v>
      </c>
      <c r="U97" s="17" t="str">
        <f>_xll.xlqName(C97,tda)</f>
        <v>SSTK Feb 21 2020 47.5 Call</v>
      </c>
    </row>
    <row r="98" spans="1:21" s="17" customFormat="1" ht="14.25" customHeight="1" x14ac:dyDescent="0.25">
      <c r="A98" s="3">
        <v>43882</v>
      </c>
      <c r="B98" s="4">
        <v>50</v>
      </c>
      <c r="C98" s="61" t="str">
        <f t="shared" ref="C98:C100" si="45">CONCATENATE($Y$2,"_",TEXT(MONTH(A98),"00"),TEXT(DAY(A98),"00"),TEXT(MOD(YEAR(A98),100),"00"),$Y$3,B98&amp;"")</f>
        <v>SSTK_022120C50</v>
      </c>
      <c r="D98" s="4">
        <f>_xll.xlqBid(C98,tda)</f>
        <v>0.6</v>
      </c>
      <c r="E98" s="4">
        <f>_xll.xlqAsk(C98,tda)</f>
        <v>0.75</v>
      </c>
      <c r="F98" s="5">
        <f t="shared" ref="F98:F100" si="46">(D98+E98)/2</f>
        <v>0.67500000000000004</v>
      </c>
      <c r="G98" s="6">
        <f t="shared" ca="1" si="32"/>
        <v>79</v>
      </c>
      <c r="H98" s="7">
        <f t="shared" ref="H98:H100" ca="1" si="47">G98/30.5</f>
        <v>2.5901639344262297</v>
      </c>
      <c r="I98" s="8">
        <f t="shared" si="34"/>
        <v>1.3500000000000002E-2</v>
      </c>
      <c r="J98" s="19">
        <f t="shared" ca="1" si="35"/>
        <v>5.1905822420490466E-3</v>
      </c>
      <c r="K98" s="4">
        <f t="shared" si="36"/>
        <v>0</v>
      </c>
      <c r="L98" s="4">
        <f t="shared" ref="L98:L100" si="48">F98-K98</f>
        <v>0.67500000000000004</v>
      </c>
      <c r="M98" s="4">
        <f t="shared" si="38"/>
        <v>50.674999999999997</v>
      </c>
      <c r="N98" s="9"/>
      <c r="O98" s="10">
        <f t="shared" si="39"/>
        <v>12.5</v>
      </c>
      <c r="P98" s="10">
        <f t="shared" si="40"/>
        <v>6.3750000000000009</v>
      </c>
      <c r="Q98" s="10">
        <f t="shared" ref="Q98:Q100" si="49">O98-P98</f>
        <v>6.1249999999999991</v>
      </c>
      <c r="R98" s="11">
        <f t="shared" ref="R98:R100" si="50">Q98/P98</f>
        <v>0.96078431372548989</v>
      </c>
      <c r="S98" s="11">
        <f t="shared" ref="S98:S100" ca="1" si="51">R98/(H98/3)</f>
        <v>1.1128071481757256</v>
      </c>
      <c r="T98" s="57">
        <f t="shared" ca="1" si="44"/>
        <v>0.64541671174582549</v>
      </c>
      <c r="U98" s="17" t="str">
        <f>_xll.xlqName(C98,tda)</f>
        <v>SSTK Feb 21 2020 50 Call</v>
      </c>
    </row>
    <row r="99" spans="1:21" s="17" customFormat="1" ht="14.25" customHeight="1" x14ac:dyDescent="0.25">
      <c r="A99" s="3">
        <v>43882</v>
      </c>
      <c r="B99" s="4">
        <v>50</v>
      </c>
      <c r="C99" s="61" t="str">
        <f t="shared" si="45"/>
        <v>SSTK_022120C50</v>
      </c>
      <c r="D99" s="4">
        <f>_xll.xlqBid(C99,tda)</f>
        <v>0.6</v>
      </c>
      <c r="E99" s="4">
        <f>_xll.xlqAsk(C99,tda)</f>
        <v>0.75</v>
      </c>
      <c r="F99" s="5">
        <f t="shared" si="46"/>
        <v>0.67500000000000004</v>
      </c>
      <c r="G99" s="6">
        <f t="shared" ca="1" si="32"/>
        <v>79</v>
      </c>
      <c r="H99" s="7">
        <f t="shared" ca="1" si="47"/>
        <v>2.5901639344262297</v>
      </c>
      <c r="I99" s="8">
        <f t="shared" si="34"/>
        <v>1.3500000000000002E-2</v>
      </c>
      <c r="J99" s="19">
        <f t="shared" ca="1" si="35"/>
        <v>5.1905822420490466E-3</v>
      </c>
      <c r="K99" s="4">
        <f t="shared" si="36"/>
        <v>0</v>
      </c>
      <c r="L99" s="4">
        <f t="shared" si="48"/>
        <v>0.67500000000000004</v>
      </c>
      <c r="M99" s="4">
        <f t="shared" si="38"/>
        <v>50.674999999999997</v>
      </c>
      <c r="N99" s="9"/>
      <c r="O99" s="10">
        <f t="shared" si="39"/>
        <v>12.5</v>
      </c>
      <c r="P99" s="10">
        <f t="shared" si="40"/>
        <v>6.3750000000000009</v>
      </c>
      <c r="Q99" s="10">
        <f t="shared" si="49"/>
        <v>6.1249999999999991</v>
      </c>
      <c r="R99" s="11">
        <f t="shared" si="50"/>
        <v>0.96078431372548989</v>
      </c>
      <c r="S99" s="11">
        <f t="shared" ca="1" si="51"/>
        <v>1.1128071481757256</v>
      </c>
      <c r="T99" s="57">
        <f t="shared" ca="1" si="44"/>
        <v>0.64541671174582549</v>
      </c>
      <c r="U99" s="17" t="str">
        <f>_xll.xlqName(C99,tda)</f>
        <v>SSTK Feb 21 2020 50 Call</v>
      </c>
    </row>
    <row r="100" spans="1:21" s="17" customFormat="1" ht="14.25" customHeight="1" x14ac:dyDescent="0.25">
      <c r="A100" s="3">
        <v>43882</v>
      </c>
      <c r="B100" s="4">
        <v>55</v>
      </c>
      <c r="C100" s="61" t="str">
        <f t="shared" si="45"/>
        <v>SSTK_022120C55</v>
      </c>
      <c r="D100" s="4">
        <f>_xll.xlqBid(C100,tda)</f>
        <v>0.1</v>
      </c>
      <c r="E100" s="4">
        <f>_xll.xlqAsk(C100,tda)</f>
        <v>0.25</v>
      </c>
      <c r="F100" s="5">
        <f t="shared" si="46"/>
        <v>0.17499999999999999</v>
      </c>
      <c r="G100" s="6">
        <f t="shared" ca="1" si="32"/>
        <v>79</v>
      </c>
      <c r="H100" s="7">
        <f t="shared" ca="1" si="47"/>
        <v>2.5901639344262297</v>
      </c>
      <c r="I100" s="8">
        <f t="shared" si="34"/>
        <v>3.1818181818181815E-3</v>
      </c>
      <c r="J100" s="19">
        <f t="shared" ca="1" si="35"/>
        <v>1.2272257267806896E-3</v>
      </c>
      <c r="K100" s="4">
        <f t="shared" si="36"/>
        <v>0</v>
      </c>
      <c r="L100" s="4">
        <f t="shared" si="48"/>
        <v>0.17499999999999999</v>
      </c>
      <c r="M100" s="4">
        <f t="shared" si="38"/>
        <v>55.174999999999997</v>
      </c>
      <c r="N100" s="9"/>
      <c r="O100" s="10">
        <f t="shared" si="39"/>
        <v>17.5</v>
      </c>
      <c r="P100" s="10">
        <f t="shared" si="40"/>
        <v>6.8750000000000009</v>
      </c>
      <c r="Q100" s="10">
        <f t="shared" si="49"/>
        <v>10.625</v>
      </c>
      <c r="R100" s="11">
        <f t="shared" si="50"/>
        <v>1.5454545454545452</v>
      </c>
      <c r="S100" s="11">
        <f t="shared" ca="1" si="51"/>
        <v>1.7899884925201377</v>
      </c>
      <c r="T100" s="57">
        <f t="shared" ca="1" si="44"/>
        <v>1.1069852023533606</v>
      </c>
      <c r="U100" s="17" t="str">
        <f>_xll.xlqName(C100,tda)</f>
        <v>SSTK Feb 21 2020 55 Call</v>
      </c>
    </row>
  </sheetData>
  <sortState xmlns:xlrd2="http://schemas.microsoft.com/office/spreadsheetml/2017/richdata2" ref="A2:V100">
    <sortCondition ref="A88"/>
  </sortState>
  <conditionalFormatting sqref="Q2:Q100">
    <cfRule type="colorScale" priority="11">
      <colorScale>
        <cfvo type="min"/>
        <cfvo type="percentile" val="50"/>
        <cfvo type="max"/>
        <color rgb="FFF8696B"/>
        <color rgb="FFFFEB84"/>
        <color rgb="FF63BE7B"/>
      </colorScale>
    </cfRule>
  </conditionalFormatting>
  <conditionalFormatting sqref="L2:L100">
    <cfRule type="dataBar" priority="8">
      <dataBar>
        <cfvo type="min"/>
        <cfvo type="max"/>
        <color rgb="FF008AEF"/>
      </dataBar>
      <extLst>
        <ext xmlns:x14="http://schemas.microsoft.com/office/spreadsheetml/2009/9/main" uri="{B025F937-C7B1-47D3-B67F-A62EFF666E3E}">
          <x14:id>{CDC8FCDA-CDBC-4CD5-A21F-DD80E65021F2}</x14:id>
        </ext>
      </extLst>
    </cfRule>
  </conditionalFormatting>
  <conditionalFormatting sqref="N2:N100">
    <cfRule type="colorScale" priority="10">
      <colorScale>
        <cfvo type="min"/>
        <cfvo type="percentile" val="50"/>
        <cfvo type="max"/>
        <color rgb="FFF8696B"/>
        <color rgb="FFFFEB84"/>
        <color rgb="FF63BE7B"/>
      </colorScale>
    </cfRule>
  </conditionalFormatting>
  <conditionalFormatting sqref="M2:M100">
    <cfRule type="colorScale" priority="9">
      <colorScale>
        <cfvo type="min"/>
        <cfvo type="percentile" val="50"/>
        <cfvo type="max"/>
        <color rgb="FFF8696B"/>
        <color rgb="FFFFEB84"/>
        <color rgb="FF63BE7B"/>
      </colorScale>
    </cfRule>
  </conditionalFormatting>
  <conditionalFormatting sqref="J2:J100">
    <cfRule type="dataBar" priority="7">
      <dataBar>
        <cfvo type="min"/>
        <cfvo type="max"/>
        <color rgb="FFFFB628"/>
      </dataBar>
      <extLst>
        <ext xmlns:x14="http://schemas.microsoft.com/office/spreadsheetml/2009/9/main" uri="{B025F937-C7B1-47D3-B67F-A62EFF666E3E}">
          <x14:id>{12128034-D334-45DF-8E28-FFCE674E21FA}</x14:id>
        </ext>
      </extLst>
    </cfRule>
  </conditionalFormatting>
  <conditionalFormatting sqref="S2:S100">
    <cfRule type="cellIs" dxfId="17" priority="6" operator="greaterThan">
      <formula>0.5</formula>
    </cfRule>
  </conditionalFormatting>
  <conditionalFormatting sqref="B2:B100">
    <cfRule type="cellIs" dxfId="16" priority="4" operator="greaterThanOrEqual">
      <formula>$Y$5</formula>
    </cfRule>
    <cfRule type="cellIs" dxfId="15" priority="5" stopIfTrue="1" operator="lessThanOrEqual">
      <formula>$Y$4</formula>
    </cfRule>
  </conditionalFormatting>
  <conditionalFormatting sqref="A1:A100">
    <cfRule type="colorScale" priority="3">
      <colorScale>
        <cfvo type="min"/>
        <cfvo type="percentile" val="50"/>
        <cfvo type="max"/>
        <color rgb="FFF8696B"/>
        <color rgb="FFFFEB84"/>
        <color rgb="FF63BE7B"/>
      </colorScale>
    </cfRule>
  </conditionalFormatting>
  <conditionalFormatting sqref="P2:P100">
    <cfRule type="cellIs" dxfId="14" priority="2" operator="lessThan">
      <formula>0</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CDC8FCDA-CDBC-4CD5-A21F-DD80E65021F2}">
            <x14:dataBar minLength="0" maxLength="100" border="1" negativeBarBorderColorSameAsPositive="0">
              <x14:cfvo type="autoMin"/>
              <x14:cfvo type="autoMax"/>
              <x14:borderColor rgb="FF008AEF"/>
              <x14:negativeFillColor rgb="FFFF0000"/>
              <x14:negativeBorderColor rgb="FFFF0000"/>
              <x14:axisColor rgb="FF000000"/>
            </x14:dataBar>
          </x14:cfRule>
          <xm:sqref>L2:L100</xm:sqref>
        </x14:conditionalFormatting>
        <x14:conditionalFormatting xmlns:xm="http://schemas.microsoft.com/office/excel/2006/main">
          <x14:cfRule type="dataBar" id="{12128034-D334-45DF-8E28-FFCE674E21FA}">
            <x14:dataBar minLength="0" maxLength="100" border="1" negativeBarBorderColorSameAsPositive="0">
              <x14:cfvo type="autoMin"/>
              <x14:cfvo type="autoMax"/>
              <x14:borderColor rgb="FFFFB628"/>
              <x14:negativeFillColor rgb="FFFF0000"/>
              <x14:negativeBorderColor rgb="FFFF0000"/>
              <x14:axisColor rgb="FF000000"/>
            </x14:dataBar>
          </x14:cfRule>
          <xm:sqref>J2:J100</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303"/>
  <sheetViews>
    <sheetView zoomScaleNormal="100" workbookViewId="0">
      <pane ySplit="1" topLeftCell="A2" activePane="bottomLeft" state="frozen"/>
      <selection pane="bottomLeft"/>
    </sheetView>
  </sheetViews>
  <sheetFormatPr defaultColWidth="14.42578125" defaultRowHeight="15" customHeight="1" x14ac:dyDescent="0.25"/>
  <cols>
    <col min="1" max="1" width="10.42578125" bestFit="1" customWidth="1"/>
    <col min="2" max="2" width="10.140625" customWidth="1"/>
    <col min="3" max="3" width="14.85546875" customWidth="1"/>
    <col min="4" max="4" width="9.7109375" customWidth="1"/>
    <col min="5" max="5" width="10" bestFit="1" customWidth="1"/>
    <col min="6" max="6" width="11.140625" bestFit="1" customWidth="1"/>
    <col min="7" max="7" width="4.7109375" customWidth="1"/>
    <col min="8" max="8" width="7.28515625" customWidth="1"/>
    <col min="9" max="9" width="9.42578125" bestFit="1" customWidth="1"/>
    <col min="10" max="10" width="11" bestFit="1" customWidth="1"/>
    <col min="11" max="11" width="8.85546875" bestFit="1" customWidth="1"/>
    <col min="12" max="12" width="10.140625" bestFit="1" customWidth="1"/>
    <col min="13" max="13" width="10.140625" customWidth="1"/>
    <col min="14" max="14" width="5.85546875" customWidth="1"/>
    <col min="15" max="15" width="8.5703125" customWidth="1"/>
    <col min="16" max="16" width="8.28515625" bestFit="1" customWidth="1"/>
    <col min="17" max="17" width="7.85546875" customWidth="1"/>
    <col min="18" max="18" width="8.5703125" customWidth="1"/>
    <col min="19" max="19" width="29.28515625" customWidth="1"/>
    <col min="20" max="20" width="3.42578125" customWidth="1"/>
    <col min="21" max="21" width="3.85546875" customWidth="1"/>
    <col min="23" max="23" width="9.42578125" style="94" customWidth="1"/>
  </cols>
  <sheetData>
    <row r="1" spans="1:26" s="13" customFormat="1" ht="15" customHeight="1" x14ac:dyDescent="0.25">
      <c r="A1" s="12" t="s">
        <v>52</v>
      </c>
      <c r="B1" s="13" t="s">
        <v>10</v>
      </c>
      <c r="C1" s="13" t="s">
        <v>32</v>
      </c>
      <c r="D1" s="13" t="s">
        <v>12</v>
      </c>
      <c r="E1" s="13" t="s">
        <v>13</v>
      </c>
      <c r="F1" s="15" t="s">
        <v>14</v>
      </c>
      <c r="G1" s="13" t="s">
        <v>15</v>
      </c>
      <c r="H1" s="13" t="s">
        <v>16</v>
      </c>
      <c r="I1" s="13" t="s">
        <v>17</v>
      </c>
      <c r="J1" s="18" t="s">
        <v>34</v>
      </c>
      <c r="K1" s="13" t="s">
        <v>33</v>
      </c>
      <c r="L1" s="12" t="s">
        <v>19</v>
      </c>
      <c r="M1" s="12" t="s">
        <v>73</v>
      </c>
      <c r="N1" s="12" t="s">
        <v>20</v>
      </c>
      <c r="O1" s="12" t="s">
        <v>21</v>
      </c>
      <c r="P1" s="12" t="s">
        <v>22</v>
      </c>
      <c r="Q1" s="12" t="s">
        <v>23</v>
      </c>
      <c r="R1" s="12" t="s">
        <v>35</v>
      </c>
      <c r="S1" s="13" t="s">
        <v>37</v>
      </c>
      <c r="T1" s="13" t="s">
        <v>94</v>
      </c>
      <c r="V1" s="32" t="s">
        <v>0</v>
      </c>
      <c r="W1" s="119" t="s">
        <v>90</v>
      </c>
    </row>
    <row r="2" spans="1:26" ht="14.25" customHeight="1" x14ac:dyDescent="0.25">
      <c r="A2" s="3">
        <v>43805</v>
      </c>
      <c r="B2" s="4">
        <v>105</v>
      </c>
      <c r="C2" s="61" t="str">
        <f t="shared" ref="C2:C33" si="0">CONCATENATE($W$1,"_",TEXT(MONTH(A2),"00"),TEXT(DAY(A2),"00"),TEXT(MOD(YEAR(A2),100),"00"),$W$2,B2&amp;"")</f>
        <v>TEAM_120619P105</v>
      </c>
      <c r="D2" s="4">
        <f>_xll.xlqBid(C2,tda)</f>
        <v>0</v>
      </c>
      <c r="E2" s="4">
        <f>_xll.xlqAsk(C2,tda)</f>
        <v>0.8</v>
      </c>
      <c r="F2" s="5">
        <f t="shared" ref="F2:F33" si="1">(D2+E2)/2</f>
        <v>0.4</v>
      </c>
      <c r="G2" s="6">
        <f t="shared" ref="G2:G33" ca="1" si="2">A2-TODAY()</f>
        <v>2</v>
      </c>
      <c r="H2" s="7">
        <f t="shared" ref="H2:H33" ca="1" si="3">G2/30.5</f>
        <v>6.5573770491803282E-2</v>
      </c>
      <c r="I2" s="8">
        <f t="shared" ref="I2:I33" si="4">F2/B2</f>
        <v>3.8095238095238095E-3</v>
      </c>
      <c r="J2" s="19">
        <f t="shared" ref="J2:J33" ca="1" si="5">(1+L2/B2)^(1/H2)-1</f>
        <v>5.9698952524007254E-2</v>
      </c>
      <c r="K2" s="4">
        <f t="shared" ref="K2:K33" si="6">MAX(0,B2-$W$3)</f>
        <v>0</v>
      </c>
      <c r="L2" s="4">
        <f t="shared" ref="L2:L33" si="7">F2-K2</f>
        <v>0.4</v>
      </c>
      <c r="M2" s="4">
        <f t="shared" ref="M2:M33" si="8">B2-F2</f>
        <v>104.6</v>
      </c>
      <c r="N2" s="9"/>
      <c r="O2" s="10">
        <f t="shared" ref="O2:O33" si="9">SUMPRODUCT($B$2:$B$100,$N$2:$N$100)-B2</f>
        <v>-105</v>
      </c>
      <c r="P2" s="10">
        <f t="shared" ref="P2:P33" si="10">SUMPRODUCT($F$2:$F$100,$N$2:$N$100)-F2</f>
        <v>-0.4</v>
      </c>
      <c r="Q2" s="11">
        <f t="shared" ref="Q2:Q33" si="11">IF(O2&gt;0,MAX(0,(O2-P2)/P2),0)</f>
        <v>0</v>
      </c>
      <c r="R2" s="11">
        <f t="shared" ref="R2:R33" ca="1" si="12">Q2/(H2/3)</f>
        <v>0</v>
      </c>
      <c r="S2" s="17" t="str">
        <f>_xll.xlqName(C2,tda)</f>
        <v>TEAM Dec 6 2019 105 Put (Weekly)</v>
      </c>
      <c r="T2" s="17"/>
      <c r="V2" s="32" t="s">
        <v>30</v>
      </c>
      <c r="W2" s="92" t="s">
        <v>36</v>
      </c>
    </row>
    <row r="3" spans="1:26" ht="14.25" customHeight="1" x14ac:dyDescent="0.25">
      <c r="A3" s="3">
        <v>43805</v>
      </c>
      <c r="B3" s="4">
        <v>106</v>
      </c>
      <c r="C3" s="61" t="str">
        <f t="shared" si="0"/>
        <v>TEAM_120619P106</v>
      </c>
      <c r="D3" s="4">
        <f>_xll.xlqBid(C3,tda)</f>
        <v>0</v>
      </c>
      <c r="E3" s="4">
        <f>_xll.xlqAsk(C3,tda)</f>
        <v>0.75</v>
      </c>
      <c r="F3" s="5">
        <f t="shared" si="1"/>
        <v>0.375</v>
      </c>
      <c r="G3" s="6">
        <f t="shared" ca="1" si="2"/>
        <v>2</v>
      </c>
      <c r="H3" s="7">
        <f t="shared" ca="1" si="3"/>
        <v>6.5573770491803282E-2</v>
      </c>
      <c r="I3" s="8">
        <f t="shared" si="4"/>
        <v>3.5377358490566039E-3</v>
      </c>
      <c r="J3" s="19">
        <f t="shared" ca="1" si="5"/>
        <v>5.533184755878251E-2</v>
      </c>
      <c r="K3" s="4">
        <f t="shared" si="6"/>
        <v>0</v>
      </c>
      <c r="L3" s="4">
        <f t="shared" si="7"/>
        <v>0.375</v>
      </c>
      <c r="M3" s="4">
        <f t="shared" si="8"/>
        <v>105.625</v>
      </c>
      <c r="N3" s="9"/>
      <c r="O3" s="10">
        <f t="shared" si="9"/>
        <v>-106</v>
      </c>
      <c r="P3" s="10">
        <f t="shared" si="10"/>
        <v>-0.375</v>
      </c>
      <c r="Q3" s="11">
        <f t="shared" si="11"/>
        <v>0</v>
      </c>
      <c r="R3" s="11">
        <f t="shared" ca="1" si="12"/>
        <v>0</v>
      </c>
      <c r="S3" s="17" t="str">
        <f>_xll.xlqName(C3,tda)</f>
        <v>TEAM Dec 6 2019 106 Put (Weekly)</v>
      </c>
      <c r="T3" s="17"/>
      <c r="V3" s="32" t="s">
        <v>18</v>
      </c>
      <c r="W3" s="69">
        <f>_xll.xlqPrice(W1,tda)</f>
        <v>123.55000000000001</v>
      </c>
    </row>
    <row r="4" spans="1:26" ht="14.25" customHeight="1" x14ac:dyDescent="0.25">
      <c r="A4" s="3">
        <v>43805</v>
      </c>
      <c r="B4" s="4">
        <v>107</v>
      </c>
      <c r="C4" s="61" t="str">
        <f t="shared" si="0"/>
        <v>TEAM_120619P107</v>
      </c>
      <c r="D4" s="4">
        <f>_xll.xlqBid(C4,tda)</f>
        <v>0</v>
      </c>
      <c r="E4" s="4">
        <f>_xll.xlqAsk(C4,tda)</f>
        <v>0.5</v>
      </c>
      <c r="F4" s="5">
        <f t="shared" si="1"/>
        <v>0.25</v>
      </c>
      <c r="G4" s="6">
        <f t="shared" ca="1" si="2"/>
        <v>2</v>
      </c>
      <c r="H4" s="7">
        <f t="shared" ca="1" si="3"/>
        <v>6.5573770491803282E-2</v>
      </c>
      <c r="I4" s="8">
        <f t="shared" si="4"/>
        <v>2.3364485981308409E-3</v>
      </c>
      <c r="J4" s="19">
        <f t="shared" ca="1" si="5"/>
        <v>3.6230159694065289E-2</v>
      </c>
      <c r="K4" s="4">
        <f t="shared" si="6"/>
        <v>0</v>
      </c>
      <c r="L4" s="4">
        <f t="shared" si="7"/>
        <v>0.25</v>
      </c>
      <c r="M4" s="4">
        <f t="shared" si="8"/>
        <v>106.75</v>
      </c>
      <c r="N4" s="9"/>
      <c r="O4" s="10">
        <f t="shared" si="9"/>
        <v>-107</v>
      </c>
      <c r="P4" s="10">
        <f t="shared" si="10"/>
        <v>-0.25</v>
      </c>
      <c r="Q4" s="11">
        <f t="shared" si="11"/>
        <v>0</v>
      </c>
      <c r="R4" s="11">
        <f t="shared" ca="1" si="12"/>
        <v>0</v>
      </c>
      <c r="S4" s="17" t="str">
        <f>_xll.xlqName(C4,tda)</f>
        <v>TEAM Dec 6 2019 107 Put (Weekly)</v>
      </c>
      <c r="T4" s="17"/>
      <c r="V4" s="32" t="s">
        <v>49</v>
      </c>
      <c r="W4" s="93">
        <v>9</v>
      </c>
    </row>
    <row r="5" spans="1:26" ht="14.25" customHeight="1" x14ac:dyDescent="0.25">
      <c r="A5" s="3">
        <v>43805</v>
      </c>
      <c r="B5" s="4">
        <v>108</v>
      </c>
      <c r="C5" s="61" t="str">
        <f t="shared" si="0"/>
        <v>TEAM_120619P108</v>
      </c>
      <c r="D5" s="4">
        <f>_xll.xlqBid(C5,tda)</f>
        <v>0</v>
      </c>
      <c r="E5" s="4">
        <f>_xll.xlqAsk(C5,tda)</f>
        <v>0.55000000000000004</v>
      </c>
      <c r="F5" s="5">
        <f t="shared" si="1"/>
        <v>0.27500000000000002</v>
      </c>
      <c r="G5" s="6">
        <f t="shared" ca="1" si="2"/>
        <v>2</v>
      </c>
      <c r="H5" s="7">
        <f t="shared" ca="1" si="3"/>
        <v>6.5573770491803282E-2</v>
      </c>
      <c r="I5" s="8">
        <f t="shared" si="4"/>
        <v>2.5462962962962965E-3</v>
      </c>
      <c r="J5" s="19">
        <f t="shared" ca="1" si="5"/>
        <v>3.9543489769814588E-2</v>
      </c>
      <c r="K5" s="4">
        <f t="shared" si="6"/>
        <v>0</v>
      </c>
      <c r="L5" s="4">
        <f t="shared" si="7"/>
        <v>0.27500000000000002</v>
      </c>
      <c r="M5" s="4">
        <f t="shared" si="8"/>
        <v>107.72499999999999</v>
      </c>
      <c r="N5" s="9"/>
      <c r="O5" s="10">
        <f t="shared" si="9"/>
        <v>-108</v>
      </c>
      <c r="P5" s="10">
        <f t="shared" si="10"/>
        <v>-0.27500000000000002</v>
      </c>
      <c r="Q5" s="11">
        <f t="shared" si="11"/>
        <v>0</v>
      </c>
      <c r="R5" s="11">
        <f t="shared" ca="1" si="12"/>
        <v>0</v>
      </c>
      <c r="S5" s="17" t="str">
        <f>_xll.xlqName(C5,tda)</f>
        <v>TEAM Dec 6 2019 108 Put (Weekly)</v>
      </c>
      <c r="T5" s="17"/>
      <c r="V5" s="32" t="s">
        <v>92</v>
      </c>
      <c r="W5" s="71">
        <f>SUMPRODUCT($B$2:$B$100,$N$2:$N$100)</f>
        <v>0</v>
      </c>
    </row>
    <row r="6" spans="1:26" ht="14.25" customHeight="1" x14ac:dyDescent="0.25">
      <c r="A6" s="3">
        <v>43805</v>
      </c>
      <c r="B6" s="4">
        <v>109</v>
      </c>
      <c r="C6" s="61" t="str">
        <f t="shared" si="0"/>
        <v>TEAM_120619P109</v>
      </c>
      <c r="D6" s="4">
        <f>_xll.xlqBid(C6,tda)</f>
        <v>0</v>
      </c>
      <c r="E6" s="4">
        <f>_xll.xlqAsk(C6,tda)</f>
        <v>0.45</v>
      </c>
      <c r="F6" s="5">
        <f t="shared" si="1"/>
        <v>0.22500000000000001</v>
      </c>
      <c r="G6" s="6">
        <f t="shared" ca="1" si="2"/>
        <v>2</v>
      </c>
      <c r="H6" s="7">
        <f t="shared" ca="1" si="3"/>
        <v>6.5573770491803282E-2</v>
      </c>
      <c r="I6" s="8">
        <f t="shared" si="4"/>
        <v>2.0642201834862386E-3</v>
      </c>
      <c r="J6" s="19">
        <f t="shared" ca="1" si="5"/>
        <v>3.1946590447144763E-2</v>
      </c>
      <c r="K6" s="4">
        <f t="shared" si="6"/>
        <v>0</v>
      </c>
      <c r="L6" s="4">
        <f t="shared" si="7"/>
        <v>0.22500000000000001</v>
      </c>
      <c r="M6" s="4">
        <f t="shared" si="8"/>
        <v>108.77500000000001</v>
      </c>
      <c r="N6" s="9"/>
      <c r="O6" s="10">
        <f t="shared" si="9"/>
        <v>-109</v>
      </c>
      <c r="P6" s="10">
        <f t="shared" si="10"/>
        <v>-0.22500000000000001</v>
      </c>
      <c r="Q6" s="11">
        <f t="shared" si="11"/>
        <v>0</v>
      </c>
      <c r="R6" s="11">
        <f t="shared" ca="1" si="12"/>
        <v>0</v>
      </c>
      <c r="S6" s="17" t="str">
        <f>_xll.xlqName(C6,tda)</f>
        <v>TEAM Dec 6 2019 109 Put (Weekly)</v>
      </c>
      <c r="T6" s="17"/>
      <c r="V6" s="32" t="s">
        <v>93</v>
      </c>
      <c r="W6" s="71">
        <f>SUMPRODUCT($F$2:$F$100,$N$2:$N$100)</f>
        <v>0</v>
      </c>
    </row>
    <row r="7" spans="1:26" ht="14.25" customHeight="1" x14ac:dyDescent="0.25">
      <c r="A7" s="3">
        <v>43805</v>
      </c>
      <c r="B7" s="4">
        <v>110</v>
      </c>
      <c r="C7" s="61" t="str">
        <f t="shared" si="0"/>
        <v>TEAM_120619P110</v>
      </c>
      <c r="D7" s="4">
        <f>_xll.xlqBid(C7,tda)</f>
        <v>0</v>
      </c>
      <c r="E7" s="4">
        <f>_xll.xlqAsk(C7,tda)</f>
        <v>0.5</v>
      </c>
      <c r="F7" s="5">
        <f t="shared" si="1"/>
        <v>0.25</v>
      </c>
      <c r="G7" s="6">
        <f t="shared" ca="1" si="2"/>
        <v>2</v>
      </c>
      <c r="H7" s="7">
        <f t="shared" ca="1" si="3"/>
        <v>6.5573770491803282E-2</v>
      </c>
      <c r="I7" s="8">
        <f t="shared" si="4"/>
        <v>2.2727272727272726E-3</v>
      </c>
      <c r="J7" s="19">
        <f t="shared" ca="1" si="5"/>
        <v>3.5226004951477874E-2</v>
      </c>
      <c r="K7" s="4">
        <f t="shared" si="6"/>
        <v>0</v>
      </c>
      <c r="L7" s="4">
        <f t="shared" si="7"/>
        <v>0.25</v>
      </c>
      <c r="M7" s="4">
        <f t="shared" si="8"/>
        <v>109.75</v>
      </c>
      <c r="N7" s="9"/>
      <c r="O7" s="10">
        <f t="shared" si="9"/>
        <v>-110</v>
      </c>
      <c r="P7" s="10">
        <f t="shared" si="10"/>
        <v>-0.25</v>
      </c>
      <c r="Q7" s="11">
        <f t="shared" si="11"/>
        <v>0</v>
      </c>
      <c r="R7" s="11">
        <f t="shared" ca="1" si="12"/>
        <v>0</v>
      </c>
      <c r="S7" s="17" t="str">
        <f>_xll.xlqName(C7,tda)</f>
        <v>TEAM Dec 6 2019 110 Put (Weekly)</v>
      </c>
      <c r="T7" s="17"/>
    </row>
    <row r="8" spans="1:26" ht="14.25" customHeight="1" x14ac:dyDescent="0.25">
      <c r="A8" s="3">
        <v>43805</v>
      </c>
      <c r="B8" s="4">
        <v>111</v>
      </c>
      <c r="C8" s="61" t="str">
        <f t="shared" si="0"/>
        <v>TEAM_120619P111</v>
      </c>
      <c r="D8" s="4">
        <f>_xll.xlqBid(C8,tda)</f>
        <v>0</v>
      </c>
      <c r="E8" s="4">
        <f>_xll.xlqAsk(C8,tda)</f>
        <v>0.5</v>
      </c>
      <c r="F8" s="5">
        <f t="shared" si="1"/>
        <v>0.25</v>
      </c>
      <c r="G8" s="6">
        <f t="shared" ca="1" si="2"/>
        <v>2</v>
      </c>
      <c r="H8" s="7">
        <f t="shared" ca="1" si="3"/>
        <v>6.5573770491803282E-2</v>
      </c>
      <c r="I8" s="8">
        <f t="shared" si="4"/>
        <v>2.2522522522522522E-3</v>
      </c>
      <c r="J8" s="19">
        <f t="shared" ca="1" si="5"/>
        <v>3.4903541694393025E-2</v>
      </c>
      <c r="K8" s="4">
        <f t="shared" si="6"/>
        <v>0</v>
      </c>
      <c r="L8" s="4">
        <f t="shared" si="7"/>
        <v>0.25</v>
      </c>
      <c r="M8" s="4">
        <f t="shared" si="8"/>
        <v>110.75</v>
      </c>
      <c r="N8" s="9"/>
      <c r="O8" s="10">
        <f t="shared" si="9"/>
        <v>-111</v>
      </c>
      <c r="P8" s="10">
        <f t="shared" si="10"/>
        <v>-0.25</v>
      </c>
      <c r="Q8" s="11">
        <f t="shared" si="11"/>
        <v>0</v>
      </c>
      <c r="R8" s="11">
        <f t="shared" ca="1" si="12"/>
        <v>0</v>
      </c>
      <c r="S8" s="17" t="str">
        <f>_xll.xlqName(C8,tda)</f>
        <v>TEAM Dec 6 2019 111 Put (Weekly)</v>
      </c>
      <c r="T8" s="17"/>
    </row>
    <row r="9" spans="1:26" ht="14.25" customHeight="1" x14ac:dyDescent="0.25">
      <c r="A9" s="3">
        <v>43805</v>
      </c>
      <c r="B9" s="4">
        <v>112</v>
      </c>
      <c r="C9" s="61" t="str">
        <f t="shared" si="0"/>
        <v>TEAM_120619P112</v>
      </c>
      <c r="D9" s="4">
        <f>_xll.xlqBid(C9,tda)</f>
        <v>0</v>
      </c>
      <c r="E9" s="4">
        <f>_xll.xlqAsk(C9,tda)</f>
        <v>0.15</v>
      </c>
      <c r="F9" s="5">
        <f t="shared" si="1"/>
        <v>7.4999999999999997E-2</v>
      </c>
      <c r="G9" s="6">
        <f t="shared" ca="1" si="2"/>
        <v>2</v>
      </c>
      <c r="H9" s="7">
        <f t="shared" ca="1" si="3"/>
        <v>6.5573770491803282E-2</v>
      </c>
      <c r="I9" s="8">
        <f t="shared" si="4"/>
        <v>6.6964285714285715E-4</v>
      </c>
      <c r="J9" s="19">
        <f t="shared" ca="1" si="5"/>
        <v>1.0260921777112797E-2</v>
      </c>
      <c r="K9" s="4">
        <f t="shared" si="6"/>
        <v>0</v>
      </c>
      <c r="L9" s="4">
        <f t="shared" si="7"/>
        <v>7.4999999999999997E-2</v>
      </c>
      <c r="M9" s="4">
        <f t="shared" si="8"/>
        <v>111.925</v>
      </c>
      <c r="N9" s="9"/>
      <c r="O9" s="10">
        <f t="shared" si="9"/>
        <v>-112</v>
      </c>
      <c r="P9" s="10">
        <f t="shared" si="10"/>
        <v>-7.4999999999999997E-2</v>
      </c>
      <c r="Q9" s="11">
        <f t="shared" si="11"/>
        <v>0</v>
      </c>
      <c r="R9" s="11">
        <f t="shared" ca="1" si="12"/>
        <v>0</v>
      </c>
      <c r="S9" s="17" t="str">
        <f>_xll.xlqName(C9,tda)</f>
        <v>TEAM Dec 6 2019 112 Put (Weekly)</v>
      </c>
      <c r="T9" s="17"/>
    </row>
    <row r="10" spans="1:26" ht="14.25" customHeight="1" x14ac:dyDescent="0.25">
      <c r="A10" s="3">
        <v>43805</v>
      </c>
      <c r="B10" s="4">
        <v>113</v>
      </c>
      <c r="C10" s="61" t="str">
        <f t="shared" si="0"/>
        <v>TEAM_120619P113</v>
      </c>
      <c r="D10" s="4">
        <f>_xll.xlqBid(C10,tda)</f>
        <v>0</v>
      </c>
      <c r="E10" s="4">
        <f>_xll.xlqAsk(C10,tda)</f>
        <v>0.45</v>
      </c>
      <c r="F10" s="5">
        <f t="shared" si="1"/>
        <v>0.22500000000000001</v>
      </c>
      <c r="G10" s="6">
        <f t="shared" ca="1" si="2"/>
        <v>2</v>
      </c>
      <c r="H10" s="7">
        <f t="shared" ca="1" si="3"/>
        <v>6.5573770491803282E-2</v>
      </c>
      <c r="I10" s="8">
        <f t="shared" si="4"/>
        <v>1.9911504424778761E-3</v>
      </c>
      <c r="J10" s="19">
        <f t="shared" ca="1" si="5"/>
        <v>3.0799643173660574E-2</v>
      </c>
      <c r="K10" s="4">
        <f t="shared" si="6"/>
        <v>0</v>
      </c>
      <c r="L10" s="4">
        <f t="shared" si="7"/>
        <v>0.22500000000000001</v>
      </c>
      <c r="M10" s="4">
        <f t="shared" si="8"/>
        <v>112.77500000000001</v>
      </c>
      <c r="N10" s="9"/>
      <c r="O10" s="10">
        <f t="shared" si="9"/>
        <v>-113</v>
      </c>
      <c r="P10" s="10">
        <f t="shared" si="10"/>
        <v>-0.22500000000000001</v>
      </c>
      <c r="Q10" s="11">
        <f t="shared" si="11"/>
        <v>0</v>
      </c>
      <c r="R10" s="11">
        <f t="shared" ca="1" si="12"/>
        <v>0</v>
      </c>
      <c r="S10" s="17" t="str">
        <f>_xll.xlqName(C10,tda)</f>
        <v>TEAM Dec 6 2019 113 Put (Weekly)</v>
      </c>
      <c r="T10" s="17"/>
      <c r="W10" s="95"/>
    </row>
    <row r="11" spans="1:26" ht="14.25" customHeight="1" x14ac:dyDescent="0.25">
      <c r="A11" s="3">
        <v>43805</v>
      </c>
      <c r="B11" s="4">
        <v>114</v>
      </c>
      <c r="C11" s="61" t="str">
        <f t="shared" si="0"/>
        <v>TEAM_120619P114</v>
      </c>
      <c r="D11" s="4">
        <f>_xll.xlqBid(C11,tda)</f>
        <v>0.05</v>
      </c>
      <c r="E11" s="4">
        <f>_xll.xlqAsk(C11,tda)</f>
        <v>0.2</v>
      </c>
      <c r="F11" s="5">
        <f t="shared" si="1"/>
        <v>0.125</v>
      </c>
      <c r="G11" s="6">
        <f t="shared" ca="1" si="2"/>
        <v>2</v>
      </c>
      <c r="H11" s="7">
        <f t="shared" ca="1" si="3"/>
        <v>6.5573770491803282E-2</v>
      </c>
      <c r="I11" s="8">
        <f t="shared" si="4"/>
        <v>1.0964912280701754E-3</v>
      </c>
      <c r="J11" s="19">
        <f t="shared" ca="1" si="5"/>
        <v>1.6852762659895104E-2</v>
      </c>
      <c r="K11" s="4">
        <f t="shared" si="6"/>
        <v>0</v>
      </c>
      <c r="L11" s="4">
        <f t="shared" si="7"/>
        <v>0.125</v>
      </c>
      <c r="M11" s="4">
        <f t="shared" si="8"/>
        <v>113.875</v>
      </c>
      <c r="N11" s="9"/>
      <c r="O11" s="10">
        <f t="shared" si="9"/>
        <v>-114</v>
      </c>
      <c r="P11" s="10">
        <f t="shared" si="10"/>
        <v>-0.125</v>
      </c>
      <c r="Q11" s="11">
        <f t="shared" si="11"/>
        <v>0</v>
      </c>
      <c r="R11" s="11">
        <f t="shared" ca="1" si="12"/>
        <v>0</v>
      </c>
      <c r="S11" s="17" t="str">
        <f>_xll.xlqName(C11,tda)</f>
        <v>TEAM Dec 6 2019 114 Put (Weekly)</v>
      </c>
      <c r="T11" s="17"/>
      <c r="Z11" s="63"/>
    </row>
    <row r="12" spans="1:26" ht="14.25" customHeight="1" x14ac:dyDescent="0.25">
      <c r="A12" s="3">
        <v>43805</v>
      </c>
      <c r="B12" s="4">
        <v>115</v>
      </c>
      <c r="C12" s="61" t="str">
        <f t="shared" si="0"/>
        <v>TEAM_120619P115</v>
      </c>
      <c r="D12" s="4">
        <f>_xll.xlqBid(C12,tda)</f>
        <v>0.05</v>
      </c>
      <c r="E12" s="4">
        <f>_xll.xlqAsk(C12,tda)</f>
        <v>0.15</v>
      </c>
      <c r="F12" s="5">
        <f t="shared" si="1"/>
        <v>0.1</v>
      </c>
      <c r="G12" s="6">
        <f t="shared" ca="1" si="2"/>
        <v>2</v>
      </c>
      <c r="H12" s="7">
        <f t="shared" ca="1" si="3"/>
        <v>6.5573770491803282E-2</v>
      </c>
      <c r="I12" s="8">
        <f t="shared" si="4"/>
        <v>8.6956521739130438E-4</v>
      </c>
      <c r="J12" s="19">
        <f t="shared" ca="1" si="5"/>
        <v>1.3343345683526131E-2</v>
      </c>
      <c r="K12" s="4">
        <f t="shared" si="6"/>
        <v>0</v>
      </c>
      <c r="L12" s="4">
        <f t="shared" si="7"/>
        <v>0.1</v>
      </c>
      <c r="M12" s="4">
        <f t="shared" si="8"/>
        <v>114.9</v>
      </c>
      <c r="N12" s="9"/>
      <c r="O12" s="10">
        <f t="shared" si="9"/>
        <v>-115</v>
      </c>
      <c r="P12" s="10">
        <f t="shared" si="10"/>
        <v>-0.1</v>
      </c>
      <c r="Q12" s="11">
        <f t="shared" si="11"/>
        <v>0</v>
      </c>
      <c r="R12" s="11">
        <f t="shared" ca="1" si="12"/>
        <v>0</v>
      </c>
      <c r="S12" s="17" t="str">
        <f>_xll.xlqName(C12,tda)</f>
        <v>TEAM Dec 6 2019 115 Put (Weekly)</v>
      </c>
      <c r="T12" s="17"/>
      <c r="Z12" s="63"/>
    </row>
    <row r="13" spans="1:26" ht="14.25" customHeight="1" x14ac:dyDescent="0.25">
      <c r="A13" s="3">
        <v>43805</v>
      </c>
      <c r="B13" s="4">
        <v>116</v>
      </c>
      <c r="C13" s="61" t="str">
        <f t="shared" si="0"/>
        <v>TEAM_120619P116</v>
      </c>
      <c r="D13" s="4">
        <f>_xll.xlqBid(C13,tda)</f>
        <v>0.1</v>
      </c>
      <c r="E13" s="4">
        <f>_xll.xlqAsk(C13,tda)</f>
        <v>0.2</v>
      </c>
      <c r="F13" s="5">
        <f t="shared" si="1"/>
        <v>0.15000000000000002</v>
      </c>
      <c r="G13" s="6">
        <f t="shared" ca="1" si="2"/>
        <v>2</v>
      </c>
      <c r="H13" s="7">
        <f t="shared" ca="1" si="3"/>
        <v>6.5573770491803282E-2</v>
      </c>
      <c r="I13" s="8">
        <f t="shared" si="4"/>
        <v>1.2931034482758623E-3</v>
      </c>
      <c r="J13" s="19">
        <f t="shared" ca="1" si="5"/>
        <v>1.9902555264721844E-2</v>
      </c>
      <c r="K13" s="4">
        <f t="shared" si="6"/>
        <v>0</v>
      </c>
      <c r="L13" s="4">
        <f t="shared" si="7"/>
        <v>0.15000000000000002</v>
      </c>
      <c r="M13" s="4">
        <f t="shared" si="8"/>
        <v>115.85</v>
      </c>
      <c r="N13" s="9"/>
      <c r="O13" s="10">
        <f t="shared" si="9"/>
        <v>-116</v>
      </c>
      <c r="P13" s="10">
        <f t="shared" si="10"/>
        <v>-0.15000000000000002</v>
      </c>
      <c r="Q13" s="11">
        <f t="shared" si="11"/>
        <v>0</v>
      </c>
      <c r="R13" s="11">
        <f t="shared" ca="1" si="12"/>
        <v>0</v>
      </c>
      <c r="S13" s="17" t="str">
        <f>_xll.xlqName(C13,tda)</f>
        <v>TEAM Dec 6 2019 116 Put (Weekly)</v>
      </c>
      <c r="T13" s="17"/>
      <c r="Z13" s="63"/>
    </row>
    <row r="14" spans="1:26" ht="14.25" customHeight="1" x14ac:dyDescent="0.25">
      <c r="A14" s="3">
        <v>43805</v>
      </c>
      <c r="B14" s="4">
        <v>117</v>
      </c>
      <c r="C14" s="61" t="str">
        <f t="shared" si="0"/>
        <v>TEAM_120619P117</v>
      </c>
      <c r="D14" s="4">
        <f>_xll.xlqBid(C14,tda)</f>
        <v>0.15</v>
      </c>
      <c r="E14" s="4">
        <f>_xll.xlqAsk(C14,tda)</f>
        <v>0.25</v>
      </c>
      <c r="F14" s="5">
        <f t="shared" si="1"/>
        <v>0.2</v>
      </c>
      <c r="G14" s="6">
        <f t="shared" ca="1" si="2"/>
        <v>2</v>
      </c>
      <c r="H14" s="7">
        <f t="shared" ca="1" si="3"/>
        <v>6.5573770491803282E-2</v>
      </c>
      <c r="I14" s="8">
        <f t="shared" si="4"/>
        <v>1.7094017094017094E-3</v>
      </c>
      <c r="J14" s="19">
        <f t="shared" ca="1" si="5"/>
        <v>2.63882851933257E-2</v>
      </c>
      <c r="K14" s="4">
        <f t="shared" si="6"/>
        <v>0</v>
      </c>
      <c r="L14" s="4">
        <f t="shared" si="7"/>
        <v>0.2</v>
      </c>
      <c r="M14" s="4">
        <f t="shared" si="8"/>
        <v>116.8</v>
      </c>
      <c r="N14" s="9"/>
      <c r="O14" s="10">
        <f t="shared" si="9"/>
        <v>-117</v>
      </c>
      <c r="P14" s="10">
        <f t="shared" si="10"/>
        <v>-0.2</v>
      </c>
      <c r="Q14" s="11">
        <f t="shared" si="11"/>
        <v>0</v>
      </c>
      <c r="R14" s="11">
        <f t="shared" ca="1" si="12"/>
        <v>0</v>
      </c>
      <c r="S14" s="17" t="str">
        <f>_xll.xlqName(C14,tda)</f>
        <v>TEAM Dec 6 2019 117 Put (Weekly)</v>
      </c>
      <c r="T14" s="17"/>
      <c r="Z14" s="63"/>
    </row>
    <row r="15" spans="1:26" s="13" customFormat="1" ht="14.25" customHeight="1" x14ac:dyDescent="0.25">
      <c r="A15" s="3">
        <v>43805</v>
      </c>
      <c r="B15" s="4">
        <v>118</v>
      </c>
      <c r="C15" s="61" t="str">
        <f t="shared" si="0"/>
        <v>TEAM_120619P118</v>
      </c>
      <c r="D15" s="4">
        <f>_xll.xlqBid(C15,tda)</f>
        <v>0.2</v>
      </c>
      <c r="E15" s="4">
        <f>_xll.xlqAsk(C15,tda)</f>
        <v>0.35000000000000003</v>
      </c>
      <c r="F15" s="5">
        <f t="shared" si="1"/>
        <v>0.27500000000000002</v>
      </c>
      <c r="G15" s="6">
        <f t="shared" ca="1" si="2"/>
        <v>2</v>
      </c>
      <c r="H15" s="7">
        <f t="shared" ca="1" si="3"/>
        <v>6.5573770491803282E-2</v>
      </c>
      <c r="I15" s="8">
        <f t="shared" si="4"/>
        <v>2.3305084745762713E-3</v>
      </c>
      <c r="J15" s="19">
        <f t="shared" ca="1" si="5"/>
        <v>3.6136513595355746E-2</v>
      </c>
      <c r="K15" s="4">
        <f t="shared" si="6"/>
        <v>0</v>
      </c>
      <c r="L15" s="4">
        <f t="shared" si="7"/>
        <v>0.27500000000000002</v>
      </c>
      <c r="M15" s="4">
        <f t="shared" si="8"/>
        <v>117.72499999999999</v>
      </c>
      <c r="N15" s="9"/>
      <c r="O15" s="10">
        <f t="shared" si="9"/>
        <v>-118</v>
      </c>
      <c r="P15" s="10">
        <f t="shared" si="10"/>
        <v>-0.27500000000000002</v>
      </c>
      <c r="Q15" s="11">
        <f t="shared" si="11"/>
        <v>0</v>
      </c>
      <c r="R15" s="11">
        <f t="shared" ca="1" si="12"/>
        <v>0</v>
      </c>
      <c r="S15" s="17" t="str">
        <f>_xll.xlqName(C15,tda)</f>
        <v>TEAM Dec 6 2019 118 Put (Weekly)</v>
      </c>
      <c r="T15" s="17"/>
      <c r="Z15" s="78"/>
    </row>
    <row r="16" spans="1:26" ht="14.25" customHeight="1" x14ac:dyDescent="0.25">
      <c r="A16" s="3">
        <v>43805</v>
      </c>
      <c r="B16" s="4">
        <v>119</v>
      </c>
      <c r="C16" s="61" t="str">
        <f t="shared" si="0"/>
        <v>TEAM_120619P119</v>
      </c>
      <c r="D16" s="4">
        <f>_xll.xlqBid(C16,tda)</f>
        <v>0.35000000000000003</v>
      </c>
      <c r="E16" s="4">
        <f>_xll.xlqAsk(C16,tda)</f>
        <v>0.45</v>
      </c>
      <c r="F16" s="5">
        <f t="shared" si="1"/>
        <v>0.4</v>
      </c>
      <c r="G16" s="6">
        <f t="shared" ca="1" si="2"/>
        <v>2</v>
      </c>
      <c r="H16" s="7">
        <f t="shared" ca="1" si="3"/>
        <v>6.5573770491803282E-2</v>
      </c>
      <c r="I16" s="8">
        <f t="shared" si="4"/>
        <v>3.3613445378151263E-3</v>
      </c>
      <c r="J16" s="19">
        <f t="shared" ca="1" si="5"/>
        <v>5.2506586662364629E-2</v>
      </c>
      <c r="K16" s="4">
        <f t="shared" si="6"/>
        <v>0</v>
      </c>
      <c r="L16" s="4">
        <f t="shared" si="7"/>
        <v>0.4</v>
      </c>
      <c r="M16" s="4">
        <f t="shared" si="8"/>
        <v>118.6</v>
      </c>
      <c r="N16" s="9"/>
      <c r="O16" s="10">
        <f t="shared" si="9"/>
        <v>-119</v>
      </c>
      <c r="P16" s="10">
        <f t="shared" si="10"/>
        <v>-0.4</v>
      </c>
      <c r="Q16" s="11">
        <f t="shared" si="11"/>
        <v>0</v>
      </c>
      <c r="R16" s="11">
        <f t="shared" ca="1" si="12"/>
        <v>0</v>
      </c>
      <c r="S16" s="17" t="str">
        <f>_xll.xlqName(C16,tda)</f>
        <v>TEAM Dec 6 2019 119 Put (Weekly)</v>
      </c>
      <c r="T16" s="17"/>
      <c r="Z16" s="63"/>
    </row>
    <row r="17" spans="1:26" ht="14.25" customHeight="1" x14ac:dyDescent="0.25">
      <c r="A17" s="3">
        <v>43805</v>
      </c>
      <c r="B17" s="4">
        <v>120</v>
      </c>
      <c r="C17" s="61" t="str">
        <f t="shared" si="0"/>
        <v>TEAM_120619P120</v>
      </c>
      <c r="D17" s="4">
        <f>_xll.xlqBid(C17,tda)</f>
        <v>0.5</v>
      </c>
      <c r="E17" s="4">
        <f>_xll.xlqAsk(C17,tda)</f>
        <v>0.65</v>
      </c>
      <c r="F17" s="5">
        <f t="shared" si="1"/>
        <v>0.57499999999999996</v>
      </c>
      <c r="G17" s="6">
        <f t="shared" ca="1" si="2"/>
        <v>2</v>
      </c>
      <c r="H17" s="7">
        <f t="shared" ca="1" si="3"/>
        <v>6.5573770491803282E-2</v>
      </c>
      <c r="I17" s="8">
        <f t="shared" si="4"/>
        <v>4.7916666666666663E-3</v>
      </c>
      <c r="J17" s="19">
        <f t="shared" ca="1" si="5"/>
        <v>7.5621251888415619E-2</v>
      </c>
      <c r="K17" s="4">
        <f t="shared" si="6"/>
        <v>0</v>
      </c>
      <c r="L17" s="4">
        <f t="shared" si="7"/>
        <v>0.57499999999999996</v>
      </c>
      <c r="M17" s="4">
        <f t="shared" si="8"/>
        <v>119.425</v>
      </c>
      <c r="N17" s="9"/>
      <c r="O17" s="10">
        <f t="shared" si="9"/>
        <v>-120</v>
      </c>
      <c r="P17" s="10">
        <f t="shared" si="10"/>
        <v>-0.57499999999999996</v>
      </c>
      <c r="Q17" s="11">
        <f t="shared" si="11"/>
        <v>0</v>
      </c>
      <c r="R17" s="11">
        <f t="shared" ca="1" si="12"/>
        <v>0</v>
      </c>
      <c r="S17" s="17" t="str">
        <f>_xll.xlqName(C17,tda)</f>
        <v>TEAM Dec 6 2019 120 Put (Weekly)</v>
      </c>
      <c r="T17" s="17"/>
      <c r="Z17" s="55"/>
    </row>
    <row r="18" spans="1:26" ht="14.25" customHeight="1" x14ac:dyDescent="0.25">
      <c r="A18" s="3">
        <v>43805</v>
      </c>
      <c r="B18" s="4">
        <v>125</v>
      </c>
      <c r="C18" s="61" t="str">
        <f t="shared" si="0"/>
        <v>TEAM_120619P125</v>
      </c>
      <c r="D18" s="4">
        <f>_xll.xlqBid(C18,tda)</f>
        <v>2.35</v>
      </c>
      <c r="E18" s="4">
        <f>_xll.xlqAsk(C18,tda)</f>
        <v>2.7</v>
      </c>
      <c r="F18" s="5">
        <f t="shared" si="1"/>
        <v>2.5250000000000004</v>
      </c>
      <c r="G18" s="6">
        <f t="shared" ca="1" si="2"/>
        <v>2</v>
      </c>
      <c r="H18" s="7">
        <f t="shared" ca="1" si="3"/>
        <v>6.5573770491803282E-2</v>
      </c>
      <c r="I18" s="8">
        <f t="shared" si="4"/>
        <v>2.0200000000000003E-2</v>
      </c>
      <c r="J18" s="19">
        <f t="shared" ca="1" si="5"/>
        <v>0.13949965572159595</v>
      </c>
      <c r="K18" s="4">
        <f t="shared" si="6"/>
        <v>1.4499999999999886</v>
      </c>
      <c r="L18" s="4">
        <f t="shared" si="7"/>
        <v>1.0750000000000117</v>
      </c>
      <c r="M18" s="4">
        <f t="shared" si="8"/>
        <v>122.47499999999999</v>
      </c>
      <c r="N18" s="9"/>
      <c r="O18" s="10">
        <f t="shared" si="9"/>
        <v>-125</v>
      </c>
      <c r="P18" s="10">
        <f t="shared" si="10"/>
        <v>-2.5250000000000004</v>
      </c>
      <c r="Q18" s="11">
        <f t="shared" si="11"/>
        <v>0</v>
      </c>
      <c r="R18" s="11">
        <f t="shared" ca="1" si="12"/>
        <v>0</v>
      </c>
      <c r="S18" s="17" t="str">
        <f>_xll.xlqName(C18,tda)</f>
        <v>TEAM Dec 6 2019 125 Put (Weekly)</v>
      </c>
      <c r="T18" s="17"/>
      <c r="Z18" s="55"/>
    </row>
    <row r="19" spans="1:26" ht="14.25" customHeight="1" x14ac:dyDescent="0.25">
      <c r="A19" s="3">
        <v>43805</v>
      </c>
      <c r="B19" s="4">
        <v>130</v>
      </c>
      <c r="C19" s="61" t="str">
        <f t="shared" si="0"/>
        <v>TEAM_120619P130</v>
      </c>
      <c r="D19" s="4">
        <f>_xll.xlqBid(C19,tda)</f>
        <v>6.2</v>
      </c>
      <c r="E19" s="4">
        <f>_xll.xlqAsk(C19,tda)</f>
        <v>7.1000000000000005</v>
      </c>
      <c r="F19" s="5">
        <f t="shared" si="1"/>
        <v>6.65</v>
      </c>
      <c r="G19" s="6">
        <f t="shared" ca="1" si="2"/>
        <v>2</v>
      </c>
      <c r="H19" s="7">
        <f t="shared" ca="1" si="3"/>
        <v>6.5573770491803282E-2</v>
      </c>
      <c r="I19" s="8">
        <f t="shared" si="4"/>
        <v>5.1153846153846154E-2</v>
      </c>
      <c r="J19" s="19">
        <f t="shared" ca="1" si="5"/>
        <v>2.3720468747730594E-2</v>
      </c>
      <c r="K19" s="4">
        <f t="shared" si="6"/>
        <v>6.4499999999999886</v>
      </c>
      <c r="L19" s="4">
        <f t="shared" si="7"/>
        <v>0.20000000000001172</v>
      </c>
      <c r="M19" s="4">
        <f t="shared" si="8"/>
        <v>123.35</v>
      </c>
      <c r="N19" s="9"/>
      <c r="O19" s="10">
        <f t="shared" si="9"/>
        <v>-130</v>
      </c>
      <c r="P19" s="10">
        <f t="shared" si="10"/>
        <v>-6.65</v>
      </c>
      <c r="Q19" s="11">
        <f t="shared" si="11"/>
        <v>0</v>
      </c>
      <c r="R19" s="11">
        <f t="shared" ca="1" si="12"/>
        <v>0</v>
      </c>
      <c r="S19" s="17" t="str">
        <f>_xll.xlqName(C19,tda)</f>
        <v>TEAM Dec 6 2019 130 Put (Weekly)</v>
      </c>
      <c r="T19" s="17"/>
      <c r="Z19" s="55"/>
    </row>
    <row r="20" spans="1:26" ht="14.25" customHeight="1" x14ac:dyDescent="0.25">
      <c r="A20" s="3">
        <v>43805</v>
      </c>
      <c r="B20" s="4">
        <v>135</v>
      </c>
      <c r="C20" s="61" t="str">
        <f t="shared" si="0"/>
        <v>TEAM_120619P135</v>
      </c>
      <c r="D20" s="4">
        <f>_xll.xlqBid(C20,tda)</f>
        <v>11.1</v>
      </c>
      <c r="E20" s="4">
        <f>_xll.xlqAsk(C20,tda)</f>
        <v>12.100000000000001</v>
      </c>
      <c r="F20" s="5">
        <f t="shared" si="1"/>
        <v>11.600000000000001</v>
      </c>
      <c r="G20" s="6">
        <f t="shared" ca="1" si="2"/>
        <v>2</v>
      </c>
      <c r="H20" s="7">
        <f t="shared" ca="1" si="3"/>
        <v>6.5573770491803282E-2</v>
      </c>
      <c r="I20" s="8">
        <f t="shared" si="4"/>
        <v>8.5925925925925933E-2</v>
      </c>
      <c r="J20" s="19">
        <f t="shared" ca="1" si="5"/>
        <v>1.7079248505510902E-2</v>
      </c>
      <c r="K20" s="4">
        <f t="shared" si="6"/>
        <v>11.449999999999989</v>
      </c>
      <c r="L20" s="4">
        <f t="shared" si="7"/>
        <v>0.15000000000001279</v>
      </c>
      <c r="M20" s="4">
        <f t="shared" si="8"/>
        <v>123.4</v>
      </c>
      <c r="N20" s="9"/>
      <c r="O20" s="10">
        <f t="shared" si="9"/>
        <v>-135</v>
      </c>
      <c r="P20" s="10">
        <f t="shared" si="10"/>
        <v>-11.600000000000001</v>
      </c>
      <c r="Q20" s="11">
        <f t="shared" si="11"/>
        <v>0</v>
      </c>
      <c r="R20" s="11">
        <f t="shared" ca="1" si="12"/>
        <v>0</v>
      </c>
      <c r="S20" s="17" t="str">
        <f>_xll.xlqName(C20,tda)</f>
        <v>TEAM Dec 6 2019 135 Put (Weekly)</v>
      </c>
      <c r="T20" s="17"/>
      <c r="Z20" s="55"/>
    </row>
    <row r="21" spans="1:26" ht="14.25" customHeight="1" x14ac:dyDescent="0.25">
      <c r="A21" s="3">
        <v>43805</v>
      </c>
      <c r="B21" s="4">
        <v>140</v>
      </c>
      <c r="C21" s="61" t="str">
        <f t="shared" si="0"/>
        <v>TEAM_120619P140</v>
      </c>
      <c r="D21" s="4">
        <f>_xll.xlqBid(C21,tda)</f>
        <v>15.700000000000001</v>
      </c>
      <c r="E21" s="4">
        <f>_xll.xlqAsk(C21,tda)</f>
        <v>17.7</v>
      </c>
      <c r="F21" s="5">
        <f t="shared" si="1"/>
        <v>16.7</v>
      </c>
      <c r="G21" s="6">
        <f t="shared" ca="1" si="2"/>
        <v>2</v>
      </c>
      <c r="H21" s="7">
        <f t="shared" ca="1" si="3"/>
        <v>6.5573770491803282E-2</v>
      </c>
      <c r="I21" s="8">
        <f t="shared" si="4"/>
        <v>0.11928571428571429</v>
      </c>
      <c r="J21" s="19">
        <f t="shared" ca="1" si="5"/>
        <v>2.7581370908453362E-2</v>
      </c>
      <c r="K21" s="4">
        <f t="shared" si="6"/>
        <v>16.449999999999989</v>
      </c>
      <c r="L21" s="4">
        <f t="shared" si="7"/>
        <v>0.25000000000001066</v>
      </c>
      <c r="M21" s="4">
        <f t="shared" si="8"/>
        <v>123.3</v>
      </c>
      <c r="N21" s="9"/>
      <c r="O21" s="10">
        <f t="shared" si="9"/>
        <v>-140</v>
      </c>
      <c r="P21" s="10">
        <f t="shared" si="10"/>
        <v>-16.7</v>
      </c>
      <c r="Q21" s="11">
        <f t="shared" si="11"/>
        <v>0</v>
      </c>
      <c r="R21" s="11">
        <f t="shared" ca="1" si="12"/>
        <v>0</v>
      </c>
      <c r="S21" s="17" t="str">
        <f>_xll.xlqName(C21,tda)</f>
        <v>TEAM Dec 6 2019 140 Put (Weekly)</v>
      </c>
      <c r="T21" s="17"/>
      <c r="Z21" s="55"/>
    </row>
    <row r="22" spans="1:26" ht="14.25" customHeight="1" x14ac:dyDescent="0.25">
      <c r="A22" s="3">
        <v>43819</v>
      </c>
      <c r="B22" s="4">
        <v>105</v>
      </c>
      <c r="C22" s="61" t="str">
        <f t="shared" si="0"/>
        <v>TEAM_122019P105</v>
      </c>
      <c r="D22" s="4">
        <f>_xll.xlqBid(C22,tda)</f>
        <v>0.25</v>
      </c>
      <c r="E22" s="4">
        <f>_xll.xlqAsk(C22,tda)</f>
        <v>0.4</v>
      </c>
      <c r="F22" s="5">
        <f t="shared" si="1"/>
        <v>0.32500000000000001</v>
      </c>
      <c r="G22" s="6">
        <f t="shared" ca="1" si="2"/>
        <v>16</v>
      </c>
      <c r="H22" s="7">
        <f t="shared" ca="1" si="3"/>
        <v>0.52459016393442626</v>
      </c>
      <c r="I22" s="8">
        <f t="shared" si="4"/>
        <v>3.0952380952380953E-3</v>
      </c>
      <c r="J22" s="19">
        <f t="shared" ca="1" si="5"/>
        <v>5.9085721622964549E-3</v>
      </c>
      <c r="K22" s="4">
        <f t="shared" si="6"/>
        <v>0</v>
      </c>
      <c r="L22" s="4">
        <f t="shared" si="7"/>
        <v>0.32500000000000001</v>
      </c>
      <c r="M22" s="4">
        <f t="shared" si="8"/>
        <v>104.675</v>
      </c>
      <c r="N22" s="9"/>
      <c r="O22" s="10">
        <f t="shared" si="9"/>
        <v>-105</v>
      </c>
      <c r="P22" s="10">
        <f t="shared" si="10"/>
        <v>-0.32500000000000001</v>
      </c>
      <c r="Q22" s="11">
        <f t="shared" si="11"/>
        <v>0</v>
      </c>
      <c r="R22" s="11">
        <f t="shared" ca="1" si="12"/>
        <v>0</v>
      </c>
      <c r="S22" s="17" t="str">
        <f>_xll.xlqName(C22,tda)</f>
        <v>TEAM Dec 20 2019 105 Put</v>
      </c>
      <c r="T22" s="17"/>
      <c r="Z22" s="55"/>
    </row>
    <row r="23" spans="1:26" ht="14.25" customHeight="1" x14ac:dyDescent="0.25">
      <c r="A23" s="3">
        <v>43819</v>
      </c>
      <c r="B23" s="4">
        <v>110</v>
      </c>
      <c r="C23" s="61" t="str">
        <f t="shared" si="0"/>
        <v>TEAM_122019P110</v>
      </c>
      <c r="D23" s="4">
        <f>_xll.xlqBid(C23,tda)</f>
        <v>0.55000000000000004</v>
      </c>
      <c r="E23" s="4">
        <f>_xll.xlqAsk(C23,tda)</f>
        <v>0.75</v>
      </c>
      <c r="F23" s="5">
        <f t="shared" si="1"/>
        <v>0.65</v>
      </c>
      <c r="G23" s="6">
        <f t="shared" ca="1" si="2"/>
        <v>16</v>
      </c>
      <c r="H23" s="7">
        <f t="shared" ca="1" si="3"/>
        <v>0.52459016393442626</v>
      </c>
      <c r="I23" s="8">
        <f t="shared" si="4"/>
        <v>5.909090909090909E-3</v>
      </c>
      <c r="J23" s="19">
        <f t="shared" ca="1" si="5"/>
        <v>1.1294359532693976E-2</v>
      </c>
      <c r="K23" s="4">
        <f t="shared" si="6"/>
        <v>0</v>
      </c>
      <c r="L23" s="4">
        <f t="shared" si="7"/>
        <v>0.65</v>
      </c>
      <c r="M23" s="4">
        <f t="shared" si="8"/>
        <v>109.35</v>
      </c>
      <c r="N23" s="9"/>
      <c r="O23" s="10">
        <f t="shared" si="9"/>
        <v>-110</v>
      </c>
      <c r="P23" s="10">
        <f t="shared" si="10"/>
        <v>-0.65</v>
      </c>
      <c r="Q23" s="11">
        <f t="shared" si="11"/>
        <v>0</v>
      </c>
      <c r="R23" s="11">
        <f t="shared" ca="1" si="12"/>
        <v>0</v>
      </c>
      <c r="S23" s="17" t="str">
        <f>_xll.xlqName(C23,tda)</f>
        <v>TEAM Dec 20 2019 110 Put</v>
      </c>
      <c r="T23" s="17"/>
      <c r="Z23" s="55"/>
    </row>
    <row r="24" spans="1:26" s="13" customFormat="1" ht="14.25" customHeight="1" x14ac:dyDescent="0.25">
      <c r="A24" s="3">
        <v>43819</v>
      </c>
      <c r="B24" s="4">
        <v>115</v>
      </c>
      <c r="C24" s="61" t="str">
        <f t="shared" si="0"/>
        <v>TEAM_122019P115</v>
      </c>
      <c r="D24" s="4">
        <f>_xll.xlqBid(C24,tda)</f>
        <v>1.25</v>
      </c>
      <c r="E24" s="4">
        <f>_xll.xlqAsk(C24,tda)</f>
        <v>1.4500000000000002</v>
      </c>
      <c r="F24" s="5">
        <f t="shared" si="1"/>
        <v>1.35</v>
      </c>
      <c r="G24" s="6">
        <f t="shared" ca="1" si="2"/>
        <v>16</v>
      </c>
      <c r="H24" s="7">
        <f t="shared" ca="1" si="3"/>
        <v>0.52459016393442626</v>
      </c>
      <c r="I24" s="8">
        <f t="shared" si="4"/>
        <v>1.173913043478261E-2</v>
      </c>
      <c r="J24" s="19">
        <f t="shared" ca="1" si="5"/>
        <v>2.2496707509731539E-2</v>
      </c>
      <c r="K24" s="4">
        <f t="shared" si="6"/>
        <v>0</v>
      </c>
      <c r="L24" s="4">
        <f t="shared" si="7"/>
        <v>1.35</v>
      </c>
      <c r="M24" s="4">
        <f t="shared" si="8"/>
        <v>113.65</v>
      </c>
      <c r="N24" s="9"/>
      <c r="O24" s="10">
        <f t="shared" si="9"/>
        <v>-115</v>
      </c>
      <c r="P24" s="10">
        <f t="shared" si="10"/>
        <v>-1.35</v>
      </c>
      <c r="Q24" s="11">
        <f t="shared" si="11"/>
        <v>0</v>
      </c>
      <c r="R24" s="11">
        <f t="shared" ca="1" si="12"/>
        <v>0</v>
      </c>
      <c r="S24" s="17" t="str">
        <f>_xll.xlqName(C24,tda)</f>
        <v>TEAM Dec 20 2019 115 Put</v>
      </c>
      <c r="T24" s="17"/>
    </row>
    <row r="25" spans="1:26" ht="14.25" customHeight="1" x14ac:dyDescent="0.25">
      <c r="A25" s="3">
        <v>43819</v>
      </c>
      <c r="B25" s="4">
        <v>120</v>
      </c>
      <c r="C25" s="61" t="str">
        <f t="shared" si="0"/>
        <v>TEAM_122019P120</v>
      </c>
      <c r="D25" s="4">
        <f>_xll.xlqBid(C25,tda)</f>
        <v>2.5</v>
      </c>
      <c r="E25" s="4">
        <f>_xll.xlqAsk(C25,tda)</f>
        <v>2.7</v>
      </c>
      <c r="F25" s="5">
        <f t="shared" si="1"/>
        <v>2.6</v>
      </c>
      <c r="G25" s="6">
        <f t="shared" ca="1" si="2"/>
        <v>16</v>
      </c>
      <c r="H25" s="7">
        <f t="shared" ca="1" si="3"/>
        <v>0.52459016393442626</v>
      </c>
      <c r="I25" s="8">
        <f t="shared" si="4"/>
        <v>2.1666666666666667E-2</v>
      </c>
      <c r="J25" s="19">
        <f t="shared" ca="1" si="5"/>
        <v>4.1707302201295482E-2</v>
      </c>
      <c r="K25" s="4">
        <f t="shared" si="6"/>
        <v>0</v>
      </c>
      <c r="L25" s="4">
        <f t="shared" si="7"/>
        <v>2.6</v>
      </c>
      <c r="M25" s="4">
        <f t="shared" si="8"/>
        <v>117.4</v>
      </c>
      <c r="N25" s="9"/>
      <c r="O25" s="10">
        <f t="shared" si="9"/>
        <v>-120</v>
      </c>
      <c r="P25" s="10">
        <f t="shared" si="10"/>
        <v>-2.6</v>
      </c>
      <c r="Q25" s="11">
        <f t="shared" si="11"/>
        <v>0</v>
      </c>
      <c r="R25" s="11">
        <f t="shared" ca="1" si="12"/>
        <v>0</v>
      </c>
      <c r="S25" s="17" t="str">
        <f>_xll.xlqName(C25,tda)</f>
        <v>TEAM Dec 20 2019 120 Put</v>
      </c>
      <c r="T25" s="17"/>
    </row>
    <row r="26" spans="1:26" ht="14.25" customHeight="1" x14ac:dyDescent="0.25">
      <c r="A26" s="3">
        <v>43819</v>
      </c>
      <c r="B26" s="4">
        <v>125</v>
      </c>
      <c r="C26" s="61" t="str">
        <f t="shared" si="0"/>
        <v>TEAM_122019P125</v>
      </c>
      <c r="D26" s="4">
        <f>_xll.xlqBid(C26,tda)</f>
        <v>4.6000000000000005</v>
      </c>
      <c r="E26" s="4">
        <f>_xll.xlqAsk(C26,tda)</f>
        <v>4.9000000000000004</v>
      </c>
      <c r="F26" s="5">
        <f t="shared" si="1"/>
        <v>4.75</v>
      </c>
      <c r="G26" s="6">
        <f t="shared" ca="1" si="2"/>
        <v>16</v>
      </c>
      <c r="H26" s="7">
        <f t="shared" ca="1" si="3"/>
        <v>0.52459016393442626</v>
      </c>
      <c r="I26" s="8">
        <f t="shared" si="4"/>
        <v>3.7999999999999999E-2</v>
      </c>
      <c r="J26" s="19">
        <f t="shared" ca="1" si="5"/>
        <v>5.0926519698094808E-2</v>
      </c>
      <c r="K26" s="4">
        <f t="shared" si="6"/>
        <v>1.4499999999999886</v>
      </c>
      <c r="L26" s="4">
        <f t="shared" si="7"/>
        <v>3.3000000000000114</v>
      </c>
      <c r="M26" s="4">
        <f t="shared" si="8"/>
        <v>120.25</v>
      </c>
      <c r="N26" s="9"/>
      <c r="O26" s="10">
        <f t="shared" si="9"/>
        <v>-125</v>
      </c>
      <c r="P26" s="10">
        <f t="shared" si="10"/>
        <v>-4.75</v>
      </c>
      <c r="Q26" s="11">
        <f t="shared" si="11"/>
        <v>0</v>
      </c>
      <c r="R26" s="11">
        <f t="shared" ca="1" si="12"/>
        <v>0</v>
      </c>
      <c r="S26" s="17" t="str">
        <f>_xll.xlqName(C26,tda)</f>
        <v>TEAM Dec 20 2019 125 Put</v>
      </c>
      <c r="T26" s="17"/>
    </row>
    <row r="27" spans="1:26" ht="14.25" customHeight="1" x14ac:dyDescent="0.25">
      <c r="A27" s="3">
        <v>43819</v>
      </c>
      <c r="B27" s="4">
        <v>130</v>
      </c>
      <c r="C27" s="61" t="str">
        <f t="shared" si="0"/>
        <v>TEAM_122019P130</v>
      </c>
      <c r="D27" s="4">
        <f>_xll.xlqBid(C27,tda)</f>
        <v>7.8000000000000007</v>
      </c>
      <c r="E27" s="4">
        <f>_xll.xlqAsk(C27,tda)</f>
        <v>8.2000000000000011</v>
      </c>
      <c r="F27" s="5">
        <f t="shared" si="1"/>
        <v>8</v>
      </c>
      <c r="G27" s="6">
        <f t="shared" ca="1" si="2"/>
        <v>16</v>
      </c>
      <c r="H27" s="7">
        <f t="shared" ca="1" si="3"/>
        <v>0.52459016393442626</v>
      </c>
      <c r="I27" s="8">
        <f t="shared" si="4"/>
        <v>6.1538461538461542E-2</v>
      </c>
      <c r="J27" s="19">
        <f t="shared" ca="1" si="5"/>
        <v>2.2851113052856586E-2</v>
      </c>
      <c r="K27" s="4">
        <f t="shared" si="6"/>
        <v>6.4499999999999886</v>
      </c>
      <c r="L27" s="4">
        <f t="shared" si="7"/>
        <v>1.5500000000000114</v>
      </c>
      <c r="M27" s="4">
        <f t="shared" si="8"/>
        <v>122</v>
      </c>
      <c r="N27" s="9"/>
      <c r="O27" s="10">
        <f t="shared" si="9"/>
        <v>-130</v>
      </c>
      <c r="P27" s="10">
        <f t="shared" si="10"/>
        <v>-8</v>
      </c>
      <c r="Q27" s="11">
        <f t="shared" si="11"/>
        <v>0</v>
      </c>
      <c r="R27" s="11">
        <f t="shared" ca="1" si="12"/>
        <v>0</v>
      </c>
      <c r="S27" s="17" t="str">
        <f>_xll.xlqName(C27,tda)</f>
        <v>TEAM Dec 20 2019 130 Put</v>
      </c>
      <c r="T27" s="17"/>
      <c r="Z27" s="55"/>
    </row>
    <row r="28" spans="1:26" ht="14.25" customHeight="1" x14ac:dyDescent="0.25">
      <c r="A28" s="3">
        <v>43819</v>
      </c>
      <c r="B28" s="4">
        <v>135</v>
      </c>
      <c r="C28" s="61" t="str">
        <f t="shared" si="0"/>
        <v>TEAM_122019P135</v>
      </c>
      <c r="D28" s="4">
        <f>_xll.xlqBid(C28,tda)</f>
        <v>11.8</v>
      </c>
      <c r="E28" s="4">
        <f>_xll.xlqAsk(C28,tda)</f>
        <v>12.200000000000001</v>
      </c>
      <c r="F28" s="5">
        <f t="shared" si="1"/>
        <v>12</v>
      </c>
      <c r="G28" s="6">
        <f t="shared" ca="1" si="2"/>
        <v>16</v>
      </c>
      <c r="H28" s="7">
        <f t="shared" ca="1" si="3"/>
        <v>0.52459016393442626</v>
      </c>
      <c r="I28" s="8">
        <f t="shared" si="4"/>
        <v>8.8888888888888892E-2</v>
      </c>
      <c r="J28" s="19">
        <f t="shared" ca="1" si="5"/>
        <v>7.7805387958340688E-3</v>
      </c>
      <c r="K28" s="4">
        <f t="shared" si="6"/>
        <v>11.449999999999989</v>
      </c>
      <c r="L28" s="4">
        <f t="shared" si="7"/>
        <v>0.55000000000001137</v>
      </c>
      <c r="M28" s="4">
        <f t="shared" si="8"/>
        <v>123</v>
      </c>
      <c r="N28" s="9"/>
      <c r="O28" s="10">
        <f t="shared" si="9"/>
        <v>-135</v>
      </c>
      <c r="P28" s="10">
        <f t="shared" si="10"/>
        <v>-12</v>
      </c>
      <c r="Q28" s="11">
        <f t="shared" si="11"/>
        <v>0</v>
      </c>
      <c r="R28" s="11">
        <f t="shared" ca="1" si="12"/>
        <v>0</v>
      </c>
      <c r="S28" s="17" t="str">
        <f>_xll.xlqName(C28,tda)</f>
        <v>TEAM Dec 20 2019 135 Put</v>
      </c>
      <c r="T28" s="17"/>
      <c r="Z28" s="55"/>
    </row>
    <row r="29" spans="1:26" ht="14.25" customHeight="1" x14ac:dyDescent="0.25">
      <c r="A29" s="3">
        <v>43819</v>
      </c>
      <c r="B29" s="4">
        <v>140</v>
      </c>
      <c r="C29" s="61" t="str">
        <f t="shared" si="0"/>
        <v>TEAM_122019P140</v>
      </c>
      <c r="D29" s="4">
        <f>_xll.xlqBid(C29,tda)</f>
        <v>16.2</v>
      </c>
      <c r="E29" s="4">
        <f>_xll.xlqAsk(C29,tda)</f>
        <v>17.3</v>
      </c>
      <c r="F29" s="5">
        <f t="shared" si="1"/>
        <v>16.75</v>
      </c>
      <c r="G29" s="6">
        <f t="shared" ca="1" si="2"/>
        <v>16</v>
      </c>
      <c r="H29" s="7">
        <f t="shared" ca="1" si="3"/>
        <v>0.52459016393442626</v>
      </c>
      <c r="I29" s="8">
        <f t="shared" si="4"/>
        <v>0.11964285714285715</v>
      </c>
      <c r="J29" s="19">
        <f t="shared" ca="1" si="5"/>
        <v>4.0887874517911982E-3</v>
      </c>
      <c r="K29" s="4">
        <f t="shared" si="6"/>
        <v>16.449999999999989</v>
      </c>
      <c r="L29" s="4">
        <f t="shared" si="7"/>
        <v>0.30000000000001137</v>
      </c>
      <c r="M29" s="4">
        <f t="shared" si="8"/>
        <v>123.25</v>
      </c>
      <c r="N29" s="9"/>
      <c r="O29" s="10">
        <f t="shared" si="9"/>
        <v>-140</v>
      </c>
      <c r="P29" s="10">
        <f t="shared" si="10"/>
        <v>-16.75</v>
      </c>
      <c r="Q29" s="11">
        <f t="shared" si="11"/>
        <v>0</v>
      </c>
      <c r="R29" s="11">
        <f t="shared" ca="1" si="12"/>
        <v>0</v>
      </c>
      <c r="S29" s="17" t="str">
        <f>_xll.xlqName(C29,tda)</f>
        <v>TEAM Dec 20 2019 140 Put</v>
      </c>
      <c r="T29" s="17"/>
      <c r="Z29" s="55"/>
    </row>
    <row r="30" spans="1:26" ht="15" customHeight="1" x14ac:dyDescent="0.25">
      <c r="A30" s="3">
        <v>43847</v>
      </c>
      <c r="B30" s="4">
        <v>95</v>
      </c>
      <c r="C30" s="61" t="str">
        <f t="shared" si="0"/>
        <v>TEAM_011720P95</v>
      </c>
      <c r="D30" s="4">
        <f>_xll.xlqBid(C30,tda)</f>
        <v>0.65</v>
      </c>
      <c r="E30" s="4">
        <f>_xll.xlqAsk(C30,tda)</f>
        <v>0.8</v>
      </c>
      <c r="F30" s="5">
        <f t="shared" si="1"/>
        <v>0.72500000000000009</v>
      </c>
      <c r="G30" s="6">
        <f t="shared" ca="1" si="2"/>
        <v>44</v>
      </c>
      <c r="H30" s="7">
        <f t="shared" ca="1" si="3"/>
        <v>1.4426229508196722</v>
      </c>
      <c r="I30" s="8">
        <f t="shared" si="4"/>
        <v>7.6315789473684224E-3</v>
      </c>
      <c r="J30" s="19">
        <f t="shared" ca="1" si="5"/>
        <v>5.2838988986714241E-3</v>
      </c>
      <c r="K30" s="4">
        <f t="shared" si="6"/>
        <v>0</v>
      </c>
      <c r="L30" s="4">
        <f t="shared" si="7"/>
        <v>0.72500000000000009</v>
      </c>
      <c r="M30" s="4">
        <f t="shared" si="8"/>
        <v>94.275000000000006</v>
      </c>
      <c r="N30" s="9"/>
      <c r="O30" s="10">
        <f t="shared" si="9"/>
        <v>-95</v>
      </c>
      <c r="P30" s="10">
        <f t="shared" si="10"/>
        <v>-0.72500000000000009</v>
      </c>
      <c r="Q30" s="11">
        <f t="shared" si="11"/>
        <v>0</v>
      </c>
      <c r="R30" s="11">
        <f t="shared" ca="1" si="12"/>
        <v>0</v>
      </c>
      <c r="S30" s="17" t="str">
        <f>_xll.xlqName(C30,tda)</f>
        <v>TEAM Jan 17 2020 95 Put</v>
      </c>
      <c r="T30" s="17"/>
      <c r="Z30" s="55"/>
    </row>
    <row r="31" spans="1:26" ht="15" customHeight="1" x14ac:dyDescent="0.25">
      <c r="A31" s="3">
        <v>43847</v>
      </c>
      <c r="B31" s="4">
        <v>100</v>
      </c>
      <c r="C31" s="61" t="str">
        <f t="shared" si="0"/>
        <v>TEAM_011720P100</v>
      </c>
      <c r="D31" s="4">
        <f>_xll.xlqBid(C31,tda)</f>
        <v>1.05</v>
      </c>
      <c r="E31" s="4">
        <f>_xll.xlqAsk(C31,tda)</f>
        <v>1.2</v>
      </c>
      <c r="F31" s="5">
        <f t="shared" si="1"/>
        <v>1.125</v>
      </c>
      <c r="G31" s="6">
        <f t="shared" ca="1" si="2"/>
        <v>44</v>
      </c>
      <c r="H31" s="7">
        <f t="shared" ca="1" si="3"/>
        <v>1.4426229508196722</v>
      </c>
      <c r="I31" s="8">
        <f t="shared" si="4"/>
        <v>1.125E-2</v>
      </c>
      <c r="J31" s="19">
        <f t="shared" ca="1" si="5"/>
        <v>7.784902279162953E-3</v>
      </c>
      <c r="K31" s="4">
        <f t="shared" si="6"/>
        <v>0</v>
      </c>
      <c r="L31" s="4">
        <f t="shared" si="7"/>
        <v>1.125</v>
      </c>
      <c r="M31" s="4">
        <f t="shared" si="8"/>
        <v>98.875</v>
      </c>
      <c r="N31" s="9"/>
      <c r="O31" s="10">
        <f t="shared" si="9"/>
        <v>-100</v>
      </c>
      <c r="P31" s="10">
        <f t="shared" si="10"/>
        <v>-1.125</v>
      </c>
      <c r="Q31" s="11">
        <f t="shared" si="11"/>
        <v>0</v>
      </c>
      <c r="R31" s="11">
        <f t="shared" ca="1" si="12"/>
        <v>0</v>
      </c>
      <c r="S31" s="17" t="str">
        <f>_xll.xlqName(C31,tda)</f>
        <v>TEAM Jan 17 2020 100 Put</v>
      </c>
      <c r="T31" s="17"/>
      <c r="Z31" s="55"/>
    </row>
    <row r="32" spans="1:26" ht="15" customHeight="1" x14ac:dyDescent="0.25">
      <c r="A32" s="3">
        <v>43847</v>
      </c>
      <c r="B32" s="4">
        <v>105</v>
      </c>
      <c r="C32" s="61" t="str">
        <f t="shared" si="0"/>
        <v>TEAM_011720P105</v>
      </c>
      <c r="D32" s="4">
        <f>_xll.xlqBid(C32,tda)</f>
        <v>1.6500000000000001</v>
      </c>
      <c r="E32" s="4">
        <f>_xll.xlqAsk(C32,tda)</f>
        <v>1.8</v>
      </c>
      <c r="F32" s="5">
        <f t="shared" si="1"/>
        <v>1.7250000000000001</v>
      </c>
      <c r="G32" s="6">
        <f t="shared" ca="1" si="2"/>
        <v>44</v>
      </c>
      <c r="H32" s="7">
        <f t="shared" ca="1" si="3"/>
        <v>1.4426229508196722</v>
      </c>
      <c r="I32" s="8">
        <f t="shared" si="4"/>
        <v>1.6428571428571428E-2</v>
      </c>
      <c r="J32" s="19">
        <f t="shared" ca="1" si="5"/>
        <v>1.1359489428751868E-2</v>
      </c>
      <c r="K32" s="4">
        <f t="shared" si="6"/>
        <v>0</v>
      </c>
      <c r="L32" s="4">
        <f t="shared" si="7"/>
        <v>1.7250000000000001</v>
      </c>
      <c r="M32" s="4">
        <f t="shared" si="8"/>
        <v>103.27500000000001</v>
      </c>
      <c r="N32" s="9"/>
      <c r="O32" s="10">
        <f t="shared" si="9"/>
        <v>-105</v>
      </c>
      <c r="P32" s="10">
        <f t="shared" si="10"/>
        <v>-1.7250000000000001</v>
      </c>
      <c r="Q32" s="11">
        <f t="shared" si="11"/>
        <v>0</v>
      </c>
      <c r="R32" s="11">
        <f t="shared" ca="1" si="12"/>
        <v>0</v>
      </c>
      <c r="S32" s="17" t="str">
        <f>_xll.xlqName(C32,tda)</f>
        <v>TEAM Jan 17 2020 105 Put</v>
      </c>
      <c r="T32" s="17"/>
      <c r="Z32" s="55"/>
    </row>
    <row r="33" spans="1:26" ht="15" customHeight="1" x14ac:dyDescent="0.25">
      <c r="A33" s="3">
        <v>43847</v>
      </c>
      <c r="B33" s="4">
        <v>110</v>
      </c>
      <c r="C33" s="61" t="str">
        <f t="shared" si="0"/>
        <v>TEAM_011720P110</v>
      </c>
      <c r="D33" s="4">
        <f>_xll.xlqBid(C33,tda)</f>
        <v>2.5500000000000003</v>
      </c>
      <c r="E33" s="4">
        <f>_xll.xlqAsk(C33,tda)</f>
        <v>2.8000000000000003</v>
      </c>
      <c r="F33" s="5">
        <f t="shared" si="1"/>
        <v>2.6750000000000003</v>
      </c>
      <c r="G33" s="6">
        <f t="shared" ca="1" si="2"/>
        <v>44</v>
      </c>
      <c r="H33" s="7">
        <f t="shared" ca="1" si="3"/>
        <v>1.4426229508196722</v>
      </c>
      <c r="I33" s="8">
        <f t="shared" si="4"/>
        <v>2.4318181818181822E-2</v>
      </c>
      <c r="J33" s="19">
        <f t="shared" ca="1" si="5"/>
        <v>1.6794691523466021E-2</v>
      </c>
      <c r="K33" s="4">
        <f t="shared" si="6"/>
        <v>0</v>
      </c>
      <c r="L33" s="4">
        <f t="shared" si="7"/>
        <v>2.6750000000000003</v>
      </c>
      <c r="M33" s="4">
        <f t="shared" si="8"/>
        <v>107.325</v>
      </c>
      <c r="N33" s="9"/>
      <c r="O33" s="10">
        <f t="shared" si="9"/>
        <v>-110</v>
      </c>
      <c r="P33" s="10">
        <f t="shared" si="10"/>
        <v>-2.6750000000000003</v>
      </c>
      <c r="Q33" s="11">
        <f t="shared" si="11"/>
        <v>0</v>
      </c>
      <c r="R33" s="11">
        <f t="shared" ca="1" si="12"/>
        <v>0</v>
      </c>
      <c r="S33" s="17" t="str">
        <f>_xll.xlqName(C33,tda)</f>
        <v>TEAM Jan 17 2020 110 Put</v>
      </c>
      <c r="T33" s="17"/>
      <c r="Z33" s="55"/>
    </row>
    <row r="34" spans="1:26" ht="15" customHeight="1" x14ac:dyDescent="0.25">
      <c r="A34" s="3">
        <v>43847</v>
      </c>
      <c r="B34" s="4">
        <v>115</v>
      </c>
      <c r="C34" s="61" t="str">
        <f t="shared" ref="C34:C65" si="13">CONCATENATE($W$1,"_",TEXT(MONTH(A34),"00"),TEXT(DAY(A34),"00"),TEXT(MOD(YEAR(A34),100),"00"),$W$2,B34&amp;"")</f>
        <v>TEAM_011720P115</v>
      </c>
      <c r="D34" s="4">
        <f>_xll.xlqBid(C34,tda)</f>
        <v>3.8000000000000003</v>
      </c>
      <c r="E34" s="4">
        <f>_xll.xlqAsk(C34,tda)</f>
        <v>4.1000000000000005</v>
      </c>
      <c r="F34" s="5">
        <f t="shared" ref="F34:F65" si="14">(D34+E34)/2</f>
        <v>3.95</v>
      </c>
      <c r="G34" s="6">
        <f t="shared" ref="G34:G65" ca="1" si="15">A34-TODAY()</f>
        <v>44</v>
      </c>
      <c r="H34" s="7">
        <f t="shared" ref="H34:H65" ca="1" si="16">G34/30.5</f>
        <v>1.4426229508196722</v>
      </c>
      <c r="I34" s="8">
        <f t="shared" ref="I34:I65" si="17">F34/B34</f>
        <v>3.4347826086956523E-2</v>
      </c>
      <c r="J34" s="19">
        <f t="shared" ref="J34:J65" ca="1" si="18">(1+L34/B34)^(1/H34)-1</f>
        <v>2.368567174936298E-2</v>
      </c>
      <c r="K34" s="4">
        <f t="shared" ref="K34:K65" si="19">MAX(0,B34-$W$3)</f>
        <v>0</v>
      </c>
      <c r="L34" s="4">
        <f t="shared" ref="L34:L65" si="20">F34-K34</f>
        <v>3.95</v>
      </c>
      <c r="M34" s="4">
        <f t="shared" ref="M34:M65" si="21">B34-F34</f>
        <v>111.05</v>
      </c>
      <c r="N34" s="9"/>
      <c r="O34" s="10">
        <f t="shared" ref="O34:O65" si="22">SUMPRODUCT($B$2:$B$100,$N$2:$N$100)-B34</f>
        <v>-115</v>
      </c>
      <c r="P34" s="10">
        <f t="shared" ref="P34:P65" si="23">SUMPRODUCT($F$2:$F$100,$N$2:$N$100)-F34</f>
        <v>-3.95</v>
      </c>
      <c r="Q34" s="11">
        <f t="shared" ref="Q34:Q65" si="24">IF(O34&gt;0,MAX(0,(O34-P34)/P34),0)</f>
        <v>0</v>
      </c>
      <c r="R34" s="11">
        <f t="shared" ref="R34:R65" ca="1" si="25">Q34/(H34/3)</f>
        <v>0</v>
      </c>
      <c r="S34" s="17" t="str">
        <f>_xll.xlqName(C34,tda)</f>
        <v>TEAM Jan 17 2020 115 Put</v>
      </c>
      <c r="T34" s="17"/>
      <c r="Z34" s="55"/>
    </row>
    <row r="35" spans="1:26" s="13" customFormat="1" ht="15" customHeight="1" x14ac:dyDescent="0.25">
      <c r="A35" s="3">
        <v>43847</v>
      </c>
      <c r="B35" s="4">
        <v>120</v>
      </c>
      <c r="C35" s="61" t="str">
        <f t="shared" si="13"/>
        <v>TEAM_011720P120</v>
      </c>
      <c r="D35" s="4">
        <f>_xll.xlqBid(C35,tda)</f>
        <v>5.6000000000000005</v>
      </c>
      <c r="E35" s="4">
        <f>_xll.xlqAsk(C35,tda)</f>
        <v>5.9</v>
      </c>
      <c r="F35" s="5">
        <f t="shared" si="14"/>
        <v>5.75</v>
      </c>
      <c r="G35" s="6">
        <f t="shared" ca="1" si="15"/>
        <v>44</v>
      </c>
      <c r="H35" s="7">
        <f t="shared" ca="1" si="16"/>
        <v>1.4426229508196722</v>
      </c>
      <c r="I35" s="8">
        <f t="shared" si="17"/>
        <v>4.791666666666667E-2</v>
      </c>
      <c r="J35" s="19">
        <f t="shared" ca="1" si="18"/>
        <v>3.297576359185439E-2</v>
      </c>
      <c r="K35" s="4">
        <f t="shared" si="19"/>
        <v>0</v>
      </c>
      <c r="L35" s="4">
        <f t="shared" si="20"/>
        <v>5.75</v>
      </c>
      <c r="M35" s="4">
        <f t="shared" si="21"/>
        <v>114.25</v>
      </c>
      <c r="N35" s="9"/>
      <c r="O35" s="10">
        <f t="shared" si="22"/>
        <v>-120</v>
      </c>
      <c r="P35" s="10">
        <f t="shared" si="23"/>
        <v>-5.75</v>
      </c>
      <c r="Q35" s="11">
        <f t="shared" si="24"/>
        <v>0</v>
      </c>
      <c r="R35" s="11">
        <f t="shared" ca="1" si="25"/>
        <v>0</v>
      </c>
      <c r="S35" s="17" t="str">
        <f>_xll.xlqName(C35,tda)</f>
        <v>TEAM Jan 17 2020 120 Put</v>
      </c>
      <c r="T35" s="17"/>
      <c r="Z35" s="55"/>
    </row>
    <row r="36" spans="1:26" ht="15" customHeight="1" x14ac:dyDescent="0.25">
      <c r="A36" s="3">
        <v>43847</v>
      </c>
      <c r="B36" s="4">
        <v>125</v>
      </c>
      <c r="C36" s="61" t="str">
        <f t="shared" si="13"/>
        <v>TEAM_011720P125</v>
      </c>
      <c r="D36" s="4">
        <f>_xll.xlqBid(C36,tda)</f>
        <v>7.9</v>
      </c>
      <c r="E36" s="4">
        <f>_xll.xlqAsk(C36,tda)</f>
        <v>8.2000000000000011</v>
      </c>
      <c r="F36" s="5">
        <f t="shared" si="14"/>
        <v>8.0500000000000007</v>
      </c>
      <c r="G36" s="6">
        <f t="shared" ca="1" si="15"/>
        <v>44</v>
      </c>
      <c r="H36" s="7">
        <f t="shared" ca="1" si="16"/>
        <v>1.4426229508196722</v>
      </c>
      <c r="I36" s="8">
        <f t="shared" si="17"/>
        <v>6.4399999999999999E-2</v>
      </c>
      <c r="J36" s="19">
        <f t="shared" ca="1" si="18"/>
        <v>3.6310157940304899E-2</v>
      </c>
      <c r="K36" s="4">
        <f t="shared" si="19"/>
        <v>1.4499999999999886</v>
      </c>
      <c r="L36" s="4">
        <f t="shared" si="20"/>
        <v>6.6000000000000121</v>
      </c>
      <c r="M36" s="4">
        <f t="shared" si="21"/>
        <v>116.95</v>
      </c>
      <c r="N36" s="9"/>
      <c r="O36" s="10">
        <f t="shared" si="22"/>
        <v>-125</v>
      </c>
      <c r="P36" s="10">
        <f t="shared" si="23"/>
        <v>-8.0500000000000007</v>
      </c>
      <c r="Q36" s="11">
        <f t="shared" si="24"/>
        <v>0</v>
      </c>
      <c r="R36" s="11">
        <f t="shared" ca="1" si="25"/>
        <v>0</v>
      </c>
      <c r="S36" s="17" t="str">
        <f>_xll.xlqName(C36,tda)</f>
        <v>TEAM Jan 17 2020 125 Put</v>
      </c>
      <c r="T36" s="17"/>
      <c r="Z36" s="55"/>
    </row>
    <row r="37" spans="1:26" ht="15" customHeight="1" x14ac:dyDescent="0.25">
      <c r="A37" s="3">
        <v>43847</v>
      </c>
      <c r="B37" s="4">
        <v>130</v>
      </c>
      <c r="C37" s="61" t="str">
        <f t="shared" si="13"/>
        <v>TEAM_011720P130</v>
      </c>
      <c r="D37" s="4">
        <f>_xll.xlqBid(C37,tda)</f>
        <v>10.6</v>
      </c>
      <c r="E37" s="4">
        <f>_xll.xlqAsk(C37,tda)</f>
        <v>11.1</v>
      </c>
      <c r="F37" s="5">
        <f t="shared" si="14"/>
        <v>10.85</v>
      </c>
      <c r="G37" s="6">
        <f t="shared" ca="1" si="15"/>
        <v>44</v>
      </c>
      <c r="H37" s="7">
        <f t="shared" ca="1" si="16"/>
        <v>1.4426229508196722</v>
      </c>
      <c r="I37" s="8">
        <f t="shared" si="17"/>
        <v>8.3461538461538462E-2</v>
      </c>
      <c r="J37" s="19">
        <f t="shared" ca="1" si="18"/>
        <v>2.3341480700544315E-2</v>
      </c>
      <c r="K37" s="4">
        <f t="shared" si="19"/>
        <v>6.4499999999999886</v>
      </c>
      <c r="L37" s="4">
        <f t="shared" si="20"/>
        <v>4.400000000000011</v>
      </c>
      <c r="M37" s="4">
        <f t="shared" si="21"/>
        <v>119.15</v>
      </c>
      <c r="N37" s="9"/>
      <c r="O37" s="10">
        <f t="shared" si="22"/>
        <v>-130</v>
      </c>
      <c r="P37" s="10">
        <f t="shared" si="23"/>
        <v>-10.85</v>
      </c>
      <c r="Q37" s="11">
        <f t="shared" si="24"/>
        <v>0</v>
      </c>
      <c r="R37" s="11">
        <f t="shared" ca="1" si="25"/>
        <v>0</v>
      </c>
      <c r="S37" s="17" t="str">
        <f>_xll.xlqName(C37,tda)</f>
        <v>TEAM Jan 17 2020 130 Put</v>
      </c>
      <c r="T37" s="17"/>
      <c r="Z37" s="55"/>
    </row>
    <row r="38" spans="1:26" ht="15" customHeight="1" x14ac:dyDescent="0.25">
      <c r="A38" s="3">
        <v>43882</v>
      </c>
      <c r="B38" s="4">
        <v>95</v>
      </c>
      <c r="C38" s="61" t="str">
        <f t="shared" si="13"/>
        <v>TEAM_022120P95</v>
      </c>
      <c r="D38" s="4">
        <f>_xll.xlqBid(C38,tda)</f>
        <v>1.6500000000000001</v>
      </c>
      <c r="E38" s="4">
        <f>_xll.xlqAsk(C38,tda)</f>
        <v>1.8</v>
      </c>
      <c r="F38" s="5">
        <f t="shared" si="14"/>
        <v>1.7250000000000001</v>
      </c>
      <c r="G38" s="6">
        <f t="shared" ca="1" si="15"/>
        <v>79</v>
      </c>
      <c r="H38" s="7">
        <f t="shared" ca="1" si="16"/>
        <v>2.5901639344262297</v>
      </c>
      <c r="I38" s="8">
        <f t="shared" si="17"/>
        <v>1.8157894736842106E-2</v>
      </c>
      <c r="J38" s="19">
        <f t="shared" ca="1" si="18"/>
        <v>6.9716296264690225E-3</v>
      </c>
      <c r="K38" s="4">
        <f t="shared" si="19"/>
        <v>0</v>
      </c>
      <c r="L38" s="4">
        <f t="shared" si="20"/>
        <v>1.7250000000000001</v>
      </c>
      <c r="M38" s="4">
        <f t="shared" si="21"/>
        <v>93.275000000000006</v>
      </c>
      <c r="N38" s="9"/>
      <c r="O38" s="10">
        <f t="shared" si="22"/>
        <v>-95</v>
      </c>
      <c r="P38" s="10">
        <f t="shared" si="23"/>
        <v>-1.7250000000000001</v>
      </c>
      <c r="Q38" s="11">
        <f t="shared" si="24"/>
        <v>0</v>
      </c>
      <c r="R38" s="11">
        <f t="shared" ca="1" si="25"/>
        <v>0</v>
      </c>
      <c r="S38" s="17" t="str">
        <f>_xll.xlqName(C38,tda)</f>
        <v>TEAM Feb 21 2020 95 Put</v>
      </c>
      <c r="T38" s="17"/>
      <c r="Z38" s="55"/>
    </row>
    <row r="39" spans="1:26" ht="15" customHeight="1" x14ac:dyDescent="0.25">
      <c r="A39" s="3">
        <v>43882</v>
      </c>
      <c r="B39" s="4">
        <v>100</v>
      </c>
      <c r="C39" s="61" t="str">
        <f t="shared" si="13"/>
        <v>TEAM_022120P100</v>
      </c>
      <c r="D39" s="4">
        <f>_xll.xlqBid(C39,tda)</f>
        <v>2.35</v>
      </c>
      <c r="E39" s="4">
        <f>_xll.xlqAsk(C39,tda)</f>
        <v>2.5</v>
      </c>
      <c r="F39" s="5">
        <f t="shared" si="14"/>
        <v>2.4249999999999998</v>
      </c>
      <c r="G39" s="6">
        <f t="shared" ca="1" si="15"/>
        <v>79</v>
      </c>
      <c r="H39" s="7">
        <f t="shared" ca="1" si="16"/>
        <v>2.5901639344262297</v>
      </c>
      <c r="I39" s="8">
        <f t="shared" si="17"/>
        <v>2.4249999999999997E-2</v>
      </c>
      <c r="J39" s="19">
        <f t="shared" ca="1" si="18"/>
        <v>9.2935451295750315E-3</v>
      </c>
      <c r="K39" s="4">
        <f t="shared" si="19"/>
        <v>0</v>
      </c>
      <c r="L39" s="4">
        <f t="shared" si="20"/>
        <v>2.4249999999999998</v>
      </c>
      <c r="M39" s="4">
        <f t="shared" si="21"/>
        <v>97.575000000000003</v>
      </c>
      <c r="N39" s="9"/>
      <c r="O39" s="10">
        <f t="shared" si="22"/>
        <v>-100</v>
      </c>
      <c r="P39" s="10">
        <f t="shared" si="23"/>
        <v>-2.4249999999999998</v>
      </c>
      <c r="Q39" s="11">
        <f t="shared" si="24"/>
        <v>0</v>
      </c>
      <c r="R39" s="11">
        <f t="shared" ca="1" si="25"/>
        <v>0</v>
      </c>
      <c r="S39" s="17" t="str">
        <f>_xll.xlqName(C39,tda)</f>
        <v>TEAM Feb 21 2020 100 Put</v>
      </c>
      <c r="T39" s="17"/>
      <c r="Z39" s="55"/>
    </row>
    <row r="40" spans="1:26" ht="15" customHeight="1" x14ac:dyDescent="0.25">
      <c r="A40" s="3">
        <v>43882</v>
      </c>
      <c r="B40" s="4">
        <v>105</v>
      </c>
      <c r="C40" s="61" t="str">
        <f t="shared" si="13"/>
        <v>TEAM_022120P105</v>
      </c>
      <c r="D40" s="4">
        <f>_xll.xlqBid(C40,tda)</f>
        <v>3.3000000000000003</v>
      </c>
      <c r="E40" s="4">
        <f>_xll.xlqAsk(C40,tda)</f>
        <v>3.5</v>
      </c>
      <c r="F40" s="5">
        <f t="shared" si="14"/>
        <v>3.4000000000000004</v>
      </c>
      <c r="G40" s="6">
        <f t="shared" ca="1" si="15"/>
        <v>79</v>
      </c>
      <c r="H40" s="7">
        <f t="shared" ca="1" si="16"/>
        <v>2.5901639344262297</v>
      </c>
      <c r="I40" s="8">
        <f t="shared" si="17"/>
        <v>3.2380952380952385E-2</v>
      </c>
      <c r="J40" s="19">
        <f t="shared" ca="1" si="18"/>
        <v>1.237936531262096E-2</v>
      </c>
      <c r="K40" s="4">
        <f t="shared" si="19"/>
        <v>0</v>
      </c>
      <c r="L40" s="4">
        <f t="shared" si="20"/>
        <v>3.4000000000000004</v>
      </c>
      <c r="M40" s="4">
        <f t="shared" si="21"/>
        <v>101.6</v>
      </c>
      <c r="N40" s="9"/>
      <c r="O40" s="10">
        <f t="shared" si="22"/>
        <v>-105</v>
      </c>
      <c r="P40" s="10">
        <f t="shared" si="23"/>
        <v>-3.4000000000000004</v>
      </c>
      <c r="Q40" s="11">
        <f t="shared" si="24"/>
        <v>0</v>
      </c>
      <c r="R40" s="11">
        <f t="shared" ca="1" si="25"/>
        <v>0</v>
      </c>
      <c r="S40" s="17" t="str">
        <f>_xll.xlqName(C40,tda)</f>
        <v>TEAM Feb 21 2020 105 Put</v>
      </c>
      <c r="T40" s="17"/>
      <c r="Z40" s="55"/>
    </row>
    <row r="41" spans="1:26" ht="15" customHeight="1" x14ac:dyDescent="0.25">
      <c r="A41" s="3">
        <v>43882</v>
      </c>
      <c r="B41" s="4">
        <v>110</v>
      </c>
      <c r="C41" s="61" t="str">
        <f t="shared" si="13"/>
        <v>TEAM_022120P110</v>
      </c>
      <c r="D41" s="4">
        <f>_xll.xlqBid(C41,tda)</f>
        <v>4.5</v>
      </c>
      <c r="E41" s="4">
        <f>_xll.xlqAsk(C41,tda)</f>
        <v>4.7</v>
      </c>
      <c r="F41" s="5">
        <f t="shared" si="14"/>
        <v>4.5999999999999996</v>
      </c>
      <c r="G41" s="6">
        <f t="shared" ca="1" si="15"/>
        <v>79</v>
      </c>
      <c r="H41" s="7">
        <f t="shared" ca="1" si="16"/>
        <v>2.5901639344262297</v>
      </c>
      <c r="I41" s="8">
        <f t="shared" si="17"/>
        <v>4.1818181818181817E-2</v>
      </c>
      <c r="J41" s="19">
        <f t="shared" ca="1" si="18"/>
        <v>1.5942286287278451E-2</v>
      </c>
      <c r="K41" s="4">
        <f t="shared" si="19"/>
        <v>0</v>
      </c>
      <c r="L41" s="4">
        <f t="shared" si="20"/>
        <v>4.5999999999999996</v>
      </c>
      <c r="M41" s="4">
        <f t="shared" si="21"/>
        <v>105.4</v>
      </c>
      <c r="N41" s="9"/>
      <c r="O41" s="10">
        <f t="shared" si="22"/>
        <v>-110</v>
      </c>
      <c r="P41" s="10">
        <f t="shared" si="23"/>
        <v>-4.5999999999999996</v>
      </c>
      <c r="Q41" s="11">
        <f t="shared" si="24"/>
        <v>0</v>
      </c>
      <c r="R41" s="11">
        <f t="shared" ca="1" si="25"/>
        <v>0</v>
      </c>
      <c r="S41" s="17" t="str">
        <f>_xll.xlqName(C41,tda)</f>
        <v>TEAM Feb 21 2020 110 Put</v>
      </c>
      <c r="T41" s="17"/>
      <c r="Z41" s="55"/>
    </row>
    <row r="42" spans="1:26" ht="15" customHeight="1" x14ac:dyDescent="0.25">
      <c r="A42" s="3">
        <v>43882</v>
      </c>
      <c r="B42" s="4">
        <v>115</v>
      </c>
      <c r="C42" s="61" t="str">
        <f t="shared" si="13"/>
        <v>TEAM_022120P115</v>
      </c>
      <c r="D42" s="4">
        <f>_xll.xlqBid(C42,tda)</f>
        <v>6.1000000000000005</v>
      </c>
      <c r="E42" s="4">
        <f>_xll.xlqAsk(C42,tda)</f>
        <v>6.3000000000000007</v>
      </c>
      <c r="F42" s="5">
        <f t="shared" si="14"/>
        <v>6.2000000000000011</v>
      </c>
      <c r="G42" s="6">
        <f t="shared" ca="1" si="15"/>
        <v>79</v>
      </c>
      <c r="H42" s="7">
        <f t="shared" ca="1" si="16"/>
        <v>2.5901639344262297</v>
      </c>
      <c r="I42" s="8">
        <f t="shared" si="17"/>
        <v>5.3913043478260876E-2</v>
      </c>
      <c r="J42" s="19">
        <f t="shared" ca="1" si="18"/>
        <v>2.0479716441845319E-2</v>
      </c>
      <c r="K42" s="4">
        <f t="shared" si="19"/>
        <v>0</v>
      </c>
      <c r="L42" s="4">
        <f t="shared" si="20"/>
        <v>6.2000000000000011</v>
      </c>
      <c r="M42" s="4">
        <f t="shared" si="21"/>
        <v>108.8</v>
      </c>
      <c r="N42" s="9"/>
      <c r="O42" s="10">
        <f t="shared" si="22"/>
        <v>-115</v>
      </c>
      <c r="P42" s="10">
        <f t="shared" si="23"/>
        <v>-6.2000000000000011</v>
      </c>
      <c r="Q42" s="11">
        <f t="shared" si="24"/>
        <v>0</v>
      </c>
      <c r="R42" s="11">
        <f t="shared" ca="1" si="25"/>
        <v>0</v>
      </c>
      <c r="S42" s="17" t="str">
        <f>_xll.xlqName(C42,tda)</f>
        <v>TEAM Feb 21 2020 115 Put</v>
      </c>
      <c r="T42" s="17"/>
      <c r="Z42" s="55"/>
    </row>
    <row r="43" spans="1:26" ht="15" customHeight="1" x14ac:dyDescent="0.25">
      <c r="A43" s="3">
        <v>43882</v>
      </c>
      <c r="B43" s="4">
        <v>120</v>
      </c>
      <c r="C43" s="61" t="str">
        <f t="shared" si="13"/>
        <v>TEAM_022120P120</v>
      </c>
      <c r="D43" s="4">
        <f>_xll.xlqBid(C43,tda)</f>
        <v>8.1</v>
      </c>
      <c r="E43" s="4">
        <f>_xll.xlqAsk(C43,tda)</f>
        <v>8.3000000000000007</v>
      </c>
      <c r="F43" s="5">
        <f t="shared" si="14"/>
        <v>8.1999999999999993</v>
      </c>
      <c r="G43" s="6">
        <f t="shared" ca="1" si="15"/>
        <v>79</v>
      </c>
      <c r="H43" s="7">
        <f t="shared" ca="1" si="16"/>
        <v>2.5901639344262297</v>
      </c>
      <c r="I43" s="8">
        <f t="shared" si="17"/>
        <v>6.8333333333333329E-2</v>
      </c>
      <c r="J43" s="19">
        <f t="shared" ca="1" si="18"/>
        <v>2.5847954935156459E-2</v>
      </c>
      <c r="K43" s="4">
        <f t="shared" si="19"/>
        <v>0</v>
      </c>
      <c r="L43" s="4">
        <f t="shared" si="20"/>
        <v>8.1999999999999993</v>
      </c>
      <c r="M43" s="4">
        <f t="shared" si="21"/>
        <v>111.8</v>
      </c>
      <c r="N43" s="9"/>
      <c r="O43" s="10">
        <f t="shared" si="22"/>
        <v>-120</v>
      </c>
      <c r="P43" s="10">
        <f t="shared" si="23"/>
        <v>-8.1999999999999993</v>
      </c>
      <c r="Q43" s="11">
        <f t="shared" si="24"/>
        <v>0</v>
      </c>
      <c r="R43" s="11">
        <f t="shared" ca="1" si="25"/>
        <v>0</v>
      </c>
      <c r="S43" s="17" t="str">
        <f>_xll.xlqName(C43,tda)</f>
        <v>TEAM Feb 21 2020 120 Put</v>
      </c>
      <c r="T43" s="17"/>
      <c r="Z43" s="55"/>
    </row>
    <row r="44" spans="1:26" ht="15" customHeight="1" x14ac:dyDescent="0.25">
      <c r="A44" s="3">
        <v>43882</v>
      </c>
      <c r="B44" s="4">
        <v>125</v>
      </c>
      <c r="C44" s="61" t="str">
        <f t="shared" si="13"/>
        <v>TEAM_022120P125</v>
      </c>
      <c r="D44" s="4">
        <f>_xll.xlqBid(C44,tda)</f>
        <v>10.4</v>
      </c>
      <c r="E44" s="4">
        <f>_xll.xlqAsk(C44,tda)</f>
        <v>10.700000000000001</v>
      </c>
      <c r="F44" s="5">
        <f t="shared" si="14"/>
        <v>10.55</v>
      </c>
      <c r="G44" s="6">
        <f t="shared" ca="1" si="15"/>
        <v>79</v>
      </c>
      <c r="H44" s="7">
        <f t="shared" ca="1" si="16"/>
        <v>2.5901639344262297</v>
      </c>
      <c r="I44" s="8">
        <f t="shared" si="17"/>
        <v>8.4400000000000003E-2</v>
      </c>
      <c r="J44" s="19">
        <f t="shared" ca="1" si="18"/>
        <v>2.7501728443493523E-2</v>
      </c>
      <c r="K44" s="4">
        <f t="shared" si="19"/>
        <v>1.4499999999999886</v>
      </c>
      <c r="L44" s="4">
        <f t="shared" si="20"/>
        <v>9.1000000000000121</v>
      </c>
      <c r="M44" s="4">
        <f t="shared" si="21"/>
        <v>114.45</v>
      </c>
      <c r="N44" s="9"/>
      <c r="O44" s="10">
        <f t="shared" si="22"/>
        <v>-125</v>
      </c>
      <c r="P44" s="10">
        <f t="shared" si="23"/>
        <v>-10.55</v>
      </c>
      <c r="Q44" s="11">
        <f t="shared" si="24"/>
        <v>0</v>
      </c>
      <c r="R44" s="11">
        <f t="shared" ca="1" si="25"/>
        <v>0</v>
      </c>
      <c r="S44" s="17" t="str">
        <f>_xll.xlqName(C44,tda)</f>
        <v>TEAM Feb 21 2020 125 Put</v>
      </c>
      <c r="T44" s="17"/>
      <c r="X44" s="55"/>
      <c r="Y44" s="55"/>
      <c r="Z44" s="55"/>
    </row>
    <row r="45" spans="1:26" ht="15" customHeight="1" x14ac:dyDescent="0.25">
      <c r="A45" s="3">
        <v>43882</v>
      </c>
      <c r="B45" s="4">
        <v>130</v>
      </c>
      <c r="C45" s="61" t="str">
        <f t="shared" si="13"/>
        <v>TEAM_022120P130</v>
      </c>
      <c r="D45" s="4">
        <f>_xll.xlqBid(C45,tda)</f>
        <v>13.100000000000001</v>
      </c>
      <c r="E45" s="4">
        <f>_xll.xlqAsk(C45,tda)</f>
        <v>13.4</v>
      </c>
      <c r="F45" s="5">
        <f t="shared" si="14"/>
        <v>13.25</v>
      </c>
      <c r="G45" s="6">
        <f t="shared" ca="1" si="15"/>
        <v>79</v>
      </c>
      <c r="H45" s="7">
        <f t="shared" ca="1" si="16"/>
        <v>2.5901639344262297</v>
      </c>
      <c r="I45" s="8">
        <f t="shared" si="17"/>
        <v>0.10192307692307692</v>
      </c>
      <c r="J45" s="19">
        <f t="shared" ca="1" si="18"/>
        <v>1.9879309675181256E-2</v>
      </c>
      <c r="K45" s="4">
        <f t="shared" si="19"/>
        <v>6.4499999999999886</v>
      </c>
      <c r="L45" s="4">
        <f t="shared" si="20"/>
        <v>6.8000000000000114</v>
      </c>
      <c r="M45" s="4">
        <f t="shared" si="21"/>
        <v>116.75</v>
      </c>
      <c r="N45" s="9"/>
      <c r="O45" s="10">
        <f t="shared" si="22"/>
        <v>-130</v>
      </c>
      <c r="P45" s="10">
        <f t="shared" si="23"/>
        <v>-13.25</v>
      </c>
      <c r="Q45" s="11">
        <f t="shared" si="24"/>
        <v>0</v>
      </c>
      <c r="R45" s="11">
        <f t="shared" ca="1" si="25"/>
        <v>0</v>
      </c>
      <c r="S45" s="17" t="str">
        <f>_xll.xlqName(C45,tda)</f>
        <v>TEAM Feb 21 2020 130 Put</v>
      </c>
      <c r="T45" s="17"/>
      <c r="X45" s="55"/>
      <c r="Y45" s="55"/>
      <c r="Z45" s="55"/>
    </row>
    <row r="46" spans="1:26" s="13" customFormat="1" ht="15" customHeight="1" x14ac:dyDescent="0.25">
      <c r="A46" s="3">
        <v>43910</v>
      </c>
      <c r="B46" s="4">
        <v>105</v>
      </c>
      <c r="C46" s="61" t="str">
        <f t="shared" si="13"/>
        <v>TEAM_032020P105</v>
      </c>
      <c r="D46" s="4">
        <f>_xll.xlqBid(C46,tda)</f>
        <v>4.2</v>
      </c>
      <c r="E46" s="4">
        <f>_xll.xlqAsk(C46,tda)</f>
        <v>4.5</v>
      </c>
      <c r="F46" s="5">
        <f t="shared" si="14"/>
        <v>4.3499999999999996</v>
      </c>
      <c r="G46" s="6">
        <f t="shared" ca="1" si="15"/>
        <v>107</v>
      </c>
      <c r="H46" s="7">
        <f t="shared" ca="1" si="16"/>
        <v>3.5081967213114753</v>
      </c>
      <c r="I46" s="8">
        <f t="shared" si="17"/>
        <v>4.1428571428571426E-2</v>
      </c>
      <c r="J46" s="19">
        <f t="shared" ca="1" si="18"/>
        <v>1.1638218169880421E-2</v>
      </c>
      <c r="K46" s="4">
        <f t="shared" si="19"/>
        <v>0</v>
      </c>
      <c r="L46" s="4">
        <f t="shared" si="20"/>
        <v>4.3499999999999996</v>
      </c>
      <c r="M46" s="4">
        <f t="shared" si="21"/>
        <v>100.65</v>
      </c>
      <c r="N46" s="9"/>
      <c r="O46" s="10">
        <f t="shared" si="22"/>
        <v>-105</v>
      </c>
      <c r="P46" s="10">
        <f t="shared" si="23"/>
        <v>-4.3499999999999996</v>
      </c>
      <c r="Q46" s="11">
        <f t="shared" si="24"/>
        <v>0</v>
      </c>
      <c r="R46" s="11">
        <f t="shared" ca="1" si="25"/>
        <v>0</v>
      </c>
      <c r="S46" s="17" t="str">
        <f>_xll.xlqName(C46,tda)</f>
        <v>TEAM Mar 20 2020 105 Put</v>
      </c>
      <c r="T46" s="17"/>
      <c r="W46" s="96"/>
      <c r="X46" s="55"/>
      <c r="Y46" s="55"/>
      <c r="Z46" s="55"/>
    </row>
    <row r="47" spans="1:26" ht="15" customHeight="1" x14ac:dyDescent="0.25">
      <c r="A47" s="3">
        <v>43910</v>
      </c>
      <c r="B47" s="4">
        <v>110</v>
      </c>
      <c r="C47" s="61" t="str">
        <f t="shared" si="13"/>
        <v>TEAM_032020P110</v>
      </c>
      <c r="D47" s="4">
        <f>_xll.xlqBid(C47,tda)</f>
        <v>5.6000000000000005</v>
      </c>
      <c r="E47" s="4">
        <f>_xll.xlqAsk(C47,tda)</f>
        <v>5.9</v>
      </c>
      <c r="F47" s="5">
        <f t="shared" si="14"/>
        <v>5.75</v>
      </c>
      <c r="G47" s="6">
        <f t="shared" ca="1" si="15"/>
        <v>107</v>
      </c>
      <c r="H47" s="7">
        <f t="shared" ca="1" si="16"/>
        <v>3.5081967213114753</v>
      </c>
      <c r="I47" s="8">
        <f t="shared" si="17"/>
        <v>5.2272727272727269E-2</v>
      </c>
      <c r="J47" s="19">
        <f t="shared" ca="1" si="18"/>
        <v>1.4629776962372443E-2</v>
      </c>
      <c r="K47" s="4">
        <f t="shared" si="19"/>
        <v>0</v>
      </c>
      <c r="L47" s="4">
        <f t="shared" si="20"/>
        <v>5.75</v>
      </c>
      <c r="M47" s="4">
        <f t="shared" si="21"/>
        <v>104.25</v>
      </c>
      <c r="N47" s="9"/>
      <c r="O47" s="10">
        <f t="shared" si="22"/>
        <v>-110</v>
      </c>
      <c r="P47" s="10">
        <f t="shared" si="23"/>
        <v>-5.75</v>
      </c>
      <c r="Q47" s="11">
        <f t="shared" si="24"/>
        <v>0</v>
      </c>
      <c r="R47" s="11">
        <f t="shared" ca="1" si="25"/>
        <v>0</v>
      </c>
      <c r="S47" s="17" t="str">
        <f>_xll.xlqName(C47,tda)</f>
        <v>TEAM Mar 20 2020 110 Put</v>
      </c>
      <c r="T47" s="17"/>
    </row>
    <row r="48" spans="1:26" ht="15" customHeight="1" x14ac:dyDescent="0.25">
      <c r="A48" s="3">
        <v>43910</v>
      </c>
      <c r="B48" s="4">
        <v>115</v>
      </c>
      <c r="C48" s="61" t="str">
        <f t="shared" si="13"/>
        <v>TEAM_032020P115</v>
      </c>
      <c r="D48" s="4">
        <f>_xll.xlqBid(C48,tda)</f>
        <v>7.3000000000000007</v>
      </c>
      <c r="E48" s="4">
        <f>_xll.xlqAsk(C48,tda)</f>
        <v>7.6000000000000005</v>
      </c>
      <c r="F48" s="5">
        <f t="shared" si="14"/>
        <v>7.4500000000000011</v>
      </c>
      <c r="G48" s="6">
        <f t="shared" ca="1" si="15"/>
        <v>107</v>
      </c>
      <c r="H48" s="7">
        <f t="shared" ca="1" si="16"/>
        <v>3.5081967213114753</v>
      </c>
      <c r="I48" s="8">
        <f t="shared" si="17"/>
        <v>6.478260869565218E-2</v>
      </c>
      <c r="J48" s="19">
        <f t="shared" ca="1" si="18"/>
        <v>1.8053600907647516E-2</v>
      </c>
      <c r="K48" s="4">
        <f t="shared" si="19"/>
        <v>0</v>
      </c>
      <c r="L48" s="4">
        <f t="shared" si="20"/>
        <v>7.4500000000000011</v>
      </c>
      <c r="M48" s="4">
        <f t="shared" si="21"/>
        <v>107.55</v>
      </c>
      <c r="N48" s="9"/>
      <c r="O48" s="10">
        <f t="shared" si="22"/>
        <v>-115</v>
      </c>
      <c r="P48" s="10">
        <f t="shared" si="23"/>
        <v>-7.4500000000000011</v>
      </c>
      <c r="Q48" s="11">
        <f t="shared" si="24"/>
        <v>0</v>
      </c>
      <c r="R48" s="11">
        <f t="shared" ca="1" si="25"/>
        <v>0</v>
      </c>
      <c r="S48" s="17" t="str">
        <f>_xll.xlqName(C48,tda)</f>
        <v>TEAM Mar 20 2020 115 Put</v>
      </c>
      <c r="T48" s="17"/>
    </row>
    <row r="49" spans="1:23" ht="15" customHeight="1" x14ac:dyDescent="0.25">
      <c r="A49" s="3">
        <v>43910</v>
      </c>
      <c r="B49" s="4">
        <v>120</v>
      </c>
      <c r="C49" s="61" t="str">
        <f t="shared" si="13"/>
        <v>TEAM_032020P120</v>
      </c>
      <c r="D49" s="4">
        <f>_xll.xlqBid(C49,tda)</f>
        <v>9.4</v>
      </c>
      <c r="E49" s="4">
        <f>_xll.xlqAsk(C49,tda)</f>
        <v>9.6</v>
      </c>
      <c r="F49" s="5">
        <f t="shared" si="14"/>
        <v>9.5</v>
      </c>
      <c r="G49" s="6">
        <f t="shared" ca="1" si="15"/>
        <v>107</v>
      </c>
      <c r="H49" s="7">
        <f t="shared" ca="1" si="16"/>
        <v>3.5081967213114753</v>
      </c>
      <c r="I49" s="8">
        <f t="shared" si="17"/>
        <v>7.9166666666666663E-2</v>
      </c>
      <c r="J49" s="19">
        <f t="shared" ca="1" si="18"/>
        <v>2.1955005284590046E-2</v>
      </c>
      <c r="K49" s="4">
        <f t="shared" si="19"/>
        <v>0</v>
      </c>
      <c r="L49" s="4">
        <f t="shared" si="20"/>
        <v>9.5</v>
      </c>
      <c r="M49" s="4">
        <f t="shared" si="21"/>
        <v>110.5</v>
      </c>
      <c r="N49" s="9"/>
      <c r="O49" s="10">
        <f t="shared" si="22"/>
        <v>-120</v>
      </c>
      <c r="P49" s="10">
        <f t="shared" si="23"/>
        <v>-9.5</v>
      </c>
      <c r="Q49" s="11">
        <f t="shared" si="24"/>
        <v>0</v>
      </c>
      <c r="R49" s="11">
        <f t="shared" ca="1" si="25"/>
        <v>0</v>
      </c>
      <c r="S49" s="17" t="str">
        <f>_xll.xlqName(C49,tda)</f>
        <v>TEAM Mar 20 2020 120 Put</v>
      </c>
      <c r="T49" s="17"/>
    </row>
    <row r="50" spans="1:23" ht="15" customHeight="1" x14ac:dyDescent="0.25">
      <c r="A50" s="3">
        <v>43910</v>
      </c>
      <c r="B50" s="4">
        <v>125</v>
      </c>
      <c r="C50" s="61" t="str">
        <f t="shared" si="13"/>
        <v>TEAM_032020P125</v>
      </c>
      <c r="D50" s="4">
        <f>_xll.xlqBid(C50,tda)</f>
        <v>11.8</v>
      </c>
      <c r="E50" s="4">
        <f>_xll.xlqAsk(C50,tda)</f>
        <v>12.100000000000001</v>
      </c>
      <c r="F50" s="5">
        <f t="shared" si="14"/>
        <v>11.950000000000001</v>
      </c>
      <c r="G50" s="6">
        <f t="shared" ca="1" si="15"/>
        <v>107</v>
      </c>
      <c r="H50" s="7">
        <f t="shared" ca="1" si="16"/>
        <v>3.5081967213114753</v>
      </c>
      <c r="I50" s="8">
        <f t="shared" si="17"/>
        <v>9.5600000000000004E-2</v>
      </c>
      <c r="J50" s="19">
        <f t="shared" ca="1" si="18"/>
        <v>2.3257607923229173E-2</v>
      </c>
      <c r="K50" s="4">
        <f t="shared" si="19"/>
        <v>1.4499999999999886</v>
      </c>
      <c r="L50" s="4">
        <f t="shared" si="20"/>
        <v>10.500000000000012</v>
      </c>
      <c r="M50" s="4">
        <f t="shared" si="21"/>
        <v>113.05</v>
      </c>
      <c r="N50" s="9"/>
      <c r="O50" s="10">
        <f t="shared" si="22"/>
        <v>-125</v>
      </c>
      <c r="P50" s="10">
        <f t="shared" si="23"/>
        <v>-11.950000000000001</v>
      </c>
      <c r="Q50" s="11">
        <f t="shared" si="24"/>
        <v>0</v>
      </c>
      <c r="R50" s="11">
        <f t="shared" ca="1" si="25"/>
        <v>0</v>
      </c>
      <c r="S50" s="17" t="str">
        <f>_xll.xlqName(C50,tda)</f>
        <v>TEAM Mar 20 2020 125 Put</v>
      </c>
      <c r="T50" s="17"/>
    </row>
    <row r="51" spans="1:23" ht="15" customHeight="1" x14ac:dyDescent="0.25">
      <c r="A51" s="3">
        <v>43910</v>
      </c>
      <c r="B51" s="4">
        <v>130</v>
      </c>
      <c r="C51" s="61" t="str">
        <f t="shared" si="13"/>
        <v>TEAM_032020P130</v>
      </c>
      <c r="D51" s="4">
        <f>_xll.xlqBid(C51,tda)</f>
        <v>14.5</v>
      </c>
      <c r="E51" s="4">
        <f>_xll.xlqAsk(C51,tda)</f>
        <v>15</v>
      </c>
      <c r="F51" s="5">
        <f t="shared" si="14"/>
        <v>14.75</v>
      </c>
      <c r="G51" s="6">
        <f t="shared" ca="1" si="15"/>
        <v>107</v>
      </c>
      <c r="H51" s="7">
        <f t="shared" ca="1" si="16"/>
        <v>3.5081967213114753</v>
      </c>
      <c r="I51" s="8">
        <f t="shared" si="17"/>
        <v>0.11346153846153846</v>
      </c>
      <c r="J51" s="19">
        <f t="shared" ca="1" si="18"/>
        <v>1.7798301864837551E-2</v>
      </c>
      <c r="K51" s="4">
        <f t="shared" si="19"/>
        <v>6.4499999999999886</v>
      </c>
      <c r="L51" s="4">
        <f t="shared" si="20"/>
        <v>8.3000000000000114</v>
      </c>
      <c r="M51" s="4">
        <f t="shared" si="21"/>
        <v>115.25</v>
      </c>
      <c r="N51" s="9"/>
      <c r="O51" s="10">
        <f t="shared" si="22"/>
        <v>-130</v>
      </c>
      <c r="P51" s="10">
        <f t="shared" si="23"/>
        <v>-14.75</v>
      </c>
      <c r="Q51" s="11">
        <f t="shared" si="24"/>
        <v>0</v>
      </c>
      <c r="R51" s="11">
        <f t="shared" ca="1" si="25"/>
        <v>0</v>
      </c>
      <c r="S51" s="17" t="str">
        <f>_xll.xlqName(C51,tda)</f>
        <v>TEAM Mar 20 2020 130 Put</v>
      </c>
      <c r="T51" s="17"/>
    </row>
    <row r="52" spans="1:23" ht="15" customHeight="1" x14ac:dyDescent="0.25">
      <c r="A52" s="3">
        <v>43910</v>
      </c>
      <c r="B52" s="4">
        <v>135</v>
      </c>
      <c r="C52" s="61" t="str">
        <f t="shared" si="13"/>
        <v>TEAM_032020P135</v>
      </c>
      <c r="D52" s="4">
        <f>_xll.xlqBid(C52,tda)</f>
        <v>17.600000000000001</v>
      </c>
      <c r="E52" s="4">
        <f>_xll.xlqAsk(C52,tda)</f>
        <v>18.100000000000001</v>
      </c>
      <c r="F52" s="5">
        <f t="shared" si="14"/>
        <v>17.850000000000001</v>
      </c>
      <c r="G52" s="6">
        <f t="shared" ca="1" si="15"/>
        <v>107</v>
      </c>
      <c r="H52" s="7">
        <f t="shared" ca="1" si="16"/>
        <v>3.5081967213114753</v>
      </c>
      <c r="I52" s="8">
        <f t="shared" si="17"/>
        <v>0.13222222222222224</v>
      </c>
      <c r="J52" s="19">
        <f t="shared" ca="1" si="18"/>
        <v>1.3290328909379534E-2</v>
      </c>
      <c r="K52" s="4">
        <f t="shared" si="19"/>
        <v>11.449999999999989</v>
      </c>
      <c r="L52" s="4">
        <f t="shared" si="20"/>
        <v>6.4000000000000128</v>
      </c>
      <c r="M52" s="4">
        <f t="shared" si="21"/>
        <v>117.15</v>
      </c>
      <c r="N52" s="9"/>
      <c r="O52" s="10">
        <f t="shared" si="22"/>
        <v>-135</v>
      </c>
      <c r="P52" s="10">
        <f t="shared" si="23"/>
        <v>-17.850000000000001</v>
      </c>
      <c r="Q52" s="11">
        <f t="shared" si="24"/>
        <v>0</v>
      </c>
      <c r="R52" s="11">
        <f t="shared" ca="1" si="25"/>
        <v>0</v>
      </c>
      <c r="S52" s="17" t="str">
        <f>_xll.xlqName(C52,tda)</f>
        <v>TEAM Mar 20 2020 135 Put</v>
      </c>
      <c r="T52" s="17"/>
    </row>
    <row r="53" spans="1:23" ht="15" customHeight="1" x14ac:dyDescent="0.25">
      <c r="A53" s="3">
        <v>43910</v>
      </c>
      <c r="B53" s="4">
        <v>140</v>
      </c>
      <c r="C53" s="61" t="str">
        <f t="shared" si="13"/>
        <v>TEAM_032020P140</v>
      </c>
      <c r="D53" s="4">
        <f>_xll.xlqBid(C53,tda)</f>
        <v>21</v>
      </c>
      <c r="E53" s="4">
        <f>_xll.xlqAsk(C53,tda)</f>
        <v>21.3</v>
      </c>
      <c r="F53" s="5">
        <f t="shared" si="14"/>
        <v>21.15</v>
      </c>
      <c r="G53" s="6">
        <f t="shared" ca="1" si="15"/>
        <v>107</v>
      </c>
      <c r="H53" s="7">
        <f t="shared" ca="1" si="16"/>
        <v>3.5081967213114753</v>
      </c>
      <c r="I53" s="8">
        <f t="shared" si="17"/>
        <v>0.15107142857142855</v>
      </c>
      <c r="J53" s="19">
        <f t="shared" ca="1" si="18"/>
        <v>9.4567381713328569E-3</v>
      </c>
      <c r="K53" s="4">
        <f t="shared" si="19"/>
        <v>16.449999999999989</v>
      </c>
      <c r="L53" s="4">
        <f t="shared" si="20"/>
        <v>4.7000000000000099</v>
      </c>
      <c r="M53" s="4">
        <f t="shared" si="21"/>
        <v>118.85</v>
      </c>
      <c r="N53" s="9"/>
      <c r="O53" s="10">
        <f t="shared" si="22"/>
        <v>-140</v>
      </c>
      <c r="P53" s="10">
        <f t="shared" si="23"/>
        <v>-21.15</v>
      </c>
      <c r="Q53" s="11">
        <f t="shared" si="24"/>
        <v>0</v>
      </c>
      <c r="R53" s="11">
        <f t="shared" ca="1" si="25"/>
        <v>0</v>
      </c>
      <c r="S53" s="17" t="str">
        <f>_xll.xlqName(C53,tda)</f>
        <v>TEAM Mar 20 2020 140 Put</v>
      </c>
      <c r="T53" s="17"/>
    </row>
    <row r="54" spans="1:23" ht="15" customHeight="1" x14ac:dyDescent="0.25">
      <c r="A54" s="3">
        <v>43966</v>
      </c>
      <c r="B54" s="4">
        <v>105</v>
      </c>
      <c r="C54" s="61" t="str">
        <f t="shared" si="13"/>
        <v>TEAM_051520P105</v>
      </c>
      <c r="D54" s="4">
        <f>_xll.xlqBid(C54,tda)</f>
        <v>6.4</v>
      </c>
      <c r="E54" s="4">
        <f>_xll.xlqAsk(C54,tda)</f>
        <v>6.7</v>
      </c>
      <c r="F54" s="5">
        <f t="shared" si="14"/>
        <v>6.5500000000000007</v>
      </c>
      <c r="G54" s="6">
        <f t="shared" ca="1" si="15"/>
        <v>163</v>
      </c>
      <c r="H54" s="7">
        <f t="shared" ca="1" si="16"/>
        <v>5.3442622950819674</v>
      </c>
      <c r="I54" s="8">
        <f t="shared" si="17"/>
        <v>6.2380952380952391E-2</v>
      </c>
      <c r="J54" s="19">
        <f t="shared" ca="1" si="18"/>
        <v>1.1387251053254666E-2</v>
      </c>
      <c r="K54" s="4">
        <f t="shared" si="19"/>
        <v>0</v>
      </c>
      <c r="L54" s="4">
        <f t="shared" si="20"/>
        <v>6.5500000000000007</v>
      </c>
      <c r="M54" s="4">
        <f t="shared" si="21"/>
        <v>98.45</v>
      </c>
      <c r="N54" s="9"/>
      <c r="O54" s="10">
        <f t="shared" si="22"/>
        <v>-105</v>
      </c>
      <c r="P54" s="10">
        <f t="shared" si="23"/>
        <v>-6.5500000000000007</v>
      </c>
      <c r="Q54" s="11">
        <f t="shared" si="24"/>
        <v>0</v>
      </c>
      <c r="R54" s="11">
        <f t="shared" ca="1" si="25"/>
        <v>0</v>
      </c>
      <c r="S54" s="17" t="str">
        <f>_xll.xlqName(C54,tda)</f>
        <v>TEAM May 15 2020 105 Put</v>
      </c>
      <c r="T54" s="17"/>
    </row>
    <row r="55" spans="1:23" ht="15" customHeight="1" x14ac:dyDescent="0.25">
      <c r="A55" s="3">
        <v>43966</v>
      </c>
      <c r="B55" s="4">
        <v>110</v>
      </c>
      <c r="C55" s="61" t="str">
        <f t="shared" si="13"/>
        <v>TEAM_051520P110</v>
      </c>
      <c r="D55" s="4">
        <f>_xll.xlqBid(C55,tda)</f>
        <v>8</v>
      </c>
      <c r="E55" s="4">
        <f>_xll.xlqAsk(C55,tda)</f>
        <v>8.3000000000000007</v>
      </c>
      <c r="F55" s="5">
        <f t="shared" si="14"/>
        <v>8.15</v>
      </c>
      <c r="G55" s="6">
        <f t="shared" ca="1" si="15"/>
        <v>163</v>
      </c>
      <c r="H55" s="7">
        <f t="shared" ca="1" si="16"/>
        <v>5.3442622950819674</v>
      </c>
      <c r="I55" s="8">
        <f t="shared" si="17"/>
        <v>7.4090909090909096E-2</v>
      </c>
      <c r="J55" s="19">
        <f t="shared" ca="1" si="18"/>
        <v>1.346392183176004E-2</v>
      </c>
      <c r="K55" s="4">
        <f t="shared" si="19"/>
        <v>0</v>
      </c>
      <c r="L55" s="4">
        <f t="shared" si="20"/>
        <v>8.15</v>
      </c>
      <c r="M55" s="4">
        <f t="shared" si="21"/>
        <v>101.85</v>
      </c>
      <c r="N55" s="9"/>
      <c r="O55" s="10">
        <f t="shared" si="22"/>
        <v>-110</v>
      </c>
      <c r="P55" s="10">
        <f t="shared" si="23"/>
        <v>-8.15</v>
      </c>
      <c r="Q55" s="11">
        <f t="shared" si="24"/>
        <v>0</v>
      </c>
      <c r="R55" s="11">
        <f t="shared" ca="1" si="25"/>
        <v>0</v>
      </c>
      <c r="S55" s="17" t="str">
        <f>_xll.xlqName(C55,tda)</f>
        <v>TEAM May 15 2020 110 Put</v>
      </c>
      <c r="T55" s="17"/>
    </row>
    <row r="56" spans="1:23" s="17" customFormat="1" ht="15" customHeight="1" x14ac:dyDescent="0.25">
      <c r="A56" s="3">
        <v>43966</v>
      </c>
      <c r="B56" s="4">
        <v>115</v>
      </c>
      <c r="C56" s="61" t="str">
        <f t="shared" si="13"/>
        <v>TEAM_051520P115</v>
      </c>
      <c r="D56" s="4">
        <f>_xll.xlqBid(C56,tda)</f>
        <v>9.8000000000000007</v>
      </c>
      <c r="E56" s="4">
        <f>_xll.xlqAsk(C56,tda)</f>
        <v>10.200000000000001</v>
      </c>
      <c r="F56" s="5">
        <f t="shared" si="14"/>
        <v>10</v>
      </c>
      <c r="G56" s="6">
        <f t="shared" ca="1" si="15"/>
        <v>163</v>
      </c>
      <c r="H56" s="7">
        <f t="shared" ca="1" si="16"/>
        <v>5.3442622950819674</v>
      </c>
      <c r="I56" s="8">
        <f t="shared" si="17"/>
        <v>8.6956521739130432E-2</v>
      </c>
      <c r="J56" s="19">
        <f t="shared" ca="1" si="18"/>
        <v>1.5724428119403111E-2</v>
      </c>
      <c r="K56" s="4">
        <f t="shared" si="19"/>
        <v>0</v>
      </c>
      <c r="L56" s="4">
        <f t="shared" si="20"/>
        <v>10</v>
      </c>
      <c r="M56" s="4">
        <f t="shared" si="21"/>
        <v>105</v>
      </c>
      <c r="N56" s="9"/>
      <c r="O56" s="10">
        <f t="shared" si="22"/>
        <v>-115</v>
      </c>
      <c r="P56" s="10">
        <f t="shared" si="23"/>
        <v>-10</v>
      </c>
      <c r="Q56" s="11">
        <f t="shared" si="24"/>
        <v>0</v>
      </c>
      <c r="R56" s="11">
        <f t="shared" ca="1" si="25"/>
        <v>0</v>
      </c>
      <c r="S56" s="17" t="str">
        <f>_xll.xlqName(C56,tda)</f>
        <v>TEAM May 15 2020 115 Put</v>
      </c>
      <c r="W56" s="97"/>
    </row>
    <row r="57" spans="1:23" s="13" customFormat="1" ht="15" customHeight="1" x14ac:dyDescent="0.25">
      <c r="A57" s="3">
        <v>43966</v>
      </c>
      <c r="B57" s="4">
        <v>120</v>
      </c>
      <c r="C57" s="61" t="str">
        <f t="shared" si="13"/>
        <v>TEAM_051520P120</v>
      </c>
      <c r="D57" s="4">
        <f>_xll.xlqBid(C57,tda)</f>
        <v>12</v>
      </c>
      <c r="E57" s="4">
        <f>_xll.xlqAsk(C57,tda)</f>
        <v>12.4</v>
      </c>
      <c r="F57" s="5">
        <f t="shared" si="14"/>
        <v>12.2</v>
      </c>
      <c r="G57" s="6">
        <f t="shared" ca="1" si="15"/>
        <v>163</v>
      </c>
      <c r="H57" s="7">
        <f t="shared" ca="1" si="16"/>
        <v>5.3442622950819674</v>
      </c>
      <c r="I57" s="8">
        <f t="shared" si="17"/>
        <v>0.10166666666666666</v>
      </c>
      <c r="J57" s="19">
        <f t="shared" ca="1" si="18"/>
        <v>1.8282524682089019E-2</v>
      </c>
      <c r="K57" s="4">
        <f t="shared" si="19"/>
        <v>0</v>
      </c>
      <c r="L57" s="4">
        <f t="shared" si="20"/>
        <v>12.2</v>
      </c>
      <c r="M57" s="4">
        <f t="shared" si="21"/>
        <v>107.8</v>
      </c>
      <c r="N57" s="9"/>
      <c r="O57" s="10">
        <f t="shared" si="22"/>
        <v>-120</v>
      </c>
      <c r="P57" s="10">
        <f t="shared" si="23"/>
        <v>-12.2</v>
      </c>
      <c r="Q57" s="11">
        <f t="shared" si="24"/>
        <v>0</v>
      </c>
      <c r="R57" s="11">
        <f t="shared" ca="1" si="25"/>
        <v>0</v>
      </c>
      <c r="S57" s="17" t="str">
        <f>_xll.xlqName(C57,tda)</f>
        <v>TEAM May 15 2020 120 Put</v>
      </c>
      <c r="T57" s="17"/>
      <c r="W57" s="96"/>
    </row>
    <row r="58" spans="1:23" ht="15" customHeight="1" x14ac:dyDescent="0.25">
      <c r="A58" s="3">
        <v>43966</v>
      </c>
      <c r="B58" s="4">
        <v>125</v>
      </c>
      <c r="C58" s="61" t="str">
        <f t="shared" si="13"/>
        <v>TEAM_051520P125</v>
      </c>
      <c r="D58" s="4">
        <f>_xll.xlqBid(C58,tda)</f>
        <v>14.4</v>
      </c>
      <c r="E58" s="4">
        <f>_xll.xlqAsk(C58,tda)</f>
        <v>14.9</v>
      </c>
      <c r="F58" s="5">
        <f t="shared" si="14"/>
        <v>14.65</v>
      </c>
      <c r="G58" s="6">
        <f t="shared" ca="1" si="15"/>
        <v>163</v>
      </c>
      <c r="H58" s="7">
        <f t="shared" ca="1" si="16"/>
        <v>5.3442622950819674</v>
      </c>
      <c r="I58" s="8">
        <f t="shared" si="17"/>
        <v>0.1172</v>
      </c>
      <c r="J58" s="19">
        <f t="shared" ca="1" si="18"/>
        <v>1.8961824891210677E-2</v>
      </c>
      <c r="K58" s="4">
        <f t="shared" si="19"/>
        <v>1.4499999999999886</v>
      </c>
      <c r="L58" s="4">
        <f t="shared" si="20"/>
        <v>13.200000000000012</v>
      </c>
      <c r="M58" s="4">
        <f t="shared" si="21"/>
        <v>110.35</v>
      </c>
      <c r="N58" s="9"/>
      <c r="O58" s="10">
        <f t="shared" si="22"/>
        <v>-125</v>
      </c>
      <c r="P58" s="10">
        <f t="shared" si="23"/>
        <v>-14.65</v>
      </c>
      <c r="Q58" s="11">
        <f t="shared" si="24"/>
        <v>0</v>
      </c>
      <c r="R58" s="11">
        <f t="shared" ca="1" si="25"/>
        <v>0</v>
      </c>
      <c r="S58" s="17" t="str">
        <f>_xll.xlqName(C58,tda)</f>
        <v>TEAM May 15 2020 125 Put</v>
      </c>
      <c r="T58" s="17"/>
    </row>
    <row r="59" spans="1:23" s="13" customFormat="1" ht="15" customHeight="1" x14ac:dyDescent="0.25">
      <c r="A59" s="3">
        <v>43966</v>
      </c>
      <c r="B59" s="4">
        <v>130</v>
      </c>
      <c r="C59" s="61" t="str">
        <f t="shared" si="13"/>
        <v>TEAM_051520P130</v>
      </c>
      <c r="D59" s="4">
        <f>_xll.xlqBid(C59,tda)</f>
        <v>17.100000000000001</v>
      </c>
      <c r="E59" s="4">
        <f>_xll.xlqAsk(C59,tda)</f>
        <v>17.600000000000001</v>
      </c>
      <c r="F59" s="5">
        <f t="shared" si="14"/>
        <v>17.350000000000001</v>
      </c>
      <c r="G59" s="6">
        <f t="shared" ca="1" si="15"/>
        <v>163</v>
      </c>
      <c r="H59" s="7">
        <f t="shared" ca="1" si="16"/>
        <v>5.3442622950819674</v>
      </c>
      <c r="I59" s="8">
        <f t="shared" si="17"/>
        <v>0.13346153846153846</v>
      </c>
      <c r="J59" s="19">
        <f t="shared" ca="1" si="18"/>
        <v>1.5179933733662221E-2</v>
      </c>
      <c r="K59" s="4">
        <f t="shared" si="19"/>
        <v>6.4499999999999886</v>
      </c>
      <c r="L59" s="4">
        <f t="shared" si="20"/>
        <v>10.900000000000013</v>
      </c>
      <c r="M59" s="4">
        <f t="shared" si="21"/>
        <v>112.65</v>
      </c>
      <c r="N59" s="9"/>
      <c r="O59" s="10">
        <f t="shared" si="22"/>
        <v>-130</v>
      </c>
      <c r="P59" s="10">
        <f t="shared" si="23"/>
        <v>-17.350000000000001</v>
      </c>
      <c r="Q59" s="11">
        <f t="shared" si="24"/>
        <v>0</v>
      </c>
      <c r="R59" s="11">
        <f t="shared" ca="1" si="25"/>
        <v>0</v>
      </c>
      <c r="S59" s="17" t="str">
        <f>_xll.xlqName(C59,tda)</f>
        <v>TEAM May 15 2020 130 Put</v>
      </c>
      <c r="T59" s="17"/>
      <c r="W59" s="96"/>
    </row>
    <row r="60" spans="1:23" ht="15" customHeight="1" x14ac:dyDescent="0.25">
      <c r="A60" s="3">
        <v>43966</v>
      </c>
      <c r="B60" s="4">
        <v>135</v>
      </c>
      <c r="C60" s="61" t="str">
        <f t="shared" si="13"/>
        <v>TEAM_051520P135</v>
      </c>
      <c r="D60" s="4">
        <f>_xll.xlqBid(C60,tda)</f>
        <v>20.100000000000001</v>
      </c>
      <c r="E60" s="4">
        <f>_xll.xlqAsk(C60,tda)</f>
        <v>20.5</v>
      </c>
      <c r="F60" s="5">
        <f t="shared" si="14"/>
        <v>20.3</v>
      </c>
      <c r="G60" s="6">
        <f t="shared" ca="1" si="15"/>
        <v>163</v>
      </c>
      <c r="H60" s="7">
        <f t="shared" ca="1" si="16"/>
        <v>5.3442622950819674</v>
      </c>
      <c r="I60" s="8">
        <f t="shared" si="17"/>
        <v>0.15037037037037038</v>
      </c>
      <c r="J60" s="19">
        <f t="shared" ca="1" si="18"/>
        <v>1.1952073631400939E-2</v>
      </c>
      <c r="K60" s="4">
        <f t="shared" si="19"/>
        <v>11.449999999999989</v>
      </c>
      <c r="L60" s="4">
        <f t="shared" si="20"/>
        <v>8.8500000000000121</v>
      </c>
      <c r="M60" s="4">
        <f t="shared" si="21"/>
        <v>114.7</v>
      </c>
      <c r="N60" s="9"/>
      <c r="O60" s="10">
        <f t="shared" si="22"/>
        <v>-135</v>
      </c>
      <c r="P60" s="10">
        <f t="shared" si="23"/>
        <v>-20.3</v>
      </c>
      <c r="Q60" s="11">
        <f t="shared" si="24"/>
        <v>0</v>
      </c>
      <c r="R60" s="11">
        <f t="shared" ca="1" si="25"/>
        <v>0</v>
      </c>
      <c r="S60" s="17" t="str">
        <f>_xll.xlqName(C60,tda)</f>
        <v>TEAM May 15 2020 135 Put</v>
      </c>
      <c r="T60" s="17"/>
    </row>
    <row r="61" spans="1:23" s="17" customFormat="1" ht="15" customHeight="1" x14ac:dyDescent="0.25">
      <c r="A61" s="3">
        <v>43966</v>
      </c>
      <c r="B61" s="4">
        <v>140</v>
      </c>
      <c r="C61" s="61" t="str">
        <f t="shared" si="13"/>
        <v>TEAM_051520P140</v>
      </c>
      <c r="D61" s="4">
        <f>_xll.xlqBid(C61,tda)</f>
        <v>23.400000000000002</v>
      </c>
      <c r="E61" s="4">
        <f>_xll.xlqAsk(C61,tda)</f>
        <v>23.900000000000002</v>
      </c>
      <c r="F61" s="5">
        <f t="shared" si="14"/>
        <v>23.650000000000002</v>
      </c>
      <c r="G61" s="6">
        <f t="shared" ca="1" si="15"/>
        <v>163</v>
      </c>
      <c r="H61" s="7">
        <f t="shared" ca="1" si="16"/>
        <v>5.3442622950819674</v>
      </c>
      <c r="I61" s="8">
        <f t="shared" si="17"/>
        <v>0.16892857142857146</v>
      </c>
      <c r="J61" s="19">
        <f t="shared" ca="1" si="18"/>
        <v>9.4280216412794271E-3</v>
      </c>
      <c r="K61" s="4">
        <f t="shared" si="19"/>
        <v>16.449999999999989</v>
      </c>
      <c r="L61" s="4">
        <f t="shared" si="20"/>
        <v>7.2000000000000135</v>
      </c>
      <c r="M61" s="4">
        <f t="shared" si="21"/>
        <v>116.35</v>
      </c>
      <c r="N61" s="9"/>
      <c r="O61" s="10">
        <f t="shared" si="22"/>
        <v>-140</v>
      </c>
      <c r="P61" s="10">
        <f t="shared" si="23"/>
        <v>-23.650000000000002</v>
      </c>
      <c r="Q61" s="11">
        <f t="shared" si="24"/>
        <v>0</v>
      </c>
      <c r="R61" s="11">
        <f t="shared" ca="1" si="25"/>
        <v>0</v>
      </c>
      <c r="S61" s="17" t="str">
        <f>_xll.xlqName(C61,tda)</f>
        <v>TEAM May 15 2020 140 Put</v>
      </c>
      <c r="W61" s="97"/>
    </row>
    <row r="62" spans="1:23" ht="15" customHeight="1" x14ac:dyDescent="0.25">
      <c r="A62" s="3">
        <v>44001</v>
      </c>
      <c r="B62" s="4">
        <v>105</v>
      </c>
      <c r="C62" s="61" t="str">
        <f t="shared" si="13"/>
        <v>TEAM_061920P105</v>
      </c>
      <c r="D62" s="4">
        <f>_xll.xlqBid(C62,tda)</f>
        <v>7.3000000000000007</v>
      </c>
      <c r="E62" s="4">
        <f>_xll.xlqAsk(C62,tda)</f>
        <v>7.6000000000000005</v>
      </c>
      <c r="F62" s="5">
        <f t="shared" si="14"/>
        <v>7.4500000000000011</v>
      </c>
      <c r="G62" s="6">
        <f t="shared" ca="1" si="15"/>
        <v>198</v>
      </c>
      <c r="H62" s="7">
        <f t="shared" ca="1" si="16"/>
        <v>6.4918032786885247</v>
      </c>
      <c r="I62" s="8">
        <f t="shared" si="17"/>
        <v>7.0952380952380961E-2</v>
      </c>
      <c r="J62" s="19">
        <f t="shared" ca="1" si="18"/>
        <v>1.061515739960317E-2</v>
      </c>
      <c r="K62" s="4">
        <f t="shared" si="19"/>
        <v>0</v>
      </c>
      <c r="L62" s="4">
        <f t="shared" si="20"/>
        <v>7.4500000000000011</v>
      </c>
      <c r="M62" s="4">
        <f t="shared" si="21"/>
        <v>97.55</v>
      </c>
      <c r="N62" s="9"/>
      <c r="O62" s="10">
        <f t="shared" si="22"/>
        <v>-105</v>
      </c>
      <c r="P62" s="10">
        <f t="shared" si="23"/>
        <v>-7.4500000000000011</v>
      </c>
      <c r="Q62" s="11">
        <f t="shared" si="24"/>
        <v>0</v>
      </c>
      <c r="R62" s="11">
        <f t="shared" ca="1" si="25"/>
        <v>0</v>
      </c>
      <c r="S62" s="17" t="str">
        <f>_xll.xlqName(C62,tda)</f>
        <v>TEAM Jun 19 2020 105 Put</v>
      </c>
      <c r="T62" s="17"/>
    </row>
    <row r="63" spans="1:23" ht="15" customHeight="1" x14ac:dyDescent="0.25">
      <c r="A63" s="3">
        <v>44001</v>
      </c>
      <c r="B63" s="4">
        <v>110</v>
      </c>
      <c r="C63" s="61" t="str">
        <f t="shared" si="13"/>
        <v>TEAM_061920P110</v>
      </c>
      <c r="D63" s="4">
        <f>_xll.xlqBid(C63,tda)</f>
        <v>9</v>
      </c>
      <c r="E63" s="4">
        <f>_xll.xlqAsk(C63,tda)</f>
        <v>9.3000000000000007</v>
      </c>
      <c r="F63" s="5">
        <f t="shared" si="14"/>
        <v>9.15</v>
      </c>
      <c r="G63" s="6">
        <f t="shared" ca="1" si="15"/>
        <v>198</v>
      </c>
      <c r="H63" s="7">
        <f t="shared" ca="1" si="16"/>
        <v>6.4918032786885247</v>
      </c>
      <c r="I63" s="8">
        <f t="shared" si="17"/>
        <v>8.318181818181819E-2</v>
      </c>
      <c r="J63" s="19">
        <f t="shared" ca="1" si="18"/>
        <v>1.2384323838839029E-2</v>
      </c>
      <c r="K63" s="4">
        <f t="shared" si="19"/>
        <v>0</v>
      </c>
      <c r="L63" s="4">
        <f t="shared" si="20"/>
        <v>9.15</v>
      </c>
      <c r="M63" s="4">
        <f t="shared" si="21"/>
        <v>100.85</v>
      </c>
      <c r="N63" s="9"/>
      <c r="O63" s="10">
        <f t="shared" si="22"/>
        <v>-110</v>
      </c>
      <c r="P63" s="10">
        <f t="shared" si="23"/>
        <v>-9.15</v>
      </c>
      <c r="Q63" s="11">
        <f t="shared" si="24"/>
        <v>0</v>
      </c>
      <c r="R63" s="11">
        <f t="shared" ca="1" si="25"/>
        <v>0</v>
      </c>
      <c r="S63" s="17" t="str">
        <f>_xll.xlqName(C63,tda)</f>
        <v>TEAM Jun 19 2020 110 Put</v>
      </c>
      <c r="T63" s="17"/>
    </row>
    <row r="64" spans="1:23" s="13" customFormat="1" ht="15" customHeight="1" x14ac:dyDescent="0.25">
      <c r="A64" s="3">
        <v>44001</v>
      </c>
      <c r="B64" s="4">
        <v>115</v>
      </c>
      <c r="C64" s="61" t="str">
        <f t="shared" si="13"/>
        <v>TEAM_061920P115</v>
      </c>
      <c r="D64" s="4">
        <f>_xll.xlqBid(C64,tda)</f>
        <v>10.9</v>
      </c>
      <c r="E64" s="4">
        <f>_xll.xlqAsk(C64,tda)</f>
        <v>11.200000000000001</v>
      </c>
      <c r="F64" s="5">
        <f t="shared" si="14"/>
        <v>11.05</v>
      </c>
      <c r="G64" s="6">
        <f t="shared" ca="1" si="15"/>
        <v>198</v>
      </c>
      <c r="H64" s="7">
        <f t="shared" ca="1" si="16"/>
        <v>6.4918032786885247</v>
      </c>
      <c r="I64" s="8">
        <f t="shared" si="17"/>
        <v>9.6086956521739139E-2</v>
      </c>
      <c r="J64" s="19">
        <f t="shared" ca="1" si="18"/>
        <v>1.4233010154105719E-2</v>
      </c>
      <c r="K64" s="4">
        <f t="shared" si="19"/>
        <v>0</v>
      </c>
      <c r="L64" s="4">
        <f t="shared" si="20"/>
        <v>11.05</v>
      </c>
      <c r="M64" s="4">
        <f t="shared" si="21"/>
        <v>103.95</v>
      </c>
      <c r="N64" s="9"/>
      <c r="O64" s="10">
        <f t="shared" si="22"/>
        <v>-115</v>
      </c>
      <c r="P64" s="10">
        <f t="shared" si="23"/>
        <v>-11.05</v>
      </c>
      <c r="Q64" s="11">
        <f t="shared" si="24"/>
        <v>0</v>
      </c>
      <c r="R64" s="11">
        <f t="shared" ca="1" si="25"/>
        <v>0</v>
      </c>
      <c r="S64" s="17" t="str">
        <f>_xll.xlqName(C64,tda)</f>
        <v>TEAM Jun 19 2020 115 Put</v>
      </c>
      <c r="T64" s="17"/>
      <c r="W64" s="96"/>
    </row>
    <row r="65" spans="1:23" ht="15" customHeight="1" x14ac:dyDescent="0.25">
      <c r="A65" s="3">
        <v>44001</v>
      </c>
      <c r="B65" s="4">
        <v>120</v>
      </c>
      <c r="C65" s="61" t="str">
        <f t="shared" si="13"/>
        <v>TEAM_061920P120</v>
      </c>
      <c r="D65" s="4">
        <f>_xll.xlqBid(C65,tda)</f>
        <v>13</v>
      </c>
      <c r="E65" s="4">
        <f>_xll.xlqAsk(C65,tda)</f>
        <v>13.4</v>
      </c>
      <c r="F65" s="5">
        <f t="shared" si="14"/>
        <v>13.2</v>
      </c>
      <c r="G65" s="6">
        <f t="shared" ca="1" si="15"/>
        <v>198</v>
      </c>
      <c r="H65" s="7">
        <f t="shared" ca="1" si="16"/>
        <v>6.4918032786885247</v>
      </c>
      <c r="I65" s="8">
        <f t="shared" si="17"/>
        <v>0.11</v>
      </c>
      <c r="J65" s="19">
        <f t="shared" ca="1" si="18"/>
        <v>1.6205567519695263E-2</v>
      </c>
      <c r="K65" s="4">
        <f t="shared" si="19"/>
        <v>0</v>
      </c>
      <c r="L65" s="4">
        <f t="shared" si="20"/>
        <v>13.2</v>
      </c>
      <c r="M65" s="4">
        <f t="shared" si="21"/>
        <v>106.8</v>
      </c>
      <c r="N65" s="9"/>
      <c r="O65" s="10">
        <f t="shared" si="22"/>
        <v>-120</v>
      </c>
      <c r="P65" s="10">
        <f t="shared" si="23"/>
        <v>-13.2</v>
      </c>
      <c r="Q65" s="11">
        <f t="shared" si="24"/>
        <v>0</v>
      </c>
      <c r="R65" s="11">
        <f t="shared" ca="1" si="25"/>
        <v>0</v>
      </c>
      <c r="S65" s="17" t="str">
        <f>_xll.xlqName(C65,tda)</f>
        <v>TEAM Jun 19 2020 120 Put</v>
      </c>
      <c r="T65" s="17"/>
    </row>
    <row r="66" spans="1:23" ht="15" customHeight="1" x14ac:dyDescent="0.25">
      <c r="A66" s="3">
        <v>44001</v>
      </c>
      <c r="B66" s="4">
        <v>125</v>
      </c>
      <c r="C66" s="61" t="str">
        <f t="shared" ref="C66:C97" si="26">CONCATENATE($W$1,"_",TEXT(MONTH(A66),"00"),TEXT(DAY(A66),"00"),TEXT(MOD(YEAR(A66),100),"00"),$W$2,B66&amp;"")</f>
        <v>TEAM_061920P125</v>
      </c>
      <c r="D66" s="4">
        <f>_xll.xlqBid(C66,tda)</f>
        <v>15.5</v>
      </c>
      <c r="E66" s="4">
        <f>_xll.xlqAsk(C66,tda)</f>
        <v>15.9</v>
      </c>
      <c r="F66" s="5">
        <f t="shared" ref="F66:F97" si="27">(D66+E66)/2</f>
        <v>15.7</v>
      </c>
      <c r="G66" s="6">
        <f t="shared" ref="G66:G100" ca="1" si="28">A66-TODAY()</f>
        <v>198</v>
      </c>
      <c r="H66" s="7">
        <f t="shared" ref="H66:H97" ca="1" si="29">G66/30.5</f>
        <v>6.4918032786885247</v>
      </c>
      <c r="I66" s="8">
        <f t="shared" ref="I66:I100" si="30">F66/B66</f>
        <v>0.12559999999999999</v>
      </c>
      <c r="J66" s="19">
        <f t="shared" ref="J66:J100" ca="1" si="31">(1+L66/B66)^(1/H66)-1</f>
        <v>1.676880587138907E-2</v>
      </c>
      <c r="K66" s="4">
        <f t="shared" ref="K66:K100" si="32">MAX(0,B66-$W$3)</f>
        <v>1.4499999999999886</v>
      </c>
      <c r="L66" s="4">
        <f t="shared" ref="L66:L97" si="33">F66-K66</f>
        <v>14.250000000000011</v>
      </c>
      <c r="M66" s="4">
        <f t="shared" ref="M66:M100" si="34">B66-F66</f>
        <v>109.3</v>
      </c>
      <c r="N66" s="9"/>
      <c r="O66" s="10">
        <f t="shared" ref="O66:O100" si="35">SUMPRODUCT($B$2:$B$100,$N$2:$N$100)-B66</f>
        <v>-125</v>
      </c>
      <c r="P66" s="10">
        <f t="shared" ref="P66:P100" si="36">SUMPRODUCT($F$2:$F$100,$N$2:$N$100)-F66</f>
        <v>-15.7</v>
      </c>
      <c r="Q66" s="11">
        <f t="shared" ref="Q66:Q97" si="37">IF(O66&gt;0,MAX(0,(O66-P66)/P66),0)</f>
        <v>0</v>
      </c>
      <c r="R66" s="11">
        <f t="shared" ref="R66:R97" ca="1" si="38">Q66/(H66/3)</f>
        <v>0</v>
      </c>
      <c r="S66" s="17" t="str">
        <f>_xll.xlqName(C66,tda)</f>
        <v>TEAM Jun 19 2020 125 Put</v>
      </c>
      <c r="T66" s="17"/>
    </row>
    <row r="67" spans="1:23" ht="15" customHeight="1" x14ac:dyDescent="0.25">
      <c r="A67" s="3">
        <v>44001</v>
      </c>
      <c r="B67" s="4">
        <v>130</v>
      </c>
      <c r="C67" s="61" t="str">
        <f t="shared" si="26"/>
        <v>TEAM_061920P130</v>
      </c>
      <c r="D67" s="4">
        <f>_xll.xlqBid(C67,tda)</f>
        <v>18.2</v>
      </c>
      <c r="E67" s="4">
        <f>_xll.xlqAsk(C67,tda)</f>
        <v>18.600000000000001</v>
      </c>
      <c r="F67" s="5">
        <f t="shared" si="27"/>
        <v>18.399999999999999</v>
      </c>
      <c r="G67" s="6">
        <f t="shared" ca="1" si="28"/>
        <v>198</v>
      </c>
      <c r="H67" s="7">
        <f t="shared" ca="1" si="29"/>
        <v>6.4918032786885247</v>
      </c>
      <c r="I67" s="8">
        <f t="shared" si="30"/>
        <v>0.14153846153846153</v>
      </c>
      <c r="J67" s="19">
        <f t="shared" ca="1" si="31"/>
        <v>1.3638547660568934E-2</v>
      </c>
      <c r="K67" s="4">
        <f t="shared" si="32"/>
        <v>6.4499999999999886</v>
      </c>
      <c r="L67" s="4">
        <f t="shared" si="33"/>
        <v>11.95000000000001</v>
      </c>
      <c r="M67" s="4">
        <f t="shared" si="34"/>
        <v>111.6</v>
      </c>
      <c r="N67" s="9"/>
      <c r="O67" s="10">
        <f t="shared" si="35"/>
        <v>-130</v>
      </c>
      <c r="P67" s="10">
        <f t="shared" si="36"/>
        <v>-18.399999999999999</v>
      </c>
      <c r="Q67" s="11">
        <f t="shared" si="37"/>
        <v>0</v>
      </c>
      <c r="R67" s="11">
        <f t="shared" ca="1" si="38"/>
        <v>0</v>
      </c>
      <c r="S67" s="17" t="str">
        <f>_xll.xlqName(C67,tda)</f>
        <v>TEAM Jun 19 2020 130 Put</v>
      </c>
      <c r="T67" s="17"/>
    </row>
    <row r="68" spans="1:23" s="13" customFormat="1" ht="15" customHeight="1" x14ac:dyDescent="0.25">
      <c r="A68" s="3">
        <v>44001</v>
      </c>
      <c r="B68" s="4">
        <v>135</v>
      </c>
      <c r="C68" s="61" t="str">
        <f t="shared" si="26"/>
        <v>TEAM_061920P135</v>
      </c>
      <c r="D68" s="4">
        <f>_xll.xlqBid(C68,tda)</f>
        <v>21.1</v>
      </c>
      <c r="E68" s="4">
        <f>_xll.xlqAsk(C68,tda)</f>
        <v>21.6</v>
      </c>
      <c r="F68" s="5">
        <f t="shared" si="27"/>
        <v>21.35</v>
      </c>
      <c r="G68" s="6">
        <f t="shared" ca="1" si="28"/>
        <v>198</v>
      </c>
      <c r="H68" s="7">
        <f t="shared" ca="1" si="29"/>
        <v>6.4918032786885247</v>
      </c>
      <c r="I68" s="8">
        <f t="shared" si="30"/>
        <v>0.15814814814814815</v>
      </c>
      <c r="J68" s="19">
        <f t="shared" ca="1" si="31"/>
        <v>1.0960931908306382E-2</v>
      </c>
      <c r="K68" s="4">
        <f t="shared" si="32"/>
        <v>11.449999999999989</v>
      </c>
      <c r="L68" s="4">
        <f t="shared" si="33"/>
        <v>9.9000000000000128</v>
      </c>
      <c r="M68" s="4">
        <f t="shared" si="34"/>
        <v>113.65</v>
      </c>
      <c r="N68" s="9"/>
      <c r="O68" s="10">
        <f t="shared" si="35"/>
        <v>-135</v>
      </c>
      <c r="P68" s="10">
        <f t="shared" si="36"/>
        <v>-21.35</v>
      </c>
      <c r="Q68" s="11">
        <f t="shared" si="37"/>
        <v>0</v>
      </c>
      <c r="R68" s="11">
        <f t="shared" ca="1" si="38"/>
        <v>0</v>
      </c>
      <c r="S68" s="17" t="str">
        <f>_xll.xlqName(C68,tda)</f>
        <v>TEAM Jun 19 2020 135 Put</v>
      </c>
      <c r="T68" s="17"/>
      <c r="V68" s="98"/>
      <c r="W68" s="96"/>
    </row>
    <row r="69" spans="1:23" s="13" customFormat="1" ht="15" customHeight="1" x14ac:dyDescent="0.25">
      <c r="A69" s="3">
        <v>44001</v>
      </c>
      <c r="B69" s="4">
        <v>140</v>
      </c>
      <c r="C69" s="61" t="str">
        <f t="shared" si="26"/>
        <v>TEAM_061920P140</v>
      </c>
      <c r="D69" s="4">
        <f>_xll.xlqBid(C69,tda)</f>
        <v>24.3</v>
      </c>
      <c r="E69" s="4">
        <f>_xll.xlqAsk(C69,tda)</f>
        <v>24.8</v>
      </c>
      <c r="F69" s="5">
        <f t="shared" si="27"/>
        <v>24.55</v>
      </c>
      <c r="G69" s="6">
        <f t="shared" ca="1" si="28"/>
        <v>198</v>
      </c>
      <c r="H69" s="7">
        <f t="shared" ca="1" si="29"/>
        <v>6.4918032786885247</v>
      </c>
      <c r="I69" s="8">
        <f t="shared" si="30"/>
        <v>0.17535714285714285</v>
      </c>
      <c r="J69" s="19">
        <f t="shared" ca="1" si="31"/>
        <v>8.7016900308489742E-3</v>
      </c>
      <c r="K69" s="4">
        <f t="shared" si="32"/>
        <v>16.449999999999989</v>
      </c>
      <c r="L69" s="4">
        <f t="shared" si="33"/>
        <v>8.1000000000000121</v>
      </c>
      <c r="M69" s="4">
        <f t="shared" si="34"/>
        <v>115.45</v>
      </c>
      <c r="N69" s="9"/>
      <c r="O69" s="10">
        <f t="shared" si="35"/>
        <v>-140</v>
      </c>
      <c r="P69" s="10">
        <f t="shared" si="36"/>
        <v>-24.55</v>
      </c>
      <c r="Q69" s="11">
        <f t="shared" si="37"/>
        <v>0</v>
      </c>
      <c r="R69" s="11">
        <f t="shared" ca="1" si="38"/>
        <v>0</v>
      </c>
      <c r="S69" s="17" t="str">
        <f>_xll.xlqName(C69,tda)</f>
        <v>TEAM Jun 19 2020 140 Put</v>
      </c>
      <c r="T69" s="17"/>
      <c r="W69" s="96"/>
    </row>
    <row r="70" spans="1:23" ht="15" customHeight="1" x14ac:dyDescent="0.25">
      <c r="A70" s="3">
        <v>44064</v>
      </c>
      <c r="B70" s="4">
        <v>105</v>
      </c>
      <c r="C70" s="61" t="str">
        <f t="shared" si="26"/>
        <v>TEAM_082120P105</v>
      </c>
      <c r="D70" s="4">
        <f>_xll.xlqBid(C70,tda)</f>
        <v>9.1</v>
      </c>
      <c r="E70" s="4">
        <f>_xll.xlqAsk(C70,tda)</f>
        <v>9.6</v>
      </c>
      <c r="F70" s="5">
        <f t="shared" si="27"/>
        <v>9.35</v>
      </c>
      <c r="G70" s="6">
        <f t="shared" ca="1" si="28"/>
        <v>261</v>
      </c>
      <c r="H70" s="7">
        <f t="shared" ca="1" si="29"/>
        <v>8.557377049180328</v>
      </c>
      <c r="I70" s="8">
        <f t="shared" si="30"/>
        <v>8.9047619047619042E-2</v>
      </c>
      <c r="J70" s="19">
        <f t="shared" ca="1" si="31"/>
        <v>1.0018275135583732E-2</v>
      </c>
      <c r="K70" s="4">
        <f t="shared" si="32"/>
        <v>0</v>
      </c>
      <c r="L70" s="4">
        <f t="shared" si="33"/>
        <v>9.35</v>
      </c>
      <c r="M70" s="4">
        <f t="shared" si="34"/>
        <v>95.65</v>
      </c>
      <c r="N70" s="9"/>
      <c r="O70" s="10">
        <f t="shared" si="35"/>
        <v>-105</v>
      </c>
      <c r="P70" s="10">
        <f t="shared" si="36"/>
        <v>-9.35</v>
      </c>
      <c r="Q70" s="11">
        <f t="shared" si="37"/>
        <v>0</v>
      </c>
      <c r="R70" s="11">
        <f t="shared" ca="1" si="38"/>
        <v>0</v>
      </c>
      <c r="S70" s="17" t="str">
        <f>_xll.xlqName(C70,tda)</f>
        <v>TEAM Aug 21 2020 105 Put</v>
      </c>
      <c r="T70" s="17"/>
      <c r="V70" s="1"/>
    </row>
    <row r="71" spans="1:23" ht="15" customHeight="1" x14ac:dyDescent="0.25">
      <c r="A71" s="3">
        <v>44064</v>
      </c>
      <c r="B71" s="4">
        <v>110</v>
      </c>
      <c r="C71" s="61" t="str">
        <f t="shared" si="26"/>
        <v>TEAM_082120P110</v>
      </c>
      <c r="D71" s="4">
        <f>_xll.xlqBid(C71,tda)</f>
        <v>10.9</v>
      </c>
      <c r="E71" s="4">
        <f>_xll.xlqAsk(C71,tda)</f>
        <v>11.5</v>
      </c>
      <c r="F71" s="5">
        <f t="shared" si="27"/>
        <v>11.2</v>
      </c>
      <c r="G71" s="6">
        <f t="shared" ca="1" si="28"/>
        <v>261</v>
      </c>
      <c r="H71" s="7">
        <f t="shared" ca="1" si="29"/>
        <v>8.557377049180328</v>
      </c>
      <c r="I71" s="8">
        <f t="shared" si="30"/>
        <v>0.10181818181818181</v>
      </c>
      <c r="J71" s="19">
        <f t="shared" ca="1" si="31"/>
        <v>1.1395210652455301E-2</v>
      </c>
      <c r="K71" s="4">
        <f t="shared" si="32"/>
        <v>0</v>
      </c>
      <c r="L71" s="4">
        <f t="shared" si="33"/>
        <v>11.2</v>
      </c>
      <c r="M71" s="4">
        <f t="shared" si="34"/>
        <v>98.8</v>
      </c>
      <c r="N71" s="9"/>
      <c r="O71" s="10">
        <f t="shared" si="35"/>
        <v>-110</v>
      </c>
      <c r="P71" s="10">
        <f t="shared" si="36"/>
        <v>-11.2</v>
      </c>
      <c r="Q71" s="11">
        <f t="shared" si="37"/>
        <v>0</v>
      </c>
      <c r="R71" s="11">
        <f t="shared" ca="1" si="38"/>
        <v>0</v>
      </c>
      <c r="S71" s="17" t="str">
        <f>_xll.xlqName(C71,tda)</f>
        <v>TEAM Aug 21 2020 110 Put</v>
      </c>
      <c r="T71" s="17"/>
      <c r="V71" s="1"/>
    </row>
    <row r="72" spans="1:23" ht="15" customHeight="1" x14ac:dyDescent="0.25">
      <c r="A72" s="3">
        <v>44064</v>
      </c>
      <c r="B72" s="4">
        <v>115</v>
      </c>
      <c r="C72" s="61" t="str">
        <f t="shared" si="26"/>
        <v>TEAM_082120P115</v>
      </c>
      <c r="D72" s="4">
        <f>_xll.xlqBid(C72,tda)</f>
        <v>13</v>
      </c>
      <c r="E72" s="4">
        <f>_xll.xlqAsk(C72,tda)</f>
        <v>13.600000000000001</v>
      </c>
      <c r="F72" s="5">
        <f t="shared" si="27"/>
        <v>13.3</v>
      </c>
      <c r="G72" s="6">
        <f t="shared" ca="1" si="28"/>
        <v>261</v>
      </c>
      <c r="H72" s="7">
        <f t="shared" ca="1" si="29"/>
        <v>8.557377049180328</v>
      </c>
      <c r="I72" s="8">
        <f t="shared" si="30"/>
        <v>0.11565217391304349</v>
      </c>
      <c r="J72" s="19">
        <f t="shared" ca="1" si="31"/>
        <v>1.2870992670461101E-2</v>
      </c>
      <c r="K72" s="4">
        <f t="shared" si="32"/>
        <v>0</v>
      </c>
      <c r="L72" s="4">
        <f t="shared" si="33"/>
        <v>13.3</v>
      </c>
      <c r="M72" s="4">
        <f t="shared" si="34"/>
        <v>101.7</v>
      </c>
      <c r="N72" s="9"/>
      <c r="O72" s="10">
        <f t="shared" si="35"/>
        <v>-115</v>
      </c>
      <c r="P72" s="10">
        <f t="shared" si="36"/>
        <v>-13.3</v>
      </c>
      <c r="Q72" s="11">
        <f t="shared" si="37"/>
        <v>0</v>
      </c>
      <c r="R72" s="11">
        <f t="shared" ca="1" si="38"/>
        <v>0</v>
      </c>
      <c r="S72" s="17" t="str">
        <f>_xll.xlqName(C72,tda)</f>
        <v>TEAM Aug 21 2020 115 Put</v>
      </c>
      <c r="T72" s="17"/>
    </row>
    <row r="73" spans="1:23" ht="15" customHeight="1" x14ac:dyDescent="0.25">
      <c r="A73" s="3">
        <v>44064</v>
      </c>
      <c r="B73" s="4">
        <v>120</v>
      </c>
      <c r="C73" s="61" t="str">
        <f t="shared" si="26"/>
        <v>TEAM_082120P120</v>
      </c>
      <c r="D73" s="4">
        <f>_xll.xlqBid(C73,tda)</f>
        <v>15.100000000000001</v>
      </c>
      <c r="E73" s="4">
        <f>_xll.xlqAsk(C73,tda)</f>
        <v>15.8</v>
      </c>
      <c r="F73" s="5">
        <f t="shared" si="27"/>
        <v>15.450000000000001</v>
      </c>
      <c r="G73" s="6">
        <f t="shared" ca="1" si="28"/>
        <v>261</v>
      </c>
      <c r="H73" s="7">
        <f t="shared" ca="1" si="29"/>
        <v>8.557377049180328</v>
      </c>
      <c r="I73" s="8">
        <f t="shared" si="30"/>
        <v>0.12875</v>
      </c>
      <c r="J73" s="19">
        <f t="shared" ca="1" si="31"/>
        <v>1.4253422633563551E-2</v>
      </c>
      <c r="K73" s="4">
        <f t="shared" si="32"/>
        <v>0</v>
      </c>
      <c r="L73" s="4">
        <f t="shared" si="33"/>
        <v>15.450000000000001</v>
      </c>
      <c r="M73" s="4">
        <f t="shared" si="34"/>
        <v>104.55</v>
      </c>
      <c r="N73" s="9"/>
      <c r="O73" s="10">
        <f t="shared" si="35"/>
        <v>-120</v>
      </c>
      <c r="P73" s="10">
        <f t="shared" si="36"/>
        <v>-15.450000000000001</v>
      </c>
      <c r="Q73" s="11">
        <f t="shared" si="37"/>
        <v>0</v>
      </c>
      <c r="R73" s="11">
        <f t="shared" ca="1" si="38"/>
        <v>0</v>
      </c>
      <c r="S73" s="17" t="str">
        <f>_xll.xlqName(C73,tda)</f>
        <v>TEAM Aug 21 2020 120 Put</v>
      </c>
      <c r="T73" s="17"/>
      <c r="V73" s="1"/>
    </row>
    <row r="74" spans="1:23" s="13" customFormat="1" ht="15" customHeight="1" x14ac:dyDescent="0.25">
      <c r="A74" s="3">
        <v>44064</v>
      </c>
      <c r="B74" s="4">
        <v>125</v>
      </c>
      <c r="C74" s="61" t="str">
        <f t="shared" si="26"/>
        <v>TEAM_082120P125</v>
      </c>
      <c r="D74" s="4">
        <f>_xll.xlqBid(C74,tda)</f>
        <v>17.600000000000001</v>
      </c>
      <c r="E74" s="4">
        <f>_xll.xlqAsk(C74,tda)</f>
        <v>18.3</v>
      </c>
      <c r="F74" s="5">
        <f t="shared" si="27"/>
        <v>17.950000000000003</v>
      </c>
      <c r="G74" s="6">
        <f t="shared" ca="1" si="28"/>
        <v>261</v>
      </c>
      <c r="H74" s="7">
        <f t="shared" ca="1" si="29"/>
        <v>8.557377049180328</v>
      </c>
      <c r="I74" s="8">
        <f t="shared" si="30"/>
        <v>0.14360000000000003</v>
      </c>
      <c r="J74" s="19">
        <f t="shared" ca="1" si="31"/>
        <v>1.4594254262812134E-2</v>
      </c>
      <c r="K74" s="4">
        <f t="shared" si="32"/>
        <v>1.4499999999999886</v>
      </c>
      <c r="L74" s="4">
        <f t="shared" si="33"/>
        <v>16.500000000000014</v>
      </c>
      <c r="M74" s="4">
        <f t="shared" si="34"/>
        <v>107.05</v>
      </c>
      <c r="N74" s="9"/>
      <c r="O74" s="10">
        <f t="shared" si="35"/>
        <v>-125</v>
      </c>
      <c r="P74" s="10">
        <f t="shared" si="36"/>
        <v>-17.950000000000003</v>
      </c>
      <c r="Q74" s="11">
        <f t="shared" si="37"/>
        <v>0</v>
      </c>
      <c r="R74" s="11">
        <f t="shared" ca="1" si="38"/>
        <v>0</v>
      </c>
      <c r="S74" s="17" t="str">
        <f>_xll.xlqName(C74,tda)</f>
        <v>TEAM Aug 21 2020 125 Put</v>
      </c>
      <c r="T74" s="17"/>
      <c r="W74" s="96"/>
    </row>
    <row r="75" spans="1:23" s="13" customFormat="1" ht="15" customHeight="1" x14ac:dyDescent="0.25">
      <c r="A75" s="3">
        <v>44064</v>
      </c>
      <c r="B75" s="4">
        <v>130</v>
      </c>
      <c r="C75" s="61" t="str">
        <f t="shared" si="26"/>
        <v>TEAM_082120P130</v>
      </c>
      <c r="D75" s="4">
        <f>_xll.xlqBid(C75,tda)</f>
        <v>20.3</v>
      </c>
      <c r="E75" s="4">
        <f>_xll.xlqAsk(C75,tda)</f>
        <v>21</v>
      </c>
      <c r="F75" s="5">
        <f t="shared" si="27"/>
        <v>20.65</v>
      </c>
      <c r="G75" s="6">
        <f t="shared" ca="1" si="28"/>
        <v>261</v>
      </c>
      <c r="H75" s="7">
        <f t="shared" ca="1" si="29"/>
        <v>8.557377049180328</v>
      </c>
      <c r="I75" s="8">
        <f t="shared" si="30"/>
        <v>0.15884615384615383</v>
      </c>
      <c r="J75" s="19">
        <f t="shared" ca="1" si="31"/>
        <v>1.2187992089845112E-2</v>
      </c>
      <c r="K75" s="4">
        <f t="shared" si="32"/>
        <v>6.4499999999999886</v>
      </c>
      <c r="L75" s="4">
        <f t="shared" si="33"/>
        <v>14.20000000000001</v>
      </c>
      <c r="M75" s="4">
        <f t="shared" si="34"/>
        <v>109.35</v>
      </c>
      <c r="N75" s="9"/>
      <c r="O75" s="10">
        <f t="shared" si="35"/>
        <v>-130</v>
      </c>
      <c r="P75" s="10">
        <f t="shared" si="36"/>
        <v>-20.65</v>
      </c>
      <c r="Q75" s="11">
        <f t="shared" si="37"/>
        <v>0</v>
      </c>
      <c r="R75" s="11">
        <f t="shared" ca="1" si="38"/>
        <v>0</v>
      </c>
      <c r="S75" s="17" t="str">
        <f>_xll.xlqName(C75,tda)</f>
        <v>TEAM Aug 21 2020 130 Put</v>
      </c>
      <c r="T75" s="17"/>
      <c r="W75" s="96"/>
    </row>
    <row r="76" spans="1:23" s="13" customFormat="1" ht="15" customHeight="1" x14ac:dyDescent="0.25">
      <c r="A76" s="3">
        <v>44064</v>
      </c>
      <c r="B76" s="4">
        <v>135</v>
      </c>
      <c r="C76" s="61" t="str">
        <f t="shared" si="26"/>
        <v>TEAM_082120P135</v>
      </c>
      <c r="D76" s="4">
        <f>_xll.xlqBid(C76,tda)</f>
        <v>23.200000000000003</v>
      </c>
      <c r="E76" s="4">
        <f>_xll.xlqAsk(C76,tda)</f>
        <v>23.900000000000002</v>
      </c>
      <c r="F76" s="5">
        <f t="shared" si="27"/>
        <v>23.550000000000004</v>
      </c>
      <c r="G76" s="6">
        <f t="shared" ca="1" si="28"/>
        <v>261</v>
      </c>
      <c r="H76" s="7">
        <f t="shared" ca="1" si="29"/>
        <v>8.557377049180328</v>
      </c>
      <c r="I76" s="8">
        <f t="shared" si="30"/>
        <v>0.17444444444444449</v>
      </c>
      <c r="J76" s="19">
        <f t="shared" ca="1" si="31"/>
        <v>1.0081337479740382E-2</v>
      </c>
      <c r="K76" s="4">
        <f t="shared" si="32"/>
        <v>11.449999999999989</v>
      </c>
      <c r="L76" s="4">
        <f t="shared" si="33"/>
        <v>12.100000000000016</v>
      </c>
      <c r="M76" s="4">
        <f t="shared" si="34"/>
        <v>111.44999999999999</v>
      </c>
      <c r="N76" s="9"/>
      <c r="O76" s="10">
        <f t="shared" si="35"/>
        <v>-135</v>
      </c>
      <c r="P76" s="10">
        <f t="shared" si="36"/>
        <v>-23.550000000000004</v>
      </c>
      <c r="Q76" s="11">
        <f t="shared" si="37"/>
        <v>0</v>
      </c>
      <c r="R76" s="11">
        <f t="shared" ca="1" si="38"/>
        <v>0</v>
      </c>
      <c r="S76" s="17" t="str">
        <f>_xll.xlqName(C76,tda)</f>
        <v>TEAM Aug 21 2020 135 Put</v>
      </c>
      <c r="T76" s="17"/>
      <c r="W76" s="96"/>
    </row>
    <row r="77" spans="1:23" ht="15" customHeight="1" x14ac:dyDescent="0.25">
      <c r="A77" s="3">
        <v>44064</v>
      </c>
      <c r="B77" s="4">
        <v>140</v>
      </c>
      <c r="C77" s="61" t="str">
        <f t="shared" si="26"/>
        <v>TEAM_082120P140</v>
      </c>
      <c r="D77" s="4">
        <f>_xll.xlqBid(C77,tda)</f>
        <v>26.400000000000002</v>
      </c>
      <c r="E77" s="4">
        <f>_xll.xlqAsk(C77,tda)</f>
        <v>27.1</v>
      </c>
      <c r="F77" s="5">
        <f t="shared" si="27"/>
        <v>26.75</v>
      </c>
      <c r="G77" s="6">
        <f t="shared" ca="1" si="28"/>
        <v>261</v>
      </c>
      <c r="H77" s="7">
        <f t="shared" ca="1" si="29"/>
        <v>8.557377049180328</v>
      </c>
      <c r="I77" s="8">
        <f t="shared" si="30"/>
        <v>0.19107142857142856</v>
      </c>
      <c r="J77" s="19">
        <f t="shared" ca="1" si="31"/>
        <v>8.3303745049254641E-3</v>
      </c>
      <c r="K77" s="4">
        <f t="shared" si="32"/>
        <v>16.449999999999989</v>
      </c>
      <c r="L77" s="4">
        <f t="shared" si="33"/>
        <v>10.300000000000011</v>
      </c>
      <c r="M77" s="4">
        <f t="shared" si="34"/>
        <v>113.25</v>
      </c>
      <c r="N77" s="9"/>
      <c r="O77" s="10">
        <f t="shared" si="35"/>
        <v>-140</v>
      </c>
      <c r="P77" s="10">
        <f t="shared" si="36"/>
        <v>-26.75</v>
      </c>
      <c r="Q77" s="11">
        <f t="shared" si="37"/>
        <v>0</v>
      </c>
      <c r="R77" s="11">
        <f t="shared" ca="1" si="38"/>
        <v>0</v>
      </c>
      <c r="S77" s="17" t="str">
        <f>_xll.xlqName(C77,tda)</f>
        <v>TEAM Aug 21 2020 140 Put</v>
      </c>
      <c r="T77" s="17"/>
    </row>
    <row r="78" spans="1:23" ht="15" customHeight="1" x14ac:dyDescent="0.25">
      <c r="A78" s="3">
        <v>44211</v>
      </c>
      <c r="B78" s="4">
        <v>90</v>
      </c>
      <c r="C78" s="61" t="str">
        <f t="shared" si="26"/>
        <v>TEAM_011521P90</v>
      </c>
      <c r="D78" s="4">
        <f>_xll.xlqBid(C78,tda)</f>
        <v>7.8000000000000007</v>
      </c>
      <c r="E78" s="4">
        <f>_xll.xlqAsk(C78,tda)</f>
        <v>8.2000000000000011</v>
      </c>
      <c r="F78" s="5">
        <f t="shared" si="27"/>
        <v>8</v>
      </c>
      <c r="G78" s="6">
        <f t="shared" ca="1" si="28"/>
        <v>408</v>
      </c>
      <c r="H78" s="7">
        <f t="shared" ca="1" si="29"/>
        <v>13.377049180327869</v>
      </c>
      <c r="I78" s="8">
        <f t="shared" si="30"/>
        <v>8.8888888888888892E-2</v>
      </c>
      <c r="J78" s="19">
        <f t="shared" ca="1" si="31"/>
        <v>6.3862694258591812E-3</v>
      </c>
      <c r="K78" s="4">
        <f t="shared" si="32"/>
        <v>0</v>
      </c>
      <c r="L78" s="4">
        <f t="shared" si="33"/>
        <v>8</v>
      </c>
      <c r="M78" s="4">
        <f t="shared" si="34"/>
        <v>82</v>
      </c>
      <c r="N78" s="9"/>
      <c r="O78" s="10">
        <f t="shared" si="35"/>
        <v>-90</v>
      </c>
      <c r="P78" s="10">
        <f t="shared" si="36"/>
        <v>-8</v>
      </c>
      <c r="Q78" s="11">
        <f t="shared" si="37"/>
        <v>0</v>
      </c>
      <c r="R78" s="11">
        <f t="shared" ca="1" si="38"/>
        <v>0</v>
      </c>
      <c r="S78" s="17" t="str">
        <f>_xll.xlqName(C78,tda)</f>
        <v>TEAM Jan 15 2021 90 Put</v>
      </c>
      <c r="T78" s="17"/>
    </row>
    <row r="79" spans="1:23" ht="15" customHeight="1" x14ac:dyDescent="0.25">
      <c r="A79" s="3">
        <v>44211</v>
      </c>
      <c r="B79" s="4">
        <v>95</v>
      </c>
      <c r="C79" s="61" t="str">
        <f t="shared" si="26"/>
        <v>TEAM_011521P95</v>
      </c>
      <c r="D79" s="4">
        <f>_xll.xlqBid(C79,tda)</f>
        <v>9.3000000000000007</v>
      </c>
      <c r="E79" s="4">
        <f>_xll.xlqAsk(C79,tda)</f>
        <v>9.7000000000000011</v>
      </c>
      <c r="F79" s="5">
        <f t="shared" si="27"/>
        <v>9.5</v>
      </c>
      <c r="G79" s="6">
        <f t="shared" ca="1" si="28"/>
        <v>408</v>
      </c>
      <c r="H79" s="7">
        <f t="shared" ca="1" si="29"/>
        <v>13.377049180327869</v>
      </c>
      <c r="I79" s="8">
        <f t="shared" si="30"/>
        <v>0.1</v>
      </c>
      <c r="J79" s="19">
        <f t="shared" ca="1" si="31"/>
        <v>7.1503456588148939E-3</v>
      </c>
      <c r="K79" s="4">
        <f t="shared" si="32"/>
        <v>0</v>
      </c>
      <c r="L79" s="4">
        <f t="shared" si="33"/>
        <v>9.5</v>
      </c>
      <c r="M79" s="4">
        <f t="shared" si="34"/>
        <v>85.5</v>
      </c>
      <c r="N79" s="9"/>
      <c r="O79" s="10">
        <f t="shared" si="35"/>
        <v>-95</v>
      </c>
      <c r="P79" s="10">
        <f t="shared" si="36"/>
        <v>-9.5</v>
      </c>
      <c r="Q79" s="11">
        <f t="shared" si="37"/>
        <v>0</v>
      </c>
      <c r="R79" s="11">
        <f t="shared" ca="1" si="38"/>
        <v>0</v>
      </c>
      <c r="S79" s="17" t="str">
        <f>_xll.xlqName(C79,tda)</f>
        <v>TEAM Jan 15 2021 95 Put</v>
      </c>
      <c r="T79" s="17"/>
    </row>
    <row r="80" spans="1:23" ht="15" customHeight="1" x14ac:dyDescent="0.25">
      <c r="A80" s="3">
        <v>44211</v>
      </c>
      <c r="B80" s="4">
        <v>100</v>
      </c>
      <c r="C80" s="61" t="str">
        <f t="shared" si="26"/>
        <v>TEAM_011521P100</v>
      </c>
      <c r="D80" s="4">
        <f>_xll.xlqBid(C80,tda)</f>
        <v>11</v>
      </c>
      <c r="E80" s="4">
        <f>_xll.xlqAsk(C80,tda)</f>
        <v>11.3</v>
      </c>
      <c r="F80" s="5">
        <f t="shared" si="27"/>
        <v>11.15</v>
      </c>
      <c r="G80" s="6">
        <f t="shared" ca="1" si="28"/>
        <v>408</v>
      </c>
      <c r="H80" s="7">
        <f t="shared" ca="1" si="29"/>
        <v>13.377049180327869</v>
      </c>
      <c r="I80" s="8">
        <f t="shared" si="30"/>
        <v>0.1115</v>
      </c>
      <c r="J80" s="19">
        <f t="shared" ca="1" si="31"/>
        <v>7.9336808291958771E-3</v>
      </c>
      <c r="K80" s="4">
        <f t="shared" si="32"/>
        <v>0</v>
      </c>
      <c r="L80" s="4">
        <f t="shared" si="33"/>
        <v>11.15</v>
      </c>
      <c r="M80" s="4">
        <f t="shared" si="34"/>
        <v>88.85</v>
      </c>
      <c r="N80" s="9"/>
      <c r="O80" s="10">
        <f t="shared" si="35"/>
        <v>-100</v>
      </c>
      <c r="P80" s="10">
        <f t="shared" si="36"/>
        <v>-11.15</v>
      </c>
      <c r="Q80" s="11">
        <f t="shared" si="37"/>
        <v>0</v>
      </c>
      <c r="R80" s="11">
        <f t="shared" ca="1" si="38"/>
        <v>0</v>
      </c>
      <c r="S80" s="17" t="str">
        <f>_xll.xlqName(C80,tda)</f>
        <v>TEAM Jan 15 2021 100 Put</v>
      </c>
      <c r="T80" s="17"/>
    </row>
    <row r="81" spans="1:23" s="13" customFormat="1" ht="15" customHeight="1" x14ac:dyDescent="0.25">
      <c r="A81" s="3">
        <v>44211</v>
      </c>
      <c r="B81" s="4">
        <v>105</v>
      </c>
      <c r="C81" s="61" t="str">
        <f t="shared" si="26"/>
        <v>TEAM_011521P105</v>
      </c>
      <c r="D81" s="4">
        <f>_xll.xlqBid(C81,tda)</f>
        <v>12.9</v>
      </c>
      <c r="E81" s="4">
        <f>_xll.xlqAsk(C81,tda)</f>
        <v>13.200000000000001</v>
      </c>
      <c r="F81" s="5">
        <f t="shared" si="27"/>
        <v>13.05</v>
      </c>
      <c r="G81" s="6">
        <f t="shared" ca="1" si="28"/>
        <v>408</v>
      </c>
      <c r="H81" s="7">
        <f t="shared" ca="1" si="29"/>
        <v>13.377049180327869</v>
      </c>
      <c r="I81" s="8">
        <f t="shared" si="30"/>
        <v>0.12428571428571429</v>
      </c>
      <c r="J81" s="19">
        <f t="shared" ca="1" si="31"/>
        <v>8.7958388201665461E-3</v>
      </c>
      <c r="K81" s="4">
        <f t="shared" si="32"/>
        <v>0</v>
      </c>
      <c r="L81" s="4">
        <f t="shared" si="33"/>
        <v>13.05</v>
      </c>
      <c r="M81" s="4">
        <f t="shared" si="34"/>
        <v>91.95</v>
      </c>
      <c r="N81" s="9"/>
      <c r="O81" s="10">
        <f t="shared" si="35"/>
        <v>-105</v>
      </c>
      <c r="P81" s="10">
        <f t="shared" si="36"/>
        <v>-13.05</v>
      </c>
      <c r="Q81" s="11">
        <f t="shared" si="37"/>
        <v>0</v>
      </c>
      <c r="R81" s="11">
        <f t="shared" ca="1" si="38"/>
        <v>0</v>
      </c>
      <c r="S81" s="17" t="str">
        <f>_xll.xlqName(C81,tda)</f>
        <v>TEAM Jan 15 2021 105 Put</v>
      </c>
      <c r="T81" s="17"/>
      <c r="V81" s="98"/>
      <c r="W81" s="96"/>
    </row>
    <row r="82" spans="1:23" ht="15" customHeight="1" x14ac:dyDescent="0.25">
      <c r="A82" s="3">
        <v>44211</v>
      </c>
      <c r="B82" s="4">
        <v>105</v>
      </c>
      <c r="C82" s="61" t="str">
        <f t="shared" si="26"/>
        <v>TEAM_011521P105</v>
      </c>
      <c r="D82" s="4">
        <f>_xll.xlqBid(C82,tda)</f>
        <v>12.9</v>
      </c>
      <c r="E82" s="4">
        <f>_xll.xlqAsk(C82,tda)</f>
        <v>13.200000000000001</v>
      </c>
      <c r="F82" s="5">
        <f t="shared" si="27"/>
        <v>13.05</v>
      </c>
      <c r="G82" s="6">
        <f t="shared" ca="1" si="28"/>
        <v>408</v>
      </c>
      <c r="H82" s="7">
        <f t="shared" ca="1" si="29"/>
        <v>13.377049180327869</v>
      </c>
      <c r="I82" s="8">
        <f t="shared" si="30"/>
        <v>0.12428571428571429</v>
      </c>
      <c r="J82" s="19">
        <f t="shared" ca="1" si="31"/>
        <v>8.7958388201665461E-3</v>
      </c>
      <c r="K82" s="4">
        <f t="shared" si="32"/>
        <v>0</v>
      </c>
      <c r="L82" s="4">
        <f t="shared" si="33"/>
        <v>13.05</v>
      </c>
      <c r="M82" s="4">
        <f t="shared" si="34"/>
        <v>91.95</v>
      </c>
      <c r="N82" s="9"/>
      <c r="O82" s="10">
        <f t="shared" si="35"/>
        <v>-105</v>
      </c>
      <c r="P82" s="10">
        <f t="shared" si="36"/>
        <v>-13.05</v>
      </c>
      <c r="Q82" s="11">
        <f t="shared" si="37"/>
        <v>0</v>
      </c>
      <c r="R82" s="11">
        <f t="shared" ca="1" si="38"/>
        <v>0</v>
      </c>
      <c r="S82" s="17" t="str">
        <f>_xll.xlqName(C82,tda)</f>
        <v>TEAM Jan 15 2021 105 Put</v>
      </c>
      <c r="T82" s="17"/>
      <c r="V82" s="1"/>
    </row>
    <row r="83" spans="1:23" s="13" customFormat="1" ht="15" customHeight="1" x14ac:dyDescent="0.25">
      <c r="A83" s="3">
        <v>44211</v>
      </c>
      <c r="B83" s="4">
        <v>110</v>
      </c>
      <c r="C83" s="61" t="str">
        <f t="shared" si="26"/>
        <v>TEAM_011521P110</v>
      </c>
      <c r="D83" s="4">
        <f>_xll.xlqBid(C83,tda)</f>
        <v>14.700000000000001</v>
      </c>
      <c r="E83" s="4">
        <f>_xll.xlqAsk(C83,tda)</f>
        <v>15.200000000000001</v>
      </c>
      <c r="F83" s="5">
        <f t="shared" si="27"/>
        <v>14.950000000000001</v>
      </c>
      <c r="G83" s="6">
        <f t="shared" ca="1" si="28"/>
        <v>408</v>
      </c>
      <c r="H83" s="7">
        <f t="shared" ca="1" si="29"/>
        <v>13.377049180327869</v>
      </c>
      <c r="I83" s="8">
        <f t="shared" si="30"/>
        <v>0.13590909090909092</v>
      </c>
      <c r="J83" s="19">
        <f t="shared" ca="1" si="31"/>
        <v>9.5717824851972999E-3</v>
      </c>
      <c r="K83" s="4">
        <f t="shared" si="32"/>
        <v>0</v>
      </c>
      <c r="L83" s="4">
        <f t="shared" si="33"/>
        <v>14.950000000000001</v>
      </c>
      <c r="M83" s="4">
        <f t="shared" si="34"/>
        <v>95.05</v>
      </c>
      <c r="N83" s="9"/>
      <c r="O83" s="10">
        <f t="shared" si="35"/>
        <v>-110</v>
      </c>
      <c r="P83" s="10">
        <f t="shared" si="36"/>
        <v>-14.950000000000001</v>
      </c>
      <c r="Q83" s="11">
        <f t="shared" si="37"/>
        <v>0</v>
      </c>
      <c r="R83" s="11">
        <f t="shared" ca="1" si="38"/>
        <v>0</v>
      </c>
      <c r="S83" s="17" t="str">
        <f>_xll.xlqName(C83,tda)</f>
        <v>TEAM Jan 15 2021 110 Put</v>
      </c>
      <c r="T83" s="17"/>
      <c r="W83" s="96"/>
    </row>
    <row r="84" spans="1:23" s="13" customFormat="1" ht="15" customHeight="1" x14ac:dyDescent="0.25">
      <c r="A84" s="3">
        <v>44211</v>
      </c>
      <c r="B84" s="4">
        <v>110</v>
      </c>
      <c r="C84" s="61" t="str">
        <f t="shared" si="26"/>
        <v>TEAM_011521P110</v>
      </c>
      <c r="D84" s="4">
        <f>_xll.xlqBid(C84,tda)</f>
        <v>14.700000000000001</v>
      </c>
      <c r="E84" s="4">
        <f>_xll.xlqAsk(C84,tda)</f>
        <v>15.200000000000001</v>
      </c>
      <c r="F84" s="5">
        <f t="shared" si="27"/>
        <v>14.950000000000001</v>
      </c>
      <c r="G84" s="6">
        <f t="shared" ca="1" si="28"/>
        <v>408</v>
      </c>
      <c r="H84" s="7">
        <f t="shared" ca="1" si="29"/>
        <v>13.377049180327869</v>
      </c>
      <c r="I84" s="8">
        <f t="shared" si="30"/>
        <v>0.13590909090909092</v>
      </c>
      <c r="J84" s="19">
        <f t="shared" ca="1" si="31"/>
        <v>9.5717824851972999E-3</v>
      </c>
      <c r="K84" s="4">
        <f t="shared" si="32"/>
        <v>0</v>
      </c>
      <c r="L84" s="4">
        <f t="shared" si="33"/>
        <v>14.950000000000001</v>
      </c>
      <c r="M84" s="4">
        <f t="shared" si="34"/>
        <v>95.05</v>
      </c>
      <c r="N84" s="9"/>
      <c r="O84" s="10">
        <f t="shared" si="35"/>
        <v>-110</v>
      </c>
      <c r="P84" s="10">
        <f t="shared" si="36"/>
        <v>-14.950000000000001</v>
      </c>
      <c r="Q84" s="11">
        <f t="shared" si="37"/>
        <v>0</v>
      </c>
      <c r="R84" s="11">
        <f t="shared" ca="1" si="38"/>
        <v>0</v>
      </c>
      <c r="S84" s="17" t="str">
        <f>_xll.xlqName(C84,tda)</f>
        <v>TEAM Jan 15 2021 110 Put</v>
      </c>
      <c r="T84" s="17"/>
      <c r="V84" s="98"/>
      <c r="W84" s="96"/>
    </row>
    <row r="85" spans="1:23" ht="15" customHeight="1" x14ac:dyDescent="0.25">
      <c r="A85" s="3">
        <v>44211</v>
      </c>
      <c r="B85" s="4">
        <v>115</v>
      </c>
      <c r="C85" s="61" t="str">
        <f t="shared" si="26"/>
        <v>TEAM_011521P115</v>
      </c>
      <c r="D85" s="4">
        <f>_xll.xlqBid(C85,tda)</f>
        <v>16.900000000000002</v>
      </c>
      <c r="E85" s="4">
        <f>_xll.xlqAsk(C85,tda)</f>
        <v>17.400000000000002</v>
      </c>
      <c r="F85" s="5">
        <f t="shared" si="27"/>
        <v>17.150000000000002</v>
      </c>
      <c r="G85" s="6">
        <f t="shared" ca="1" si="28"/>
        <v>408</v>
      </c>
      <c r="H85" s="7">
        <f t="shared" ca="1" si="29"/>
        <v>13.377049180327869</v>
      </c>
      <c r="I85" s="8">
        <f t="shared" si="30"/>
        <v>0.14913043478260871</v>
      </c>
      <c r="J85" s="19">
        <f t="shared" ca="1" si="31"/>
        <v>1.0445520978924483E-2</v>
      </c>
      <c r="K85" s="4">
        <f t="shared" si="32"/>
        <v>0</v>
      </c>
      <c r="L85" s="4">
        <f t="shared" si="33"/>
        <v>17.150000000000002</v>
      </c>
      <c r="M85" s="4">
        <f t="shared" si="34"/>
        <v>97.85</v>
      </c>
      <c r="N85" s="9"/>
      <c r="O85" s="10">
        <f t="shared" si="35"/>
        <v>-115</v>
      </c>
      <c r="P85" s="10">
        <f t="shared" si="36"/>
        <v>-17.150000000000002</v>
      </c>
      <c r="Q85" s="11">
        <f t="shared" si="37"/>
        <v>0</v>
      </c>
      <c r="R85" s="11">
        <f t="shared" ca="1" si="38"/>
        <v>0</v>
      </c>
      <c r="S85" s="17" t="str">
        <f>_xll.xlqName(C85,tda)</f>
        <v>TEAM Jan 15 2021 115 Put</v>
      </c>
      <c r="T85" s="17"/>
    </row>
    <row r="86" spans="1:23" ht="15" customHeight="1" x14ac:dyDescent="0.25">
      <c r="A86" s="3">
        <v>44211</v>
      </c>
      <c r="B86" s="4">
        <v>115</v>
      </c>
      <c r="C86" s="61" t="str">
        <f t="shared" si="26"/>
        <v>TEAM_011521P115</v>
      </c>
      <c r="D86" s="4">
        <f>_xll.xlqBid(C86,tda)</f>
        <v>16.900000000000002</v>
      </c>
      <c r="E86" s="4">
        <f>_xll.xlqAsk(C86,tda)</f>
        <v>17.400000000000002</v>
      </c>
      <c r="F86" s="5">
        <f t="shared" si="27"/>
        <v>17.150000000000002</v>
      </c>
      <c r="G86" s="6">
        <f t="shared" ca="1" si="28"/>
        <v>408</v>
      </c>
      <c r="H86" s="7">
        <f t="shared" ca="1" si="29"/>
        <v>13.377049180327869</v>
      </c>
      <c r="I86" s="8">
        <f t="shared" si="30"/>
        <v>0.14913043478260871</v>
      </c>
      <c r="J86" s="19">
        <f t="shared" ca="1" si="31"/>
        <v>1.0445520978924483E-2</v>
      </c>
      <c r="K86" s="4">
        <f t="shared" si="32"/>
        <v>0</v>
      </c>
      <c r="L86" s="4">
        <f t="shared" si="33"/>
        <v>17.150000000000002</v>
      </c>
      <c r="M86" s="4">
        <f t="shared" si="34"/>
        <v>97.85</v>
      </c>
      <c r="N86" s="9"/>
      <c r="O86" s="10">
        <f t="shared" si="35"/>
        <v>-115</v>
      </c>
      <c r="P86" s="10">
        <f t="shared" si="36"/>
        <v>-17.150000000000002</v>
      </c>
      <c r="Q86" s="11">
        <f t="shared" si="37"/>
        <v>0</v>
      </c>
      <c r="R86" s="11">
        <f t="shared" ca="1" si="38"/>
        <v>0</v>
      </c>
      <c r="S86" s="17" t="str">
        <f>_xll.xlqName(C86,tda)</f>
        <v>TEAM Jan 15 2021 115 Put</v>
      </c>
      <c r="T86" s="17"/>
    </row>
    <row r="87" spans="1:23" s="13" customFormat="1" ht="15" customHeight="1" x14ac:dyDescent="0.25">
      <c r="A87" s="3">
        <v>44211</v>
      </c>
      <c r="B87" s="4">
        <v>120</v>
      </c>
      <c r="C87" s="61" t="str">
        <f t="shared" si="26"/>
        <v>TEAM_011521P120</v>
      </c>
      <c r="D87" s="4">
        <f>_xll.xlqBid(C87,tda)</f>
        <v>19.2</v>
      </c>
      <c r="E87" s="4">
        <f>_xll.xlqAsk(C87,tda)</f>
        <v>19.8</v>
      </c>
      <c r="F87" s="5">
        <f t="shared" si="27"/>
        <v>19.5</v>
      </c>
      <c r="G87" s="6">
        <f t="shared" ca="1" si="28"/>
        <v>408</v>
      </c>
      <c r="H87" s="7">
        <f t="shared" ca="1" si="29"/>
        <v>13.377049180327869</v>
      </c>
      <c r="I87" s="8">
        <f t="shared" si="30"/>
        <v>0.16250000000000001</v>
      </c>
      <c r="J87" s="19">
        <f t="shared" ca="1" si="31"/>
        <v>1.1319647067465466E-2</v>
      </c>
      <c r="K87" s="4">
        <f t="shared" si="32"/>
        <v>0</v>
      </c>
      <c r="L87" s="4">
        <f t="shared" si="33"/>
        <v>19.5</v>
      </c>
      <c r="M87" s="4">
        <f t="shared" si="34"/>
        <v>100.5</v>
      </c>
      <c r="N87" s="9"/>
      <c r="O87" s="10">
        <f t="shared" si="35"/>
        <v>-120</v>
      </c>
      <c r="P87" s="10">
        <f t="shared" si="36"/>
        <v>-19.5</v>
      </c>
      <c r="Q87" s="11">
        <f t="shared" si="37"/>
        <v>0</v>
      </c>
      <c r="R87" s="11">
        <f t="shared" ca="1" si="38"/>
        <v>0</v>
      </c>
      <c r="S87" s="17" t="str">
        <f>_xll.xlqName(C87,tda)</f>
        <v>TEAM Jan 15 2021 120 Put</v>
      </c>
      <c r="T87" s="17"/>
      <c r="W87" s="96"/>
    </row>
    <row r="88" spans="1:23" s="13" customFormat="1" ht="15" customHeight="1" x14ac:dyDescent="0.25">
      <c r="A88" s="3">
        <v>44211</v>
      </c>
      <c r="B88" s="4">
        <v>120</v>
      </c>
      <c r="C88" s="61" t="str">
        <f t="shared" si="26"/>
        <v>TEAM_011521P120</v>
      </c>
      <c r="D88" s="4">
        <f>_xll.xlqBid(C88,tda)</f>
        <v>19.2</v>
      </c>
      <c r="E88" s="4">
        <f>_xll.xlqAsk(C88,tda)</f>
        <v>19.8</v>
      </c>
      <c r="F88" s="5">
        <f t="shared" si="27"/>
        <v>19.5</v>
      </c>
      <c r="G88" s="6">
        <f t="shared" ca="1" si="28"/>
        <v>408</v>
      </c>
      <c r="H88" s="7">
        <f t="shared" ca="1" si="29"/>
        <v>13.377049180327869</v>
      </c>
      <c r="I88" s="8">
        <f t="shared" si="30"/>
        <v>0.16250000000000001</v>
      </c>
      <c r="J88" s="19">
        <f t="shared" ca="1" si="31"/>
        <v>1.1319647067465466E-2</v>
      </c>
      <c r="K88" s="4">
        <f t="shared" si="32"/>
        <v>0</v>
      </c>
      <c r="L88" s="4">
        <f t="shared" si="33"/>
        <v>19.5</v>
      </c>
      <c r="M88" s="4">
        <f t="shared" si="34"/>
        <v>100.5</v>
      </c>
      <c r="N88" s="9"/>
      <c r="O88" s="10">
        <f t="shared" si="35"/>
        <v>-120</v>
      </c>
      <c r="P88" s="10">
        <f t="shared" si="36"/>
        <v>-19.5</v>
      </c>
      <c r="Q88" s="11">
        <f t="shared" si="37"/>
        <v>0</v>
      </c>
      <c r="R88" s="11">
        <f t="shared" ca="1" si="38"/>
        <v>0</v>
      </c>
      <c r="S88" s="17" t="str">
        <f>_xll.xlqName(C88,tda)</f>
        <v>TEAM Jan 15 2021 120 Put</v>
      </c>
      <c r="T88" s="17"/>
      <c r="W88" s="96"/>
    </row>
    <row r="89" spans="1:23" ht="15" customHeight="1" x14ac:dyDescent="0.25">
      <c r="A89" s="3">
        <v>44211</v>
      </c>
      <c r="B89" s="4">
        <v>125</v>
      </c>
      <c r="C89" s="61" t="str">
        <f t="shared" si="26"/>
        <v>TEAM_011521P125</v>
      </c>
      <c r="D89" s="4">
        <f>_xll.xlqBid(C89,tda)</f>
        <v>21.8</v>
      </c>
      <c r="E89" s="4">
        <f>_xll.xlqAsk(C89,tda)</f>
        <v>22.400000000000002</v>
      </c>
      <c r="F89" s="5">
        <f t="shared" si="27"/>
        <v>22.1</v>
      </c>
      <c r="G89" s="6">
        <f t="shared" ca="1" si="28"/>
        <v>408</v>
      </c>
      <c r="H89" s="7">
        <f t="shared" ca="1" si="29"/>
        <v>13.377049180327869</v>
      </c>
      <c r="I89" s="8">
        <f t="shared" si="30"/>
        <v>0.17680000000000001</v>
      </c>
      <c r="J89" s="19">
        <f t="shared" ca="1" si="31"/>
        <v>1.1495048335040225E-2</v>
      </c>
      <c r="K89" s="4">
        <f t="shared" si="32"/>
        <v>1.4499999999999886</v>
      </c>
      <c r="L89" s="4">
        <f t="shared" si="33"/>
        <v>20.650000000000013</v>
      </c>
      <c r="M89" s="4">
        <f t="shared" si="34"/>
        <v>102.9</v>
      </c>
      <c r="N89" s="9"/>
      <c r="O89" s="10">
        <f t="shared" si="35"/>
        <v>-125</v>
      </c>
      <c r="P89" s="10">
        <f t="shared" si="36"/>
        <v>-22.1</v>
      </c>
      <c r="Q89" s="11">
        <f t="shared" si="37"/>
        <v>0</v>
      </c>
      <c r="R89" s="11">
        <f t="shared" ca="1" si="38"/>
        <v>0</v>
      </c>
      <c r="S89" s="17" t="str">
        <f>_xll.xlqName(C89,tda)</f>
        <v>TEAM Jan 15 2021 125 Put</v>
      </c>
      <c r="T89" s="17"/>
    </row>
    <row r="90" spans="1:23" ht="15" customHeight="1" x14ac:dyDescent="0.25">
      <c r="A90" s="3">
        <v>44211</v>
      </c>
      <c r="B90" s="4">
        <v>125</v>
      </c>
      <c r="C90" s="61" t="str">
        <f t="shared" si="26"/>
        <v>TEAM_011521P125</v>
      </c>
      <c r="D90" s="4">
        <f>_xll.xlqBid(C90,tda)</f>
        <v>21.8</v>
      </c>
      <c r="E90" s="4">
        <f>_xll.xlqAsk(C90,tda)</f>
        <v>22.400000000000002</v>
      </c>
      <c r="F90" s="5">
        <f t="shared" si="27"/>
        <v>22.1</v>
      </c>
      <c r="G90" s="6">
        <f t="shared" ca="1" si="28"/>
        <v>408</v>
      </c>
      <c r="H90" s="7">
        <f t="shared" ca="1" si="29"/>
        <v>13.377049180327869</v>
      </c>
      <c r="I90" s="8">
        <f t="shared" si="30"/>
        <v>0.17680000000000001</v>
      </c>
      <c r="J90" s="19">
        <f t="shared" ca="1" si="31"/>
        <v>1.1495048335040225E-2</v>
      </c>
      <c r="K90" s="4">
        <f t="shared" si="32"/>
        <v>1.4499999999999886</v>
      </c>
      <c r="L90" s="4">
        <f t="shared" si="33"/>
        <v>20.650000000000013</v>
      </c>
      <c r="M90" s="4">
        <f t="shared" si="34"/>
        <v>102.9</v>
      </c>
      <c r="N90" s="9"/>
      <c r="O90" s="10">
        <f t="shared" si="35"/>
        <v>-125</v>
      </c>
      <c r="P90" s="10">
        <f t="shared" si="36"/>
        <v>-22.1</v>
      </c>
      <c r="Q90" s="11">
        <f t="shared" si="37"/>
        <v>0</v>
      </c>
      <c r="R90" s="11">
        <f t="shared" ca="1" si="38"/>
        <v>0</v>
      </c>
      <c r="S90" s="17" t="str">
        <f>_xll.xlqName(C90,tda)</f>
        <v>TEAM Jan 15 2021 125 Put</v>
      </c>
      <c r="T90" s="17"/>
    </row>
    <row r="91" spans="1:23" ht="15" customHeight="1" x14ac:dyDescent="0.25">
      <c r="A91" s="3">
        <v>44211</v>
      </c>
      <c r="B91" s="4">
        <v>130</v>
      </c>
      <c r="C91" s="61" t="str">
        <f t="shared" si="26"/>
        <v>TEAM_011521P130</v>
      </c>
      <c r="D91" s="4">
        <f>_xll.xlqBid(C91,tda)</f>
        <v>24.6</v>
      </c>
      <c r="E91" s="4">
        <f>_xll.xlqAsk(C91,tda)</f>
        <v>25.1</v>
      </c>
      <c r="F91" s="5">
        <f t="shared" si="27"/>
        <v>24.85</v>
      </c>
      <c r="G91" s="6">
        <f t="shared" ca="1" si="28"/>
        <v>408</v>
      </c>
      <c r="H91" s="7">
        <f t="shared" ca="1" si="29"/>
        <v>13.377049180327869</v>
      </c>
      <c r="I91" s="8">
        <f t="shared" si="30"/>
        <v>0.19115384615384617</v>
      </c>
      <c r="J91" s="19">
        <f t="shared" ca="1" si="31"/>
        <v>9.9449462529119792E-3</v>
      </c>
      <c r="K91" s="4">
        <f t="shared" si="32"/>
        <v>6.4499999999999886</v>
      </c>
      <c r="L91" s="4">
        <f t="shared" si="33"/>
        <v>18.400000000000013</v>
      </c>
      <c r="M91" s="4">
        <f t="shared" si="34"/>
        <v>105.15</v>
      </c>
      <c r="N91" s="9"/>
      <c r="O91" s="10">
        <f t="shared" si="35"/>
        <v>-130</v>
      </c>
      <c r="P91" s="10">
        <f t="shared" si="36"/>
        <v>-24.85</v>
      </c>
      <c r="Q91" s="11">
        <f t="shared" si="37"/>
        <v>0</v>
      </c>
      <c r="R91" s="11">
        <f t="shared" ca="1" si="38"/>
        <v>0</v>
      </c>
      <c r="S91" s="17" t="str">
        <f>_xll.xlqName(C91,tda)</f>
        <v>TEAM Jan 15 2021 130 Put</v>
      </c>
      <c r="T91" s="17"/>
    </row>
    <row r="92" spans="1:23" ht="15" customHeight="1" x14ac:dyDescent="0.25">
      <c r="A92" s="3">
        <v>44211</v>
      </c>
      <c r="B92" s="4">
        <v>135</v>
      </c>
      <c r="C92" s="61" t="str">
        <f t="shared" si="26"/>
        <v>TEAM_011521P135</v>
      </c>
      <c r="D92" s="4">
        <f>_xll.xlqBid(C92,tda)</f>
        <v>27.400000000000002</v>
      </c>
      <c r="E92" s="4">
        <f>_xll.xlqAsk(C92,tda)</f>
        <v>28.1</v>
      </c>
      <c r="F92" s="5">
        <f t="shared" si="27"/>
        <v>27.75</v>
      </c>
      <c r="G92" s="6">
        <f t="shared" ca="1" si="28"/>
        <v>408</v>
      </c>
      <c r="H92" s="7">
        <f t="shared" ca="1" si="29"/>
        <v>13.377049180327869</v>
      </c>
      <c r="I92" s="8">
        <f t="shared" si="30"/>
        <v>0.20555555555555555</v>
      </c>
      <c r="J92" s="19">
        <f t="shared" ca="1" si="31"/>
        <v>8.5577091079431789E-3</v>
      </c>
      <c r="K92" s="4">
        <f t="shared" si="32"/>
        <v>11.449999999999989</v>
      </c>
      <c r="L92" s="4">
        <f t="shared" si="33"/>
        <v>16.300000000000011</v>
      </c>
      <c r="M92" s="4">
        <f t="shared" si="34"/>
        <v>107.25</v>
      </c>
      <c r="N92" s="9"/>
      <c r="O92" s="10">
        <f t="shared" si="35"/>
        <v>-135</v>
      </c>
      <c r="P92" s="10">
        <f t="shared" si="36"/>
        <v>-27.75</v>
      </c>
      <c r="Q92" s="11">
        <f t="shared" si="37"/>
        <v>0</v>
      </c>
      <c r="R92" s="11">
        <f t="shared" ca="1" si="38"/>
        <v>0</v>
      </c>
      <c r="S92" s="17" t="str">
        <f>_xll.xlqName(C92,tda)</f>
        <v>TEAM Jan 15 2021 135 Put</v>
      </c>
      <c r="T92" s="17"/>
    </row>
    <row r="93" spans="1:23" ht="15" customHeight="1" x14ac:dyDescent="0.25">
      <c r="A93" s="3">
        <v>44211</v>
      </c>
      <c r="B93" s="4">
        <v>140</v>
      </c>
      <c r="C93" s="61" t="str">
        <f t="shared" si="26"/>
        <v>TEAM_011521P140</v>
      </c>
      <c r="D93" s="4">
        <f>_xll.xlqBid(C93,tda)</f>
        <v>30.400000000000002</v>
      </c>
      <c r="E93" s="4">
        <f>_xll.xlqAsk(C93,tda)</f>
        <v>31.1</v>
      </c>
      <c r="F93" s="5">
        <f t="shared" si="27"/>
        <v>30.75</v>
      </c>
      <c r="G93" s="6">
        <f t="shared" ca="1" si="28"/>
        <v>408</v>
      </c>
      <c r="H93" s="7">
        <f t="shared" ca="1" si="29"/>
        <v>13.377049180327869</v>
      </c>
      <c r="I93" s="8">
        <f t="shared" si="30"/>
        <v>0.21964285714285714</v>
      </c>
      <c r="J93" s="19">
        <f t="shared" ca="1" si="31"/>
        <v>7.296881356731344E-3</v>
      </c>
      <c r="K93" s="4">
        <f t="shared" si="32"/>
        <v>16.449999999999989</v>
      </c>
      <c r="L93" s="4">
        <f t="shared" si="33"/>
        <v>14.300000000000011</v>
      </c>
      <c r="M93" s="4">
        <f t="shared" si="34"/>
        <v>109.25</v>
      </c>
      <c r="N93" s="9"/>
      <c r="O93" s="10">
        <f t="shared" si="35"/>
        <v>-140</v>
      </c>
      <c r="P93" s="10">
        <f t="shared" si="36"/>
        <v>-30.75</v>
      </c>
      <c r="Q93" s="11">
        <f t="shared" si="37"/>
        <v>0</v>
      </c>
      <c r="R93" s="11">
        <f t="shared" ca="1" si="38"/>
        <v>0</v>
      </c>
      <c r="S93" s="17" t="str">
        <f>_xll.xlqName(C93,tda)</f>
        <v>TEAM Jan 15 2021 140 Put</v>
      </c>
      <c r="T93" s="17"/>
    </row>
    <row r="94" spans="1:23" ht="15" customHeight="1" x14ac:dyDescent="0.25">
      <c r="A94" s="3">
        <v>44211</v>
      </c>
      <c r="B94" s="4">
        <v>145</v>
      </c>
      <c r="C94" s="61" t="str">
        <f t="shared" si="26"/>
        <v>TEAM_011521P145</v>
      </c>
      <c r="D94" s="4">
        <f>_xll.xlqBid(C94,tda)</f>
        <v>33.6</v>
      </c>
      <c r="E94" s="4">
        <f>_xll.xlqAsk(C94,tda)</f>
        <v>34.300000000000004</v>
      </c>
      <c r="F94" s="5">
        <f t="shared" si="27"/>
        <v>33.950000000000003</v>
      </c>
      <c r="G94" s="6">
        <f t="shared" ca="1" si="28"/>
        <v>408</v>
      </c>
      <c r="H94" s="7">
        <f t="shared" ca="1" si="29"/>
        <v>13.377049180327869</v>
      </c>
      <c r="I94" s="8">
        <f t="shared" si="30"/>
        <v>0.23413793103448277</v>
      </c>
      <c r="J94" s="19">
        <f t="shared" ca="1" si="31"/>
        <v>6.2007566987964946E-3</v>
      </c>
      <c r="K94" s="4">
        <f t="shared" si="32"/>
        <v>21.449999999999989</v>
      </c>
      <c r="L94" s="4">
        <f t="shared" si="33"/>
        <v>12.500000000000014</v>
      </c>
      <c r="M94" s="4">
        <f t="shared" si="34"/>
        <v>111.05</v>
      </c>
      <c r="N94" s="9"/>
      <c r="O94" s="10">
        <f t="shared" si="35"/>
        <v>-145</v>
      </c>
      <c r="P94" s="10">
        <f t="shared" si="36"/>
        <v>-33.950000000000003</v>
      </c>
      <c r="Q94" s="11">
        <f t="shared" si="37"/>
        <v>0</v>
      </c>
      <c r="R94" s="11">
        <f t="shared" ca="1" si="38"/>
        <v>0</v>
      </c>
      <c r="S94" s="17" t="str">
        <f>_xll.xlqName(C94,tda)</f>
        <v>TEAM Jan 15 2021 145 Put</v>
      </c>
      <c r="T94" s="17"/>
    </row>
    <row r="95" spans="1:23" ht="15" customHeight="1" x14ac:dyDescent="0.25">
      <c r="A95" s="3">
        <v>44211</v>
      </c>
      <c r="B95" s="4">
        <v>150</v>
      </c>
      <c r="C95" s="61" t="str">
        <f t="shared" si="26"/>
        <v>TEAM_011521P150</v>
      </c>
      <c r="D95" s="4">
        <f>_xll.xlqBid(C95,tda)</f>
        <v>36.9</v>
      </c>
      <c r="E95" s="4">
        <f>_xll.xlqAsk(C95,tda)</f>
        <v>37.6</v>
      </c>
      <c r="F95" s="5">
        <f t="shared" si="27"/>
        <v>37.25</v>
      </c>
      <c r="G95" s="6">
        <f t="shared" ca="1" si="28"/>
        <v>408</v>
      </c>
      <c r="H95" s="7">
        <f t="shared" ca="1" si="29"/>
        <v>13.377049180327869</v>
      </c>
      <c r="I95" s="8">
        <f t="shared" si="30"/>
        <v>0.24833333333333332</v>
      </c>
      <c r="J95" s="19">
        <f t="shared" ca="1" si="31"/>
        <v>5.2109439833019078E-3</v>
      </c>
      <c r="K95" s="4">
        <f t="shared" si="32"/>
        <v>26.449999999999989</v>
      </c>
      <c r="L95" s="4">
        <f t="shared" si="33"/>
        <v>10.800000000000011</v>
      </c>
      <c r="M95" s="4">
        <f t="shared" si="34"/>
        <v>112.75</v>
      </c>
      <c r="N95" s="9"/>
      <c r="O95" s="10">
        <f t="shared" si="35"/>
        <v>-150</v>
      </c>
      <c r="P95" s="10">
        <f t="shared" si="36"/>
        <v>-37.25</v>
      </c>
      <c r="Q95" s="11">
        <f t="shared" si="37"/>
        <v>0</v>
      </c>
      <c r="R95" s="11">
        <f t="shared" ca="1" si="38"/>
        <v>0</v>
      </c>
      <c r="S95" s="17" t="str">
        <f>_xll.xlqName(C95,tda)</f>
        <v>TEAM Jan 15 2021 150 Put</v>
      </c>
      <c r="T95" s="17"/>
    </row>
    <row r="96" spans="1:23" ht="15" customHeight="1" x14ac:dyDescent="0.25">
      <c r="A96" s="3">
        <v>44211</v>
      </c>
      <c r="B96" s="4">
        <v>155</v>
      </c>
      <c r="C96" s="61" t="str">
        <f t="shared" si="26"/>
        <v>TEAM_011521P155</v>
      </c>
      <c r="D96" s="4">
        <f>_xll.xlqBid(C96,tda)</f>
        <v>40.4</v>
      </c>
      <c r="E96" s="4">
        <f>_xll.xlqAsk(C96,tda)</f>
        <v>41.1</v>
      </c>
      <c r="F96" s="5">
        <f t="shared" si="27"/>
        <v>40.75</v>
      </c>
      <c r="G96" s="6">
        <f t="shared" ca="1" si="28"/>
        <v>408</v>
      </c>
      <c r="H96" s="7">
        <f t="shared" ca="1" si="29"/>
        <v>13.377049180327869</v>
      </c>
      <c r="I96" s="8">
        <f t="shared" si="30"/>
        <v>0.26290322580645159</v>
      </c>
      <c r="J96" s="19">
        <f t="shared" ca="1" si="31"/>
        <v>4.3653871774267383E-3</v>
      </c>
      <c r="K96" s="4">
        <f t="shared" si="32"/>
        <v>31.449999999999989</v>
      </c>
      <c r="L96" s="4">
        <f t="shared" si="33"/>
        <v>9.3000000000000114</v>
      </c>
      <c r="M96" s="4">
        <f t="shared" si="34"/>
        <v>114.25</v>
      </c>
      <c r="N96" s="9"/>
      <c r="O96" s="10">
        <f t="shared" si="35"/>
        <v>-155</v>
      </c>
      <c r="P96" s="10">
        <f t="shared" si="36"/>
        <v>-40.75</v>
      </c>
      <c r="Q96" s="11">
        <f t="shared" si="37"/>
        <v>0</v>
      </c>
      <c r="R96" s="11">
        <f t="shared" ca="1" si="38"/>
        <v>0</v>
      </c>
      <c r="S96" s="17" t="str">
        <f>_xll.xlqName(C96,tda)</f>
        <v>TEAM Jan 15 2021 155 Put</v>
      </c>
      <c r="T96" s="17"/>
    </row>
    <row r="97" spans="1:23" s="17" customFormat="1" ht="15" customHeight="1" x14ac:dyDescent="0.25">
      <c r="A97" s="3">
        <v>44211</v>
      </c>
      <c r="B97" s="4">
        <v>160</v>
      </c>
      <c r="C97" s="61" t="str">
        <f t="shared" si="26"/>
        <v>TEAM_011521P160</v>
      </c>
      <c r="D97" s="4">
        <f>_xll.xlqBid(C97,tda)</f>
        <v>43.9</v>
      </c>
      <c r="E97" s="4">
        <f>_xll.xlqAsk(C97,tda)</f>
        <v>44.800000000000004</v>
      </c>
      <c r="F97" s="5">
        <f t="shared" si="27"/>
        <v>44.35</v>
      </c>
      <c r="G97" s="6">
        <f t="shared" ca="1" si="28"/>
        <v>408</v>
      </c>
      <c r="H97" s="7">
        <f t="shared" ca="1" si="29"/>
        <v>13.377049180327869</v>
      </c>
      <c r="I97" s="8">
        <f t="shared" si="30"/>
        <v>0.27718750000000003</v>
      </c>
      <c r="J97" s="19">
        <f t="shared" ca="1" si="31"/>
        <v>3.6092915877377063E-3</v>
      </c>
      <c r="K97" s="4">
        <f t="shared" si="32"/>
        <v>36.449999999999989</v>
      </c>
      <c r="L97" s="4">
        <f t="shared" si="33"/>
        <v>7.9000000000000128</v>
      </c>
      <c r="M97" s="4">
        <f t="shared" si="34"/>
        <v>115.65</v>
      </c>
      <c r="N97" s="9"/>
      <c r="O97" s="10">
        <f t="shared" si="35"/>
        <v>-160</v>
      </c>
      <c r="P97" s="10">
        <f t="shared" si="36"/>
        <v>-44.35</v>
      </c>
      <c r="Q97" s="11">
        <f t="shared" si="37"/>
        <v>0</v>
      </c>
      <c r="R97" s="11">
        <f t="shared" ca="1" si="38"/>
        <v>0</v>
      </c>
      <c r="S97" s="17" t="str">
        <f>_xll.xlqName(C97,tda)</f>
        <v>TEAM Jan 15 2021 160 Put</v>
      </c>
      <c r="W97" s="97"/>
    </row>
    <row r="98" spans="1:23" ht="15" customHeight="1" x14ac:dyDescent="0.25">
      <c r="A98" s="3">
        <v>44211</v>
      </c>
      <c r="B98" s="4">
        <v>165</v>
      </c>
      <c r="C98" s="61" t="str">
        <f t="shared" ref="C98:C100" si="39">CONCATENATE($W$1,"_",TEXT(MONTH(A98),"00"),TEXT(DAY(A98),"00"),TEXT(MOD(YEAR(A98),100),"00"),$W$2,B98&amp;"")</f>
        <v>TEAM_011521P165</v>
      </c>
      <c r="D98" s="4">
        <f>_xll.xlqBid(C98,tda)</f>
        <v>47.900000000000006</v>
      </c>
      <c r="E98" s="4">
        <f>_xll.xlqAsk(C98,tda)</f>
        <v>48.5</v>
      </c>
      <c r="F98" s="5">
        <f t="shared" ref="F98:F100" si="40">(D98+E98)/2</f>
        <v>48.2</v>
      </c>
      <c r="G98" s="6">
        <f t="shared" ca="1" si="28"/>
        <v>408</v>
      </c>
      <c r="H98" s="7">
        <f t="shared" ref="H98:H100" ca="1" si="41">G98/30.5</f>
        <v>13.377049180327869</v>
      </c>
      <c r="I98" s="8">
        <f t="shared" si="30"/>
        <v>0.29212121212121211</v>
      </c>
      <c r="J98" s="19">
        <f t="shared" ca="1" si="31"/>
        <v>3.0017534837440962E-3</v>
      </c>
      <c r="K98" s="4">
        <f t="shared" si="32"/>
        <v>41.449999999999989</v>
      </c>
      <c r="L98" s="4">
        <f t="shared" ref="L98:L100" si="42">F98-K98</f>
        <v>6.7500000000000142</v>
      </c>
      <c r="M98" s="4">
        <f t="shared" si="34"/>
        <v>116.8</v>
      </c>
      <c r="N98" s="9"/>
      <c r="O98" s="10">
        <f t="shared" si="35"/>
        <v>-165</v>
      </c>
      <c r="P98" s="10">
        <f t="shared" si="36"/>
        <v>-48.2</v>
      </c>
      <c r="Q98" s="11">
        <f t="shared" ref="Q98:Q100" si="43">IF(O98&gt;0,MAX(0,(O98-P98)/P98),0)</f>
        <v>0</v>
      </c>
      <c r="R98" s="11">
        <f t="shared" ref="R98:R100" ca="1" si="44">Q98/(H98/3)</f>
        <v>0</v>
      </c>
      <c r="S98" s="17" t="str">
        <f>_xll.xlqName(C98,tda)</f>
        <v>TEAM Jan 15 2021 165 Put</v>
      </c>
      <c r="T98" s="17"/>
    </row>
    <row r="99" spans="1:23" ht="15" customHeight="1" x14ac:dyDescent="0.25">
      <c r="A99" s="3">
        <v>44211</v>
      </c>
      <c r="B99" s="4">
        <v>170</v>
      </c>
      <c r="C99" s="61" t="str">
        <f t="shared" si="39"/>
        <v>TEAM_011521P170</v>
      </c>
      <c r="D99" s="4">
        <f>_xll.xlqBid(C99,tda)</f>
        <v>51.800000000000004</v>
      </c>
      <c r="E99" s="4">
        <f>_xll.xlqAsk(C99,tda)</f>
        <v>52.5</v>
      </c>
      <c r="F99" s="5">
        <f t="shared" si="40"/>
        <v>52.150000000000006</v>
      </c>
      <c r="G99" s="6">
        <f t="shared" ca="1" si="28"/>
        <v>408</v>
      </c>
      <c r="H99" s="7">
        <f t="shared" ca="1" si="41"/>
        <v>13.377049180327869</v>
      </c>
      <c r="I99" s="8">
        <f t="shared" si="30"/>
        <v>0.30676470588235299</v>
      </c>
      <c r="J99" s="19">
        <f t="shared" ca="1" si="31"/>
        <v>2.4684251929312229E-3</v>
      </c>
      <c r="K99" s="4">
        <f t="shared" si="32"/>
        <v>46.449999999999989</v>
      </c>
      <c r="L99" s="4">
        <f t="shared" si="42"/>
        <v>5.7000000000000171</v>
      </c>
      <c r="M99" s="4">
        <f t="shared" si="34"/>
        <v>117.85</v>
      </c>
      <c r="N99" s="9"/>
      <c r="O99" s="10">
        <f t="shared" si="35"/>
        <v>-170</v>
      </c>
      <c r="P99" s="10">
        <f t="shared" si="36"/>
        <v>-52.150000000000006</v>
      </c>
      <c r="Q99" s="11">
        <f t="shared" si="43"/>
        <v>0</v>
      </c>
      <c r="R99" s="11">
        <f t="shared" ca="1" si="44"/>
        <v>0</v>
      </c>
      <c r="S99" s="17" t="str">
        <f>_xll.xlqName(C99,tda)</f>
        <v>TEAM Jan 15 2021 170 Put</v>
      </c>
      <c r="T99" s="17"/>
    </row>
    <row r="100" spans="1:23" ht="15" customHeight="1" x14ac:dyDescent="0.25">
      <c r="A100" s="3">
        <v>44211</v>
      </c>
      <c r="B100" s="4">
        <v>175</v>
      </c>
      <c r="C100" s="61" t="str">
        <f t="shared" si="39"/>
        <v>TEAM_011521P175</v>
      </c>
      <c r="D100" s="4">
        <f>_xll.xlqBid(C100,tda)</f>
        <v>55.300000000000004</v>
      </c>
      <c r="E100" s="4">
        <f>_xll.xlqAsk(C100,tda)</f>
        <v>56.5</v>
      </c>
      <c r="F100" s="5">
        <f t="shared" si="40"/>
        <v>55.900000000000006</v>
      </c>
      <c r="G100" s="6">
        <f t="shared" ca="1" si="28"/>
        <v>408</v>
      </c>
      <c r="H100" s="7">
        <f t="shared" ca="1" si="41"/>
        <v>13.377049180327869</v>
      </c>
      <c r="I100" s="8">
        <f t="shared" si="30"/>
        <v>0.31942857142857145</v>
      </c>
      <c r="J100" s="19">
        <f t="shared" ca="1" si="31"/>
        <v>1.8789066428994694E-3</v>
      </c>
      <c r="K100" s="4">
        <f t="shared" si="32"/>
        <v>51.449999999999989</v>
      </c>
      <c r="L100" s="4">
        <f t="shared" si="42"/>
        <v>4.4500000000000171</v>
      </c>
      <c r="M100" s="4">
        <f t="shared" si="34"/>
        <v>119.1</v>
      </c>
      <c r="N100" s="9"/>
      <c r="O100" s="10">
        <f t="shared" si="35"/>
        <v>-175</v>
      </c>
      <c r="P100" s="10">
        <f t="shared" si="36"/>
        <v>-55.900000000000006</v>
      </c>
      <c r="Q100" s="11">
        <f t="shared" si="43"/>
        <v>0</v>
      </c>
      <c r="R100" s="11">
        <f t="shared" ca="1" si="44"/>
        <v>0</v>
      </c>
      <c r="S100" s="17" t="str">
        <f>_xll.xlqName(C100,tda)</f>
        <v>TEAM Jan 15 2021 175 Put</v>
      </c>
      <c r="T100" s="17"/>
    </row>
    <row r="101" spans="1:23" ht="15" customHeight="1" x14ac:dyDescent="0.25">
      <c r="A101" s="3"/>
      <c r="B101" s="4"/>
    </row>
    <row r="102" spans="1:23" ht="15" customHeight="1" x14ac:dyDescent="0.25">
      <c r="A102" s="3"/>
      <c r="B102" s="4"/>
    </row>
    <row r="103" spans="1:23" ht="15" customHeight="1" x14ac:dyDescent="0.25">
      <c r="A103" s="3"/>
      <c r="B103" s="4"/>
    </row>
    <row r="104" spans="1:23" ht="15" customHeight="1" x14ac:dyDescent="0.25">
      <c r="A104" s="3"/>
      <c r="B104" s="4"/>
    </row>
    <row r="105" spans="1:23" ht="15" customHeight="1" x14ac:dyDescent="0.25">
      <c r="A105" s="3"/>
      <c r="B105" s="4"/>
    </row>
    <row r="106" spans="1:23" ht="15" customHeight="1" x14ac:dyDescent="0.25">
      <c r="A106" s="3"/>
      <c r="B106" s="4"/>
    </row>
    <row r="107" spans="1:23" ht="15" customHeight="1" x14ac:dyDescent="0.25">
      <c r="A107" s="3"/>
      <c r="B107" s="4"/>
    </row>
    <row r="108" spans="1:23" ht="15" customHeight="1" x14ac:dyDescent="0.25">
      <c r="A108" s="3"/>
      <c r="B108" s="4"/>
    </row>
    <row r="109" spans="1:23" ht="15" customHeight="1" x14ac:dyDescent="0.25">
      <c r="A109" s="3"/>
      <c r="B109" s="4"/>
    </row>
    <row r="110" spans="1:23" ht="15" customHeight="1" x14ac:dyDescent="0.25">
      <c r="A110" s="3"/>
      <c r="B110" s="4"/>
    </row>
    <row r="111" spans="1:23" ht="15" customHeight="1" x14ac:dyDescent="0.25">
      <c r="A111" s="3"/>
      <c r="B111" s="4"/>
    </row>
    <row r="112" spans="1:23" ht="15" customHeight="1" x14ac:dyDescent="0.25">
      <c r="A112" s="3"/>
      <c r="B112" s="4"/>
    </row>
    <row r="113" spans="1:2" ht="15" customHeight="1" x14ac:dyDescent="0.25">
      <c r="A113" s="3"/>
      <c r="B113" s="4"/>
    </row>
    <row r="114" spans="1:2" ht="15" customHeight="1" x14ac:dyDescent="0.25">
      <c r="A114" s="3"/>
      <c r="B114" s="4"/>
    </row>
    <row r="115" spans="1:2" ht="15" customHeight="1" x14ac:dyDescent="0.25">
      <c r="A115" s="3"/>
      <c r="B115" s="4"/>
    </row>
    <row r="116" spans="1:2" ht="15" customHeight="1" x14ac:dyDescent="0.25">
      <c r="A116" s="3"/>
      <c r="B116" s="4"/>
    </row>
    <row r="117" spans="1:2" ht="15" customHeight="1" x14ac:dyDescent="0.25">
      <c r="A117" s="3"/>
      <c r="B117" s="4"/>
    </row>
    <row r="118" spans="1:2" ht="15" customHeight="1" x14ac:dyDescent="0.25">
      <c r="A118" s="3"/>
      <c r="B118" s="4"/>
    </row>
    <row r="119" spans="1:2" ht="15" customHeight="1" x14ac:dyDescent="0.25">
      <c r="A119" s="3"/>
      <c r="B119" s="4"/>
    </row>
    <row r="120" spans="1:2" ht="15" customHeight="1" x14ac:dyDescent="0.25">
      <c r="A120" s="3"/>
      <c r="B120" s="4"/>
    </row>
    <row r="121" spans="1:2" ht="15" customHeight="1" x14ac:dyDescent="0.25">
      <c r="A121" s="3"/>
      <c r="B121" s="4"/>
    </row>
    <row r="122" spans="1:2" ht="15" customHeight="1" x14ac:dyDescent="0.25">
      <c r="A122" s="3"/>
      <c r="B122" s="4"/>
    </row>
    <row r="123" spans="1:2" ht="15" customHeight="1" x14ac:dyDescent="0.25">
      <c r="A123" s="3"/>
      <c r="B123" s="4"/>
    </row>
    <row r="124" spans="1:2" ht="15" customHeight="1" x14ac:dyDescent="0.25">
      <c r="A124" s="3"/>
      <c r="B124" s="4"/>
    </row>
    <row r="125" spans="1:2" ht="15" customHeight="1" x14ac:dyDescent="0.25">
      <c r="A125" s="3"/>
      <c r="B125" s="4"/>
    </row>
    <row r="126" spans="1:2" ht="15" customHeight="1" x14ac:dyDescent="0.25">
      <c r="A126" s="3"/>
      <c r="B126" s="4"/>
    </row>
    <row r="127" spans="1:2" ht="15" customHeight="1" x14ac:dyDescent="0.25">
      <c r="A127" s="3"/>
      <c r="B127" s="4"/>
    </row>
    <row r="128" spans="1:2" ht="15" customHeight="1" x14ac:dyDescent="0.25">
      <c r="A128" s="3"/>
      <c r="B128" s="4"/>
    </row>
    <row r="129" spans="1:2" ht="15" customHeight="1" x14ac:dyDescent="0.25">
      <c r="A129" s="3"/>
      <c r="B129" s="4"/>
    </row>
    <row r="130" spans="1:2" ht="15" customHeight="1" x14ac:dyDescent="0.25">
      <c r="A130" s="3"/>
      <c r="B130" s="4"/>
    </row>
    <row r="131" spans="1:2" ht="15" customHeight="1" x14ac:dyDescent="0.25">
      <c r="A131" s="3"/>
      <c r="B131" s="4"/>
    </row>
    <row r="132" spans="1:2" ht="15" customHeight="1" x14ac:dyDescent="0.25">
      <c r="A132" s="3"/>
      <c r="B132" s="4"/>
    </row>
    <row r="133" spans="1:2" ht="15" customHeight="1" x14ac:dyDescent="0.25">
      <c r="A133" s="3"/>
      <c r="B133" s="4"/>
    </row>
    <row r="134" spans="1:2" ht="15" customHeight="1" x14ac:dyDescent="0.25">
      <c r="A134" s="3"/>
      <c r="B134" s="4"/>
    </row>
    <row r="135" spans="1:2" ht="15" customHeight="1" x14ac:dyDescent="0.25">
      <c r="A135" s="3"/>
      <c r="B135" s="4"/>
    </row>
    <row r="136" spans="1:2" ht="15" customHeight="1" x14ac:dyDescent="0.25">
      <c r="A136" s="3"/>
      <c r="B136" s="4"/>
    </row>
    <row r="137" spans="1:2" ht="15" customHeight="1" x14ac:dyDescent="0.25">
      <c r="A137" s="3"/>
      <c r="B137" s="4"/>
    </row>
    <row r="138" spans="1:2" ht="15" customHeight="1" x14ac:dyDescent="0.25">
      <c r="A138" s="3"/>
      <c r="B138" s="4"/>
    </row>
    <row r="139" spans="1:2" ht="15" customHeight="1" x14ac:dyDescent="0.25">
      <c r="A139" s="3"/>
      <c r="B139" s="4"/>
    </row>
    <row r="140" spans="1:2" ht="15" customHeight="1" x14ac:dyDescent="0.25">
      <c r="A140" s="3"/>
      <c r="B140" s="4"/>
    </row>
    <row r="141" spans="1:2" ht="15" customHeight="1" x14ac:dyDescent="0.25">
      <c r="A141" s="3"/>
      <c r="B141" s="4"/>
    </row>
    <row r="142" spans="1:2" ht="15" customHeight="1" x14ac:dyDescent="0.25">
      <c r="A142" s="3"/>
      <c r="B142" s="4"/>
    </row>
    <row r="143" spans="1:2" ht="15" customHeight="1" x14ac:dyDescent="0.25">
      <c r="A143" s="3"/>
      <c r="B143" s="4"/>
    </row>
    <row r="144" spans="1:2" ht="15" customHeight="1" x14ac:dyDescent="0.25">
      <c r="A144" s="3"/>
      <c r="B144" s="4"/>
    </row>
    <row r="145" spans="1:2" ht="15" customHeight="1" x14ac:dyDescent="0.25">
      <c r="A145" s="3"/>
      <c r="B145" s="4"/>
    </row>
    <row r="146" spans="1:2" ht="15" customHeight="1" x14ac:dyDescent="0.25">
      <c r="A146" s="3"/>
      <c r="B146" s="4"/>
    </row>
    <row r="147" spans="1:2" ht="15" customHeight="1" x14ac:dyDescent="0.25">
      <c r="A147" s="3"/>
      <c r="B147" s="4"/>
    </row>
    <row r="148" spans="1:2" ht="15" customHeight="1" x14ac:dyDescent="0.25">
      <c r="A148" s="3"/>
      <c r="B148" s="4"/>
    </row>
    <row r="149" spans="1:2" ht="15" customHeight="1" x14ac:dyDescent="0.25">
      <c r="A149" s="3"/>
      <c r="B149" s="4"/>
    </row>
    <row r="150" spans="1:2" ht="15" customHeight="1" x14ac:dyDescent="0.25">
      <c r="A150" s="3"/>
      <c r="B150" s="4"/>
    </row>
    <row r="151" spans="1:2" ht="15" customHeight="1" x14ac:dyDescent="0.25">
      <c r="A151" s="3"/>
      <c r="B151" s="4"/>
    </row>
    <row r="152" spans="1:2" ht="15" customHeight="1" x14ac:dyDescent="0.25">
      <c r="A152" s="3"/>
      <c r="B152" s="4"/>
    </row>
    <row r="153" spans="1:2" ht="15" customHeight="1" x14ac:dyDescent="0.25">
      <c r="A153" s="3"/>
      <c r="B153" s="4"/>
    </row>
    <row r="154" spans="1:2" ht="15" customHeight="1" x14ac:dyDescent="0.25">
      <c r="A154" s="3"/>
      <c r="B154" s="4"/>
    </row>
    <row r="155" spans="1:2" ht="15" customHeight="1" x14ac:dyDescent="0.25">
      <c r="A155" s="3"/>
      <c r="B155" s="4"/>
    </row>
    <row r="156" spans="1:2" ht="15" customHeight="1" x14ac:dyDescent="0.25">
      <c r="A156" s="3"/>
      <c r="B156" s="4"/>
    </row>
    <row r="157" spans="1:2" ht="15" customHeight="1" x14ac:dyDescent="0.25">
      <c r="A157" s="3"/>
      <c r="B157" s="4"/>
    </row>
    <row r="158" spans="1:2" ht="15" customHeight="1" x14ac:dyDescent="0.25">
      <c r="A158" s="3"/>
      <c r="B158" s="4"/>
    </row>
    <row r="159" spans="1:2" ht="15" customHeight="1" x14ac:dyDescent="0.25">
      <c r="A159" s="3"/>
      <c r="B159" s="4"/>
    </row>
    <row r="160" spans="1:2" ht="15" customHeight="1" x14ac:dyDescent="0.25">
      <c r="A160" s="3"/>
      <c r="B160" s="4"/>
    </row>
    <row r="161" spans="1:2" ht="15" customHeight="1" x14ac:dyDescent="0.25">
      <c r="A161" s="3"/>
      <c r="B161" s="4"/>
    </row>
    <row r="162" spans="1:2" ht="15" customHeight="1" x14ac:dyDescent="0.25">
      <c r="A162" s="3"/>
      <c r="B162" s="4"/>
    </row>
    <row r="163" spans="1:2" ht="15" customHeight="1" x14ac:dyDescent="0.25">
      <c r="A163" s="3"/>
      <c r="B163" s="4"/>
    </row>
    <row r="164" spans="1:2" ht="15" customHeight="1" x14ac:dyDescent="0.25">
      <c r="A164" s="3"/>
      <c r="B164" s="4"/>
    </row>
    <row r="165" spans="1:2" ht="15" customHeight="1" x14ac:dyDescent="0.25">
      <c r="A165" s="3"/>
      <c r="B165" s="4"/>
    </row>
    <row r="166" spans="1:2" ht="15" customHeight="1" x14ac:dyDescent="0.25">
      <c r="A166" s="3"/>
      <c r="B166" s="4"/>
    </row>
    <row r="167" spans="1:2" ht="15" customHeight="1" x14ac:dyDescent="0.25">
      <c r="A167" s="3"/>
      <c r="B167" s="4"/>
    </row>
    <row r="168" spans="1:2" ht="15" customHeight="1" x14ac:dyDescent="0.25">
      <c r="A168" s="3"/>
      <c r="B168" s="4"/>
    </row>
    <row r="169" spans="1:2" ht="15" customHeight="1" x14ac:dyDescent="0.25">
      <c r="A169" s="3"/>
      <c r="B169" s="4"/>
    </row>
    <row r="170" spans="1:2" ht="15" customHeight="1" x14ac:dyDescent="0.25">
      <c r="A170" s="3"/>
      <c r="B170" s="4"/>
    </row>
    <row r="171" spans="1:2" ht="15" customHeight="1" x14ac:dyDescent="0.25">
      <c r="A171" s="3"/>
      <c r="B171" s="4"/>
    </row>
    <row r="172" spans="1:2" ht="15" customHeight="1" x14ac:dyDescent="0.25">
      <c r="A172" s="3"/>
      <c r="B172" s="4"/>
    </row>
    <row r="173" spans="1:2" ht="15" customHeight="1" x14ac:dyDescent="0.25">
      <c r="A173" s="3"/>
      <c r="B173" s="4"/>
    </row>
    <row r="174" spans="1:2" ht="15" customHeight="1" x14ac:dyDescent="0.25">
      <c r="A174" s="3"/>
      <c r="B174" s="4"/>
    </row>
    <row r="175" spans="1:2" ht="15" customHeight="1" x14ac:dyDescent="0.25">
      <c r="A175" s="3"/>
      <c r="B175" s="4"/>
    </row>
    <row r="176" spans="1:2" ht="15" customHeight="1" x14ac:dyDescent="0.25">
      <c r="A176" s="3"/>
      <c r="B176" s="4"/>
    </row>
    <row r="177" spans="1:2" ht="15" customHeight="1" x14ac:dyDescent="0.25">
      <c r="A177" s="3"/>
      <c r="B177" s="4"/>
    </row>
    <row r="178" spans="1:2" ht="15" customHeight="1" x14ac:dyDescent="0.25">
      <c r="A178" s="3"/>
      <c r="B178" s="4"/>
    </row>
    <row r="179" spans="1:2" ht="15" customHeight="1" x14ac:dyDescent="0.25">
      <c r="A179" s="3"/>
      <c r="B179" s="4"/>
    </row>
    <row r="180" spans="1:2" ht="15" customHeight="1" x14ac:dyDescent="0.25">
      <c r="A180" s="3"/>
      <c r="B180" s="4"/>
    </row>
    <row r="181" spans="1:2" ht="15" customHeight="1" x14ac:dyDescent="0.25">
      <c r="A181" s="3"/>
      <c r="B181" s="4"/>
    </row>
    <row r="182" spans="1:2" ht="15" customHeight="1" x14ac:dyDescent="0.25">
      <c r="A182" s="3"/>
      <c r="B182" s="4"/>
    </row>
    <row r="183" spans="1:2" ht="15" customHeight="1" x14ac:dyDescent="0.25">
      <c r="A183" s="3"/>
      <c r="B183" s="4"/>
    </row>
    <row r="184" spans="1:2" ht="15" customHeight="1" x14ac:dyDescent="0.25">
      <c r="A184" s="3"/>
      <c r="B184" s="4"/>
    </row>
    <row r="185" spans="1:2" ht="15" customHeight="1" x14ac:dyDescent="0.25">
      <c r="A185" s="3"/>
      <c r="B185" s="4"/>
    </row>
    <row r="186" spans="1:2" ht="15" customHeight="1" x14ac:dyDescent="0.25">
      <c r="A186" s="3"/>
      <c r="B186" s="4"/>
    </row>
    <row r="187" spans="1:2" ht="15" customHeight="1" x14ac:dyDescent="0.25">
      <c r="A187" s="3"/>
      <c r="B187" s="4"/>
    </row>
    <row r="188" spans="1:2" ht="15" customHeight="1" x14ac:dyDescent="0.25">
      <c r="A188" s="3"/>
      <c r="B188" s="4"/>
    </row>
    <row r="189" spans="1:2" ht="15" customHeight="1" x14ac:dyDescent="0.25">
      <c r="A189" s="3"/>
      <c r="B189" s="4"/>
    </row>
    <row r="190" spans="1:2" ht="15" customHeight="1" x14ac:dyDescent="0.25">
      <c r="A190" s="3"/>
      <c r="B190" s="4"/>
    </row>
    <row r="191" spans="1:2" ht="15" customHeight="1" x14ac:dyDescent="0.25">
      <c r="A191" s="3"/>
      <c r="B191" s="4"/>
    </row>
    <row r="192" spans="1:2" ht="15" customHeight="1" x14ac:dyDescent="0.25">
      <c r="A192" s="3"/>
      <c r="B192" s="4"/>
    </row>
    <row r="193" spans="1:2" ht="15" customHeight="1" x14ac:dyDescent="0.25">
      <c r="A193" s="3"/>
      <c r="B193" s="4"/>
    </row>
    <row r="194" spans="1:2" ht="15" customHeight="1" x14ac:dyDescent="0.25">
      <c r="A194" s="3"/>
      <c r="B194" s="4"/>
    </row>
    <row r="195" spans="1:2" ht="15" customHeight="1" x14ac:dyDescent="0.25">
      <c r="A195" s="3"/>
      <c r="B195" s="4"/>
    </row>
    <row r="196" spans="1:2" ht="15" customHeight="1" x14ac:dyDescent="0.25">
      <c r="A196" s="3"/>
      <c r="B196" s="4"/>
    </row>
    <row r="197" spans="1:2" ht="15" customHeight="1" x14ac:dyDescent="0.25">
      <c r="A197" s="3"/>
      <c r="B197" s="4"/>
    </row>
    <row r="198" spans="1:2" ht="15" customHeight="1" x14ac:dyDescent="0.25">
      <c r="A198" s="3"/>
      <c r="B198" s="4"/>
    </row>
    <row r="199" spans="1:2" ht="15" customHeight="1" x14ac:dyDescent="0.25">
      <c r="A199" s="3"/>
      <c r="B199" s="4"/>
    </row>
    <row r="200" spans="1:2" ht="15" customHeight="1" x14ac:dyDescent="0.25">
      <c r="A200" s="3"/>
      <c r="B200" s="4"/>
    </row>
    <row r="201" spans="1:2" ht="15" customHeight="1" x14ac:dyDescent="0.25">
      <c r="A201" s="3"/>
      <c r="B201" s="4"/>
    </row>
    <row r="202" spans="1:2" ht="15" customHeight="1" x14ac:dyDescent="0.25">
      <c r="A202" s="3"/>
      <c r="B202" s="4"/>
    </row>
    <row r="203" spans="1:2" ht="15" customHeight="1" x14ac:dyDescent="0.25">
      <c r="A203" s="3"/>
      <c r="B203" s="4"/>
    </row>
    <row r="204" spans="1:2" ht="15" customHeight="1" x14ac:dyDescent="0.25">
      <c r="A204" s="3"/>
      <c r="B204" s="4"/>
    </row>
    <row r="205" spans="1:2" ht="15" customHeight="1" x14ac:dyDescent="0.25">
      <c r="A205" s="3"/>
      <c r="B205" s="4"/>
    </row>
    <row r="206" spans="1:2" ht="15" customHeight="1" x14ac:dyDescent="0.25">
      <c r="A206" s="3"/>
      <c r="B206" s="4"/>
    </row>
    <row r="207" spans="1:2" ht="15" customHeight="1" x14ac:dyDescent="0.25">
      <c r="A207" s="3"/>
      <c r="B207" s="4"/>
    </row>
    <row r="208" spans="1:2" ht="15" customHeight="1" x14ac:dyDescent="0.25">
      <c r="A208" s="3"/>
      <c r="B208" s="4"/>
    </row>
    <row r="209" spans="1:2" ht="15" customHeight="1" x14ac:dyDescent="0.25">
      <c r="A209" s="3"/>
      <c r="B209" s="4"/>
    </row>
    <row r="210" spans="1:2" ht="15" customHeight="1" x14ac:dyDescent="0.25">
      <c r="A210" s="3"/>
      <c r="B210" s="4"/>
    </row>
    <row r="211" spans="1:2" ht="15" customHeight="1" x14ac:dyDescent="0.25">
      <c r="A211" s="3"/>
      <c r="B211" s="4"/>
    </row>
    <row r="212" spans="1:2" ht="15" customHeight="1" x14ac:dyDescent="0.25">
      <c r="A212" s="3"/>
      <c r="B212" s="4"/>
    </row>
    <row r="213" spans="1:2" ht="15" customHeight="1" x14ac:dyDescent="0.25">
      <c r="A213" s="3"/>
      <c r="B213" s="4"/>
    </row>
    <row r="214" spans="1:2" ht="15" customHeight="1" x14ac:dyDescent="0.25">
      <c r="A214" s="3"/>
      <c r="B214" s="4"/>
    </row>
    <row r="215" spans="1:2" ht="15" customHeight="1" x14ac:dyDescent="0.25">
      <c r="A215" s="3"/>
      <c r="B215" s="4"/>
    </row>
    <row r="216" spans="1:2" ht="15" customHeight="1" x14ac:dyDescent="0.25">
      <c r="A216" s="3"/>
      <c r="B216" s="4"/>
    </row>
    <row r="217" spans="1:2" ht="15" customHeight="1" x14ac:dyDescent="0.25">
      <c r="A217" s="3"/>
      <c r="B217" s="4"/>
    </row>
    <row r="218" spans="1:2" ht="15" customHeight="1" x14ac:dyDescent="0.25">
      <c r="A218" s="3"/>
      <c r="B218" s="4"/>
    </row>
    <row r="219" spans="1:2" ht="15" customHeight="1" x14ac:dyDescent="0.25">
      <c r="A219" s="3"/>
      <c r="B219" s="4"/>
    </row>
    <row r="220" spans="1:2" ht="15" customHeight="1" x14ac:dyDescent="0.25">
      <c r="A220" s="3"/>
      <c r="B220" s="4"/>
    </row>
    <row r="221" spans="1:2" ht="15" customHeight="1" x14ac:dyDescent="0.25">
      <c r="A221" s="3"/>
      <c r="B221" s="4"/>
    </row>
    <row r="222" spans="1:2" ht="15" customHeight="1" x14ac:dyDescent="0.25">
      <c r="A222" s="3"/>
      <c r="B222" s="4"/>
    </row>
    <row r="223" spans="1:2" ht="15" customHeight="1" x14ac:dyDescent="0.25">
      <c r="A223" s="3"/>
      <c r="B223" s="4"/>
    </row>
    <row r="224" spans="1:2" ht="15" customHeight="1" x14ac:dyDescent="0.25">
      <c r="A224" s="3"/>
      <c r="B224" s="4"/>
    </row>
    <row r="225" spans="1:2" ht="15" customHeight="1" x14ac:dyDescent="0.25">
      <c r="A225" s="3"/>
      <c r="B225" s="4"/>
    </row>
    <row r="226" spans="1:2" ht="15" customHeight="1" x14ac:dyDescent="0.25">
      <c r="A226" s="3"/>
      <c r="B226" s="4"/>
    </row>
    <row r="227" spans="1:2" ht="15" customHeight="1" x14ac:dyDescent="0.25">
      <c r="A227" s="3"/>
      <c r="B227" s="4"/>
    </row>
    <row r="228" spans="1:2" ht="15" customHeight="1" x14ac:dyDescent="0.25">
      <c r="A228" s="3"/>
      <c r="B228" s="4"/>
    </row>
    <row r="229" spans="1:2" ht="15" customHeight="1" x14ac:dyDescent="0.25">
      <c r="A229" s="3"/>
      <c r="B229" s="4"/>
    </row>
    <row r="230" spans="1:2" ht="15" customHeight="1" x14ac:dyDescent="0.25">
      <c r="A230" s="3"/>
      <c r="B230" s="4"/>
    </row>
    <row r="231" spans="1:2" ht="15" customHeight="1" x14ac:dyDescent="0.25">
      <c r="A231" s="3"/>
      <c r="B231" s="4"/>
    </row>
    <row r="232" spans="1:2" ht="15" customHeight="1" x14ac:dyDescent="0.25">
      <c r="A232" s="3"/>
      <c r="B232" s="4"/>
    </row>
    <row r="233" spans="1:2" ht="15" customHeight="1" x14ac:dyDescent="0.25">
      <c r="A233" s="3"/>
      <c r="B233" s="4"/>
    </row>
    <row r="234" spans="1:2" ht="15" customHeight="1" x14ac:dyDescent="0.25">
      <c r="A234" s="3"/>
      <c r="B234" s="4"/>
    </row>
    <row r="235" spans="1:2" ht="15" customHeight="1" x14ac:dyDescent="0.25">
      <c r="A235" s="3"/>
      <c r="B235" s="4"/>
    </row>
    <row r="236" spans="1:2" ht="15" customHeight="1" x14ac:dyDescent="0.25">
      <c r="A236" s="3"/>
      <c r="B236" s="4"/>
    </row>
    <row r="237" spans="1:2" ht="15" customHeight="1" x14ac:dyDescent="0.25">
      <c r="A237" s="3"/>
      <c r="B237" s="4"/>
    </row>
    <row r="238" spans="1:2" ht="15" customHeight="1" x14ac:dyDescent="0.25">
      <c r="A238" s="3"/>
      <c r="B238" s="4"/>
    </row>
    <row r="239" spans="1:2" ht="15" customHeight="1" x14ac:dyDescent="0.25">
      <c r="A239" s="3"/>
      <c r="B239" s="4"/>
    </row>
    <row r="240" spans="1:2" ht="15" customHeight="1" x14ac:dyDescent="0.25">
      <c r="A240" s="3"/>
      <c r="B240" s="4"/>
    </row>
    <row r="241" spans="1:2" ht="15" customHeight="1" x14ac:dyDescent="0.25">
      <c r="A241" s="3"/>
      <c r="B241" s="4"/>
    </row>
    <row r="242" spans="1:2" ht="15" customHeight="1" x14ac:dyDescent="0.25">
      <c r="A242" s="3"/>
      <c r="B242" s="4"/>
    </row>
    <row r="243" spans="1:2" ht="15" customHeight="1" x14ac:dyDescent="0.25">
      <c r="A243" s="3"/>
      <c r="B243" s="4"/>
    </row>
    <row r="244" spans="1:2" ht="15" customHeight="1" x14ac:dyDescent="0.25">
      <c r="A244" s="3"/>
      <c r="B244" s="4"/>
    </row>
    <row r="245" spans="1:2" ht="15" customHeight="1" x14ac:dyDescent="0.25">
      <c r="A245" s="3"/>
      <c r="B245" s="4"/>
    </row>
    <row r="246" spans="1:2" ht="15" customHeight="1" x14ac:dyDescent="0.25">
      <c r="A246" s="3"/>
      <c r="B246" s="4"/>
    </row>
    <row r="247" spans="1:2" ht="15" customHeight="1" x14ac:dyDescent="0.25">
      <c r="A247" s="3"/>
      <c r="B247" s="4"/>
    </row>
    <row r="248" spans="1:2" ht="15" customHeight="1" x14ac:dyDescent="0.25">
      <c r="A248" s="3"/>
      <c r="B248" s="4"/>
    </row>
    <row r="249" spans="1:2" ht="15" customHeight="1" x14ac:dyDescent="0.25">
      <c r="A249" s="3"/>
      <c r="B249" s="4"/>
    </row>
    <row r="250" spans="1:2" ht="15" customHeight="1" x14ac:dyDescent="0.25">
      <c r="A250" s="3"/>
      <c r="B250" s="4"/>
    </row>
    <row r="251" spans="1:2" ht="15" customHeight="1" x14ac:dyDescent="0.25">
      <c r="A251" s="3"/>
      <c r="B251" s="4"/>
    </row>
    <row r="252" spans="1:2" ht="15" customHeight="1" x14ac:dyDescent="0.25">
      <c r="A252" s="3"/>
      <c r="B252" s="4"/>
    </row>
    <row r="253" spans="1:2" ht="15" customHeight="1" x14ac:dyDescent="0.25">
      <c r="A253" s="3"/>
      <c r="B253" s="4"/>
    </row>
    <row r="254" spans="1:2" ht="15" customHeight="1" x14ac:dyDescent="0.25">
      <c r="A254" s="3"/>
      <c r="B254" s="4"/>
    </row>
    <row r="255" spans="1:2" ht="15" customHeight="1" x14ac:dyDescent="0.25">
      <c r="A255" s="3"/>
      <c r="B255" s="4"/>
    </row>
    <row r="256" spans="1:2" ht="15" customHeight="1" x14ac:dyDescent="0.25">
      <c r="A256" s="3"/>
      <c r="B256" s="4"/>
    </row>
    <row r="257" spans="1:2" ht="15" customHeight="1" x14ac:dyDescent="0.25">
      <c r="A257" s="3"/>
      <c r="B257" s="4"/>
    </row>
    <row r="258" spans="1:2" ht="15" customHeight="1" x14ac:dyDescent="0.25">
      <c r="A258" s="3"/>
      <c r="B258" s="4"/>
    </row>
    <row r="259" spans="1:2" ht="15" customHeight="1" x14ac:dyDescent="0.25">
      <c r="A259" s="3"/>
      <c r="B259" s="4"/>
    </row>
    <row r="260" spans="1:2" ht="15" customHeight="1" x14ac:dyDescent="0.25">
      <c r="A260" s="3"/>
      <c r="B260" s="4"/>
    </row>
    <row r="261" spans="1:2" ht="15" customHeight="1" x14ac:dyDescent="0.25">
      <c r="A261" s="3"/>
      <c r="B261" s="4"/>
    </row>
    <row r="262" spans="1:2" ht="15" customHeight="1" x14ac:dyDescent="0.25">
      <c r="A262" s="3"/>
      <c r="B262" s="4"/>
    </row>
    <row r="263" spans="1:2" ht="15" customHeight="1" x14ac:dyDescent="0.25">
      <c r="A263" s="3"/>
      <c r="B263" s="4"/>
    </row>
    <row r="264" spans="1:2" ht="15" customHeight="1" x14ac:dyDescent="0.25">
      <c r="A264" s="3"/>
      <c r="B264" s="4"/>
    </row>
    <row r="265" spans="1:2" ht="15" customHeight="1" x14ac:dyDescent="0.25">
      <c r="A265" s="3"/>
      <c r="B265" s="4"/>
    </row>
    <row r="266" spans="1:2" ht="15" customHeight="1" x14ac:dyDescent="0.25">
      <c r="A266" s="3"/>
      <c r="B266" s="4"/>
    </row>
    <row r="267" spans="1:2" ht="15" customHeight="1" x14ac:dyDescent="0.25">
      <c r="A267" s="3"/>
      <c r="B267" s="4"/>
    </row>
    <row r="268" spans="1:2" ht="15" customHeight="1" x14ac:dyDescent="0.25">
      <c r="A268" s="3"/>
      <c r="B268" s="4"/>
    </row>
    <row r="269" spans="1:2" ht="15" customHeight="1" x14ac:dyDescent="0.25">
      <c r="A269" s="3"/>
      <c r="B269" s="4"/>
    </row>
    <row r="270" spans="1:2" ht="15" customHeight="1" x14ac:dyDescent="0.25">
      <c r="A270" s="3"/>
      <c r="B270" s="4"/>
    </row>
    <row r="271" spans="1:2" ht="15" customHeight="1" x14ac:dyDescent="0.25">
      <c r="A271" s="3"/>
      <c r="B271" s="4"/>
    </row>
    <row r="272" spans="1:2" ht="15" customHeight="1" x14ac:dyDescent="0.25">
      <c r="A272" s="3"/>
      <c r="B272" s="4"/>
    </row>
    <row r="273" spans="1:2" ht="15" customHeight="1" x14ac:dyDescent="0.25">
      <c r="A273" s="3"/>
      <c r="B273" s="4"/>
    </row>
    <row r="274" spans="1:2" ht="15" customHeight="1" x14ac:dyDescent="0.25">
      <c r="A274" s="3"/>
      <c r="B274" s="4"/>
    </row>
    <row r="275" spans="1:2" ht="15" customHeight="1" x14ac:dyDescent="0.25">
      <c r="A275" s="3"/>
      <c r="B275" s="4"/>
    </row>
    <row r="276" spans="1:2" ht="15" customHeight="1" x14ac:dyDescent="0.25">
      <c r="A276" s="3"/>
      <c r="B276" s="4"/>
    </row>
    <row r="277" spans="1:2" ht="15" customHeight="1" x14ac:dyDescent="0.25">
      <c r="A277" s="3"/>
      <c r="B277" s="4"/>
    </row>
    <row r="278" spans="1:2" ht="15" customHeight="1" x14ac:dyDescent="0.25">
      <c r="A278" s="3"/>
      <c r="B278" s="4"/>
    </row>
    <row r="279" spans="1:2" ht="15" customHeight="1" x14ac:dyDescent="0.25">
      <c r="A279" s="3"/>
      <c r="B279" s="4"/>
    </row>
    <row r="280" spans="1:2" ht="15" customHeight="1" x14ac:dyDescent="0.25">
      <c r="A280" s="3"/>
      <c r="B280" s="4"/>
    </row>
    <row r="281" spans="1:2" ht="15" customHeight="1" x14ac:dyDescent="0.25">
      <c r="A281" s="3"/>
      <c r="B281" s="4"/>
    </row>
    <row r="282" spans="1:2" ht="15" customHeight="1" x14ac:dyDescent="0.25">
      <c r="A282" s="3"/>
      <c r="B282" s="4"/>
    </row>
    <row r="283" spans="1:2" ht="15" customHeight="1" x14ac:dyDescent="0.25">
      <c r="A283" s="3"/>
      <c r="B283" s="4"/>
    </row>
    <row r="284" spans="1:2" ht="15" customHeight="1" x14ac:dyDescent="0.25">
      <c r="A284" s="3"/>
      <c r="B284" s="4"/>
    </row>
    <row r="285" spans="1:2" ht="15" customHeight="1" x14ac:dyDescent="0.25">
      <c r="A285" s="3"/>
      <c r="B285" s="4"/>
    </row>
    <row r="286" spans="1:2" ht="15" customHeight="1" x14ac:dyDescent="0.25">
      <c r="A286" s="3"/>
      <c r="B286" s="4"/>
    </row>
    <row r="287" spans="1:2" ht="15" customHeight="1" x14ac:dyDescent="0.25">
      <c r="A287" s="3"/>
      <c r="B287" s="4"/>
    </row>
    <row r="288" spans="1:2" ht="15" customHeight="1" x14ac:dyDescent="0.25">
      <c r="A288" s="3"/>
      <c r="B288" s="4"/>
    </row>
    <row r="289" spans="1:2" ht="15" customHeight="1" x14ac:dyDescent="0.25">
      <c r="A289" s="3"/>
      <c r="B289" s="4"/>
    </row>
    <row r="290" spans="1:2" ht="15" customHeight="1" x14ac:dyDescent="0.25">
      <c r="A290" s="3"/>
      <c r="B290" s="4"/>
    </row>
    <row r="291" spans="1:2" ht="15" customHeight="1" x14ac:dyDescent="0.25">
      <c r="A291" s="3"/>
      <c r="B291" s="4"/>
    </row>
    <row r="292" spans="1:2" ht="15" customHeight="1" x14ac:dyDescent="0.25">
      <c r="A292" s="3"/>
      <c r="B292" s="4"/>
    </row>
    <row r="293" spans="1:2" ht="15" customHeight="1" x14ac:dyDescent="0.25">
      <c r="A293" s="3"/>
      <c r="B293" s="4"/>
    </row>
    <row r="294" spans="1:2" ht="15" customHeight="1" x14ac:dyDescent="0.25">
      <c r="A294" s="3"/>
      <c r="B294" s="4"/>
    </row>
    <row r="295" spans="1:2" ht="15" customHeight="1" x14ac:dyDescent="0.25">
      <c r="A295" s="3"/>
      <c r="B295" s="4"/>
    </row>
    <row r="296" spans="1:2" ht="15" customHeight="1" x14ac:dyDescent="0.25">
      <c r="A296" s="3"/>
      <c r="B296" s="4"/>
    </row>
    <row r="297" spans="1:2" ht="15" customHeight="1" x14ac:dyDescent="0.25">
      <c r="A297" s="3"/>
      <c r="B297" s="4"/>
    </row>
    <row r="298" spans="1:2" ht="15" customHeight="1" x14ac:dyDescent="0.25">
      <c r="A298" s="3"/>
      <c r="B298" s="4"/>
    </row>
    <row r="299" spans="1:2" ht="15" customHeight="1" x14ac:dyDescent="0.25">
      <c r="A299" s="3"/>
      <c r="B299" s="4"/>
    </row>
    <row r="300" spans="1:2" ht="15" customHeight="1" x14ac:dyDescent="0.25">
      <c r="A300" s="3"/>
      <c r="B300" s="4"/>
    </row>
    <row r="301" spans="1:2" ht="15" customHeight="1" x14ac:dyDescent="0.25">
      <c r="A301" s="3"/>
      <c r="B301" s="4"/>
    </row>
    <row r="302" spans="1:2" ht="15" customHeight="1" x14ac:dyDescent="0.25">
      <c r="A302" s="3"/>
      <c r="B302" s="4"/>
    </row>
    <row r="303" spans="1:2" ht="15" customHeight="1" x14ac:dyDescent="0.25">
      <c r="A303" s="3"/>
      <c r="B303" s="4"/>
    </row>
  </sheetData>
  <sortState xmlns:xlrd2="http://schemas.microsoft.com/office/spreadsheetml/2017/richdata2" ref="A2:T100">
    <sortCondition ref="A54"/>
  </sortState>
  <conditionalFormatting sqref="L2:L100">
    <cfRule type="dataBar" priority="5">
      <dataBar>
        <cfvo type="min"/>
        <cfvo type="max"/>
        <color rgb="FF638EC6"/>
      </dataBar>
      <extLst>
        <ext xmlns:x14="http://schemas.microsoft.com/office/spreadsheetml/2009/9/main" uri="{B025F937-C7B1-47D3-B67F-A62EFF666E3E}">
          <x14:id>{BB44F477-1D91-47C7-B457-2CA32A7E5496}</x14:id>
        </ext>
      </extLst>
    </cfRule>
  </conditionalFormatting>
  <conditionalFormatting sqref="A2:A100">
    <cfRule type="colorScale" priority="3">
      <colorScale>
        <cfvo type="min"/>
        <cfvo type="percentile" val="50"/>
        <cfvo type="max"/>
        <color rgb="FFF8696B"/>
        <color rgb="FFFCFCFF"/>
        <color rgb="FF63BE7B"/>
      </colorScale>
    </cfRule>
  </conditionalFormatting>
  <conditionalFormatting sqref="J2:J100">
    <cfRule type="dataBar" priority="4">
      <dataBar>
        <cfvo type="min"/>
        <cfvo type="max"/>
        <color rgb="FFFFB628"/>
      </dataBar>
      <extLst>
        <ext xmlns:x14="http://schemas.microsoft.com/office/spreadsheetml/2009/9/main" uri="{B025F937-C7B1-47D3-B67F-A62EFF666E3E}">
          <x14:id>{74538548-A7D6-4959-B4C9-B0C4D6ACF1CD}</x14:id>
        </ext>
      </extLst>
    </cfRule>
  </conditionalFormatting>
  <conditionalFormatting sqref="M2:M100">
    <cfRule type="colorScale" priority="6">
      <colorScale>
        <cfvo type="min"/>
        <cfvo type="percentile" val="50"/>
        <cfvo type="max"/>
        <color rgb="FF63BE7B"/>
        <color rgb="FFFFEB84"/>
        <color rgb="FFF8696B"/>
      </colorScale>
    </cfRule>
  </conditionalFormatting>
  <conditionalFormatting sqref="N2:N100">
    <cfRule type="colorScale" priority="7">
      <colorScale>
        <cfvo type="min"/>
        <cfvo type="percentile" val="50"/>
        <cfvo type="max"/>
        <color rgb="FFF8696B"/>
        <color rgb="FFFFEB84"/>
        <color rgb="FF63BE7B"/>
      </colorScale>
    </cfRule>
  </conditionalFormatting>
  <conditionalFormatting sqref="R2:R100">
    <cfRule type="colorScale" priority="2">
      <colorScale>
        <cfvo type="min"/>
        <cfvo type="percentile" val="50"/>
        <cfvo type="max"/>
        <color rgb="FFF8696B"/>
        <color rgb="FFFFEB84"/>
        <color rgb="FF63BE7B"/>
      </colorScale>
    </cfRule>
  </conditionalFormatting>
  <conditionalFormatting sqref="B2:B100">
    <cfRule type="cellIs" dxfId="13" priority="8" stopIfTrue="1" operator="greaterThan">
      <formula>$W$3</formula>
    </cfRule>
    <cfRule type="cellIs" dxfId="12" priority="9" operator="lessThanOrEqual">
      <formula>$W$4</formula>
    </cfRule>
  </conditionalFormatting>
  <conditionalFormatting sqref="D2:D100">
    <cfRule type="cellIs" dxfId="11" priority="1" operator="lessThan">
      <formula>K2</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BB44F477-1D91-47C7-B457-2CA32A7E5496}">
            <x14:dataBar minLength="0" maxLength="100" border="1" negativeBarBorderColorSameAsPositive="0">
              <x14:cfvo type="autoMin"/>
              <x14:cfvo type="autoMax"/>
              <x14:borderColor rgb="FF638EC6"/>
              <x14:negativeFillColor rgb="FFFF0000"/>
              <x14:negativeBorderColor rgb="FFFF0000"/>
              <x14:axisColor rgb="FF000000"/>
            </x14:dataBar>
          </x14:cfRule>
          <xm:sqref>L2:L100</xm:sqref>
        </x14:conditionalFormatting>
        <x14:conditionalFormatting xmlns:xm="http://schemas.microsoft.com/office/excel/2006/main">
          <x14:cfRule type="dataBar" id="{74538548-A7D6-4959-B4C9-B0C4D6ACF1CD}">
            <x14:dataBar minLength="0" maxLength="100" border="1" negativeBarBorderColorSameAsPositive="0">
              <x14:cfvo type="autoMin"/>
              <x14:cfvo type="autoMax"/>
              <x14:borderColor rgb="FFFFB628"/>
              <x14:negativeFillColor rgb="FFFF0000"/>
              <x14:negativeBorderColor rgb="FFFF0000"/>
              <x14:axisColor rgb="FF000000"/>
            </x14:dataBar>
          </x14:cfRule>
          <xm:sqref>J2:J100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9E0F8-814F-4699-83C7-59D2F20DA64C}">
  <dimension ref="A1:Q78"/>
  <sheetViews>
    <sheetView workbookViewId="0">
      <selection activeCell="A10" sqref="A10"/>
    </sheetView>
  </sheetViews>
  <sheetFormatPr defaultRowHeight="15" x14ac:dyDescent="0.25"/>
  <cols>
    <col min="1" max="1" width="12.85546875" style="142" customWidth="1"/>
    <col min="2" max="2" width="7.85546875" customWidth="1"/>
    <col min="3" max="3" width="8.7109375" style="36"/>
    <col min="4" max="5" width="8.85546875" style="155" customWidth="1"/>
    <col min="6" max="8" width="8.140625" style="163" customWidth="1"/>
    <col min="9" max="9" width="8" customWidth="1"/>
    <col min="10" max="10" width="11.7109375" style="137" customWidth="1"/>
    <col min="11" max="11" width="9.42578125" style="135" customWidth="1"/>
    <col min="12" max="15" width="9.42578125" customWidth="1"/>
    <col min="16" max="16" width="4.42578125" customWidth="1"/>
  </cols>
  <sheetData>
    <row r="1" spans="1:17" x14ac:dyDescent="0.25">
      <c r="A1" s="229" t="s">
        <v>130</v>
      </c>
      <c r="B1" s="13" t="s">
        <v>95</v>
      </c>
      <c r="C1" s="151" t="s">
        <v>7</v>
      </c>
      <c r="D1" s="152" t="s">
        <v>64</v>
      </c>
      <c r="E1" s="152" t="s">
        <v>65</v>
      </c>
      <c r="F1" s="159" t="s">
        <v>8</v>
      </c>
      <c r="G1" s="160" t="s">
        <v>64</v>
      </c>
      <c r="H1" s="160" t="s">
        <v>65</v>
      </c>
      <c r="J1" s="135" t="s">
        <v>10</v>
      </c>
      <c r="L1" s="257">
        <v>300</v>
      </c>
      <c r="M1" s="257">
        <v>370</v>
      </c>
      <c r="N1" s="257">
        <v>370</v>
      </c>
      <c r="O1" s="257">
        <v>300</v>
      </c>
    </row>
    <row r="2" spans="1:17" x14ac:dyDescent="0.25">
      <c r="A2" s="141">
        <f>_xll.xlqPrice(A1,"TDA")</f>
        <v>395.16</v>
      </c>
      <c r="B2" s="230">
        <v>240</v>
      </c>
      <c r="C2" s="153">
        <f>AVERAGE(D2,E2)</f>
        <v>156.35000000000002</v>
      </c>
      <c r="D2" s="154">
        <f>_xll.xlqBid(CONCATENATE($A$6,B2&amp;""),tda)</f>
        <v>154.30000000000001</v>
      </c>
      <c r="E2" s="154">
        <f>_xll.xlqAsk(CONCATENATE($A$6,B2&amp;""),tda)</f>
        <v>158.4</v>
      </c>
      <c r="F2" s="161">
        <f>AVERAGE(G2,H2)</f>
        <v>0.42500000000000004</v>
      </c>
      <c r="G2" s="162">
        <f>_xll.xlqBid(CONCATENATE($A$7,$B2&amp;""),tda)</f>
        <v>0.3</v>
      </c>
      <c r="H2" s="162">
        <f>_xll.xlqAsk(CONCATENATE($A$7,$B2&amp;""),tda)</f>
        <v>0.55000000000000004</v>
      </c>
      <c r="J2" s="135" t="s">
        <v>114</v>
      </c>
      <c r="L2" s="258" t="s">
        <v>29</v>
      </c>
      <c r="M2" s="258" t="s">
        <v>29</v>
      </c>
      <c r="N2" s="258" t="s">
        <v>36</v>
      </c>
      <c r="O2" s="258" t="s">
        <v>36</v>
      </c>
    </row>
    <row r="3" spans="1:17" x14ac:dyDescent="0.25">
      <c r="B3" s="230">
        <v>250</v>
      </c>
      <c r="C3" s="153">
        <f t="shared" ref="C3:C22" si="0">AVERAGE(D3,E3)</f>
        <v>146.35000000000002</v>
      </c>
      <c r="D3" s="154">
        <f>_xll.xlqBid(CONCATENATE($A$6,B3&amp;""),tda)</f>
        <v>144</v>
      </c>
      <c r="E3" s="154">
        <f>_xll.xlqAsk(CONCATENATE($A$6,B3&amp;""),tda)</f>
        <v>148.70000000000002</v>
      </c>
      <c r="F3" s="161">
        <f t="shared" ref="F3:F22" si="1">AVERAGE(G3,H3)</f>
        <v>0.52500000000000002</v>
      </c>
      <c r="G3" s="162">
        <f>_xll.xlqBid(CONCATENATE($A$7,$B3&amp;""),tda)</f>
        <v>0.4</v>
      </c>
      <c r="H3" s="162">
        <f>_xll.xlqAsk(CONCATENATE($A$7,$B3&amp;""),tda)</f>
        <v>0.65</v>
      </c>
      <c r="J3" s="135" t="s">
        <v>112</v>
      </c>
      <c r="L3" s="258">
        <v>0</v>
      </c>
      <c r="M3" s="258">
        <v>1</v>
      </c>
      <c r="N3" s="258">
        <v>-1</v>
      </c>
      <c r="O3" s="258">
        <v>0</v>
      </c>
    </row>
    <row r="4" spans="1:17" x14ac:dyDescent="0.25">
      <c r="A4" s="259">
        <v>43882</v>
      </c>
      <c r="B4" s="157">
        <f>B3+(B3-B2)</f>
        <v>260</v>
      </c>
      <c r="C4" s="153">
        <f t="shared" si="0"/>
        <v>136.80000000000001</v>
      </c>
      <c r="D4" s="154">
        <f>_xll.xlqBid(CONCATENATE($A$6,B4&amp;""),tda)</f>
        <v>134.6</v>
      </c>
      <c r="E4" s="154">
        <f>_xll.xlqAsk(CONCATENATE($A$6,B4&amp;""),tda)</f>
        <v>139</v>
      </c>
      <c r="F4" s="161">
        <f t="shared" si="1"/>
        <v>0.70000000000000007</v>
      </c>
      <c r="G4" s="162">
        <f>_xll.xlqBid(CONCATENATE($A$7,$B4&amp;""),tda)</f>
        <v>0.55000000000000004</v>
      </c>
      <c r="H4" s="162">
        <f>_xll.xlqAsk(CONCATENATE($A$7,$B4&amp;""),tda)</f>
        <v>0.85000000000000009</v>
      </c>
      <c r="J4" s="135" t="s">
        <v>14</v>
      </c>
      <c r="K4" s="156">
        <f>SUM(L4:O4)</f>
        <v>-26.2</v>
      </c>
      <c r="L4" s="63">
        <f>VLOOKUP(L1,$B$2:$F$22, IF(L2="P",5,2))*-L3</f>
        <v>0</v>
      </c>
      <c r="M4" s="63">
        <f t="shared" ref="M4:O4" si="2">VLOOKUP(M1,$B$2:$F$22, IF(M2="P",5,2))*-M3</f>
        <v>-39.1</v>
      </c>
      <c r="N4" s="63">
        <f t="shared" si="2"/>
        <v>12.900000000000002</v>
      </c>
      <c r="O4" s="63">
        <f t="shared" si="2"/>
        <v>0</v>
      </c>
    </row>
    <row r="5" spans="1:17" x14ac:dyDescent="0.25">
      <c r="A5" s="144" t="str">
        <f>CONCATENATE(TEXT(MONTH(A4),"00"),TEXT(DAY(A4),"00"),TEXT(MOD(YEAR(A4),100),"00"))</f>
        <v>022120</v>
      </c>
      <c r="B5" s="157">
        <f t="shared" ref="B5:B22" si="3">B4+(B4-B3)</f>
        <v>270</v>
      </c>
      <c r="C5" s="153">
        <f t="shared" si="0"/>
        <v>127</v>
      </c>
      <c r="D5" s="154">
        <f>_xll.xlqBid(CONCATENATE($A$6,B5&amp;""),tda)</f>
        <v>124.60000000000001</v>
      </c>
      <c r="E5" s="154">
        <f>_xll.xlqAsk(CONCATENATE($A$6,B5&amp;""),tda)</f>
        <v>129.4</v>
      </c>
      <c r="F5" s="161">
        <f t="shared" si="1"/>
        <v>0.9</v>
      </c>
      <c r="G5" s="162">
        <f>_xll.xlqBid(CONCATENATE($A$7,$B5&amp;""),tda)</f>
        <v>0.75</v>
      </c>
      <c r="H5" s="162">
        <f>_xll.xlqAsk(CONCATENATE($A$7,$B5&amp;""),tda)</f>
        <v>1.05</v>
      </c>
      <c r="J5" s="137" t="s">
        <v>113</v>
      </c>
      <c r="K5" s="138">
        <f>MIN($K$9:$K$78)</f>
        <v>-146.19999999999999</v>
      </c>
    </row>
    <row r="6" spans="1:17" x14ac:dyDescent="0.25">
      <c r="A6" s="142" t="str">
        <f>CONCATENATE(A18,"_",A5,"C")</f>
        <v>MKTX_022120C</v>
      </c>
      <c r="B6" s="157">
        <f t="shared" si="3"/>
        <v>280</v>
      </c>
      <c r="C6" s="153">
        <f t="shared" si="0"/>
        <v>117.25</v>
      </c>
      <c r="D6" s="154">
        <f>_xll.xlqBid(CONCATENATE($A$6,B6&amp;""),tda)</f>
        <v>115</v>
      </c>
      <c r="E6" s="154">
        <f>_xll.xlqAsk(CONCATENATE($A$6,B6&amp;""),tda)</f>
        <v>119.5</v>
      </c>
      <c r="F6" s="161">
        <f t="shared" si="1"/>
        <v>1.1499999999999999</v>
      </c>
      <c r="G6" s="162">
        <f>_xll.xlqBid(CONCATENATE($A$7,$B6&amp;""),tda)</f>
        <v>1</v>
      </c>
      <c r="H6" s="162">
        <f>_xll.xlqAsk(CONCATENATE($A$7,$B6&amp;""),tda)</f>
        <v>1.3</v>
      </c>
      <c r="J6" s="137" t="s">
        <v>116</v>
      </c>
      <c r="K6" s="138">
        <f>MAX($K$9:$K$78)</f>
        <v>60.8</v>
      </c>
    </row>
    <row r="7" spans="1:17" x14ac:dyDescent="0.25">
      <c r="A7" s="142" t="str">
        <f>CONCATENATE(A18,"_",A5,"P")</f>
        <v>MKTX_022120P</v>
      </c>
      <c r="B7" s="157">
        <f t="shared" si="3"/>
        <v>290</v>
      </c>
      <c r="C7" s="153">
        <f t="shared" si="0"/>
        <v>107.7</v>
      </c>
      <c r="D7" s="154">
        <f>_xll.xlqBid(CONCATENATE($A$6,B7&amp;""),tda)</f>
        <v>105.4</v>
      </c>
      <c r="E7" s="154">
        <f>_xll.xlqAsk(CONCATENATE($A$6,B7&amp;""),tda)</f>
        <v>110</v>
      </c>
      <c r="F7" s="161">
        <f t="shared" si="1"/>
        <v>1.4750000000000001</v>
      </c>
      <c r="G7" s="162">
        <f>_xll.xlqBid(CONCATENATE($A$7,$B7&amp;""),tda)</f>
        <v>1.3</v>
      </c>
      <c r="H7" s="162">
        <f>_xll.xlqAsk(CONCATENATE($A$7,$B7&amp;""),tda)</f>
        <v>1.6500000000000001</v>
      </c>
      <c r="J7" s="137" t="s">
        <v>117</v>
      </c>
      <c r="K7" s="135">
        <v>1</v>
      </c>
    </row>
    <row r="8" spans="1:17" x14ac:dyDescent="0.25">
      <c r="A8" s="139" t="s">
        <v>101</v>
      </c>
      <c r="B8" s="157">
        <f t="shared" si="3"/>
        <v>300</v>
      </c>
      <c r="C8" s="153">
        <f t="shared" si="0"/>
        <v>98.350000000000009</v>
      </c>
      <c r="D8" s="154">
        <f>_xll.xlqBid(CONCATENATE($A$6,B8&amp;""),tda)</f>
        <v>96.9</v>
      </c>
      <c r="E8" s="154">
        <f>_xll.xlqAsk(CONCATENATE($A$6,B8&amp;""),tda)</f>
        <v>99.800000000000011</v>
      </c>
      <c r="F8" s="161">
        <f t="shared" si="1"/>
        <v>2.0249999999999999</v>
      </c>
      <c r="G8" s="162">
        <f>_xll.xlqBid(CONCATENATE($A$7,$B8&amp;""),tda)</f>
        <v>1.9000000000000001</v>
      </c>
      <c r="H8" s="162">
        <f>_xll.xlqAsk(CONCATENATE($A$7,$B8&amp;""),tda)</f>
        <v>2.15</v>
      </c>
      <c r="J8" s="135" t="s">
        <v>118</v>
      </c>
      <c r="K8" s="170" t="s">
        <v>67</v>
      </c>
      <c r="L8" s="158" t="str">
        <f>IF(L3=0,"---",CONCATENATE(IF(L3&gt;0,"Buy","Sell"), TEXT(L1, " $0.0"), IF(L2="P"," Put"," Call")))</f>
        <v>---</v>
      </c>
      <c r="M8" s="158" t="str">
        <f t="shared" ref="M8:N8" si="4">IF(M3=0,"---",CONCATENATE(IF(M3&gt;0,"Buy","Sell"), TEXT(M1, " $0.0"), IF(M2="P"," Put"," Call")))</f>
        <v>Buy $370.0 Call</v>
      </c>
      <c r="N8" s="158" t="str">
        <f t="shared" si="4"/>
        <v>Sell $370.0 Put</v>
      </c>
      <c r="O8" s="158" t="str">
        <f t="shared" ref="O8" si="5">IF(O3=0,"---",CONCATENATE(IF(O3&gt;0,"Buy","Sell"), TEXT(O1, " $0.0"), IF(O2="P"," Put"," Call")))</f>
        <v>---</v>
      </c>
    </row>
    <row r="9" spans="1:17" x14ac:dyDescent="0.25">
      <c r="A9" s="145">
        <f ca="1">A4-TODAY()</f>
        <v>79</v>
      </c>
      <c r="B9" s="157">
        <f t="shared" si="3"/>
        <v>310</v>
      </c>
      <c r="C9" s="153">
        <f t="shared" si="0"/>
        <v>88.550000000000011</v>
      </c>
      <c r="D9" s="154">
        <f>_xll.xlqBid(CONCATENATE($A$6,B9&amp;""),tda)</f>
        <v>86.8</v>
      </c>
      <c r="E9" s="154">
        <f>_xll.xlqAsk(CONCATENATE($A$6,B9&amp;""),tda)</f>
        <v>90.300000000000011</v>
      </c>
      <c r="F9" s="161">
        <f t="shared" si="1"/>
        <v>2.6500000000000004</v>
      </c>
      <c r="G9" s="162">
        <f>_xll.xlqBid(CONCATENATE($A$7,$B9&amp;""),tda)</f>
        <v>2.5</v>
      </c>
      <c r="H9" s="162">
        <f>_xll.xlqAsk(CONCATENATE($A$7,$B9&amp;""),tda)</f>
        <v>2.8000000000000003</v>
      </c>
      <c r="J9" s="231">
        <v>250</v>
      </c>
      <c r="K9" s="138">
        <f>SUM(L9:O9)</f>
        <v>-146.19999999999999</v>
      </c>
      <c r="L9" s="1">
        <f>L$3*(MAX((L$1-$J9)*IF(L$2="P",1,-1),0))+L$4*$K$7</f>
        <v>0</v>
      </c>
      <c r="M9" s="1">
        <f t="shared" ref="M9:O24" si="6">M$3*(MAX((M$1-$J9)*IF(M$2="P",1,-1),0))+M$4*$K$7</f>
        <v>-39.1</v>
      </c>
      <c r="N9" s="1">
        <f t="shared" si="6"/>
        <v>-107.1</v>
      </c>
      <c r="O9" s="1">
        <f t="shared" si="6"/>
        <v>0</v>
      </c>
      <c r="Q9" s="17" t="s">
        <v>115</v>
      </c>
    </row>
    <row r="10" spans="1:17" x14ac:dyDescent="0.25">
      <c r="A10" s="146"/>
      <c r="B10" s="157">
        <f t="shared" si="3"/>
        <v>320</v>
      </c>
      <c r="C10" s="153">
        <f t="shared" si="0"/>
        <v>79.849999999999994</v>
      </c>
      <c r="D10" s="154">
        <f>_xll.xlqBid(CONCATENATE($A$6,B10&amp;""),tda)</f>
        <v>78.400000000000006</v>
      </c>
      <c r="E10" s="154">
        <f>_xll.xlqAsk(CONCATENATE($A$6,B10&amp;""),tda)</f>
        <v>81.3</v>
      </c>
      <c r="F10" s="161">
        <f t="shared" si="1"/>
        <v>3.45</v>
      </c>
      <c r="G10" s="162">
        <f>_xll.xlqBid(CONCATENATE($A$7,$B10&amp;""),tda)</f>
        <v>3.3000000000000003</v>
      </c>
      <c r="H10" s="162">
        <f>_xll.xlqAsk(CONCATENATE($A$7,$B10&amp;""),tda)</f>
        <v>3.6</v>
      </c>
      <c r="J10" s="232">
        <v>253</v>
      </c>
      <c r="K10" s="138">
        <f t="shared" ref="K10:K73" si="7">SUM(L10:O10)</f>
        <v>-143.19999999999999</v>
      </c>
      <c r="L10" s="1">
        <f t="shared" ref="L10:O41" si="8">L$3*(MAX((L$1-$J10)*IF(L$2="P",1,-1),0))+L$4*$K$7</f>
        <v>0</v>
      </c>
      <c r="M10" s="1">
        <f t="shared" si="6"/>
        <v>-39.1</v>
      </c>
      <c r="N10" s="1">
        <f t="shared" si="6"/>
        <v>-104.1</v>
      </c>
      <c r="O10" s="1">
        <f t="shared" si="6"/>
        <v>0</v>
      </c>
    </row>
    <row r="11" spans="1:17" x14ac:dyDescent="0.25">
      <c r="A11" s="146"/>
      <c r="B11" s="157">
        <f t="shared" si="3"/>
        <v>330</v>
      </c>
      <c r="C11" s="153">
        <f t="shared" si="0"/>
        <v>70.5</v>
      </c>
      <c r="D11" s="154">
        <f>_xll.xlqBid(CONCATENATE($A$6,B11&amp;""),tda)</f>
        <v>69.900000000000006</v>
      </c>
      <c r="E11" s="154">
        <f>_xll.xlqAsk(CONCATENATE($A$6,B11&amp;""),tda)</f>
        <v>71.100000000000009</v>
      </c>
      <c r="F11" s="161">
        <f t="shared" si="1"/>
        <v>4.5999999999999996</v>
      </c>
      <c r="G11" s="162">
        <f>_xll.xlqBid(CONCATENATE($A$7,$B11&amp;""),tda)</f>
        <v>4.4000000000000004</v>
      </c>
      <c r="H11" s="162">
        <f>_xll.xlqAsk(CONCATENATE($A$7,$B11&amp;""),tda)</f>
        <v>4.8</v>
      </c>
      <c r="J11" s="136">
        <f>J10+(J$10-J$9)</f>
        <v>256</v>
      </c>
      <c r="K11" s="138">
        <f t="shared" si="7"/>
        <v>-140.19999999999999</v>
      </c>
      <c r="L11" s="1">
        <f t="shared" si="8"/>
        <v>0</v>
      </c>
      <c r="M11" s="1">
        <f t="shared" si="6"/>
        <v>-39.1</v>
      </c>
      <c r="N11" s="1">
        <f t="shared" si="6"/>
        <v>-101.1</v>
      </c>
      <c r="O11" s="1">
        <f t="shared" si="6"/>
        <v>0</v>
      </c>
    </row>
    <row r="12" spans="1:17" x14ac:dyDescent="0.25">
      <c r="A12" s="139" t="s">
        <v>119</v>
      </c>
      <c r="B12" s="157">
        <f t="shared" si="3"/>
        <v>340</v>
      </c>
      <c r="C12" s="153">
        <f t="shared" si="0"/>
        <v>61.95</v>
      </c>
      <c r="D12" s="154">
        <f>_xll.xlqBid(CONCATENATE($A$6,B12&amp;""),tda)</f>
        <v>61.2</v>
      </c>
      <c r="E12" s="154">
        <f>_xll.xlqAsk(CONCATENATE($A$6,B12&amp;""),tda)</f>
        <v>62.7</v>
      </c>
      <c r="F12" s="161">
        <f t="shared" si="1"/>
        <v>5.95</v>
      </c>
      <c r="G12" s="162">
        <f>_xll.xlqBid(CONCATENATE($A$7,$B12&amp;""),tda)</f>
        <v>5.7</v>
      </c>
      <c r="H12" s="162">
        <f>_xll.xlqAsk(CONCATENATE($A$7,$B12&amp;""),tda)</f>
        <v>6.2</v>
      </c>
      <c r="J12" s="136">
        <f t="shared" ref="J12:J75" si="9">J11+(J$10-J$9)</f>
        <v>259</v>
      </c>
      <c r="K12" s="138">
        <f t="shared" si="7"/>
        <v>-137.19999999999999</v>
      </c>
      <c r="L12" s="1">
        <f t="shared" si="8"/>
        <v>0</v>
      </c>
      <c r="M12" s="1">
        <f t="shared" si="6"/>
        <v>-39.1</v>
      </c>
      <c r="N12" s="1">
        <f t="shared" si="6"/>
        <v>-98.1</v>
      </c>
      <c r="O12" s="1">
        <f t="shared" si="6"/>
        <v>0</v>
      </c>
    </row>
    <row r="13" spans="1:17" x14ac:dyDescent="0.25">
      <c r="A13" s="165">
        <f>_xll.xlqVolatility(A18,tda)</f>
        <v>7.690000000000001E-2</v>
      </c>
      <c r="B13" s="157">
        <f t="shared" si="3"/>
        <v>350</v>
      </c>
      <c r="C13" s="153">
        <f t="shared" si="0"/>
        <v>54</v>
      </c>
      <c r="D13" s="154">
        <f>_xll.xlqBid(CONCATENATE($A$6,B13&amp;""),tda)</f>
        <v>53.5</v>
      </c>
      <c r="E13" s="154">
        <f>_xll.xlqAsk(CONCATENATE($A$6,B13&amp;""),tda)</f>
        <v>54.5</v>
      </c>
      <c r="F13" s="161">
        <f t="shared" si="1"/>
        <v>7.75</v>
      </c>
      <c r="G13" s="162">
        <f>_xll.xlqBid(CONCATENATE($A$7,$B13&amp;""),tda)</f>
        <v>7.5</v>
      </c>
      <c r="H13" s="162">
        <f>_xll.xlqAsk(CONCATENATE($A$7,$B13&amp;""),tda)</f>
        <v>8</v>
      </c>
      <c r="J13" s="136">
        <f t="shared" si="9"/>
        <v>262</v>
      </c>
      <c r="K13" s="138">
        <f t="shared" si="7"/>
        <v>-134.19999999999999</v>
      </c>
      <c r="L13" s="1">
        <f t="shared" si="8"/>
        <v>0</v>
      </c>
      <c r="M13" s="1">
        <f t="shared" si="6"/>
        <v>-39.1</v>
      </c>
      <c r="N13" s="1">
        <f t="shared" si="6"/>
        <v>-95.1</v>
      </c>
      <c r="O13" s="1">
        <f t="shared" si="6"/>
        <v>0</v>
      </c>
    </row>
    <row r="14" spans="1:17" x14ac:dyDescent="0.25">
      <c r="A14" s="148"/>
      <c r="B14" s="157">
        <f t="shared" si="3"/>
        <v>360</v>
      </c>
      <c r="C14" s="153">
        <f t="shared" si="0"/>
        <v>46.25</v>
      </c>
      <c r="D14" s="154">
        <f>_xll.xlqBid(CONCATENATE($A$6,B14&amp;""),tda)</f>
        <v>45.800000000000004</v>
      </c>
      <c r="E14" s="154">
        <f>_xll.xlqAsk(CONCATENATE($A$6,B14&amp;""),tda)</f>
        <v>46.7</v>
      </c>
      <c r="F14" s="161">
        <f t="shared" si="1"/>
        <v>10.050000000000001</v>
      </c>
      <c r="G14" s="162">
        <f>_xll.xlqBid(CONCATENATE($A$7,$B14&amp;""),tda)</f>
        <v>9.8000000000000007</v>
      </c>
      <c r="H14" s="162">
        <f>_xll.xlqAsk(CONCATENATE($A$7,$B14&amp;""),tda)</f>
        <v>10.3</v>
      </c>
      <c r="J14" s="136">
        <f t="shared" si="9"/>
        <v>265</v>
      </c>
      <c r="K14" s="138">
        <f t="shared" si="7"/>
        <v>-131.19999999999999</v>
      </c>
      <c r="L14" s="1">
        <f t="shared" si="8"/>
        <v>0</v>
      </c>
      <c r="M14" s="1">
        <f t="shared" si="6"/>
        <v>-39.1</v>
      </c>
      <c r="N14" s="1">
        <f t="shared" si="6"/>
        <v>-92.1</v>
      </c>
      <c r="O14" s="1">
        <f t="shared" si="6"/>
        <v>0</v>
      </c>
    </row>
    <row r="15" spans="1:17" x14ac:dyDescent="0.25">
      <c r="A15" s="139"/>
      <c r="B15" s="157">
        <f t="shared" si="3"/>
        <v>370</v>
      </c>
      <c r="C15" s="153">
        <f t="shared" si="0"/>
        <v>39.1</v>
      </c>
      <c r="D15" s="154">
        <f>_xll.xlqBid(CONCATENATE($A$6,B15&amp;""),tda)</f>
        <v>38.6</v>
      </c>
      <c r="E15" s="154">
        <f>_xll.xlqAsk(CONCATENATE($A$6,B15&amp;""),tda)</f>
        <v>39.6</v>
      </c>
      <c r="F15" s="161">
        <f t="shared" si="1"/>
        <v>12.900000000000002</v>
      </c>
      <c r="G15" s="162">
        <f>_xll.xlqBid(CONCATENATE($A$7,$B15&amp;""),tda)</f>
        <v>12.600000000000001</v>
      </c>
      <c r="H15" s="162">
        <f>_xll.xlqAsk(CONCATENATE($A$7,$B15&amp;""),tda)</f>
        <v>13.200000000000001</v>
      </c>
      <c r="J15" s="136">
        <f t="shared" si="9"/>
        <v>268</v>
      </c>
      <c r="K15" s="138">
        <f t="shared" si="7"/>
        <v>-128.19999999999999</v>
      </c>
      <c r="L15" s="1">
        <f t="shared" si="8"/>
        <v>0</v>
      </c>
      <c r="M15" s="1">
        <f t="shared" si="6"/>
        <v>-39.1</v>
      </c>
      <c r="N15" s="1">
        <f t="shared" si="6"/>
        <v>-89.1</v>
      </c>
      <c r="O15" s="1">
        <f t="shared" si="6"/>
        <v>0</v>
      </c>
    </row>
    <row r="16" spans="1:17" x14ac:dyDescent="0.25">
      <c r="A16" s="149"/>
      <c r="B16" s="157">
        <f t="shared" si="3"/>
        <v>380</v>
      </c>
      <c r="C16" s="153">
        <f t="shared" si="0"/>
        <v>32.5</v>
      </c>
      <c r="D16" s="154">
        <f>_xll.xlqBid(CONCATENATE($A$6,B16&amp;""),tda)</f>
        <v>32</v>
      </c>
      <c r="E16" s="154">
        <f>_xll.xlqAsk(CONCATENATE($A$6,B16&amp;""),tda)</f>
        <v>33</v>
      </c>
      <c r="F16" s="161">
        <f t="shared" si="1"/>
        <v>16.350000000000001</v>
      </c>
      <c r="G16" s="162">
        <f>_xll.xlqBid(CONCATENATE($A$7,$B16&amp;""),tda)</f>
        <v>16</v>
      </c>
      <c r="H16" s="162">
        <f>_xll.xlqAsk(CONCATENATE($A$7,$B16&amp;""),tda)</f>
        <v>16.7</v>
      </c>
      <c r="J16" s="136">
        <f t="shared" si="9"/>
        <v>271</v>
      </c>
      <c r="K16" s="138">
        <f t="shared" si="7"/>
        <v>-125.19999999999999</v>
      </c>
      <c r="L16" s="1">
        <f t="shared" si="8"/>
        <v>0</v>
      </c>
      <c r="M16" s="1">
        <f t="shared" si="6"/>
        <v>-39.1</v>
      </c>
      <c r="N16" s="1">
        <f t="shared" si="6"/>
        <v>-86.1</v>
      </c>
      <c r="O16" s="1">
        <f t="shared" si="6"/>
        <v>0</v>
      </c>
    </row>
    <row r="17" spans="1:15" x14ac:dyDescent="0.25">
      <c r="B17" s="157">
        <f t="shared" si="3"/>
        <v>390</v>
      </c>
      <c r="C17" s="153">
        <f t="shared" si="0"/>
        <v>26.800000000000004</v>
      </c>
      <c r="D17" s="154">
        <f>_xll.xlqBid(CONCATENATE($A$6,B17&amp;""),tda)</f>
        <v>26.400000000000002</v>
      </c>
      <c r="E17" s="154">
        <f>_xll.xlqAsk(CONCATENATE($A$6,B17&amp;""),tda)</f>
        <v>27.200000000000003</v>
      </c>
      <c r="F17" s="161">
        <f t="shared" si="1"/>
        <v>20.55</v>
      </c>
      <c r="G17" s="162">
        <f>_xll.xlqBid(CONCATENATE($A$7,$B17&amp;""),tda)</f>
        <v>20.2</v>
      </c>
      <c r="H17" s="162">
        <f>_xll.xlqAsk(CONCATENATE($A$7,$B17&amp;""),tda)</f>
        <v>20.900000000000002</v>
      </c>
      <c r="J17" s="136">
        <f t="shared" si="9"/>
        <v>274</v>
      </c>
      <c r="K17" s="138">
        <f t="shared" si="7"/>
        <v>-122.19999999999999</v>
      </c>
      <c r="L17" s="1">
        <f t="shared" si="8"/>
        <v>0</v>
      </c>
      <c r="M17" s="1">
        <f t="shared" si="6"/>
        <v>-39.1</v>
      </c>
      <c r="N17" s="1">
        <f t="shared" si="6"/>
        <v>-83.1</v>
      </c>
      <c r="O17" s="1">
        <f t="shared" si="6"/>
        <v>0</v>
      </c>
    </row>
    <row r="18" spans="1:15" x14ac:dyDescent="0.25">
      <c r="A18" s="140" t="str">
        <f>A1</f>
        <v>MKTX</v>
      </c>
      <c r="B18" s="157">
        <f t="shared" si="3"/>
        <v>400</v>
      </c>
      <c r="C18" s="153">
        <f t="shared" si="0"/>
        <v>21.65</v>
      </c>
      <c r="D18" s="154">
        <f>_xll.xlqBid(CONCATENATE($A$6,B18&amp;""),tda)</f>
        <v>21.3</v>
      </c>
      <c r="E18" s="154">
        <f>_xll.xlqAsk(CONCATENATE($A$6,B18&amp;""),tda)</f>
        <v>22</v>
      </c>
      <c r="F18" s="161">
        <f t="shared" si="1"/>
        <v>25.5</v>
      </c>
      <c r="G18" s="162">
        <f>_xll.xlqBid(CONCATENATE($A$7,$B18&amp;""),tda)</f>
        <v>25.1</v>
      </c>
      <c r="H18" s="162">
        <f>_xll.xlqAsk(CONCATENATE($A$7,$B18&amp;""),tda)</f>
        <v>25.900000000000002</v>
      </c>
      <c r="J18" s="136">
        <f t="shared" si="9"/>
        <v>277</v>
      </c>
      <c r="K18" s="138">
        <f t="shared" si="7"/>
        <v>-119.19999999999999</v>
      </c>
      <c r="L18" s="1">
        <f t="shared" si="8"/>
        <v>0</v>
      </c>
      <c r="M18" s="1">
        <f t="shared" si="6"/>
        <v>-39.1</v>
      </c>
      <c r="N18" s="1">
        <f t="shared" si="6"/>
        <v>-80.099999999999994</v>
      </c>
      <c r="O18" s="1">
        <f t="shared" si="6"/>
        <v>0</v>
      </c>
    </row>
    <row r="19" spans="1:15" x14ac:dyDescent="0.25">
      <c r="A19" s="144"/>
      <c r="B19" s="157">
        <f t="shared" si="3"/>
        <v>410</v>
      </c>
      <c r="C19" s="153">
        <f t="shared" si="0"/>
        <v>17.25</v>
      </c>
      <c r="D19" s="154">
        <f>_xll.xlqBid(CONCATENATE($A$6,B19&amp;""),tda)</f>
        <v>16.900000000000002</v>
      </c>
      <c r="E19" s="154">
        <f>_xll.xlqAsk(CONCATENATE($A$6,B19&amp;""),tda)</f>
        <v>17.600000000000001</v>
      </c>
      <c r="F19" s="161">
        <f t="shared" si="1"/>
        <v>31</v>
      </c>
      <c r="G19" s="162">
        <f>_xll.xlqBid(CONCATENATE($A$7,$B19&amp;""),tda)</f>
        <v>30.6</v>
      </c>
      <c r="H19" s="162">
        <f>_xll.xlqAsk(CONCATENATE($A$7,$B19&amp;""),tda)</f>
        <v>31.400000000000002</v>
      </c>
      <c r="J19" s="136">
        <f t="shared" si="9"/>
        <v>280</v>
      </c>
      <c r="K19" s="138">
        <f t="shared" si="7"/>
        <v>-116.19999999999999</v>
      </c>
      <c r="L19" s="1">
        <f t="shared" si="8"/>
        <v>0</v>
      </c>
      <c r="M19" s="1">
        <f t="shared" si="6"/>
        <v>-39.1</v>
      </c>
      <c r="N19" s="1">
        <f t="shared" si="6"/>
        <v>-77.099999999999994</v>
      </c>
      <c r="O19" s="1">
        <f t="shared" si="6"/>
        <v>0</v>
      </c>
    </row>
    <row r="20" spans="1:15" x14ac:dyDescent="0.25">
      <c r="B20" s="157">
        <f t="shared" si="3"/>
        <v>420</v>
      </c>
      <c r="C20" s="153">
        <f t="shared" si="0"/>
        <v>13.5</v>
      </c>
      <c r="D20" s="154">
        <f>_xll.xlqBid(CONCATENATE($A$6,B20&amp;""),tda)</f>
        <v>13.200000000000001</v>
      </c>
      <c r="E20" s="154">
        <f>_xll.xlqAsk(CONCATENATE($A$6,B20&amp;""),tda)</f>
        <v>13.8</v>
      </c>
      <c r="F20" s="161">
        <f t="shared" si="1"/>
        <v>37.299999999999997</v>
      </c>
      <c r="G20" s="162">
        <f>_xll.xlqBid(CONCATENATE($A$7,$B20&amp;""),tda)</f>
        <v>36.9</v>
      </c>
      <c r="H20" s="162">
        <f>_xll.xlqAsk(CONCATENATE($A$7,$B20&amp;""),tda)</f>
        <v>37.700000000000003</v>
      </c>
      <c r="J20" s="136">
        <f t="shared" si="9"/>
        <v>283</v>
      </c>
      <c r="K20" s="138">
        <f t="shared" si="7"/>
        <v>-113.19999999999999</v>
      </c>
      <c r="L20" s="1">
        <f t="shared" si="8"/>
        <v>0</v>
      </c>
      <c r="M20" s="1">
        <f t="shared" si="6"/>
        <v>-39.1</v>
      </c>
      <c r="N20" s="1">
        <f t="shared" si="6"/>
        <v>-74.099999999999994</v>
      </c>
      <c r="O20" s="1">
        <f t="shared" si="6"/>
        <v>0</v>
      </c>
    </row>
    <row r="21" spans="1:15" x14ac:dyDescent="0.25">
      <c r="A21" s="139"/>
      <c r="B21" s="157">
        <f t="shared" si="3"/>
        <v>430</v>
      </c>
      <c r="C21" s="153">
        <f t="shared" si="0"/>
        <v>10.450000000000001</v>
      </c>
      <c r="D21" s="154">
        <f>_xll.xlqBid(CONCATENATE($A$6,B21&amp;""),tda)</f>
        <v>10.200000000000001</v>
      </c>
      <c r="E21" s="154">
        <f>_xll.xlqAsk(CONCATENATE($A$6,B21&amp;""),tda)</f>
        <v>10.700000000000001</v>
      </c>
      <c r="F21" s="161">
        <f t="shared" si="1"/>
        <v>44.2</v>
      </c>
      <c r="G21" s="162">
        <f>_xll.xlqBid(CONCATENATE($A$7,$B21&amp;""),tda)</f>
        <v>43.800000000000004</v>
      </c>
      <c r="H21" s="162">
        <f>_xll.xlqAsk(CONCATENATE($A$7,$B21&amp;""),tda)</f>
        <v>44.6</v>
      </c>
      <c r="J21" s="136">
        <f t="shared" si="9"/>
        <v>286</v>
      </c>
      <c r="K21" s="138">
        <f t="shared" si="7"/>
        <v>-110.19999999999999</v>
      </c>
      <c r="L21" s="1">
        <f t="shared" si="8"/>
        <v>0</v>
      </c>
      <c r="M21" s="1">
        <f t="shared" si="6"/>
        <v>-39.1</v>
      </c>
      <c r="N21" s="1">
        <f t="shared" si="6"/>
        <v>-71.099999999999994</v>
      </c>
      <c r="O21" s="1">
        <f t="shared" si="6"/>
        <v>0</v>
      </c>
    </row>
    <row r="22" spans="1:15" x14ac:dyDescent="0.25">
      <c r="A22" s="146"/>
      <c r="B22" s="157">
        <f t="shared" si="3"/>
        <v>440</v>
      </c>
      <c r="C22" s="153">
        <f t="shared" si="0"/>
        <v>8</v>
      </c>
      <c r="D22" s="154">
        <f>_xll.xlqBid(CONCATENATE($A$6,B22&amp;""),tda)</f>
        <v>7.7</v>
      </c>
      <c r="E22" s="154">
        <f>_xll.xlqAsk(CONCATENATE($A$6,B22&amp;""),tda)</f>
        <v>8.3000000000000007</v>
      </c>
      <c r="F22" s="161">
        <f t="shared" si="1"/>
        <v>51.75</v>
      </c>
      <c r="G22" s="162">
        <f>_xll.xlqBid(CONCATENATE($A$7,$B22&amp;""),tda)</f>
        <v>51.2</v>
      </c>
      <c r="H22" s="162">
        <f>_xll.xlqAsk(CONCATENATE($A$7,$B22&amp;""),tda)</f>
        <v>52.300000000000004</v>
      </c>
      <c r="J22" s="136">
        <f t="shared" si="9"/>
        <v>289</v>
      </c>
      <c r="K22" s="138">
        <f t="shared" si="7"/>
        <v>-107.19999999999999</v>
      </c>
      <c r="L22" s="1">
        <f t="shared" si="8"/>
        <v>0</v>
      </c>
      <c r="M22" s="1">
        <f t="shared" si="6"/>
        <v>-39.1</v>
      </c>
      <c r="N22" s="1">
        <f t="shared" si="6"/>
        <v>-68.099999999999994</v>
      </c>
      <c r="O22" s="1">
        <f t="shared" si="6"/>
        <v>0</v>
      </c>
    </row>
    <row r="23" spans="1:15" x14ac:dyDescent="0.25">
      <c r="I23" s="1"/>
      <c r="J23" s="136">
        <f t="shared" si="9"/>
        <v>292</v>
      </c>
      <c r="K23" s="138">
        <f t="shared" si="7"/>
        <v>-104.19999999999999</v>
      </c>
      <c r="L23" s="1">
        <f t="shared" si="8"/>
        <v>0</v>
      </c>
      <c r="M23" s="1">
        <f t="shared" si="6"/>
        <v>-39.1</v>
      </c>
      <c r="N23" s="1">
        <f t="shared" si="6"/>
        <v>-65.099999999999994</v>
      </c>
      <c r="O23" s="1">
        <f t="shared" si="6"/>
        <v>0</v>
      </c>
    </row>
    <row r="24" spans="1:15" x14ac:dyDescent="0.25">
      <c r="A24" s="139"/>
      <c r="C24" s="65"/>
      <c r="D24" s="150"/>
      <c r="E24" s="150"/>
      <c r="F24" s="164"/>
      <c r="G24" s="164"/>
      <c r="H24" s="164"/>
      <c r="I24" s="13"/>
      <c r="J24" s="136">
        <f t="shared" si="9"/>
        <v>295</v>
      </c>
      <c r="K24" s="138">
        <f t="shared" si="7"/>
        <v>-101.19999999999999</v>
      </c>
      <c r="L24" s="1">
        <f t="shared" si="8"/>
        <v>0</v>
      </c>
      <c r="M24" s="1">
        <f t="shared" si="6"/>
        <v>-39.1</v>
      </c>
      <c r="N24" s="1">
        <f t="shared" si="6"/>
        <v>-62.099999999999994</v>
      </c>
      <c r="O24" s="1">
        <f t="shared" si="6"/>
        <v>0</v>
      </c>
    </row>
    <row r="25" spans="1:15" x14ac:dyDescent="0.25">
      <c r="A25" s="172"/>
      <c r="B25" s="13"/>
      <c r="C25" s="151"/>
      <c r="D25" s="152"/>
      <c r="E25" s="152"/>
      <c r="F25" s="159"/>
      <c r="G25" s="160"/>
      <c r="H25" s="160"/>
      <c r="J25" s="136">
        <f t="shared" si="9"/>
        <v>298</v>
      </c>
      <c r="K25" s="138">
        <f t="shared" si="7"/>
        <v>-98.199999999999989</v>
      </c>
      <c r="L25" s="1">
        <f t="shared" si="8"/>
        <v>0</v>
      </c>
      <c r="M25" s="1">
        <f t="shared" si="8"/>
        <v>-39.1</v>
      </c>
      <c r="N25" s="1">
        <f t="shared" si="8"/>
        <v>-59.099999999999994</v>
      </c>
      <c r="O25" s="1">
        <f t="shared" si="8"/>
        <v>0</v>
      </c>
    </row>
    <row r="26" spans="1:15" x14ac:dyDescent="0.25">
      <c r="A26" s="141"/>
      <c r="B26" s="157"/>
      <c r="C26" s="153"/>
      <c r="D26" s="154"/>
      <c r="E26" s="154"/>
      <c r="F26" s="161"/>
      <c r="G26" s="162"/>
      <c r="H26" s="162"/>
      <c r="J26" s="136">
        <f t="shared" si="9"/>
        <v>301</v>
      </c>
      <c r="K26" s="138">
        <f t="shared" si="7"/>
        <v>-95.199999999999989</v>
      </c>
      <c r="L26" s="1">
        <f t="shared" si="8"/>
        <v>0</v>
      </c>
      <c r="M26" s="1">
        <f t="shared" si="8"/>
        <v>-39.1</v>
      </c>
      <c r="N26" s="1">
        <f t="shared" si="8"/>
        <v>-56.099999999999994</v>
      </c>
      <c r="O26" s="1">
        <f t="shared" si="8"/>
        <v>0</v>
      </c>
    </row>
    <row r="27" spans="1:15" x14ac:dyDescent="0.25">
      <c r="B27" s="157"/>
      <c r="C27" s="153"/>
      <c r="D27" s="154"/>
      <c r="E27" s="154"/>
      <c r="F27" s="161"/>
      <c r="G27" s="162"/>
      <c r="H27" s="162"/>
      <c r="J27" s="136">
        <f t="shared" si="9"/>
        <v>304</v>
      </c>
      <c r="K27" s="138">
        <f t="shared" si="7"/>
        <v>-92.199999999999989</v>
      </c>
      <c r="L27" s="1">
        <f t="shared" si="8"/>
        <v>0</v>
      </c>
      <c r="M27" s="1">
        <f t="shared" si="8"/>
        <v>-39.1</v>
      </c>
      <c r="N27" s="1">
        <f t="shared" si="8"/>
        <v>-53.099999999999994</v>
      </c>
      <c r="O27" s="1">
        <f t="shared" si="8"/>
        <v>0</v>
      </c>
    </row>
    <row r="28" spans="1:15" x14ac:dyDescent="0.25">
      <c r="A28" s="143"/>
      <c r="B28" s="157"/>
      <c r="C28" s="153"/>
      <c r="D28" s="154"/>
      <c r="E28" s="154"/>
      <c r="F28" s="161"/>
      <c r="G28" s="162"/>
      <c r="H28" s="162"/>
      <c r="J28" s="136">
        <f t="shared" si="9"/>
        <v>307</v>
      </c>
      <c r="K28" s="138">
        <f t="shared" si="7"/>
        <v>-89.199999999999989</v>
      </c>
      <c r="L28" s="1">
        <f t="shared" si="8"/>
        <v>0</v>
      </c>
      <c r="M28" s="1">
        <f t="shared" si="8"/>
        <v>-39.1</v>
      </c>
      <c r="N28" s="1">
        <f t="shared" si="8"/>
        <v>-50.099999999999994</v>
      </c>
      <c r="O28" s="1">
        <f t="shared" si="8"/>
        <v>0</v>
      </c>
    </row>
    <row r="29" spans="1:15" x14ac:dyDescent="0.25">
      <c r="A29" s="144"/>
      <c r="B29" s="157"/>
      <c r="C29" s="153"/>
      <c r="D29" s="154"/>
      <c r="E29" s="154"/>
      <c r="F29" s="161"/>
      <c r="G29" s="162"/>
      <c r="H29" s="162"/>
      <c r="J29" s="136">
        <f t="shared" si="9"/>
        <v>310</v>
      </c>
      <c r="K29" s="138">
        <f t="shared" si="7"/>
        <v>-86.199999999999989</v>
      </c>
      <c r="L29" s="1">
        <f t="shared" si="8"/>
        <v>0</v>
      </c>
      <c r="M29" s="1">
        <f t="shared" si="8"/>
        <v>-39.1</v>
      </c>
      <c r="N29" s="1">
        <f t="shared" si="8"/>
        <v>-47.099999999999994</v>
      </c>
      <c r="O29" s="1">
        <f t="shared" si="8"/>
        <v>0</v>
      </c>
    </row>
    <row r="30" spans="1:15" x14ac:dyDescent="0.25">
      <c r="B30" s="157"/>
      <c r="C30" s="153"/>
      <c r="D30" s="154"/>
      <c r="E30" s="154"/>
      <c r="F30" s="161"/>
      <c r="G30" s="162"/>
      <c r="H30" s="162"/>
      <c r="J30" s="136">
        <f t="shared" si="9"/>
        <v>313</v>
      </c>
      <c r="K30" s="138">
        <f t="shared" si="7"/>
        <v>-83.199999999999989</v>
      </c>
      <c r="L30" s="1">
        <f t="shared" si="8"/>
        <v>0</v>
      </c>
      <c r="M30" s="1">
        <f t="shared" si="8"/>
        <v>-39.1</v>
      </c>
      <c r="N30" s="1">
        <f t="shared" si="8"/>
        <v>-44.099999999999994</v>
      </c>
      <c r="O30" s="1">
        <f t="shared" si="8"/>
        <v>0</v>
      </c>
    </row>
    <row r="31" spans="1:15" x14ac:dyDescent="0.25">
      <c r="B31" s="157"/>
      <c r="C31" s="153"/>
      <c r="D31" s="154"/>
      <c r="E31" s="154"/>
      <c r="F31" s="161"/>
      <c r="G31" s="162"/>
      <c r="H31" s="162"/>
      <c r="J31" s="136">
        <f t="shared" si="9"/>
        <v>316</v>
      </c>
      <c r="K31" s="138">
        <f t="shared" si="7"/>
        <v>-80.199999999999989</v>
      </c>
      <c r="L31" s="1">
        <f t="shared" si="8"/>
        <v>0</v>
      </c>
      <c r="M31" s="1">
        <f t="shared" si="8"/>
        <v>-39.1</v>
      </c>
      <c r="N31" s="1">
        <f t="shared" si="8"/>
        <v>-41.099999999999994</v>
      </c>
      <c r="O31" s="1">
        <f t="shared" si="8"/>
        <v>0</v>
      </c>
    </row>
    <row r="32" spans="1:15" x14ac:dyDescent="0.25">
      <c r="A32" s="139"/>
      <c r="B32" s="157"/>
      <c r="C32" s="153"/>
      <c r="D32" s="154"/>
      <c r="E32" s="154"/>
      <c r="F32" s="161"/>
      <c r="G32" s="162"/>
      <c r="H32" s="162"/>
      <c r="J32" s="136">
        <f t="shared" si="9"/>
        <v>319</v>
      </c>
      <c r="K32" s="138">
        <f t="shared" si="7"/>
        <v>-77.199999999999989</v>
      </c>
      <c r="L32" s="1">
        <f t="shared" si="8"/>
        <v>0</v>
      </c>
      <c r="M32" s="1">
        <f t="shared" si="8"/>
        <v>-39.1</v>
      </c>
      <c r="N32" s="1">
        <f t="shared" si="8"/>
        <v>-38.099999999999994</v>
      </c>
      <c r="O32" s="1">
        <f t="shared" si="8"/>
        <v>0</v>
      </c>
    </row>
    <row r="33" spans="1:15" x14ac:dyDescent="0.25">
      <c r="A33" s="145"/>
      <c r="B33" s="157"/>
      <c r="C33" s="153"/>
      <c r="D33" s="154"/>
      <c r="E33" s="154"/>
      <c r="F33" s="161"/>
      <c r="G33" s="162"/>
      <c r="H33" s="162"/>
      <c r="J33" s="136">
        <f t="shared" si="9"/>
        <v>322</v>
      </c>
      <c r="K33" s="138">
        <f t="shared" si="7"/>
        <v>-74.199999999999989</v>
      </c>
      <c r="L33" s="1">
        <f t="shared" si="8"/>
        <v>0</v>
      </c>
      <c r="M33" s="1">
        <f t="shared" si="8"/>
        <v>-39.1</v>
      </c>
      <c r="N33" s="1">
        <f t="shared" si="8"/>
        <v>-35.099999999999994</v>
      </c>
      <c r="O33" s="1">
        <f t="shared" si="8"/>
        <v>0</v>
      </c>
    </row>
    <row r="34" spans="1:15" x14ac:dyDescent="0.25">
      <c r="A34" s="146"/>
      <c r="B34" s="157"/>
      <c r="C34" s="153"/>
      <c r="D34" s="154"/>
      <c r="E34" s="154"/>
      <c r="F34" s="161"/>
      <c r="G34" s="162"/>
      <c r="H34" s="162"/>
      <c r="J34" s="136">
        <f t="shared" si="9"/>
        <v>325</v>
      </c>
      <c r="K34" s="138">
        <f t="shared" si="7"/>
        <v>-71.199999999999989</v>
      </c>
      <c r="L34" s="1">
        <f t="shared" si="8"/>
        <v>0</v>
      </c>
      <c r="M34" s="1">
        <f t="shared" si="8"/>
        <v>-39.1</v>
      </c>
      <c r="N34" s="1">
        <f t="shared" si="8"/>
        <v>-32.099999999999994</v>
      </c>
      <c r="O34" s="1">
        <f t="shared" si="8"/>
        <v>0</v>
      </c>
    </row>
    <row r="35" spans="1:15" x14ac:dyDescent="0.25">
      <c r="A35" s="146"/>
      <c r="B35" s="157"/>
      <c r="C35" s="153"/>
      <c r="D35" s="154"/>
      <c r="E35" s="154"/>
      <c r="F35" s="161"/>
      <c r="G35" s="162"/>
      <c r="H35" s="162"/>
      <c r="J35" s="136">
        <f t="shared" si="9"/>
        <v>328</v>
      </c>
      <c r="K35" s="138">
        <f t="shared" si="7"/>
        <v>-68.2</v>
      </c>
      <c r="L35" s="1">
        <f t="shared" si="8"/>
        <v>0</v>
      </c>
      <c r="M35" s="1">
        <f t="shared" si="8"/>
        <v>-39.1</v>
      </c>
      <c r="N35" s="1">
        <f t="shared" si="8"/>
        <v>-29.099999999999998</v>
      </c>
      <c r="O35" s="1">
        <f t="shared" si="8"/>
        <v>0</v>
      </c>
    </row>
    <row r="36" spans="1:15" x14ac:dyDescent="0.25">
      <c r="A36" s="139"/>
      <c r="B36" s="157"/>
      <c r="C36" s="153"/>
      <c r="D36" s="154"/>
      <c r="E36" s="154"/>
      <c r="F36" s="161"/>
      <c r="G36" s="162"/>
      <c r="H36" s="162"/>
      <c r="J36" s="136">
        <f t="shared" si="9"/>
        <v>331</v>
      </c>
      <c r="K36" s="138">
        <f t="shared" si="7"/>
        <v>-65.2</v>
      </c>
      <c r="L36" s="1">
        <f t="shared" si="8"/>
        <v>0</v>
      </c>
      <c r="M36" s="1">
        <f t="shared" si="8"/>
        <v>-39.1</v>
      </c>
      <c r="N36" s="1">
        <f t="shared" si="8"/>
        <v>-26.099999999999998</v>
      </c>
      <c r="O36" s="1">
        <f t="shared" si="8"/>
        <v>0</v>
      </c>
    </row>
    <row r="37" spans="1:15" x14ac:dyDescent="0.25">
      <c r="A37" s="147"/>
      <c r="B37" s="157"/>
      <c r="C37" s="153"/>
      <c r="D37" s="154"/>
      <c r="E37" s="154"/>
      <c r="F37" s="161"/>
      <c r="G37" s="162"/>
      <c r="H37" s="162"/>
      <c r="J37" s="136">
        <f t="shared" si="9"/>
        <v>334</v>
      </c>
      <c r="K37" s="138">
        <f t="shared" si="7"/>
        <v>-62.2</v>
      </c>
      <c r="L37" s="1">
        <f t="shared" si="8"/>
        <v>0</v>
      </c>
      <c r="M37" s="1">
        <f t="shared" si="8"/>
        <v>-39.1</v>
      </c>
      <c r="N37" s="1">
        <f t="shared" si="8"/>
        <v>-23.099999999999998</v>
      </c>
      <c r="O37" s="1">
        <f t="shared" si="8"/>
        <v>0</v>
      </c>
    </row>
    <row r="38" spans="1:15" x14ac:dyDescent="0.25">
      <c r="A38" s="148"/>
      <c r="B38" s="157"/>
      <c r="C38" s="153"/>
      <c r="D38" s="154"/>
      <c r="E38" s="154"/>
      <c r="F38" s="161"/>
      <c r="G38" s="162"/>
      <c r="H38" s="162"/>
      <c r="J38" s="136">
        <f t="shared" si="9"/>
        <v>337</v>
      </c>
      <c r="K38" s="138">
        <f t="shared" si="7"/>
        <v>-59.2</v>
      </c>
      <c r="L38" s="1">
        <f t="shared" si="8"/>
        <v>0</v>
      </c>
      <c r="M38" s="1">
        <f t="shared" si="8"/>
        <v>-39.1</v>
      </c>
      <c r="N38" s="1">
        <f t="shared" si="8"/>
        <v>-20.099999999999998</v>
      </c>
      <c r="O38" s="1">
        <f t="shared" si="8"/>
        <v>0</v>
      </c>
    </row>
    <row r="39" spans="1:15" x14ac:dyDescent="0.25">
      <c r="A39" s="140"/>
      <c r="B39" s="157"/>
      <c r="C39" s="153"/>
      <c r="D39" s="154"/>
      <c r="E39" s="154"/>
      <c r="F39" s="161"/>
      <c r="G39" s="162"/>
      <c r="H39" s="162"/>
      <c r="J39" s="136">
        <f t="shared" si="9"/>
        <v>340</v>
      </c>
      <c r="K39" s="138">
        <f t="shared" si="7"/>
        <v>-56.2</v>
      </c>
      <c r="L39" s="1">
        <f t="shared" si="8"/>
        <v>0</v>
      </c>
      <c r="M39" s="1">
        <f t="shared" si="8"/>
        <v>-39.1</v>
      </c>
      <c r="N39" s="1">
        <f t="shared" si="8"/>
        <v>-17.099999999999998</v>
      </c>
      <c r="O39" s="1">
        <f t="shared" si="8"/>
        <v>0</v>
      </c>
    </row>
    <row r="40" spans="1:15" x14ac:dyDescent="0.25">
      <c r="A40" s="149"/>
      <c r="B40" s="157"/>
      <c r="C40" s="153"/>
      <c r="D40" s="154"/>
      <c r="E40" s="154"/>
      <c r="F40" s="161"/>
      <c r="G40" s="162"/>
      <c r="H40" s="162"/>
      <c r="J40" s="136">
        <f t="shared" si="9"/>
        <v>343</v>
      </c>
      <c r="K40" s="138">
        <f t="shared" si="7"/>
        <v>-53.2</v>
      </c>
      <c r="L40" s="1">
        <f t="shared" si="8"/>
        <v>0</v>
      </c>
      <c r="M40" s="1">
        <f t="shared" si="8"/>
        <v>-39.1</v>
      </c>
      <c r="N40" s="1">
        <f t="shared" si="8"/>
        <v>-14.099999999999998</v>
      </c>
      <c r="O40" s="1">
        <f t="shared" si="8"/>
        <v>0</v>
      </c>
    </row>
    <row r="41" spans="1:15" x14ac:dyDescent="0.25">
      <c r="B41" s="157"/>
      <c r="C41" s="153"/>
      <c r="D41" s="154"/>
      <c r="E41" s="154"/>
      <c r="F41" s="161"/>
      <c r="G41" s="162"/>
      <c r="H41" s="162"/>
      <c r="J41" s="136">
        <f t="shared" si="9"/>
        <v>346</v>
      </c>
      <c r="K41" s="138">
        <f t="shared" si="7"/>
        <v>-50.2</v>
      </c>
      <c r="L41" s="1">
        <f t="shared" si="8"/>
        <v>0</v>
      </c>
      <c r="M41" s="1">
        <f t="shared" si="8"/>
        <v>-39.1</v>
      </c>
      <c r="N41" s="1">
        <f t="shared" si="8"/>
        <v>-11.099999999999998</v>
      </c>
      <c r="O41" s="1">
        <f t="shared" si="8"/>
        <v>0</v>
      </c>
    </row>
    <row r="42" spans="1:15" x14ac:dyDescent="0.25">
      <c r="B42" s="157"/>
      <c r="C42" s="153"/>
      <c r="D42" s="154"/>
      <c r="E42" s="154"/>
      <c r="F42" s="161"/>
      <c r="G42" s="162"/>
      <c r="H42" s="162"/>
      <c r="J42" s="136">
        <f t="shared" si="9"/>
        <v>349</v>
      </c>
      <c r="K42" s="138">
        <f t="shared" si="7"/>
        <v>-47.2</v>
      </c>
      <c r="L42" s="1">
        <f t="shared" ref="L42:O78" si="10">L$3*(MAX((L$1-$J42)*IF(L$2="P",1,-1),0))+L$4*$K$7</f>
        <v>0</v>
      </c>
      <c r="M42" s="1">
        <f t="shared" si="10"/>
        <v>-39.1</v>
      </c>
      <c r="N42" s="1">
        <f t="shared" si="10"/>
        <v>-8.0999999999999979</v>
      </c>
      <c r="O42" s="1">
        <f t="shared" si="10"/>
        <v>0</v>
      </c>
    </row>
    <row r="43" spans="1:15" x14ac:dyDescent="0.25">
      <c r="A43" s="144"/>
      <c r="B43" s="157"/>
      <c r="C43" s="153"/>
      <c r="D43" s="154"/>
      <c r="E43" s="154"/>
      <c r="F43" s="161"/>
      <c r="G43" s="162"/>
      <c r="H43" s="162"/>
      <c r="J43" s="136">
        <f t="shared" si="9"/>
        <v>352</v>
      </c>
      <c r="K43" s="138">
        <f t="shared" si="7"/>
        <v>-44.2</v>
      </c>
      <c r="L43" s="1">
        <f t="shared" si="10"/>
        <v>0</v>
      </c>
      <c r="M43" s="1">
        <f t="shared" si="10"/>
        <v>-39.1</v>
      </c>
      <c r="N43" s="1">
        <f t="shared" si="10"/>
        <v>-5.0999999999999979</v>
      </c>
      <c r="O43" s="1">
        <f t="shared" si="10"/>
        <v>0</v>
      </c>
    </row>
    <row r="44" spans="1:15" x14ac:dyDescent="0.25">
      <c r="B44" s="157"/>
      <c r="C44" s="153"/>
      <c r="D44" s="154"/>
      <c r="E44" s="154"/>
      <c r="F44" s="161"/>
      <c r="G44" s="162"/>
      <c r="H44" s="162"/>
      <c r="J44" s="136">
        <f t="shared" si="9"/>
        <v>355</v>
      </c>
      <c r="K44" s="138">
        <f t="shared" si="7"/>
        <v>-41.2</v>
      </c>
      <c r="L44" s="1">
        <f t="shared" si="10"/>
        <v>0</v>
      </c>
      <c r="M44" s="1">
        <f t="shared" si="10"/>
        <v>-39.1</v>
      </c>
      <c r="N44" s="1">
        <f t="shared" si="10"/>
        <v>-2.0999999999999979</v>
      </c>
      <c r="O44" s="1">
        <f t="shared" si="10"/>
        <v>0</v>
      </c>
    </row>
    <row r="45" spans="1:15" x14ac:dyDescent="0.25">
      <c r="A45" s="139"/>
      <c r="B45" s="157"/>
      <c r="C45" s="153"/>
      <c r="D45" s="154"/>
      <c r="E45" s="154"/>
      <c r="F45" s="161"/>
      <c r="G45" s="162"/>
      <c r="H45" s="162"/>
      <c r="J45" s="136">
        <f t="shared" si="9"/>
        <v>358</v>
      </c>
      <c r="K45" s="138">
        <f t="shared" si="7"/>
        <v>-38.200000000000003</v>
      </c>
      <c r="L45" s="1">
        <f t="shared" si="10"/>
        <v>0</v>
      </c>
      <c r="M45" s="1">
        <f t="shared" si="10"/>
        <v>-39.1</v>
      </c>
      <c r="N45" s="1">
        <f t="shared" si="10"/>
        <v>0.90000000000000213</v>
      </c>
      <c r="O45" s="1">
        <f t="shared" si="10"/>
        <v>0</v>
      </c>
    </row>
    <row r="46" spans="1:15" x14ac:dyDescent="0.25">
      <c r="A46" s="146"/>
      <c r="B46" s="157"/>
      <c r="C46" s="153"/>
      <c r="D46" s="154"/>
      <c r="E46" s="154"/>
      <c r="F46" s="161"/>
      <c r="G46" s="162"/>
      <c r="H46" s="162"/>
      <c r="J46" s="136">
        <f t="shared" si="9"/>
        <v>361</v>
      </c>
      <c r="K46" s="138">
        <f t="shared" si="7"/>
        <v>-35.200000000000003</v>
      </c>
      <c r="L46" s="1">
        <f t="shared" si="10"/>
        <v>0</v>
      </c>
      <c r="M46" s="1">
        <f t="shared" si="10"/>
        <v>-39.1</v>
      </c>
      <c r="N46" s="1">
        <f t="shared" si="10"/>
        <v>3.9000000000000021</v>
      </c>
      <c r="O46" s="1">
        <f t="shared" si="10"/>
        <v>0</v>
      </c>
    </row>
    <row r="47" spans="1:15" x14ac:dyDescent="0.25">
      <c r="J47" s="136">
        <f t="shared" si="9"/>
        <v>364</v>
      </c>
      <c r="K47" s="138">
        <f t="shared" si="7"/>
        <v>-32.200000000000003</v>
      </c>
      <c r="L47" s="1">
        <f t="shared" si="10"/>
        <v>0</v>
      </c>
      <c r="M47" s="1">
        <f t="shared" si="10"/>
        <v>-39.1</v>
      </c>
      <c r="N47" s="1">
        <f t="shared" si="10"/>
        <v>6.9000000000000021</v>
      </c>
      <c r="O47" s="1">
        <f t="shared" si="10"/>
        <v>0</v>
      </c>
    </row>
    <row r="48" spans="1:15" x14ac:dyDescent="0.25">
      <c r="A48" s="139"/>
      <c r="C48" s="65"/>
      <c r="D48" s="150"/>
      <c r="E48" s="150"/>
      <c r="F48" s="164"/>
      <c r="G48" s="164"/>
      <c r="H48" s="164"/>
      <c r="I48" s="13"/>
      <c r="J48" s="136">
        <f t="shared" si="9"/>
        <v>367</v>
      </c>
      <c r="K48" s="138">
        <f t="shared" si="7"/>
        <v>-29.2</v>
      </c>
      <c r="L48" s="1">
        <f t="shared" si="10"/>
        <v>0</v>
      </c>
      <c r="M48" s="1">
        <f t="shared" si="10"/>
        <v>-39.1</v>
      </c>
      <c r="N48" s="1">
        <f t="shared" si="10"/>
        <v>9.9000000000000021</v>
      </c>
      <c r="O48" s="1">
        <f t="shared" si="10"/>
        <v>0</v>
      </c>
    </row>
    <row r="49" spans="1:15" x14ac:dyDescent="0.25">
      <c r="A49" s="172"/>
      <c r="B49" s="13"/>
      <c r="C49" s="151"/>
      <c r="D49" s="152"/>
      <c r="E49" s="152"/>
      <c r="F49" s="159"/>
      <c r="G49" s="160"/>
      <c r="H49" s="160"/>
      <c r="J49" s="136">
        <f t="shared" si="9"/>
        <v>370</v>
      </c>
      <c r="K49" s="138">
        <f t="shared" si="7"/>
        <v>-26.2</v>
      </c>
      <c r="L49" s="1">
        <f t="shared" si="10"/>
        <v>0</v>
      </c>
      <c r="M49" s="1">
        <f t="shared" si="10"/>
        <v>-39.1</v>
      </c>
      <c r="N49" s="1">
        <f t="shared" si="10"/>
        <v>12.900000000000002</v>
      </c>
      <c r="O49" s="1">
        <f t="shared" si="10"/>
        <v>0</v>
      </c>
    </row>
    <row r="50" spans="1:15" x14ac:dyDescent="0.25">
      <c r="A50" s="141"/>
      <c r="B50" s="157"/>
      <c r="C50" s="153"/>
      <c r="D50" s="154"/>
      <c r="E50" s="154"/>
      <c r="F50" s="161"/>
      <c r="G50" s="162"/>
      <c r="H50" s="162"/>
      <c r="J50" s="136">
        <f t="shared" si="9"/>
        <v>373</v>
      </c>
      <c r="K50" s="138">
        <f t="shared" si="7"/>
        <v>-23.2</v>
      </c>
      <c r="L50" s="1">
        <f t="shared" si="10"/>
        <v>0</v>
      </c>
      <c r="M50" s="1">
        <f t="shared" si="10"/>
        <v>-36.1</v>
      </c>
      <c r="N50" s="1">
        <f t="shared" si="10"/>
        <v>12.900000000000002</v>
      </c>
      <c r="O50" s="1">
        <f t="shared" si="10"/>
        <v>0</v>
      </c>
    </row>
    <row r="51" spans="1:15" x14ac:dyDescent="0.25">
      <c r="B51" s="157"/>
      <c r="C51" s="153"/>
      <c r="D51" s="154"/>
      <c r="E51" s="154"/>
      <c r="F51" s="161"/>
      <c r="G51" s="162"/>
      <c r="H51" s="162"/>
      <c r="J51" s="136">
        <f t="shared" si="9"/>
        <v>376</v>
      </c>
      <c r="K51" s="138">
        <f t="shared" si="7"/>
        <v>-20.2</v>
      </c>
      <c r="L51" s="1">
        <f t="shared" si="10"/>
        <v>0</v>
      </c>
      <c r="M51" s="1">
        <f t="shared" si="10"/>
        <v>-33.1</v>
      </c>
      <c r="N51" s="1">
        <f t="shared" si="10"/>
        <v>12.900000000000002</v>
      </c>
      <c r="O51" s="1">
        <f t="shared" si="10"/>
        <v>0</v>
      </c>
    </row>
    <row r="52" spans="1:15" x14ac:dyDescent="0.25">
      <c r="A52" s="143"/>
      <c r="B52" s="157"/>
      <c r="C52" s="153"/>
      <c r="D52" s="154"/>
      <c r="E52" s="154"/>
      <c r="F52" s="161"/>
      <c r="G52" s="162"/>
      <c r="H52" s="162"/>
      <c r="J52" s="136">
        <f t="shared" si="9"/>
        <v>379</v>
      </c>
      <c r="K52" s="138">
        <f t="shared" si="7"/>
        <v>-17.2</v>
      </c>
      <c r="L52" s="1">
        <f t="shared" si="10"/>
        <v>0</v>
      </c>
      <c r="M52" s="1">
        <f t="shared" si="10"/>
        <v>-30.1</v>
      </c>
      <c r="N52" s="1">
        <f t="shared" si="10"/>
        <v>12.900000000000002</v>
      </c>
      <c r="O52" s="1">
        <f t="shared" si="10"/>
        <v>0</v>
      </c>
    </row>
    <row r="53" spans="1:15" x14ac:dyDescent="0.25">
      <c r="A53" s="144"/>
      <c r="B53" s="157"/>
      <c r="C53" s="153"/>
      <c r="D53" s="154"/>
      <c r="E53" s="154"/>
      <c r="F53" s="161"/>
      <c r="G53" s="162"/>
      <c r="H53" s="162"/>
      <c r="J53" s="136">
        <f t="shared" si="9"/>
        <v>382</v>
      </c>
      <c r="K53" s="138">
        <f t="shared" si="7"/>
        <v>-14.2</v>
      </c>
      <c r="L53" s="1">
        <f t="shared" si="10"/>
        <v>0</v>
      </c>
      <c r="M53" s="1">
        <f t="shared" si="10"/>
        <v>-27.1</v>
      </c>
      <c r="N53" s="1">
        <f t="shared" si="10"/>
        <v>12.900000000000002</v>
      </c>
      <c r="O53" s="1">
        <f t="shared" si="10"/>
        <v>0</v>
      </c>
    </row>
    <row r="54" spans="1:15" x14ac:dyDescent="0.25">
      <c r="B54" s="157"/>
      <c r="C54" s="153"/>
      <c r="D54" s="154"/>
      <c r="E54" s="154"/>
      <c r="F54" s="161"/>
      <c r="G54" s="162"/>
      <c r="H54" s="162"/>
      <c r="J54" s="136">
        <f t="shared" si="9"/>
        <v>385</v>
      </c>
      <c r="K54" s="138">
        <f t="shared" si="7"/>
        <v>-11.2</v>
      </c>
      <c r="L54" s="1">
        <f t="shared" si="10"/>
        <v>0</v>
      </c>
      <c r="M54" s="1">
        <f t="shared" si="10"/>
        <v>-24.1</v>
      </c>
      <c r="N54" s="1">
        <f t="shared" si="10"/>
        <v>12.900000000000002</v>
      </c>
      <c r="O54" s="1">
        <f t="shared" si="10"/>
        <v>0</v>
      </c>
    </row>
    <row r="55" spans="1:15" x14ac:dyDescent="0.25">
      <c r="B55" s="157"/>
      <c r="C55" s="153"/>
      <c r="D55" s="154"/>
      <c r="E55" s="154"/>
      <c r="F55" s="161"/>
      <c r="G55" s="162"/>
      <c r="H55" s="162"/>
      <c r="J55" s="136">
        <f t="shared" si="9"/>
        <v>388</v>
      </c>
      <c r="K55" s="138">
        <f t="shared" si="7"/>
        <v>-8.1999999999999993</v>
      </c>
      <c r="L55" s="1">
        <f t="shared" si="10"/>
        <v>0</v>
      </c>
      <c r="M55" s="1">
        <f t="shared" si="10"/>
        <v>-21.1</v>
      </c>
      <c r="N55" s="1">
        <f t="shared" si="10"/>
        <v>12.900000000000002</v>
      </c>
      <c r="O55" s="1">
        <f t="shared" si="10"/>
        <v>0</v>
      </c>
    </row>
    <row r="56" spans="1:15" x14ac:dyDescent="0.25">
      <c r="A56" s="139"/>
      <c r="B56" s="157"/>
      <c r="C56" s="153"/>
      <c r="D56" s="154"/>
      <c r="E56" s="154"/>
      <c r="F56" s="161"/>
      <c r="G56" s="162"/>
      <c r="H56" s="162"/>
      <c r="J56" s="136">
        <f t="shared" si="9"/>
        <v>391</v>
      </c>
      <c r="K56" s="138">
        <f t="shared" si="7"/>
        <v>-5.1999999999999993</v>
      </c>
      <c r="L56" s="1">
        <f t="shared" si="10"/>
        <v>0</v>
      </c>
      <c r="M56" s="1">
        <f t="shared" si="10"/>
        <v>-18.100000000000001</v>
      </c>
      <c r="N56" s="1">
        <f t="shared" si="10"/>
        <v>12.900000000000002</v>
      </c>
      <c r="O56" s="1">
        <f t="shared" si="10"/>
        <v>0</v>
      </c>
    </row>
    <row r="57" spans="1:15" x14ac:dyDescent="0.25">
      <c r="A57" s="145"/>
      <c r="B57" s="157"/>
      <c r="C57" s="153"/>
      <c r="D57" s="154"/>
      <c r="E57" s="154"/>
      <c r="F57" s="161"/>
      <c r="G57" s="162"/>
      <c r="H57" s="162"/>
      <c r="J57" s="136">
        <f t="shared" si="9"/>
        <v>394</v>
      </c>
      <c r="K57" s="138">
        <f t="shared" si="7"/>
        <v>-2.1999999999999993</v>
      </c>
      <c r="L57" s="1">
        <f t="shared" si="10"/>
        <v>0</v>
      </c>
      <c r="M57" s="1">
        <f t="shared" si="10"/>
        <v>-15.100000000000001</v>
      </c>
      <c r="N57" s="1">
        <f t="shared" si="10"/>
        <v>12.900000000000002</v>
      </c>
      <c r="O57" s="1">
        <f t="shared" si="10"/>
        <v>0</v>
      </c>
    </row>
    <row r="58" spans="1:15" x14ac:dyDescent="0.25">
      <c r="A58" s="146"/>
      <c r="B58" s="157"/>
      <c r="C58" s="153"/>
      <c r="D58" s="154"/>
      <c r="E58" s="154"/>
      <c r="F58" s="161"/>
      <c r="G58" s="162"/>
      <c r="H58" s="162"/>
      <c r="J58" s="136">
        <f t="shared" si="9"/>
        <v>397</v>
      </c>
      <c r="K58" s="138">
        <f t="shared" si="7"/>
        <v>0.80000000000000071</v>
      </c>
      <c r="L58" s="1">
        <f t="shared" si="10"/>
        <v>0</v>
      </c>
      <c r="M58" s="1">
        <f t="shared" si="10"/>
        <v>-12.100000000000001</v>
      </c>
      <c r="N58" s="1">
        <f t="shared" si="10"/>
        <v>12.900000000000002</v>
      </c>
      <c r="O58" s="1">
        <f t="shared" si="10"/>
        <v>0</v>
      </c>
    </row>
    <row r="59" spans="1:15" x14ac:dyDescent="0.25">
      <c r="A59" s="146"/>
      <c r="B59" s="157"/>
      <c r="C59" s="153"/>
      <c r="D59" s="154"/>
      <c r="E59" s="154"/>
      <c r="F59" s="161"/>
      <c r="G59" s="162"/>
      <c r="H59" s="162"/>
      <c r="J59" s="136">
        <f t="shared" si="9"/>
        <v>400</v>
      </c>
      <c r="K59" s="138">
        <f t="shared" si="7"/>
        <v>3.8000000000000007</v>
      </c>
      <c r="L59" s="1">
        <f t="shared" si="10"/>
        <v>0</v>
      </c>
      <c r="M59" s="1">
        <f t="shared" si="10"/>
        <v>-9.1000000000000014</v>
      </c>
      <c r="N59" s="1">
        <f t="shared" si="10"/>
        <v>12.900000000000002</v>
      </c>
      <c r="O59" s="1">
        <f t="shared" si="10"/>
        <v>0</v>
      </c>
    </row>
    <row r="60" spans="1:15" x14ac:dyDescent="0.25">
      <c r="A60" s="139"/>
      <c r="B60" s="157"/>
      <c r="C60" s="153"/>
      <c r="D60" s="154"/>
      <c r="E60" s="154"/>
      <c r="F60" s="161"/>
      <c r="G60" s="162"/>
      <c r="H60" s="162"/>
      <c r="J60" s="136">
        <f t="shared" si="9"/>
        <v>403</v>
      </c>
      <c r="K60" s="138">
        <f t="shared" si="7"/>
        <v>6.8000000000000007</v>
      </c>
      <c r="L60" s="1">
        <f t="shared" si="10"/>
        <v>0</v>
      </c>
      <c r="M60" s="1">
        <f t="shared" si="10"/>
        <v>-6.1000000000000014</v>
      </c>
      <c r="N60" s="1">
        <f t="shared" si="10"/>
        <v>12.900000000000002</v>
      </c>
      <c r="O60" s="1">
        <f t="shared" si="10"/>
        <v>0</v>
      </c>
    </row>
    <row r="61" spans="1:15" x14ac:dyDescent="0.25">
      <c r="A61" s="147"/>
      <c r="B61" s="157"/>
      <c r="C61" s="153"/>
      <c r="D61" s="154"/>
      <c r="E61" s="154"/>
      <c r="F61" s="161"/>
      <c r="G61" s="162"/>
      <c r="H61" s="162"/>
      <c r="J61" s="136">
        <f t="shared" si="9"/>
        <v>406</v>
      </c>
      <c r="K61" s="138">
        <f t="shared" si="7"/>
        <v>9.8000000000000007</v>
      </c>
      <c r="L61" s="1">
        <f t="shared" si="10"/>
        <v>0</v>
      </c>
      <c r="M61" s="1">
        <f t="shared" si="10"/>
        <v>-3.1000000000000014</v>
      </c>
      <c r="N61" s="1">
        <f t="shared" si="10"/>
        <v>12.900000000000002</v>
      </c>
      <c r="O61" s="1">
        <f t="shared" si="10"/>
        <v>0</v>
      </c>
    </row>
    <row r="62" spans="1:15" x14ac:dyDescent="0.25">
      <c r="A62" s="140"/>
      <c r="B62" s="157"/>
      <c r="C62" s="153"/>
      <c r="D62" s="154"/>
      <c r="E62" s="154"/>
      <c r="F62" s="161"/>
      <c r="G62" s="162"/>
      <c r="H62" s="162"/>
      <c r="J62" s="136">
        <f t="shared" si="9"/>
        <v>409</v>
      </c>
      <c r="K62" s="138">
        <f t="shared" si="7"/>
        <v>12.8</v>
      </c>
      <c r="L62" s="1">
        <f t="shared" si="10"/>
        <v>0</v>
      </c>
      <c r="M62" s="1">
        <f t="shared" si="10"/>
        <v>-0.10000000000000142</v>
      </c>
      <c r="N62" s="1">
        <f t="shared" si="10"/>
        <v>12.900000000000002</v>
      </c>
      <c r="O62" s="1">
        <f t="shared" si="10"/>
        <v>0</v>
      </c>
    </row>
    <row r="63" spans="1:15" x14ac:dyDescent="0.25">
      <c r="A63" s="139"/>
      <c r="B63" s="157"/>
      <c r="C63" s="153"/>
      <c r="D63" s="154"/>
      <c r="E63" s="154"/>
      <c r="F63" s="161"/>
      <c r="G63" s="162"/>
      <c r="H63" s="162"/>
      <c r="J63" s="136">
        <f t="shared" si="9"/>
        <v>412</v>
      </c>
      <c r="K63" s="138">
        <f t="shared" si="7"/>
        <v>15.8</v>
      </c>
      <c r="L63" s="1">
        <f t="shared" si="10"/>
        <v>0</v>
      </c>
      <c r="M63" s="1">
        <f t="shared" si="10"/>
        <v>2.8999999999999986</v>
      </c>
      <c r="N63" s="1">
        <f t="shared" si="10"/>
        <v>12.900000000000002</v>
      </c>
      <c r="O63" s="1">
        <f t="shared" si="10"/>
        <v>0</v>
      </c>
    </row>
    <row r="64" spans="1:15" x14ac:dyDescent="0.25">
      <c r="A64" s="149"/>
      <c r="B64" s="157"/>
      <c r="C64" s="153"/>
      <c r="D64" s="154"/>
      <c r="E64" s="154"/>
      <c r="F64" s="161"/>
      <c r="G64" s="162"/>
      <c r="H64" s="162"/>
      <c r="J64" s="136">
        <f t="shared" si="9"/>
        <v>415</v>
      </c>
      <c r="K64" s="138">
        <f t="shared" si="7"/>
        <v>18.8</v>
      </c>
      <c r="L64" s="1">
        <f t="shared" si="10"/>
        <v>0</v>
      </c>
      <c r="M64" s="1">
        <f t="shared" si="10"/>
        <v>5.8999999999999986</v>
      </c>
      <c r="N64" s="1">
        <f t="shared" si="10"/>
        <v>12.900000000000002</v>
      </c>
      <c r="O64" s="1">
        <f t="shared" si="10"/>
        <v>0</v>
      </c>
    </row>
    <row r="65" spans="1:15" x14ac:dyDescent="0.25">
      <c r="B65" s="157"/>
      <c r="C65" s="153"/>
      <c r="D65" s="154"/>
      <c r="E65" s="154"/>
      <c r="F65" s="161"/>
      <c r="G65" s="162"/>
      <c r="H65" s="162"/>
      <c r="J65" s="136">
        <f t="shared" si="9"/>
        <v>418</v>
      </c>
      <c r="K65" s="138">
        <f t="shared" si="7"/>
        <v>21.8</v>
      </c>
      <c r="L65" s="1">
        <f t="shared" si="10"/>
        <v>0</v>
      </c>
      <c r="M65" s="1">
        <f t="shared" si="10"/>
        <v>8.8999999999999986</v>
      </c>
      <c r="N65" s="1">
        <f t="shared" si="10"/>
        <v>12.900000000000002</v>
      </c>
      <c r="O65" s="1">
        <f t="shared" si="10"/>
        <v>0</v>
      </c>
    </row>
    <row r="66" spans="1:15" x14ac:dyDescent="0.25">
      <c r="B66" s="157"/>
      <c r="C66" s="153"/>
      <c r="D66" s="154"/>
      <c r="E66" s="154"/>
      <c r="F66" s="161"/>
      <c r="G66" s="162"/>
      <c r="H66" s="162"/>
      <c r="J66" s="136">
        <f t="shared" si="9"/>
        <v>421</v>
      </c>
      <c r="K66" s="138">
        <f t="shared" si="7"/>
        <v>24.8</v>
      </c>
      <c r="L66" s="1">
        <f t="shared" si="10"/>
        <v>0</v>
      </c>
      <c r="M66" s="1">
        <f t="shared" si="10"/>
        <v>11.899999999999999</v>
      </c>
      <c r="N66" s="1">
        <f t="shared" si="10"/>
        <v>12.900000000000002</v>
      </c>
      <c r="O66" s="1">
        <f t="shared" si="10"/>
        <v>0</v>
      </c>
    </row>
    <row r="67" spans="1:15" x14ac:dyDescent="0.25">
      <c r="A67" s="144"/>
      <c r="B67" s="157"/>
      <c r="C67" s="153"/>
      <c r="D67" s="154"/>
      <c r="E67" s="154"/>
      <c r="F67" s="161"/>
      <c r="G67" s="162"/>
      <c r="H67" s="162"/>
      <c r="J67" s="136">
        <f t="shared" si="9"/>
        <v>424</v>
      </c>
      <c r="K67" s="138">
        <f t="shared" si="7"/>
        <v>27.8</v>
      </c>
      <c r="L67" s="1">
        <f t="shared" si="10"/>
        <v>0</v>
      </c>
      <c r="M67" s="1">
        <f t="shared" si="10"/>
        <v>14.899999999999999</v>
      </c>
      <c r="N67" s="1">
        <f t="shared" si="10"/>
        <v>12.900000000000002</v>
      </c>
      <c r="O67" s="1">
        <f t="shared" si="10"/>
        <v>0</v>
      </c>
    </row>
    <row r="68" spans="1:15" x14ac:dyDescent="0.25">
      <c r="B68" s="157"/>
      <c r="C68" s="153"/>
      <c r="D68" s="154"/>
      <c r="E68" s="154"/>
      <c r="F68" s="161"/>
      <c r="G68" s="162"/>
      <c r="H68" s="162"/>
      <c r="J68" s="136">
        <f t="shared" si="9"/>
        <v>427</v>
      </c>
      <c r="K68" s="138">
        <f t="shared" si="7"/>
        <v>30.8</v>
      </c>
      <c r="L68" s="1">
        <f t="shared" si="10"/>
        <v>0</v>
      </c>
      <c r="M68" s="1">
        <f t="shared" si="10"/>
        <v>17.899999999999999</v>
      </c>
      <c r="N68" s="1">
        <f t="shared" si="10"/>
        <v>12.900000000000002</v>
      </c>
      <c r="O68" s="1">
        <f t="shared" si="10"/>
        <v>0</v>
      </c>
    </row>
    <row r="69" spans="1:15" x14ac:dyDescent="0.25">
      <c r="A69" s="139"/>
      <c r="B69" s="157"/>
      <c r="C69" s="153"/>
      <c r="D69" s="154"/>
      <c r="E69" s="154"/>
      <c r="F69" s="161"/>
      <c r="G69" s="162"/>
      <c r="H69" s="162"/>
      <c r="J69" s="136">
        <f t="shared" si="9"/>
        <v>430</v>
      </c>
      <c r="K69" s="138">
        <f t="shared" si="7"/>
        <v>33.799999999999997</v>
      </c>
      <c r="L69" s="1">
        <f t="shared" si="10"/>
        <v>0</v>
      </c>
      <c r="M69" s="1">
        <f t="shared" si="10"/>
        <v>20.9</v>
      </c>
      <c r="N69" s="1">
        <f t="shared" si="10"/>
        <v>12.900000000000002</v>
      </c>
      <c r="O69" s="1">
        <f t="shared" si="10"/>
        <v>0</v>
      </c>
    </row>
    <row r="70" spans="1:15" x14ac:dyDescent="0.25">
      <c r="A70" s="146"/>
      <c r="B70" s="157"/>
      <c r="C70" s="153"/>
      <c r="D70" s="154"/>
      <c r="E70" s="154"/>
      <c r="F70" s="161"/>
      <c r="G70" s="162"/>
      <c r="H70" s="162"/>
      <c r="J70" s="136">
        <f t="shared" si="9"/>
        <v>433</v>
      </c>
      <c r="K70" s="138">
        <f t="shared" si="7"/>
        <v>36.799999999999997</v>
      </c>
      <c r="L70" s="1">
        <f t="shared" si="10"/>
        <v>0</v>
      </c>
      <c r="M70" s="1">
        <f t="shared" si="10"/>
        <v>23.9</v>
      </c>
      <c r="N70" s="1">
        <f t="shared" si="10"/>
        <v>12.900000000000002</v>
      </c>
      <c r="O70" s="1">
        <f t="shared" si="10"/>
        <v>0</v>
      </c>
    </row>
    <row r="71" spans="1:15" x14ac:dyDescent="0.25">
      <c r="J71" s="136">
        <f t="shared" si="9"/>
        <v>436</v>
      </c>
      <c r="K71" s="138">
        <f t="shared" si="7"/>
        <v>39.799999999999997</v>
      </c>
      <c r="L71" s="1">
        <f t="shared" si="10"/>
        <v>0</v>
      </c>
      <c r="M71" s="1">
        <f t="shared" si="10"/>
        <v>26.9</v>
      </c>
      <c r="N71" s="1">
        <f t="shared" si="10"/>
        <v>12.900000000000002</v>
      </c>
      <c r="O71" s="1">
        <f t="shared" si="10"/>
        <v>0</v>
      </c>
    </row>
    <row r="72" spans="1:15" x14ac:dyDescent="0.25">
      <c r="J72" s="136">
        <f t="shared" si="9"/>
        <v>439</v>
      </c>
      <c r="K72" s="138">
        <f t="shared" si="7"/>
        <v>42.8</v>
      </c>
      <c r="L72" s="1">
        <f t="shared" si="10"/>
        <v>0</v>
      </c>
      <c r="M72" s="1">
        <f t="shared" si="10"/>
        <v>29.9</v>
      </c>
      <c r="N72" s="1">
        <f t="shared" si="10"/>
        <v>12.900000000000002</v>
      </c>
      <c r="O72" s="1">
        <f t="shared" si="10"/>
        <v>0</v>
      </c>
    </row>
    <row r="73" spans="1:15" x14ac:dyDescent="0.25">
      <c r="J73" s="136">
        <f t="shared" si="9"/>
        <v>442</v>
      </c>
      <c r="K73" s="138">
        <f t="shared" si="7"/>
        <v>45.8</v>
      </c>
      <c r="L73" s="1">
        <f t="shared" si="10"/>
        <v>0</v>
      </c>
      <c r="M73" s="1">
        <f t="shared" si="10"/>
        <v>32.9</v>
      </c>
      <c r="N73" s="1">
        <f t="shared" si="10"/>
        <v>12.900000000000002</v>
      </c>
      <c r="O73" s="1">
        <f t="shared" si="10"/>
        <v>0</v>
      </c>
    </row>
    <row r="74" spans="1:15" x14ac:dyDescent="0.25">
      <c r="J74" s="136">
        <f t="shared" si="9"/>
        <v>445</v>
      </c>
      <c r="K74" s="138">
        <f t="shared" ref="K74:K78" si="11">SUM(L74:O74)</f>
        <v>48.8</v>
      </c>
      <c r="L74" s="1">
        <f t="shared" si="10"/>
        <v>0</v>
      </c>
      <c r="M74" s="1">
        <f t="shared" si="10"/>
        <v>35.9</v>
      </c>
      <c r="N74" s="1">
        <f t="shared" si="10"/>
        <v>12.900000000000002</v>
      </c>
      <c r="O74" s="1">
        <f t="shared" si="10"/>
        <v>0</v>
      </c>
    </row>
    <row r="75" spans="1:15" x14ac:dyDescent="0.25">
      <c r="J75" s="136">
        <f t="shared" si="9"/>
        <v>448</v>
      </c>
      <c r="K75" s="138">
        <f t="shared" si="11"/>
        <v>51.8</v>
      </c>
      <c r="L75" s="1">
        <f t="shared" si="10"/>
        <v>0</v>
      </c>
      <c r="M75" s="1">
        <f t="shared" si="10"/>
        <v>38.9</v>
      </c>
      <c r="N75" s="1">
        <f t="shared" si="10"/>
        <v>12.900000000000002</v>
      </c>
      <c r="O75" s="1">
        <f t="shared" si="10"/>
        <v>0</v>
      </c>
    </row>
    <row r="76" spans="1:15" x14ac:dyDescent="0.25">
      <c r="J76" s="136">
        <f t="shared" ref="J76:J78" si="12">J75+(J$10-J$9)</f>
        <v>451</v>
      </c>
      <c r="K76" s="138">
        <f t="shared" si="11"/>
        <v>54.8</v>
      </c>
      <c r="L76" s="1">
        <f t="shared" si="10"/>
        <v>0</v>
      </c>
      <c r="M76" s="1">
        <f t="shared" si="10"/>
        <v>41.9</v>
      </c>
      <c r="N76" s="1">
        <f t="shared" si="10"/>
        <v>12.900000000000002</v>
      </c>
      <c r="O76" s="1">
        <f t="shared" si="10"/>
        <v>0</v>
      </c>
    </row>
    <row r="77" spans="1:15" x14ac:dyDescent="0.25">
      <c r="J77" s="136">
        <f t="shared" si="12"/>
        <v>454</v>
      </c>
      <c r="K77" s="138">
        <f t="shared" si="11"/>
        <v>57.8</v>
      </c>
      <c r="L77" s="1">
        <f t="shared" si="10"/>
        <v>0</v>
      </c>
      <c r="M77" s="1">
        <f t="shared" si="10"/>
        <v>44.9</v>
      </c>
      <c r="N77" s="1">
        <f t="shared" si="10"/>
        <v>12.900000000000002</v>
      </c>
      <c r="O77" s="1">
        <f t="shared" si="10"/>
        <v>0</v>
      </c>
    </row>
    <row r="78" spans="1:15" x14ac:dyDescent="0.25">
      <c r="J78" s="136">
        <f t="shared" si="12"/>
        <v>457</v>
      </c>
      <c r="K78" s="138">
        <f t="shared" si="11"/>
        <v>60.8</v>
      </c>
      <c r="L78" s="1">
        <f t="shared" si="10"/>
        <v>0</v>
      </c>
      <c r="M78" s="1">
        <f t="shared" si="10"/>
        <v>47.9</v>
      </c>
      <c r="N78" s="1">
        <f t="shared" si="10"/>
        <v>12.900000000000002</v>
      </c>
      <c r="O78" s="1">
        <f t="shared" si="10"/>
        <v>0</v>
      </c>
    </row>
  </sheetData>
  <conditionalFormatting sqref="D2:D22">
    <cfRule type="dataBar" priority="19">
      <dataBar>
        <cfvo type="min"/>
        <cfvo type="max"/>
        <color rgb="FF63C384"/>
      </dataBar>
      <extLst>
        <ext xmlns:x14="http://schemas.microsoft.com/office/spreadsheetml/2009/9/main" uri="{B025F937-C7B1-47D3-B67F-A62EFF666E3E}">
          <x14:id>{ED519103-F811-48B7-A6DF-3B5ED3B37BF3}</x14:id>
        </ext>
      </extLst>
    </cfRule>
  </conditionalFormatting>
  <conditionalFormatting sqref="E2:E22">
    <cfRule type="dataBar" priority="18">
      <dataBar>
        <cfvo type="min"/>
        <cfvo type="max"/>
        <color rgb="FFFF555A"/>
      </dataBar>
      <extLst>
        <ext xmlns:x14="http://schemas.microsoft.com/office/spreadsheetml/2009/9/main" uri="{B025F937-C7B1-47D3-B67F-A62EFF666E3E}">
          <x14:id>{81361B18-40B1-4611-A347-3AE5DABE4848}</x14:id>
        </ext>
      </extLst>
    </cfRule>
  </conditionalFormatting>
  <conditionalFormatting sqref="G2:G22">
    <cfRule type="dataBar" priority="17">
      <dataBar>
        <cfvo type="min"/>
        <cfvo type="max"/>
        <color rgb="FF63C384"/>
      </dataBar>
      <extLst>
        <ext xmlns:x14="http://schemas.microsoft.com/office/spreadsheetml/2009/9/main" uri="{B025F937-C7B1-47D3-B67F-A62EFF666E3E}">
          <x14:id>{D1C14E4C-09C0-427B-9A24-5D3D1943C0C4}</x14:id>
        </ext>
      </extLst>
    </cfRule>
  </conditionalFormatting>
  <conditionalFormatting sqref="H2:H22">
    <cfRule type="dataBar" priority="16">
      <dataBar>
        <cfvo type="min"/>
        <cfvo type="max"/>
        <color rgb="FFFF555A"/>
      </dataBar>
      <extLst>
        <ext xmlns:x14="http://schemas.microsoft.com/office/spreadsheetml/2009/9/main" uri="{B025F937-C7B1-47D3-B67F-A62EFF666E3E}">
          <x14:id>{95F4A6A9-9904-41E0-82F5-757F248DB215}</x14:id>
        </ext>
      </extLst>
    </cfRule>
  </conditionalFormatting>
  <conditionalFormatting sqref="B25:B46 B1:B22">
    <cfRule type="cellIs" dxfId="10" priority="15" operator="lessThanOrEqual">
      <formula>$A$2</formula>
    </cfRule>
  </conditionalFormatting>
  <conditionalFormatting sqref="D26:D46">
    <cfRule type="dataBar" priority="14">
      <dataBar>
        <cfvo type="min"/>
        <cfvo type="max"/>
        <color rgb="FF63C384"/>
      </dataBar>
      <extLst>
        <ext xmlns:x14="http://schemas.microsoft.com/office/spreadsheetml/2009/9/main" uri="{B025F937-C7B1-47D3-B67F-A62EFF666E3E}">
          <x14:id>{ABAC11A8-12DD-4697-A187-5200A10AAC8A}</x14:id>
        </ext>
      </extLst>
    </cfRule>
  </conditionalFormatting>
  <conditionalFormatting sqref="E26:E46">
    <cfRule type="dataBar" priority="13">
      <dataBar>
        <cfvo type="min"/>
        <cfvo type="max"/>
        <color rgb="FFFF555A"/>
      </dataBar>
      <extLst>
        <ext xmlns:x14="http://schemas.microsoft.com/office/spreadsheetml/2009/9/main" uri="{B025F937-C7B1-47D3-B67F-A62EFF666E3E}">
          <x14:id>{66C7F233-C15E-43CD-9402-1A66C5867B1B}</x14:id>
        </ext>
      </extLst>
    </cfRule>
  </conditionalFormatting>
  <conditionalFormatting sqref="G26:G46">
    <cfRule type="dataBar" priority="12">
      <dataBar>
        <cfvo type="min"/>
        <cfvo type="max"/>
        <color rgb="FF63C384"/>
      </dataBar>
      <extLst>
        <ext xmlns:x14="http://schemas.microsoft.com/office/spreadsheetml/2009/9/main" uri="{B025F937-C7B1-47D3-B67F-A62EFF666E3E}">
          <x14:id>{323F1513-356B-47FA-8BDE-D2F2F9ED535A}</x14:id>
        </ext>
      </extLst>
    </cfRule>
  </conditionalFormatting>
  <conditionalFormatting sqref="H26:H46">
    <cfRule type="dataBar" priority="11">
      <dataBar>
        <cfvo type="min"/>
        <cfvo type="max"/>
        <color rgb="FFFF555A"/>
      </dataBar>
      <extLst>
        <ext xmlns:x14="http://schemas.microsoft.com/office/spreadsheetml/2009/9/main" uri="{B025F937-C7B1-47D3-B67F-A62EFF666E3E}">
          <x14:id>{0214EC3E-BB25-4035-8300-4B90A1D6C199}</x14:id>
        </ext>
      </extLst>
    </cfRule>
  </conditionalFormatting>
  <conditionalFormatting sqref="B49:B70">
    <cfRule type="cellIs" dxfId="9" priority="10" operator="lessThanOrEqual">
      <formula>$A$2</formula>
    </cfRule>
  </conditionalFormatting>
  <conditionalFormatting sqref="D50:D70">
    <cfRule type="dataBar" priority="9">
      <dataBar>
        <cfvo type="min"/>
        <cfvo type="max"/>
        <color rgb="FF63C384"/>
      </dataBar>
      <extLst>
        <ext xmlns:x14="http://schemas.microsoft.com/office/spreadsheetml/2009/9/main" uri="{B025F937-C7B1-47D3-B67F-A62EFF666E3E}">
          <x14:id>{E0F71CD2-0BE4-4B1B-98E6-2DCB11AE59AA}</x14:id>
        </ext>
      </extLst>
    </cfRule>
  </conditionalFormatting>
  <conditionalFormatting sqref="E50:E70">
    <cfRule type="dataBar" priority="8">
      <dataBar>
        <cfvo type="min"/>
        <cfvo type="max"/>
        <color rgb="FFFF555A"/>
      </dataBar>
      <extLst>
        <ext xmlns:x14="http://schemas.microsoft.com/office/spreadsheetml/2009/9/main" uri="{B025F937-C7B1-47D3-B67F-A62EFF666E3E}">
          <x14:id>{F7054C0F-7D06-4256-845B-FEDA7B070CDF}</x14:id>
        </ext>
      </extLst>
    </cfRule>
  </conditionalFormatting>
  <conditionalFormatting sqref="G50:G70">
    <cfRule type="dataBar" priority="7">
      <dataBar>
        <cfvo type="min"/>
        <cfvo type="max"/>
        <color rgb="FF63C384"/>
      </dataBar>
      <extLst>
        <ext xmlns:x14="http://schemas.microsoft.com/office/spreadsheetml/2009/9/main" uri="{B025F937-C7B1-47D3-B67F-A62EFF666E3E}">
          <x14:id>{F289111D-631C-4CF5-B182-DD805D8955CB}</x14:id>
        </ext>
      </extLst>
    </cfRule>
  </conditionalFormatting>
  <conditionalFormatting sqref="H50:H70">
    <cfRule type="dataBar" priority="6">
      <dataBar>
        <cfvo type="min"/>
        <cfvo type="max"/>
        <color rgb="FFFF555A"/>
      </dataBar>
      <extLst>
        <ext xmlns:x14="http://schemas.microsoft.com/office/spreadsheetml/2009/9/main" uri="{B025F937-C7B1-47D3-B67F-A62EFF666E3E}">
          <x14:id>{545EA7D2-E15A-4336-A7FB-E860B63B5929}</x14:id>
        </ext>
      </extLst>
    </cfRule>
  </conditionalFormatting>
  <conditionalFormatting sqref="J9:J78">
    <cfRule type="cellIs" dxfId="8" priority="5" operator="greaterThan">
      <formula>$A$2</formula>
    </cfRule>
  </conditionalFormatting>
  <conditionalFormatting sqref="K9:O78">
    <cfRule type="cellIs" dxfId="7" priority="3" operator="lessThanOrEqual">
      <formula>0</formula>
    </cfRule>
    <cfRule type="cellIs" dxfId="6" priority="4" operator="greaterThan">
      <formula>0</formula>
    </cfRule>
  </conditionalFormatting>
  <conditionalFormatting sqref="L1:O8">
    <cfRule type="expression" dxfId="5" priority="1">
      <formula>L$2="P"</formula>
    </cfRule>
    <cfRule type="expression" dxfId="4" priority="2">
      <formula>L$2="C"</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D519103-F811-48B7-A6DF-3B5ED3B37BF3}">
            <x14:dataBar minLength="0" maxLength="100" border="1" negativeBarBorderColorSameAsPositive="0">
              <x14:cfvo type="autoMin"/>
              <x14:cfvo type="autoMax"/>
              <x14:borderColor rgb="FF63C384"/>
              <x14:negativeFillColor rgb="FFFF0000"/>
              <x14:negativeBorderColor rgb="FFFF0000"/>
              <x14:axisColor rgb="FF000000"/>
            </x14:dataBar>
          </x14:cfRule>
          <xm:sqref>D2:D22</xm:sqref>
        </x14:conditionalFormatting>
        <x14:conditionalFormatting xmlns:xm="http://schemas.microsoft.com/office/excel/2006/main">
          <x14:cfRule type="dataBar" id="{81361B18-40B1-4611-A347-3AE5DABE4848}">
            <x14:dataBar minLength="0" maxLength="100" border="1" negativeBarBorderColorSameAsPositive="0">
              <x14:cfvo type="autoMin"/>
              <x14:cfvo type="autoMax"/>
              <x14:borderColor rgb="FFFF555A"/>
              <x14:negativeFillColor rgb="FFFF0000"/>
              <x14:negativeBorderColor rgb="FFFF0000"/>
              <x14:axisColor rgb="FF000000"/>
            </x14:dataBar>
          </x14:cfRule>
          <xm:sqref>E2:E22</xm:sqref>
        </x14:conditionalFormatting>
        <x14:conditionalFormatting xmlns:xm="http://schemas.microsoft.com/office/excel/2006/main">
          <x14:cfRule type="dataBar" id="{D1C14E4C-09C0-427B-9A24-5D3D1943C0C4}">
            <x14:dataBar minLength="0" maxLength="100" border="1" negativeBarBorderColorSameAsPositive="0">
              <x14:cfvo type="autoMin"/>
              <x14:cfvo type="autoMax"/>
              <x14:borderColor rgb="FF63C384"/>
              <x14:negativeFillColor rgb="FFFF0000"/>
              <x14:negativeBorderColor rgb="FFFF0000"/>
              <x14:axisColor rgb="FF000000"/>
            </x14:dataBar>
          </x14:cfRule>
          <xm:sqref>G2:G22</xm:sqref>
        </x14:conditionalFormatting>
        <x14:conditionalFormatting xmlns:xm="http://schemas.microsoft.com/office/excel/2006/main">
          <x14:cfRule type="dataBar" id="{95F4A6A9-9904-41E0-82F5-757F248DB215}">
            <x14:dataBar minLength="0" maxLength="100" border="1" negativeBarBorderColorSameAsPositive="0">
              <x14:cfvo type="autoMin"/>
              <x14:cfvo type="autoMax"/>
              <x14:borderColor rgb="FFFF555A"/>
              <x14:negativeFillColor rgb="FFFF0000"/>
              <x14:negativeBorderColor rgb="FFFF0000"/>
              <x14:axisColor rgb="FF000000"/>
            </x14:dataBar>
          </x14:cfRule>
          <xm:sqref>H2:H22</xm:sqref>
        </x14:conditionalFormatting>
        <x14:conditionalFormatting xmlns:xm="http://schemas.microsoft.com/office/excel/2006/main">
          <x14:cfRule type="dataBar" id="{ABAC11A8-12DD-4697-A187-5200A10AAC8A}">
            <x14:dataBar minLength="0" maxLength="100" border="1" negativeBarBorderColorSameAsPositive="0">
              <x14:cfvo type="autoMin"/>
              <x14:cfvo type="autoMax"/>
              <x14:borderColor rgb="FF63C384"/>
              <x14:negativeFillColor rgb="FFFF0000"/>
              <x14:negativeBorderColor rgb="FFFF0000"/>
              <x14:axisColor rgb="FF000000"/>
            </x14:dataBar>
          </x14:cfRule>
          <xm:sqref>D26:D46</xm:sqref>
        </x14:conditionalFormatting>
        <x14:conditionalFormatting xmlns:xm="http://schemas.microsoft.com/office/excel/2006/main">
          <x14:cfRule type="dataBar" id="{66C7F233-C15E-43CD-9402-1A66C5867B1B}">
            <x14:dataBar minLength="0" maxLength="100" border="1" negativeBarBorderColorSameAsPositive="0">
              <x14:cfvo type="autoMin"/>
              <x14:cfvo type="autoMax"/>
              <x14:borderColor rgb="FFFF555A"/>
              <x14:negativeFillColor rgb="FFFF0000"/>
              <x14:negativeBorderColor rgb="FFFF0000"/>
              <x14:axisColor rgb="FF000000"/>
            </x14:dataBar>
          </x14:cfRule>
          <xm:sqref>E26:E46</xm:sqref>
        </x14:conditionalFormatting>
        <x14:conditionalFormatting xmlns:xm="http://schemas.microsoft.com/office/excel/2006/main">
          <x14:cfRule type="dataBar" id="{323F1513-356B-47FA-8BDE-D2F2F9ED535A}">
            <x14:dataBar minLength="0" maxLength="100" border="1" negativeBarBorderColorSameAsPositive="0">
              <x14:cfvo type="autoMin"/>
              <x14:cfvo type="autoMax"/>
              <x14:borderColor rgb="FF63C384"/>
              <x14:negativeFillColor rgb="FFFF0000"/>
              <x14:negativeBorderColor rgb="FFFF0000"/>
              <x14:axisColor rgb="FF000000"/>
            </x14:dataBar>
          </x14:cfRule>
          <xm:sqref>G26:G46</xm:sqref>
        </x14:conditionalFormatting>
        <x14:conditionalFormatting xmlns:xm="http://schemas.microsoft.com/office/excel/2006/main">
          <x14:cfRule type="dataBar" id="{0214EC3E-BB25-4035-8300-4B90A1D6C199}">
            <x14:dataBar minLength="0" maxLength="100" border="1" negativeBarBorderColorSameAsPositive="0">
              <x14:cfvo type="autoMin"/>
              <x14:cfvo type="autoMax"/>
              <x14:borderColor rgb="FFFF555A"/>
              <x14:negativeFillColor rgb="FFFF0000"/>
              <x14:negativeBorderColor rgb="FFFF0000"/>
              <x14:axisColor rgb="FF000000"/>
            </x14:dataBar>
          </x14:cfRule>
          <xm:sqref>H26:H46</xm:sqref>
        </x14:conditionalFormatting>
        <x14:conditionalFormatting xmlns:xm="http://schemas.microsoft.com/office/excel/2006/main">
          <x14:cfRule type="dataBar" id="{E0F71CD2-0BE4-4B1B-98E6-2DCB11AE59AA}">
            <x14:dataBar minLength="0" maxLength="100" border="1" negativeBarBorderColorSameAsPositive="0">
              <x14:cfvo type="autoMin"/>
              <x14:cfvo type="autoMax"/>
              <x14:borderColor rgb="FF63C384"/>
              <x14:negativeFillColor rgb="FFFF0000"/>
              <x14:negativeBorderColor rgb="FFFF0000"/>
              <x14:axisColor rgb="FF000000"/>
            </x14:dataBar>
          </x14:cfRule>
          <xm:sqref>D50:D70</xm:sqref>
        </x14:conditionalFormatting>
        <x14:conditionalFormatting xmlns:xm="http://schemas.microsoft.com/office/excel/2006/main">
          <x14:cfRule type="dataBar" id="{F7054C0F-7D06-4256-845B-FEDA7B070CDF}">
            <x14:dataBar minLength="0" maxLength="100" border="1" negativeBarBorderColorSameAsPositive="0">
              <x14:cfvo type="autoMin"/>
              <x14:cfvo type="autoMax"/>
              <x14:borderColor rgb="FFFF555A"/>
              <x14:negativeFillColor rgb="FFFF0000"/>
              <x14:negativeBorderColor rgb="FFFF0000"/>
              <x14:axisColor rgb="FF000000"/>
            </x14:dataBar>
          </x14:cfRule>
          <xm:sqref>E50:E70</xm:sqref>
        </x14:conditionalFormatting>
        <x14:conditionalFormatting xmlns:xm="http://schemas.microsoft.com/office/excel/2006/main">
          <x14:cfRule type="dataBar" id="{F289111D-631C-4CF5-B182-DD805D8955CB}">
            <x14:dataBar minLength="0" maxLength="100" border="1" negativeBarBorderColorSameAsPositive="0">
              <x14:cfvo type="autoMin"/>
              <x14:cfvo type="autoMax"/>
              <x14:borderColor rgb="FF63C384"/>
              <x14:negativeFillColor rgb="FFFF0000"/>
              <x14:negativeBorderColor rgb="FFFF0000"/>
              <x14:axisColor rgb="FF000000"/>
            </x14:dataBar>
          </x14:cfRule>
          <xm:sqref>G50:G70</xm:sqref>
        </x14:conditionalFormatting>
        <x14:conditionalFormatting xmlns:xm="http://schemas.microsoft.com/office/excel/2006/main">
          <x14:cfRule type="dataBar" id="{545EA7D2-E15A-4336-A7FB-E860B63B5929}">
            <x14:dataBar minLength="0" maxLength="100" border="1" negativeBarBorderColorSameAsPositive="0">
              <x14:cfvo type="autoMin"/>
              <x14:cfvo type="autoMax"/>
              <x14:borderColor rgb="FFFF555A"/>
              <x14:negativeFillColor rgb="FFFF0000"/>
              <x14:negativeBorderColor rgb="FFFF0000"/>
              <x14:axisColor rgb="FF000000"/>
            </x14:dataBar>
          </x14:cfRule>
          <xm:sqref>H50:H70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0B58-5E2A-4723-BAA6-21F0003BC07C}">
  <dimension ref="A1:AR119"/>
  <sheetViews>
    <sheetView zoomScale="107" zoomScaleNormal="115" workbookViewId="0"/>
  </sheetViews>
  <sheetFormatPr defaultRowHeight="15" x14ac:dyDescent="0.25"/>
  <cols>
    <col min="1" max="1" width="12.85546875" style="177" customWidth="1"/>
    <col min="2" max="2" width="7.42578125" customWidth="1"/>
    <col min="4" max="5" width="8.140625" style="118" customWidth="1"/>
    <col min="10" max="10" width="4.85546875" customWidth="1"/>
    <col min="15" max="15" width="4.85546875" customWidth="1"/>
    <col min="20" max="20" width="4.85546875" customWidth="1"/>
    <col min="21" max="21" width="9.85546875" bestFit="1" customWidth="1"/>
    <col min="25" max="25" width="4.85546875" customWidth="1"/>
    <col min="26" max="29" width="10.7109375" customWidth="1"/>
    <col min="30" max="30" width="5" customWidth="1"/>
    <col min="31" max="34" width="7.5703125" customWidth="1"/>
    <col min="35" max="35" width="5" customWidth="1"/>
    <col min="36" max="39" width="9.140625" bestFit="1" customWidth="1"/>
    <col min="40" max="40" width="4.85546875" customWidth="1"/>
    <col min="41" max="44" width="12" customWidth="1"/>
  </cols>
  <sheetData>
    <row r="1" spans="1:44" s="13" customFormat="1" x14ac:dyDescent="0.25">
      <c r="A1" s="176"/>
      <c r="D1" s="117"/>
      <c r="E1" s="117"/>
      <c r="F1" s="262" t="s">
        <v>100</v>
      </c>
      <c r="G1" s="262"/>
      <c r="H1" s="262"/>
      <c r="I1" s="262"/>
      <c r="K1" s="262" t="s">
        <v>99</v>
      </c>
      <c r="L1" s="262"/>
      <c r="M1" s="262"/>
      <c r="N1" s="262"/>
      <c r="P1" s="262" t="s">
        <v>98</v>
      </c>
      <c r="Q1" s="262"/>
      <c r="R1" s="262"/>
      <c r="S1" s="262"/>
      <c r="U1" s="262" t="s">
        <v>97</v>
      </c>
      <c r="V1" s="262"/>
      <c r="W1" s="262"/>
      <c r="X1" s="262"/>
      <c r="Y1" s="176"/>
      <c r="Z1" s="263" t="s">
        <v>107</v>
      </c>
      <c r="AA1" s="262"/>
      <c r="AB1" s="262"/>
      <c r="AC1" s="262"/>
      <c r="AD1" s="176"/>
      <c r="AE1" s="263" t="s">
        <v>108</v>
      </c>
      <c r="AF1" s="262"/>
      <c r="AG1" s="262"/>
      <c r="AH1" s="262"/>
      <c r="AJ1" s="262" t="s">
        <v>104</v>
      </c>
      <c r="AK1" s="262"/>
      <c r="AL1" s="262"/>
      <c r="AM1" s="262"/>
      <c r="AO1" s="262" t="s">
        <v>105</v>
      </c>
      <c r="AP1" s="262"/>
      <c r="AQ1" s="262"/>
      <c r="AR1" s="262"/>
    </row>
    <row r="2" spans="1:44" x14ac:dyDescent="0.25">
      <c r="A2" s="234" t="s">
        <v>28</v>
      </c>
      <c r="B2" s="13" t="s">
        <v>95</v>
      </c>
      <c r="C2" s="20" t="s">
        <v>96</v>
      </c>
      <c r="D2" s="129" t="s">
        <v>64</v>
      </c>
      <c r="E2" s="129" t="s">
        <v>65</v>
      </c>
      <c r="F2" s="21">
        <v>5</v>
      </c>
      <c r="G2" s="21">
        <v>10</v>
      </c>
      <c r="H2" s="21">
        <v>15</v>
      </c>
      <c r="I2" s="21">
        <v>20</v>
      </c>
      <c r="J2" s="21"/>
      <c r="K2" s="21">
        <f>F2</f>
        <v>5</v>
      </c>
      <c r="L2" s="21">
        <f t="shared" ref="L2:X2" si="0">G2</f>
        <v>10</v>
      </c>
      <c r="M2" s="21">
        <f t="shared" si="0"/>
        <v>15</v>
      </c>
      <c r="N2" s="21">
        <f t="shared" si="0"/>
        <v>20</v>
      </c>
      <c r="O2" s="21"/>
      <c r="P2" s="21">
        <f t="shared" si="0"/>
        <v>5</v>
      </c>
      <c r="Q2" s="21">
        <f t="shared" si="0"/>
        <v>10</v>
      </c>
      <c r="R2" s="21">
        <f t="shared" si="0"/>
        <v>15</v>
      </c>
      <c r="S2" s="21">
        <f t="shared" si="0"/>
        <v>20</v>
      </c>
      <c r="T2" s="21"/>
      <c r="U2" s="21">
        <f t="shared" si="0"/>
        <v>5</v>
      </c>
      <c r="V2" s="21">
        <f t="shared" si="0"/>
        <v>10</v>
      </c>
      <c r="W2" s="21">
        <f t="shared" si="0"/>
        <v>15</v>
      </c>
      <c r="X2" s="21">
        <f t="shared" si="0"/>
        <v>20</v>
      </c>
      <c r="Y2" s="21"/>
      <c r="Z2" s="132">
        <f>U2</f>
        <v>5</v>
      </c>
      <c r="AA2" s="132">
        <f>V2</f>
        <v>10</v>
      </c>
      <c r="AB2" s="132">
        <f>W2</f>
        <v>15</v>
      </c>
      <c r="AC2" s="132">
        <f>X2</f>
        <v>20</v>
      </c>
      <c r="AD2" s="21"/>
      <c r="AE2" s="132">
        <f>Z2</f>
        <v>5</v>
      </c>
      <c r="AF2" s="132">
        <f>AA2</f>
        <v>10</v>
      </c>
      <c r="AG2" s="132">
        <f>AB2</f>
        <v>15</v>
      </c>
      <c r="AH2" s="132">
        <f>AC2</f>
        <v>20</v>
      </c>
      <c r="AI2" s="21"/>
      <c r="AJ2" s="21">
        <f>U2</f>
        <v>5</v>
      </c>
      <c r="AK2" s="21">
        <f>V2</f>
        <v>10</v>
      </c>
      <c r="AL2" s="21">
        <f>W2</f>
        <v>15</v>
      </c>
      <c r="AM2" s="21">
        <f>X2</f>
        <v>20</v>
      </c>
      <c r="AO2" s="21">
        <f>AJ2</f>
        <v>5</v>
      </c>
      <c r="AP2" s="21">
        <f>AK2</f>
        <v>10</v>
      </c>
      <c r="AQ2" s="21">
        <f>AL2</f>
        <v>15</v>
      </c>
      <c r="AR2" s="21">
        <f>AM2</f>
        <v>20</v>
      </c>
    </row>
    <row r="3" spans="1:44" x14ac:dyDescent="0.25">
      <c r="A3" s="100">
        <f>_xll.xlqPrice(A2,"TDA")</f>
        <v>208.79000000000002</v>
      </c>
      <c r="B3" s="21">
        <v>150</v>
      </c>
      <c r="C3" s="23">
        <f>AVERAGE(D3,E3)</f>
        <v>80.3</v>
      </c>
      <c r="D3" s="130">
        <f>_xll.xlqBid(CONCATENATE($A$7,B3&amp;""),tda)</f>
        <v>78.3</v>
      </c>
      <c r="E3" s="130">
        <f>_xll.xlqAsk(CONCATENATE($A$7,B3&amp;""),tda)</f>
        <v>82.3</v>
      </c>
      <c r="F3" s="55">
        <f>MAX($C3-AVERAGE(_xll.xlqBid(CONCATENATE($A$7,($B3+F$2)&amp;""),tda),_xll.xlqAsk(CONCATENATE($A$7,($B3+F$2)&amp;""),tda)),0)</f>
        <v>3.1999999999999886</v>
      </c>
      <c r="G3" s="55">
        <f>MAX($C3-AVERAGE(_xll.xlqBid(CONCATENATE($A$7,($B3+G$2)&amp;""),tda),_xll.xlqAsk(CONCATENATE($A$7,($B3+G$2)&amp;""),tda)),0)</f>
        <v>6.2999999999999972</v>
      </c>
      <c r="H3" s="55">
        <f>MAX($C3-AVERAGE(_xll.xlqBid(CONCATENATE($A$7,($B3+H$2)&amp;""),tda),_xll.xlqAsk(CONCATENATE($A$7,($B3+H$2)&amp;""),tda)),0)</f>
        <v>9.2999999999999972</v>
      </c>
      <c r="I3" s="55">
        <f>MAX($C3-AVERAGE(_xll.xlqBid(CONCATENATE($A$7,($B3+I$2)&amp;""),tda),_xll.xlqAsk(CONCATENATE($A$7,($B3+I$2)&amp;""),tda)),0)</f>
        <v>12.174999999999997</v>
      </c>
      <c r="J3" s="25"/>
      <c r="K3" s="63">
        <f>K$2-F3</f>
        <v>1.8000000000000114</v>
      </c>
      <c r="L3" s="63">
        <f t="shared" ref="L3:N23" si="1">L$2-G3</f>
        <v>3.7000000000000028</v>
      </c>
      <c r="M3" s="63">
        <f t="shared" si="1"/>
        <v>5.7000000000000028</v>
      </c>
      <c r="N3" s="63">
        <f t="shared" si="1"/>
        <v>7.8250000000000028</v>
      </c>
      <c r="O3" s="25"/>
      <c r="P3" s="25">
        <f>K3/F3</f>
        <v>0.56250000000000555</v>
      </c>
      <c r="Q3" s="25">
        <f t="shared" ref="Q3:S23" si="2">L3/G3</f>
        <v>0.58730158730158799</v>
      </c>
      <c r="R3" s="25">
        <f t="shared" si="2"/>
        <v>0.61290322580645207</v>
      </c>
      <c r="S3" s="25">
        <f t="shared" si="2"/>
        <v>0.64271047227926115</v>
      </c>
      <c r="T3" s="25"/>
      <c r="U3" s="63">
        <f>$B3+F3</f>
        <v>153.19999999999999</v>
      </c>
      <c r="V3" s="63">
        <f t="shared" ref="V3:X23" si="3">$B3+G3</f>
        <v>156.30000000000001</v>
      </c>
      <c r="W3" s="63">
        <f t="shared" si="3"/>
        <v>159.30000000000001</v>
      </c>
      <c r="X3" s="63">
        <f t="shared" si="3"/>
        <v>162.17500000000001</v>
      </c>
      <c r="Y3" s="63"/>
      <c r="Z3" s="133">
        <f ca="1">(1+P3)^(365.25/$A$10)-1</f>
        <v>0.23275412031300768</v>
      </c>
      <c r="AA3" s="133">
        <f t="shared" ref="AA3:AC18" ca="1" si="4">(1+Q3)^(365.25/$A$10)-1</f>
        <v>0.24189038910951011</v>
      </c>
      <c r="AB3" s="133">
        <f t="shared" ca="1" si="4"/>
        <v>0.25124219225839473</v>
      </c>
      <c r="AC3" s="133">
        <f t="shared" ca="1" si="4"/>
        <v>0.26203143589795119</v>
      </c>
      <c r="AD3" s="127"/>
      <c r="AE3" s="127">
        <f>($B3+AE$2)/$A$3-1</f>
        <v>-0.25762728100004795</v>
      </c>
      <c r="AF3" s="127">
        <f t="shared" ref="AF3:AH18" si="5">($B3+AF$2)/$A$3-1</f>
        <v>-0.23367977393553341</v>
      </c>
      <c r="AG3" s="127">
        <f t="shared" si="5"/>
        <v>-0.20973226687101876</v>
      </c>
      <c r="AH3" s="127">
        <f t="shared" si="5"/>
        <v>-0.18578475980650422</v>
      </c>
      <c r="AI3" s="25"/>
      <c r="AJ3" s="125">
        <f>$A$17/F3</f>
        <v>312.50000000000114</v>
      </c>
      <c r="AK3" s="125">
        <f t="shared" ref="AK3:AM23" si="6">$A$17/G3</f>
        <v>158.73015873015879</v>
      </c>
      <c r="AL3" s="125">
        <f t="shared" si="6"/>
        <v>107.52688172043014</v>
      </c>
      <c r="AM3" s="125">
        <f t="shared" si="6"/>
        <v>82.135523613963059</v>
      </c>
      <c r="AO3" s="63">
        <f>AJ3*K3</f>
        <v>562.50000000000557</v>
      </c>
      <c r="AP3" s="63">
        <f t="shared" ref="AP3:AR23" si="7">AK3*L3</f>
        <v>587.30158730158803</v>
      </c>
      <c r="AQ3" s="63">
        <f t="shared" si="7"/>
        <v>612.90322580645216</v>
      </c>
      <c r="AR3" s="63">
        <f t="shared" si="7"/>
        <v>642.71047227926113</v>
      </c>
    </row>
    <row r="4" spans="1:44" s="77" customFormat="1" x14ac:dyDescent="0.25">
      <c r="A4" s="111"/>
      <c r="B4" s="107">
        <v>155</v>
      </c>
      <c r="C4" s="108">
        <f t="shared" ref="C4:C23" si="8">AVERAGE(D4,E4)</f>
        <v>77.100000000000009</v>
      </c>
      <c r="D4" s="131">
        <f>_xll.xlqBid(CONCATENATE($A$7,B4&amp;""),tda)</f>
        <v>75.100000000000009</v>
      </c>
      <c r="E4" s="131">
        <f>_xll.xlqAsk(CONCATENATE($A$7,B4&amp;""),tda)</f>
        <v>79.100000000000009</v>
      </c>
      <c r="F4" s="109">
        <f>MAX($C4-AVERAGE(_xll.xlqBid(CONCATENATE($A$7,($B4+F$2)&amp;""),tda),_xll.xlqAsk(CONCATENATE($A$7,($B4+F$2)&amp;""),tda)),0)</f>
        <v>3.1000000000000085</v>
      </c>
      <c r="G4" s="109">
        <f>MAX($C4-AVERAGE(_xll.xlqBid(CONCATENATE($A$7,($B4+G$2)&amp;""),tda),_xll.xlqAsk(CONCATENATE($A$7,($B4+G$2)&amp;""),tda)),0)</f>
        <v>6.1000000000000085</v>
      </c>
      <c r="H4" s="109">
        <f>MAX($C4-AVERAGE(_xll.xlqBid(CONCATENATE($A$7,($B4+H$2)&amp;""),tda),_xll.xlqAsk(CONCATENATE($A$7,($B4+H$2)&amp;""),tda)),0)</f>
        <v>8.9750000000000085</v>
      </c>
      <c r="I4" s="109">
        <f>MAX($C4-AVERAGE(_xll.xlqBid(CONCATENATE($A$7,($B4+I$2)&amp;""),tda),_xll.xlqAsk(CONCATENATE($A$7,($B4+I$2)&amp;""),tda)),0)</f>
        <v>11.775000000000006</v>
      </c>
      <c r="J4" s="110"/>
      <c r="K4" s="76">
        <f t="shared" ref="K4:K23" si="9">K$2-F4</f>
        <v>1.8999999999999915</v>
      </c>
      <c r="L4" s="76">
        <f t="shared" si="1"/>
        <v>3.8999999999999915</v>
      </c>
      <c r="M4" s="76">
        <f t="shared" si="1"/>
        <v>6.0249999999999915</v>
      </c>
      <c r="N4" s="76">
        <f t="shared" si="1"/>
        <v>8.2249999999999943</v>
      </c>
      <c r="O4" s="110"/>
      <c r="P4" s="110">
        <f t="shared" ref="P4:P23" si="10">K4/F4</f>
        <v>0.61290322580644718</v>
      </c>
      <c r="Q4" s="110">
        <f t="shared" si="2"/>
        <v>0.63934426229507968</v>
      </c>
      <c r="R4" s="110">
        <f t="shared" si="2"/>
        <v>0.67130919220055552</v>
      </c>
      <c r="S4" s="110">
        <f t="shared" si="2"/>
        <v>0.69851380042462763</v>
      </c>
      <c r="T4" s="110"/>
      <c r="U4" s="76">
        <f t="shared" ref="U4:U23" si="11">$B4+F4</f>
        <v>158.10000000000002</v>
      </c>
      <c r="V4" s="76">
        <f t="shared" si="3"/>
        <v>161.10000000000002</v>
      </c>
      <c r="W4" s="76">
        <f t="shared" si="3"/>
        <v>163.97500000000002</v>
      </c>
      <c r="X4" s="76">
        <f t="shared" si="3"/>
        <v>166.77500000000001</v>
      </c>
      <c r="Y4" s="76"/>
      <c r="Z4" s="134">
        <f t="shared" ref="Z4:AC23" ca="1" si="12">(1+P4)^(365.25/$A$10)-1</f>
        <v>0.25124219225839317</v>
      </c>
      <c r="AA4" s="134">
        <f t="shared" ca="1" si="4"/>
        <v>0.26081821567831764</v>
      </c>
      <c r="AB4" s="134">
        <f t="shared" ca="1" si="4"/>
        <v>0.27228591698864801</v>
      </c>
      <c r="AC4" s="134">
        <f t="shared" ca="1" si="4"/>
        <v>0.28195437612840157</v>
      </c>
      <c r="AD4" s="128"/>
      <c r="AE4" s="127">
        <f t="shared" ref="AE4:AH23" si="13">($B4+AE$2)/$A$3-1</f>
        <v>-0.23367977393553341</v>
      </c>
      <c r="AF4" s="127">
        <f t="shared" si="5"/>
        <v>-0.20973226687101876</v>
      </c>
      <c r="AG4" s="127">
        <f t="shared" si="5"/>
        <v>-0.18578475980650422</v>
      </c>
      <c r="AH4" s="127">
        <f t="shared" si="5"/>
        <v>-0.16183725274198968</v>
      </c>
      <c r="AI4" s="110"/>
      <c r="AJ4" s="125">
        <f t="shared" ref="AJ4:AJ23" si="14">$A$17/F4</f>
        <v>322.58064516128945</v>
      </c>
      <c r="AK4" s="125">
        <f t="shared" si="6"/>
        <v>163.93442622950798</v>
      </c>
      <c r="AL4" s="125">
        <f t="shared" si="6"/>
        <v>111.42061281337037</v>
      </c>
      <c r="AM4" s="125">
        <f t="shared" si="6"/>
        <v>84.925690021231375</v>
      </c>
      <c r="AO4" s="63">
        <f t="shared" ref="AO4:AO23" si="15">AJ4*K4</f>
        <v>612.90322580644727</v>
      </c>
      <c r="AP4" s="63">
        <f t="shared" si="7"/>
        <v>639.34426229507972</v>
      </c>
      <c r="AQ4" s="63">
        <f t="shared" si="7"/>
        <v>671.30919220055557</v>
      </c>
      <c r="AR4" s="63">
        <f t="shared" si="7"/>
        <v>698.51380042462756</v>
      </c>
    </row>
    <row r="5" spans="1:44" x14ac:dyDescent="0.25">
      <c r="A5" s="235">
        <v>44582</v>
      </c>
      <c r="B5" s="107">
        <f t="shared" ref="B5:B23" si="16">B4+5</f>
        <v>160</v>
      </c>
      <c r="C5" s="23">
        <f t="shared" si="8"/>
        <v>74</v>
      </c>
      <c r="D5" s="130">
        <f>_xll.xlqBid(CONCATENATE($A$7,B5&amp;""),tda)</f>
        <v>72</v>
      </c>
      <c r="E5" s="130">
        <f>_xll.xlqAsk(CONCATENATE($A$7,B5&amp;""),tda)</f>
        <v>76</v>
      </c>
      <c r="F5" s="55">
        <f>MAX($C5-AVERAGE(_xll.xlqBid(CONCATENATE($A$7,($B5+F$2)&amp;""),tda),_xll.xlqAsk(CONCATENATE($A$7,($B5+F$2)&amp;""),tda)),0)</f>
        <v>3</v>
      </c>
      <c r="G5" s="55">
        <f>MAX($C5-AVERAGE(_xll.xlqBid(CONCATENATE($A$7,($B5+G$2)&amp;""),tda),_xll.xlqAsk(CONCATENATE($A$7,($B5+G$2)&amp;""),tda)),0)</f>
        <v>5.875</v>
      </c>
      <c r="H5" s="55">
        <f>MAX($C5-AVERAGE(_xll.xlqBid(CONCATENATE($A$7,($B5+H$2)&amp;""),tda),_xll.xlqAsk(CONCATENATE($A$7,($B5+H$2)&amp;""),tda)),0)</f>
        <v>8.6749999999999972</v>
      </c>
      <c r="I5" s="55">
        <f>MAX($C5-AVERAGE(_xll.xlqBid(CONCATENATE($A$7,($B5+I$2)&amp;""),tda),_xll.xlqAsk(CONCATENATE($A$7,($B5+I$2)&amp;""),tda)),0)</f>
        <v>11.424999999999997</v>
      </c>
      <c r="J5" s="25"/>
      <c r="K5" s="63">
        <f t="shared" si="9"/>
        <v>2</v>
      </c>
      <c r="L5" s="63">
        <f t="shared" si="1"/>
        <v>4.125</v>
      </c>
      <c r="M5" s="63">
        <f t="shared" si="1"/>
        <v>6.3250000000000028</v>
      </c>
      <c r="N5" s="63">
        <f t="shared" si="1"/>
        <v>8.5750000000000028</v>
      </c>
      <c r="O5" s="25"/>
      <c r="P5" s="25">
        <f t="shared" si="10"/>
        <v>0.66666666666666663</v>
      </c>
      <c r="Q5" s="25">
        <f t="shared" si="2"/>
        <v>0.7021276595744681</v>
      </c>
      <c r="R5" s="25">
        <f t="shared" si="2"/>
        <v>0.72910662824207551</v>
      </c>
      <c r="S5" s="25">
        <f t="shared" si="2"/>
        <v>0.75054704595186039</v>
      </c>
      <c r="T5" s="25"/>
      <c r="U5" s="63">
        <f t="shared" si="11"/>
        <v>163</v>
      </c>
      <c r="V5" s="63">
        <f t="shared" si="3"/>
        <v>165.875</v>
      </c>
      <c r="W5" s="63">
        <f t="shared" si="3"/>
        <v>168.67500000000001</v>
      </c>
      <c r="X5" s="63">
        <f t="shared" si="3"/>
        <v>171.42500000000001</v>
      </c>
      <c r="Y5" s="63"/>
      <c r="Z5" s="133">
        <f t="shared" ca="1" si="12"/>
        <v>0.2706276452736498</v>
      </c>
      <c r="AA5" s="133">
        <f t="shared" ca="1" si="4"/>
        <v>0.28323252748420891</v>
      </c>
      <c r="AB5" s="133">
        <f t="shared" ca="1" si="4"/>
        <v>0.29272925847378461</v>
      </c>
      <c r="AC5" s="133">
        <f t="shared" ca="1" si="4"/>
        <v>0.30022040620756685</v>
      </c>
      <c r="AD5" s="127"/>
      <c r="AE5" s="127">
        <f t="shared" si="13"/>
        <v>-0.20973226687101876</v>
      </c>
      <c r="AF5" s="127">
        <f t="shared" si="5"/>
        <v>-0.18578475980650422</v>
      </c>
      <c r="AG5" s="127">
        <f t="shared" si="5"/>
        <v>-0.16183725274198968</v>
      </c>
      <c r="AH5" s="127">
        <f t="shared" si="5"/>
        <v>-0.13788974567747503</v>
      </c>
      <c r="AI5" s="25"/>
      <c r="AJ5" s="125">
        <f t="shared" si="14"/>
        <v>333.33333333333331</v>
      </c>
      <c r="AK5" s="125">
        <f t="shared" si="6"/>
        <v>170.21276595744681</v>
      </c>
      <c r="AL5" s="125">
        <f t="shared" si="6"/>
        <v>115.27377521613836</v>
      </c>
      <c r="AM5" s="125">
        <f t="shared" si="6"/>
        <v>87.527352297593026</v>
      </c>
      <c r="AO5" s="63">
        <f t="shared" si="15"/>
        <v>666.66666666666663</v>
      </c>
      <c r="AP5" s="63">
        <f t="shared" si="7"/>
        <v>702.12765957446811</v>
      </c>
      <c r="AQ5" s="63">
        <f t="shared" si="7"/>
        <v>729.10662824207543</v>
      </c>
      <c r="AR5" s="63">
        <f t="shared" si="7"/>
        <v>750.54704595186047</v>
      </c>
    </row>
    <row r="6" spans="1:44" x14ac:dyDescent="0.25">
      <c r="A6" s="101" t="str">
        <f>CONCATENATE(TEXT(MONTH(A5),"00"),TEXT(DAY(A5),"00"),TEXT(MOD(YEAR(A5),100),"00"))</f>
        <v>012122</v>
      </c>
      <c r="B6" s="107">
        <f t="shared" si="16"/>
        <v>165</v>
      </c>
      <c r="C6" s="23">
        <f t="shared" si="8"/>
        <v>71</v>
      </c>
      <c r="D6" s="130">
        <f>_xll.xlqBid(CONCATENATE($A$7,B6&amp;""),tda)</f>
        <v>69</v>
      </c>
      <c r="E6" s="130">
        <f>_xll.xlqAsk(CONCATENATE($A$7,B6&amp;""),tda)</f>
        <v>73</v>
      </c>
      <c r="F6" s="55">
        <f>MAX($C6-AVERAGE(_xll.xlqBid(CONCATENATE($A$7,($B6+F$2)&amp;""),tda),_xll.xlqAsk(CONCATENATE($A$7,($B6+F$2)&amp;""),tda)),0)</f>
        <v>2.875</v>
      </c>
      <c r="G6" s="55">
        <f>MAX($C6-AVERAGE(_xll.xlqBid(CONCATENATE($A$7,($B6+G$2)&amp;""),tda),_xll.xlqAsk(CONCATENATE($A$7,($B6+G$2)&amp;""),tda)),0)</f>
        <v>5.6749999999999972</v>
      </c>
      <c r="H6" s="55">
        <f>MAX($C6-AVERAGE(_xll.xlqBid(CONCATENATE($A$7,($B6+H$2)&amp;""),tda),_xll.xlqAsk(CONCATENATE($A$7,($B6+H$2)&amp;""),tda)),0)</f>
        <v>8.4249999999999972</v>
      </c>
      <c r="I6" s="55">
        <f>MAX($C6-AVERAGE(_xll.xlqBid(CONCATENATE($A$7,($B6+I$2)&amp;""),tda),_xll.xlqAsk(CONCATENATE($A$7,($B6+I$2)&amp;""),tda)),0)</f>
        <v>11</v>
      </c>
      <c r="J6" s="25"/>
      <c r="K6" s="63">
        <f t="shared" si="9"/>
        <v>2.125</v>
      </c>
      <c r="L6" s="63">
        <f t="shared" si="1"/>
        <v>4.3250000000000028</v>
      </c>
      <c r="M6" s="63">
        <f t="shared" si="1"/>
        <v>6.5750000000000028</v>
      </c>
      <c r="N6" s="63">
        <f t="shared" si="1"/>
        <v>9</v>
      </c>
      <c r="O6" s="25"/>
      <c r="P6" s="25">
        <f t="shared" si="10"/>
        <v>0.73913043478260865</v>
      </c>
      <c r="Q6" s="25">
        <f t="shared" si="2"/>
        <v>0.76211453744493485</v>
      </c>
      <c r="R6" s="25">
        <f t="shared" si="2"/>
        <v>0.78041543026706295</v>
      </c>
      <c r="S6" s="25">
        <f t="shared" si="2"/>
        <v>0.81818181818181823</v>
      </c>
      <c r="T6" s="25"/>
      <c r="U6" s="63">
        <f t="shared" si="11"/>
        <v>167.875</v>
      </c>
      <c r="V6" s="63">
        <f t="shared" si="3"/>
        <v>170.67500000000001</v>
      </c>
      <c r="W6" s="63">
        <f t="shared" si="3"/>
        <v>173.42500000000001</v>
      </c>
      <c r="X6" s="63">
        <f t="shared" si="3"/>
        <v>176</v>
      </c>
      <c r="Y6" s="63"/>
      <c r="Z6" s="133">
        <f t="shared" ca="1" si="12"/>
        <v>0.29623761810858906</v>
      </c>
      <c r="AA6" s="133">
        <f t="shared" ca="1" si="4"/>
        <v>0.30424178447500139</v>
      </c>
      <c r="AB6" s="133">
        <f t="shared" ca="1" si="4"/>
        <v>0.31057546081438936</v>
      </c>
      <c r="AC6" s="133">
        <f t="shared" ca="1" si="4"/>
        <v>0.32353745434711745</v>
      </c>
      <c r="AD6" s="127"/>
      <c r="AE6" s="127">
        <f t="shared" si="13"/>
        <v>-0.18578475980650422</v>
      </c>
      <c r="AF6" s="127">
        <f t="shared" si="5"/>
        <v>-0.16183725274198968</v>
      </c>
      <c r="AG6" s="127">
        <f t="shared" si="5"/>
        <v>-0.13788974567747503</v>
      </c>
      <c r="AH6" s="127">
        <f t="shared" si="5"/>
        <v>-0.11394223861296049</v>
      </c>
      <c r="AI6" s="25"/>
      <c r="AJ6" s="125">
        <f t="shared" si="14"/>
        <v>347.82608695652175</v>
      </c>
      <c r="AK6" s="125">
        <f t="shared" si="6"/>
        <v>176.21145374449347</v>
      </c>
      <c r="AL6" s="125">
        <f t="shared" si="6"/>
        <v>118.6943620178042</v>
      </c>
      <c r="AM6" s="125">
        <f t="shared" si="6"/>
        <v>90.909090909090907</v>
      </c>
      <c r="AO6" s="63">
        <f t="shared" si="15"/>
        <v>739.13043478260875</v>
      </c>
      <c r="AP6" s="63">
        <f t="shared" si="7"/>
        <v>762.11453744493474</v>
      </c>
      <c r="AQ6" s="63">
        <f t="shared" si="7"/>
        <v>780.4154302670629</v>
      </c>
      <c r="AR6" s="63">
        <f t="shared" si="7"/>
        <v>818.18181818181813</v>
      </c>
    </row>
    <row r="7" spans="1:44" s="77" customFormat="1" x14ac:dyDescent="0.25">
      <c r="A7" s="111" t="str">
        <f>CONCATENATE(A2,"_",A6,"C")</f>
        <v>NVDA_012122C</v>
      </c>
      <c r="B7" s="107">
        <f t="shared" si="16"/>
        <v>170</v>
      </c>
      <c r="C7" s="108">
        <f t="shared" si="8"/>
        <v>68.125</v>
      </c>
      <c r="D7" s="131">
        <f>_xll.xlqBid(CONCATENATE($A$7,B7&amp;""),tda)</f>
        <v>66.150000000000006</v>
      </c>
      <c r="E7" s="131">
        <f>_xll.xlqAsk(CONCATENATE($A$7,B7&amp;""),tda)</f>
        <v>70.100000000000009</v>
      </c>
      <c r="F7" s="109">
        <f>MAX($C7-AVERAGE(_xll.xlqBid(CONCATENATE($A$7,($B7+F$2)&amp;""),tda),_xll.xlqAsk(CONCATENATE($A$7,($B7+F$2)&amp;""),tda)),0)</f>
        <v>2.7999999999999972</v>
      </c>
      <c r="G7" s="109">
        <f>MAX($C7-AVERAGE(_xll.xlqBid(CONCATENATE($A$7,($B7+G$2)&amp;""),tda),_xll.xlqAsk(CONCATENATE($A$7,($B7+G$2)&amp;""),tda)),0)</f>
        <v>5.5499999999999972</v>
      </c>
      <c r="H7" s="109">
        <f>MAX($C7-AVERAGE(_xll.xlqBid(CONCATENATE($A$7,($B7+H$2)&amp;""),tda),_xll.xlqAsk(CONCATENATE($A$7,($B7+H$2)&amp;""),tda)),0)</f>
        <v>8.125</v>
      </c>
      <c r="I7" s="109">
        <f>MAX($C7-AVERAGE(_xll.xlqBid(CONCATENATE($A$7,($B7+I$2)&amp;""),tda),_xll.xlqAsk(CONCATENATE($A$7,($B7+I$2)&amp;""),tda)),0)</f>
        <v>9.9249999999999972</v>
      </c>
      <c r="J7" s="110"/>
      <c r="K7" s="76">
        <f t="shared" si="9"/>
        <v>2.2000000000000028</v>
      </c>
      <c r="L7" s="76">
        <f t="shared" si="1"/>
        <v>4.4500000000000028</v>
      </c>
      <c r="M7" s="76">
        <f t="shared" si="1"/>
        <v>6.875</v>
      </c>
      <c r="N7" s="76">
        <f t="shared" si="1"/>
        <v>10.075000000000003</v>
      </c>
      <c r="O7" s="110"/>
      <c r="P7" s="110">
        <f t="shared" si="10"/>
        <v>0.78571428571428747</v>
      </c>
      <c r="Q7" s="110">
        <f t="shared" si="2"/>
        <v>0.80180180180180272</v>
      </c>
      <c r="R7" s="110">
        <f t="shared" si="2"/>
        <v>0.84615384615384615</v>
      </c>
      <c r="S7" s="110">
        <f t="shared" si="2"/>
        <v>1.0151133501259451</v>
      </c>
      <c r="T7" s="110"/>
      <c r="U7" s="76">
        <f t="shared" si="11"/>
        <v>172.8</v>
      </c>
      <c r="V7" s="76">
        <f t="shared" si="3"/>
        <v>175.55</v>
      </c>
      <c r="W7" s="76">
        <f t="shared" si="3"/>
        <v>178.125</v>
      </c>
      <c r="X7" s="76">
        <f t="shared" si="3"/>
        <v>179.92500000000001</v>
      </c>
      <c r="Y7" s="76"/>
      <c r="Z7" s="134">
        <f t="shared" ca="1" si="12"/>
        <v>0.31240285674157464</v>
      </c>
      <c r="AA7" s="134">
        <f t="shared" ca="1" si="4"/>
        <v>0.31793331900087063</v>
      </c>
      <c r="AB7" s="134">
        <f t="shared" ca="1" si="4"/>
        <v>0.3330459433120061</v>
      </c>
      <c r="AC7" s="134">
        <f t="shared" ca="1" si="4"/>
        <v>0.38891926798039211</v>
      </c>
      <c r="AD7" s="128"/>
      <c r="AE7" s="127">
        <f t="shared" si="13"/>
        <v>-0.16183725274198968</v>
      </c>
      <c r="AF7" s="127">
        <f t="shared" si="5"/>
        <v>-0.13788974567747503</v>
      </c>
      <c r="AG7" s="127">
        <f t="shared" si="5"/>
        <v>-0.11394223861296049</v>
      </c>
      <c r="AH7" s="127">
        <f t="shared" si="5"/>
        <v>-8.999473154844595E-2</v>
      </c>
      <c r="AI7" s="110"/>
      <c r="AJ7" s="125">
        <f t="shared" si="14"/>
        <v>357.14285714285751</v>
      </c>
      <c r="AK7" s="125">
        <f t="shared" si="6"/>
        <v>180.18018018018026</v>
      </c>
      <c r="AL7" s="125">
        <f t="shared" si="6"/>
        <v>123.07692307692308</v>
      </c>
      <c r="AM7" s="125">
        <f t="shared" si="6"/>
        <v>100.75566750629726</v>
      </c>
      <c r="AO7" s="63">
        <f t="shared" si="15"/>
        <v>785.71428571428748</v>
      </c>
      <c r="AP7" s="63">
        <f t="shared" si="7"/>
        <v>801.80180180180264</v>
      </c>
      <c r="AQ7" s="63">
        <f t="shared" si="7"/>
        <v>846.15384615384619</v>
      </c>
      <c r="AR7" s="63">
        <f t="shared" si="7"/>
        <v>1015.1133501259452</v>
      </c>
    </row>
    <row r="8" spans="1:44" x14ac:dyDescent="0.25">
      <c r="A8" s="105"/>
      <c r="B8" s="107">
        <f t="shared" si="16"/>
        <v>175</v>
      </c>
      <c r="C8" s="23">
        <f t="shared" si="8"/>
        <v>65.325000000000003</v>
      </c>
      <c r="D8" s="130">
        <f>_xll.xlqBid(CONCATENATE($A$7,B8&amp;""),tda)</f>
        <v>63.35</v>
      </c>
      <c r="E8" s="130">
        <f>_xll.xlqAsk(CONCATENATE($A$7,B8&amp;""),tda)</f>
        <v>67.3</v>
      </c>
      <c r="F8" s="55">
        <f>MAX($C8-AVERAGE(_xll.xlqBid(CONCATENATE($A$7,($B8+F$2)&amp;""),tda),_xll.xlqAsk(CONCATENATE($A$7,($B8+F$2)&amp;""),tda)),0)</f>
        <v>2.75</v>
      </c>
      <c r="G8" s="55">
        <f>MAX($C8-AVERAGE(_xll.xlqBid(CONCATENATE($A$7,($B8+G$2)&amp;""),tda),_xll.xlqAsk(CONCATENATE($A$7,($B8+G$2)&amp;""),tda)),0)</f>
        <v>5.3250000000000028</v>
      </c>
      <c r="H8" s="55">
        <f>MAX($C8-AVERAGE(_xll.xlqBid(CONCATENATE($A$7,($B8+H$2)&amp;""),tda),_xll.xlqAsk(CONCATENATE($A$7,($B8+H$2)&amp;""),tda)),0)</f>
        <v>7.125</v>
      </c>
      <c r="I8" s="55">
        <f>MAX($C8-AVERAGE(_xll.xlqBid(CONCATENATE($A$7,($B8+I$2)&amp;""),tda),_xll.xlqAsk(CONCATENATE($A$7,($B8+I$2)&amp;""),tda)),0)</f>
        <v>10.299999999999997</v>
      </c>
      <c r="J8" s="25"/>
      <c r="K8" s="63">
        <f t="shared" si="9"/>
        <v>2.25</v>
      </c>
      <c r="L8" s="63">
        <f t="shared" si="1"/>
        <v>4.6749999999999972</v>
      </c>
      <c r="M8" s="63">
        <f t="shared" si="1"/>
        <v>7.875</v>
      </c>
      <c r="N8" s="63">
        <f t="shared" si="1"/>
        <v>9.7000000000000028</v>
      </c>
      <c r="O8" s="25"/>
      <c r="P8" s="25">
        <f t="shared" si="10"/>
        <v>0.81818181818181823</v>
      </c>
      <c r="Q8" s="25">
        <f t="shared" si="2"/>
        <v>0.8779342723004685</v>
      </c>
      <c r="R8" s="25">
        <f t="shared" si="2"/>
        <v>1.1052631578947369</v>
      </c>
      <c r="S8" s="25">
        <f t="shared" si="2"/>
        <v>0.94174757281553456</v>
      </c>
      <c r="T8" s="25"/>
      <c r="U8" s="63">
        <f t="shared" si="11"/>
        <v>177.75</v>
      </c>
      <c r="V8" s="63">
        <f t="shared" si="3"/>
        <v>180.32499999999999</v>
      </c>
      <c r="W8" s="63">
        <f t="shared" si="3"/>
        <v>182.125</v>
      </c>
      <c r="X8" s="63">
        <f t="shared" si="3"/>
        <v>185.3</v>
      </c>
      <c r="Y8" s="63"/>
      <c r="Z8" s="133">
        <f t="shared" ca="1" si="12"/>
        <v>0.32353745434711745</v>
      </c>
      <c r="AA8" s="133">
        <f t="shared" ca="1" si="4"/>
        <v>0.34375662468920987</v>
      </c>
      <c r="AB8" s="133">
        <f t="shared" ca="1" si="4"/>
        <v>0.41771449374419722</v>
      </c>
      <c r="AC8" s="133">
        <f t="shared" ca="1" si="4"/>
        <v>0.36497609128402875</v>
      </c>
      <c r="AD8" s="127"/>
      <c r="AE8" s="127">
        <f t="shared" si="13"/>
        <v>-0.13788974567747503</v>
      </c>
      <c r="AF8" s="127">
        <f t="shared" si="5"/>
        <v>-0.11394223861296049</v>
      </c>
      <c r="AG8" s="127">
        <f t="shared" si="5"/>
        <v>-8.999473154844595E-2</v>
      </c>
      <c r="AH8" s="127">
        <f t="shared" si="5"/>
        <v>-6.6047224483931299E-2</v>
      </c>
      <c r="AI8" s="25"/>
      <c r="AJ8" s="125">
        <f t="shared" si="14"/>
        <v>363.63636363636363</v>
      </c>
      <c r="AK8" s="125">
        <f t="shared" si="6"/>
        <v>187.79342723004686</v>
      </c>
      <c r="AL8" s="125">
        <f t="shared" si="6"/>
        <v>140.35087719298247</v>
      </c>
      <c r="AM8" s="125">
        <f t="shared" si="6"/>
        <v>97.08737864077672</v>
      </c>
      <c r="AO8" s="63">
        <f t="shared" si="15"/>
        <v>818.18181818181813</v>
      </c>
      <c r="AP8" s="63">
        <f t="shared" si="7"/>
        <v>877.93427230046848</v>
      </c>
      <c r="AQ8" s="63">
        <f t="shared" si="7"/>
        <v>1105.2631578947369</v>
      </c>
      <c r="AR8" s="63">
        <f t="shared" si="7"/>
        <v>941.74757281553445</v>
      </c>
    </row>
    <row r="9" spans="1:44" x14ac:dyDescent="0.25">
      <c r="A9" s="32" t="s">
        <v>101</v>
      </c>
      <c r="B9" s="107">
        <f t="shared" si="16"/>
        <v>180</v>
      </c>
      <c r="C9" s="23">
        <f t="shared" si="8"/>
        <v>62.575000000000003</v>
      </c>
      <c r="D9" s="130">
        <f>_xll.xlqBid(CONCATENATE($A$7,B9&amp;""),tda)</f>
        <v>60.650000000000006</v>
      </c>
      <c r="E9" s="130">
        <f>_xll.xlqAsk(CONCATENATE($A$7,B9&amp;""),tda)</f>
        <v>64.5</v>
      </c>
      <c r="F9" s="55">
        <f>MAX($C9-AVERAGE(_xll.xlqBid(CONCATENATE($A$7,($B9+F$2)&amp;""),tda),_xll.xlqAsk(CONCATENATE($A$7,($B9+F$2)&amp;""),tda)),0)</f>
        <v>2.5750000000000028</v>
      </c>
      <c r="G9" s="55">
        <f>MAX($C9-AVERAGE(_xll.xlqBid(CONCATENATE($A$7,($B9+G$2)&amp;""),tda),_xll.xlqAsk(CONCATENATE($A$7,($B9+G$2)&amp;""),tda)),0)</f>
        <v>4.375</v>
      </c>
      <c r="H9" s="55">
        <f>MAX($C9-AVERAGE(_xll.xlqBid(CONCATENATE($A$7,($B9+H$2)&amp;""),tda),_xll.xlqAsk(CONCATENATE($A$7,($B9+H$2)&amp;""),tda)),0)</f>
        <v>7.5499999999999972</v>
      </c>
      <c r="I9" s="55">
        <f>MAX($C9-AVERAGE(_xll.xlqBid(CONCATENATE($A$7,($B9+I$2)&amp;""),tda),_xll.xlqAsk(CONCATENATE($A$7,($B9+I$2)&amp;""),tda)),0)</f>
        <v>9.9750000000000014</v>
      </c>
      <c r="J9" s="25"/>
      <c r="K9" s="63">
        <f t="shared" si="9"/>
        <v>2.4249999999999972</v>
      </c>
      <c r="L9" s="63">
        <f t="shared" si="1"/>
        <v>5.625</v>
      </c>
      <c r="M9" s="63">
        <f t="shared" si="1"/>
        <v>7.4500000000000028</v>
      </c>
      <c r="N9" s="63">
        <f t="shared" si="1"/>
        <v>10.024999999999999</v>
      </c>
      <c r="O9" s="25"/>
      <c r="P9" s="25">
        <f t="shared" si="10"/>
        <v>0.94174757281553179</v>
      </c>
      <c r="Q9" s="25">
        <f t="shared" si="2"/>
        <v>1.2857142857142858</v>
      </c>
      <c r="R9" s="25">
        <f t="shared" si="2"/>
        <v>0.98675496688741793</v>
      </c>
      <c r="S9" s="25">
        <f t="shared" si="2"/>
        <v>1.0050125313283205</v>
      </c>
      <c r="T9" s="25"/>
      <c r="U9" s="63">
        <f t="shared" si="11"/>
        <v>182.57499999999999</v>
      </c>
      <c r="V9" s="63">
        <f t="shared" si="3"/>
        <v>184.375</v>
      </c>
      <c r="W9" s="63">
        <f t="shared" si="3"/>
        <v>187.55</v>
      </c>
      <c r="X9" s="63">
        <f t="shared" si="3"/>
        <v>189.97499999999999</v>
      </c>
      <c r="Y9" s="63"/>
      <c r="Z9" s="133">
        <f t="shared" ca="1" si="12"/>
        <v>0.36497609128402786</v>
      </c>
      <c r="AA9" s="133">
        <f t="shared" ca="1" si="4"/>
        <v>0.47344775936674655</v>
      </c>
      <c r="AB9" s="133">
        <f t="shared" ca="1" si="4"/>
        <v>0.37972020656276317</v>
      </c>
      <c r="AC9" s="133">
        <f t="shared" ca="1" si="4"/>
        <v>0.38565063559827517</v>
      </c>
      <c r="AD9" s="127"/>
      <c r="AE9" s="127">
        <f t="shared" si="13"/>
        <v>-0.11394223861296049</v>
      </c>
      <c r="AF9" s="127">
        <f t="shared" si="5"/>
        <v>-8.999473154844595E-2</v>
      </c>
      <c r="AG9" s="127">
        <f t="shared" si="5"/>
        <v>-6.6047224483931299E-2</v>
      </c>
      <c r="AH9" s="127">
        <f t="shared" si="5"/>
        <v>-4.209971741941676E-2</v>
      </c>
      <c r="AI9" s="25"/>
      <c r="AJ9" s="125">
        <f t="shared" si="14"/>
        <v>388.34951456310637</v>
      </c>
      <c r="AK9" s="125">
        <f t="shared" si="6"/>
        <v>228.57142857142858</v>
      </c>
      <c r="AL9" s="125">
        <f t="shared" si="6"/>
        <v>132.45033112582786</v>
      </c>
      <c r="AM9" s="125">
        <f t="shared" si="6"/>
        <v>100.25062656641603</v>
      </c>
      <c r="AO9" s="63">
        <f t="shared" si="15"/>
        <v>941.74757281553184</v>
      </c>
      <c r="AP9" s="63">
        <f t="shared" si="7"/>
        <v>1285.7142857142858</v>
      </c>
      <c r="AQ9" s="63">
        <f t="shared" si="7"/>
        <v>986.75496688741794</v>
      </c>
      <c r="AR9" s="63">
        <f t="shared" si="7"/>
        <v>1005.0125313283206</v>
      </c>
    </row>
    <row r="10" spans="1:44" s="77" customFormat="1" x14ac:dyDescent="0.25">
      <c r="A10" s="116">
        <f ca="1">A5-TODAY()</f>
        <v>779</v>
      </c>
      <c r="B10" s="107">
        <f t="shared" si="16"/>
        <v>185</v>
      </c>
      <c r="C10" s="108">
        <f t="shared" si="8"/>
        <v>60</v>
      </c>
      <c r="D10" s="131">
        <f>_xll.xlqBid(CONCATENATE($A$7,B10&amp;""),tda)</f>
        <v>58.050000000000004</v>
      </c>
      <c r="E10" s="131">
        <f>_xll.xlqAsk(CONCATENATE($A$7,B10&amp;""),tda)</f>
        <v>61.95</v>
      </c>
      <c r="F10" s="109">
        <f>MAX($C10-AVERAGE(_xll.xlqBid(CONCATENATE($A$7,($B10+F$2)&amp;""),tda),_xll.xlqAsk(CONCATENATE($A$7,($B10+F$2)&amp;""),tda)),0)</f>
        <v>1.7999999999999972</v>
      </c>
      <c r="G10" s="109">
        <f>MAX($C10-AVERAGE(_xll.xlqBid(CONCATENATE($A$7,($B10+G$2)&amp;""),tda),_xll.xlqAsk(CONCATENATE($A$7,($B10+G$2)&amp;""),tda)),0)</f>
        <v>4.9749999999999943</v>
      </c>
      <c r="H10" s="109">
        <f>MAX($C10-AVERAGE(_xll.xlqBid(CONCATENATE($A$7,($B10+H$2)&amp;""),tda),_xll.xlqAsk(CONCATENATE($A$7,($B10+H$2)&amp;""),tda)),0)</f>
        <v>7.3999999999999986</v>
      </c>
      <c r="I10" s="109">
        <f>MAX($C10-AVERAGE(_xll.xlqBid(CONCATENATE($A$7,($B10+I$2)&amp;""),tda),_xll.xlqAsk(CONCATENATE($A$7,($B10+I$2)&amp;""),tda)),0)</f>
        <v>9.7000000000000028</v>
      </c>
      <c r="J10" s="110"/>
      <c r="K10" s="76">
        <f t="shared" si="9"/>
        <v>3.2000000000000028</v>
      </c>
      <c r="L10" s="76">
        <f t="shared" si="1"/>
        <v>5.0250000000000057</v>
      </c>
      <c r="M10" s="76">
        <f t="shared" si="1"/>
        <v>7.6000000000000014</v>
      </c>
      <c r="N10" s="76">
        <f t="shared" si="1"/>
        <v>10.299999999999997</v>
      </c>
      <c r="O10" s="110"/>
      <c r="P10" s="110">
        <f t="shared" si="10"/>
        <v>1.7777777777777821</v>
      </c>
      <c r="Q10" s="110">
        <f t="shared" si="2"/>
        <v>1.0100502512562837</v>
      </c>
      <c r="R10" s="110">
        <f t="shared" si="2"/>
        <v>1.0270270270270274</v>
      </c>
      <c r="S10" s="110">
        <f t="shared" si="2"/>
        <v>1.0618556701030921</v>
      </c>
      <c r="T10" s="110"/>
      <c r="U10" s="76">
        <f t="shared" si="11"/>
        <v>186.8</v>
      </c>
      <c r="V10" s="76">
        <f t="shared" si="3"/>
        <v>189.97499999999999</v>
      </c>
      <c r="W10" s="76">
        <f t="shared" si="3"/>
        <v>192.4</v>
      </c>
      <c r="X10" s="76">
        <f t="shared" si="3"/>
        <v>194.7</v>
      </c>
      <c r="Y10" s="76"/>
      <c r="Z10" s="134">
        <f t="shared" ca="1" si="12"/>
        <v>0.61449461293366126</v>
      </c>
      <c r="AA10" s="134">
        <f t="shared" ca="1" si="4"/>
        <v>0.38728193595987936</v>
      </c>
      <c r="AB10" s="134">
        <f t="shared" ca="1" si="4"/>
        <v>0.39276337752471746</v>
      </c>
      <c r="AC10" s="134">
        <f t="shared" ca="1" si="4"/>
        <v>0.40393299199188926</v>
      </c>
      <c r="AD10" s="128"/>
      <c r="AE10" s="127">
        <f t="shared" si="13"/>
        <v>-8.999473154844595E-2</v>
      </c>
      <c r="AF10" s="127">
        <f t="shared" si="5"/>
        <v>-6.6047224483931299E-2</v>
      </c>
      <c r="AG10" s="127">
        <f t="shared" si="5"/>
        <v>-4.209971741941676E-2</v>
      </c>
      <c r="AH10" s="127">
        <f t="shared" si="5"/>
        <v>-1.815221035490211E-2</v>
      </c>
      <c r="AI10" s="110"/>
      <c r="AJ10" s="125">
        <f t="shared" si="14"/>
        <v>555.55555555555645</v>
      </c>
      <c r="AK10" s="125">
        <f t="shared" si="6"/>
        <v>201.00502512562838</v>
      </c>
      <c r="AL10" s="125">
        <f t="shared" si="6"/>
        <v>135.13513513513516</v>
      </c>
      <c r="AM10" s="125">
        <f t="shared" si="6"/>
        <v>103.09278350515461</v>
      </c>
      <c r="AO10" s="63">
        <f t="shared" si="15"/>
        <v>1777.7777777777821</v>
      </c>
      <c r="AP10" s="63">
        <f t="shared" si="7"/>
        <v>1010.0502512562838</v>
      </c>
      <c r="AQ10" s="63">
        <f t="shared" si="7"/>
        <v>1027.0270270270273</v>
      </c>
      <c r="AR10" s="63">
        <f t="shared" si="7"/>
        <v>1061.8556701030923</v>
      </c>
    </row>
    <row r="11" spans="1:44" x14ac:dyDescent="0.25">
      <c r="A11" s="113"/>
      <c r="B11" s="107">
        <f t="shared" si="16"/>
        <v>190</v>
      </c>
      <c r="C11" s="23">
        <f t="shared" si="8"/>
        <v>58.2</v>
      </c>
      <c r="D11" s="130">
        <f>_xll.xlqBid(CONCATENATE($A$7,B11&amp;""),tda)</f>
        <v>57</v>
      </c>
      <c r="E11" s="130">
        <f>_xll.xlqAsk(CONCATENATE($A$7,B11&amp;""),tda)</f>
        <v>59.400000000000006</v>
      </c>
      <c r="F11" s="55">
        <f>MAX($C11-AVERAGE(_xll.xlqBid(CONCATENATE($A$7,($B11+F$2)&amp;""),tda),_xll.xlqAsk(CONCATENATE($A$7,($B11+F$2)&amp;""),tda)),0)</f>
        <v>3.1749999999999972</v>
      </c>
      <c r="G11" s="55">
        <f>MAX($C11-AVERAGE(_xll.xlqBid(CONCATENATE($A$7,($B11+G$2)&amp;""),tda),_xll.xlqAsk(CONCATENATE($A$7,($B11+G$2)&amp;""),tda)),0)</f>
        <v>5.6000000000000014</v>
      </c>
      <c r="H11" s="55">
        <f>MAX($C11-AVERAGE(_xll.xlqBid(CONCATENATE($A$7,($B11+H$2)&amp;""),tda),_xll.xlqAsk(CONCATENATE($A$7,($B11+H$2)&amp;""),tda)),0)</f>
        <v>7.9000000000000057</v>
      </c>
      <c r="I11" s="55">
        <f>MAX($C11-AVERAGE(_xll.xlqBid(CONCATENATE($A$7,($B11+I$2)&amp;""),tda),_xll.xlqAsk(CONCATENATE($A$7,($B11+I$2)&amp;""),tda)),0)</f>
        <v>10.150000000000006</v>
      </c>
      <c r="J11" s="25"/>
      <c r="K11" s="63">
        <f t="shared" si="9"/>
        <v>1.8250000000000028</v>
      </c>
      <c r="L11" s="63">
        <f t="shared" si="1"/>
        <v>4.3999999999999986</v>
      </c>
      <c r="M11" s="63">
        <f t="shared" si="1"/>
        <v>7.0999999999999943</v>
      </c>
      <c r="N11" s="63">
        <f t="shared" si="1"/>
        <v>9.8499999999999943</v>
      </c>
      <c r="O11" s="25"/>
      <c r="P11" s="25">
        <f t="shared" si="10"/>
        <v>0.57480314960630063</v>
      </c>
      <c r="Q11" s="25">
        <f t="shared" si="2"/>
        <v>0.78571428571428525</v>
      </c>
      <c r="R11" s="25">
        <f t="shared" si="2"/>
        <v>0.89873417721518856</v>
      </c>
      <c r="S11" s="25">
        <f t="shared" si="2"/>
        <v>0.97044334975369351</v>
      </c>
      <c r="T11" s="25"/>
      <c r="U11" s="63">
        <f t="shared" si="11"/>
        <v>193.17500000000001</v>
      </c>
      <c r="V11" s="63">
        <f t="shared" si="3"/>
        <v>195.6</v>
      </c>
      <c r="W11" s="63">
        <f t="shared" si="3"/>
        <v>197.9</v>
      </c>
      <c r="X11" s="63">
        <f t="shared" si="3"/>
        <v>200.15</v>
      </c>
      <c r="Y11" s="63"/>
      <c r="Z11" s="133">
        <f t="shared" ca="1" si="12"/>
        <v>0.23729583722063463</v>
      </c>
      <c r="AA11" s="133">
        <f t="shared" ca="1" si="4"/>
        <v>0.31240285674157375</v>
      </c>
      <c r="AB11" s="133">
        <f t="shared" ca="1" si="4"/>
        <v>0.3507145895385968</v>
      </c>
      <c r="AC11" s="133">
        <f t="shared" ca="1" si="4"/>
        <v>0.37439733042925294</v>
      </c>
      <c r="AD11" s="127"/>
      <c r="AE11" s="127">
        <f t="shared" si="13"/>
        <v>-6.6047224483931299E-2</v>
      </c>
      <c r="AF11" s="127">
        <f t="shared" si="5"/>
        <v>-4.209971741941676E-2</v>
      </c>
      <c r="AG11" s="127">
        <f t="shared" si="5"/>
        <v>-1.815221035490211E-2</v>
      </c>
      <c r="AH11" s="127">
        <f t="shared" si="5"/>
        <v>5.7952967096124297E-3</v>
      </c>
      <c r="AI11" s="25"/>
      <c r="AJ11" s="125">
        <f t="shared" si="14"/>
        <v>314.96062992126014</v>
      </c>
      <c r="AK11" s="125">
        <f t="shared" si="6"/>
        <v>178.57142857142853</v>
      </c>
      <c r="AL11" s="125">
        <f t="shared" si="6"/>
        <v>126.58227848101257</v>
      </c>
      <c r="AM11" s="125">
        <f t="shared" si="6"/>
        <v>98.522167487684669</v>
      </c>
      <c r="AO11" s="63">
        <f t="shared" si="15"/>
        <v>574.80314960630062</v>
      </c>
      <c r="AP11" s="63">
        <f t="shared" si="7"/>
        <v>785.71428571428521</v>
      </c>
      <c r="AQ11" s="63">
        <f t="shared" si="7"/>
        <v>898.73417721518854</v>
      </c>
      <c r="AR11" s="63">
        <f t="shared" si="7"/>
        <v>970.44334975369338</v>
      </c>
    </row>
    <row r="12" spans="1:44" x14ac:dyDescent="0.25">
      <c r="A12" s="113"/>
      <c r="B12" s="107">
        <f t="shared" si="16"/>
        <v>195</v>
      </c>
      <c r="C12" s="23">
        <f t="shared" si="8"/>
        <v>55.025000000000006</v>
      </c>
      <c r="D12" s="130">
        <f>_xll.xlqBid(CONCATENATE($A$7,B12&amp;""),tda)</f>
        <v>53.1</v>
      </c>
      <c r="E12" s="130">
        <f>_xll.xlqAsk(CONCATENATE($A$7,B12&amp;""),tda)</f>
        <v>56.95</v>
      </c>
      <c r="F12" s="55">
        <f>MAX($C12-AVERAGE(_xll.xlqBid(CONCATENATE($A$7,($B12+F$2)&amp;""),tda),_xll.xlqAsk(CONCATENATE($A$7,($B12+F$2)&amp;""),tda)),0)</f>
        <v>2.4250000000000043</v>
      </c>
      <c r="G12" s="55">
        <f>MAX($C12-AVERAGE(_xll.xlqBid(CONCATENATE($A$7,($B12+G$2)&amp;""),tda),_xll.xlqAsk(CONCATENATE($A$7,($B12+G$2)&amp;""),tda)),0)</f>
        <v>4.7250000000000085</v>
      </c>
      <c r="H12" s="55">
        <f>MAX($C12-AVERAGE(_xll.xlqBid(CONCATENATE($A$7,($B12+H$2)&amp;""),tda),_xll.xlqAsk(CONCATENATE($A$7,($B12+H$2)&amp;""),tda)),0)</f>
        <v>6.9750000000000085</v>
      </c>
      <c r="I12" s="55">
        <f>MAX($C12-AVERAGE(_xll.xlqBid(CONCATENATE($A$7,($B12+I$2)&amp;""),tda),_xll.xlqAsk(CONCATENATE($A$7,($B12+I$2)&amp;""),tda)),0)</f>
        <v>9.0500000000000043</v>
      </c>
      <c r="J12" s="25"/>
      <c r="K12" s="63">
        <f t="shared" si="9"/>
        <v>2.5749999999999957</v>
      </c>
      <c r="L12" s="63">
        <f t="shared" si="1"/>
        <v>5.2749999999999915</v>
      </c>
      <c r="M12" s="63">
        <f t="shared" si="1"/>
        <v>8.0249999999999915</v>
      </c>
      <c r="N12" s="63">
        <f t="shared" si="1"/>
        <v>10.949999999999996</v>
      </c>
      <c r="O12" s="25"/>
      <c r="P12" s="25">
        <f t="shared" si="10"/>
        <v>1.0618556701030892</v>
      </c>
      <c r="Q12" s="25">
        <f t="shared" si="2"/>
        <v>1.1164021164021125</v>
      </c>
      <c r="R12" s="25">
        <f t="shared" si="2"/>
        <v>1.1505376344085996</v>
      </c>
      <c r="S12" s="25">
        <f t="shared" si="2"/>
        <v>1.2099447513812145</v>
      </c>
      <c r="T12" s="25"/>
      <c r="U12" s="63">
        <f t="shared" si="11"/>
        <v>197.42500000000001</v>
      </c>
      <c r="V12" s="63">
        <f t="shared" si="3"/>
        <v>199.72500000000002</v>
      </c>
      <c r="W12" s="63">
        <f t="shared" si="3"/>
        <v>201.97500000000002</v>
      </c>
      <c r="X12" s="63">
        <f t="shared" si="3"/>
        <v>204.05</v>
      </c>
      <c r="Y12" s="63"/>
      <c r="Z12" s="133">
        <f t="shared" ca="1" si="12"/>
        <v>0.40393299199188837</v>
      </c>
      <c r="AA12" s="133">
        <f t="shared" ca="1" si="4"/>
        <v>0.42122662492139518</v>
      </c>
      <c r="AB12" s="133">
        <f t="shared" ca="1" si="4"/>
        <v>0.43192888314222722</v>
      </c>
      <c r="AC12" s="133">
        <f t="shared" ca="1" si="4"/>
        <v>0.45034136664110047</v>
      </c>
      <c r="AD12" s="127"/>
      <c r="AE12" s="127">
        <f t="shared" si="13"/>
        <v>-4.209971741941676E-2</v>
      </c>
      <c r="AF12" s="127">
        <f t="shared" si="5"/>
        <v>-1.815221035490211E-2</v>
      </c>
      <c r="AG12" s="127">
        <f t="shared" si="5"/>
        <v>5.7952967096124297E-3</v>
      </c>
      <c r="AH12" s="127">
        <f t="shared" si="5"/>
        <v>2.9742803774126969E-2</v>
      </c>
      <c r="AI12" s="25"/>
      <c r="AJ12" s="125">
        <f t="shared" si="14"/>
        <v>412.37113402061783</v>
      </c>
      <c r="AK12" s="125">
        <f t="shared" si="6"/>
        <v>211.64021164021125</v>
      </c>
      <c r="AL12" s="125">
        <f t="shared" si="6"/>
        <v>143.36917562723997</v>
      </c>
      <c r="AM12" s="125">
        <f t="shared" si="6"/>
        <v>110.49723756906072</v>
      </c>
      <c r="AO12" s="63">
        <f t="shared" si="15"/>
        <v>1061.8556701030891</v>
      </c>
      <c r="AP12" s="63">
        <f t="shared" si="7"/>
        <v>1116.4021164021126</v>
      </c>
      <c r="AQ12" s="63">
        <f t="shared" si="7"/>
        <v>1150.5376344085996</v>
      </c>
      <c r="AR12" s="63">
        <f t="shared" si="7"/>
        <v>1209.9447513812142</v>
      </c>
    </row>
    <row r="13" spans="1:44" s="77" customFormat="1" x14ac:dyDescent="0.25">
      <c r="A13" s="115" t="s">
        <v>102</v>
      </c>
      <c r="B13" s="107">
        <f t="shared" si="16"/>
        <v>200</v>
      </c>
      <c r="C13" s="108">
        <f t="shared" si="8"/>
        <v>52.6</v>
      </c>
      <c r="D13" s="131">
        <f>_xll.xlqBid(CONCATENATE($A$7,B13&amp;""),tda)</f>
        <v>50.7</v>
      </c>
      <c r="E13" s="131">
        <f>_xll.xlqAsk(CONCATENATE($A$7,B13&amp;""),tda)</f>
        <v>54.5</v>
      </c>
      <c r="F13" s="109">
        <f>MAX($C13-AVERAGE(_xll.xlqBid(CONCATENATE($A$7,($B13+F$2)&amp;""),tda),_xll.xlqAsk(CONCATENATE($A$7,($B13+F$2)&amp;""),tda)),0)</f>
        <v>2.3000000000000043</v>
      </c>
      <c r="G13" s="109">
        <f>MAX($C13-AVERAGE(_xll.xlqBid(CONCATENATE($A$7,($B13+G$2)&amp;""),tda),_xll.xlqAsk(CONCATENATE($A$7,($B13+G$2)&amp;""),tda)),0)</f>
        <v>4.5500000000000043</v>
      </c>
      <c r="H13" s="109">
        <f>MAX($C13-AVERAGE(_xll.xlqBid(CONCATENATE($A$7,($B13+H$2)&amp;""),tda),_xll.xlqAsk(CONCATENATE($A$7,($B13+H$2)&amp;""),tda)),0)</f>
        <v>6.625</v>
      </c>
      <c r="I13" s="109">
        <f>MAX($C13-AVERAGE(_xll.xlqBid(CONCATENATE($A$7,($B13+I$2)&amp;""),tda),_xll.xlqAsk(CONCATENATE($A$7,($B13+I$2)&amp;""),tda)),0)</f>
        <v>8.875</v>
      </c>
      <c r="J13" s="110"/>
      <c r="K13" s="76">
        <f t="shared" si="9"/>
        <v>2.6999999999999957</v>
      </c>
      <c r="L13" s="76">
        <f t="shared" si="1"/>
        <v>5.4499999999999957</v>
      </c>
      <c r="M13" s="76">
        <f t="shared" si="1"/>
        <v>8.375</v>
      </c>
      <c r="N13" s="76">
        <f t="shared" si="1"/>
        <v>11.125</v>
      </c>
      <c r="O13" s="110"/>
      <c r="P13" s="110">
        <f t="shared" si="10"/>
        <v>1.1739130434782568</v>
      </c>
      <c r="Q13" s="110">
        <f t="shared" si="2"/>
        <v>1.1978021978021958</v>
      </c>
      <c r="R13" s="110">
        <f t="shared" si="2"/>
        <v>1.2641509433962264</v>
      </c>
      <c r="S13" s="110">
        <f t="shared" si="2"/>
        <v>1.2535211267605635</v>
      </c>
      <c r="T13" s="110"/>
      <c r="U13" s="76">
        <f t="shared" si="11"/>
        <v>202.3</v>
      </c>
      <c r="V13" s="76">
        <f t="shared" si="3"/>
        <v>204.55</v>
      </c>
      <c r="W13" s="76">
        <f t="shared" si="3"/>
        <v>206.625</v>
      </c>
      <c r="X13" s="76">
        <f t="shared" si="3"/>
        <v>208.875</v>
      </c>
      <c r="Y13" s="76"/>
      <c r="Z13" s="134">
        <f t="shared" ca="1" si="12"/>
        <v>0.43920564026706854</v>
      </c>
      <c r="AA13" s="134">
        <f t="shared" ca="1" si="4"/>
        <v>0.446599514421679</v>
      </c>
      <c r="AB13" s="134">
        <f ca="1">(1+R13)^(365.25/$A$10)-1</f>
        <v>0.46691384270105663</v>
      </c>
      <c r="AC13" s="134">
        <f t="shared" ca="1" si="4"/>
        <v>0.4636807347632077</v>
      </c>
      <c r="AD13" s="128"/>
      <c r="AE13" s="127">
        <f t="shared" si="13"/>
        <v>-1.815221035490211E-2</v>
      </c>
      <c r="AF13" s="127">
        <f t="shared" si="5"/>
        <v>5.7952967096124297E-3</v>
      </c>
      <c r="AG13" s="127">
        <f t="shared" si="5"/>
        <v>2.9742803774126969E-2</v>
      </c>
      <c r="AH13" s="127">
        <f t="shared" si="5"/>
        <v>5.3690310838641508E-2</v>
      </c>
      <c r="AI13" s="110"/>
      <c r="AJ13" s="125">
        <f t="shared" si="14"/>
        <v>434.78260869565139</v>
      </c>
      <c r="AK13" s="125">
        <f t="shared" si="6"/>
        <v>219.78021978021957</v>
      </c>
      <c r="AL13" s="125">
        <f t="shared" si="6"/>
        <v>150.9433962264151</v>
      </c>
      <c r="AM13" s="125">
        <f t="shared" si="6"/>
        <v>112.67605633802818</v>
      </c>
      <c r="AO13" s="63">
        <f t="shared" si="15"/>
        <v>1173.9130434782569</v>
      </c>
      <c r="AP13" s="63">
        <f t="shared" si="7"/>
        <v>1197.8021978021957</v>
      </c>
      <c r="AQ13" s="63">
        <f t="shared" si="7"/>
        <v>1264.1509433962265</v>
      </c>
      <c r="AR13" s="63">
        <f t="shared" si="7"/>
        <v>1253.5211267605634</v>
      </c>
    </row>
    <row r="14" spans="1:44" x14ac:dyDescent="0.25">
      <c r="A14" s="112">
        <v>230</v>
      </c>
      <c r="B14" s="107">
        <f t="shared" si="16"/>
        <v>205</v>
      </c>
      <c r="C14" s="23">
        <f t="shared" si="8"/>
        <v>50.3</v>
      </c>
      <c r="D14" s="130">
        <f>_xll.xlqBid(CONCATENATE($A$7,B14&amp;""),tda)</f>
        <v>48.35</v>
      </c>
      <c r="E14" s="130">
        <f>_xll.xlqAsk(CONCATENATE($A$7,B14&amp;""),tda)</f>
        <v>52.25</v>
      </c>
      <c r="F14" s="55">
        <f>MAX($C14-AVERAGE(_xll.xlqBid(CONCATENATE($A$7,($B14+F$2)&amp;""),tda),_xll.xlqAsk(CONCATENATE($A$7,($B14+F$2)&amp;""),tda)),0)</f>
        <v>2.25</v>
      </c>
      <c r="G14" s="55">
        <f>MAX($C14-AVERAGE(_xll.xlqBid(CONCATENATE($A$7,($B14+G$2)&amp;""),tda),_xll.xlqAsk(CONCATENATE($A$7,($B14+G$2)&amp;""),tda)),0)</f>
        <v>4.3249999999999957</v>
      </c>
      <c r="H14" s="55">
        <f>MAX($C14-AVERAGE(_xll.xlqBid(CONCATENATE($A$7,($B14+H$2)&amp;""),tda),_xll.xlqAsk(CONCATENATE($A$7,($B14+H$2)&amp;""),tda)),0)</f>
        <v>6.5749999999999957</v>
      </c>
      <c r="I14" s="55">
        <f>MAX($C14-AVERAGE(_xll.xlqBid(CONCATENATE($A$7,($B14+I$2)&amp;""),tda),_xll.xlqAsk(CONCATENATE($A$7,($B14+I$2)&amp;""),tda)),0)</f>
        <v>8.625</v>
      </c>
      <c r="J14" s="25"/>
      <c r="K14" s="63">
        <f t="shared" si="9"/>
        <v>2.75</v>
      </c>
      <c r="L14" s="63">
        <f t="shared" si="1"/>
        <v>5.6750000000000043</v>
      </c>
      <c r="M14" s="63">
        <f t="shared" si="1"/>
        <v>8.4250000000000043</v>
      </c>
      <c r="N14" s="63">
        <f t="shared" si="1"/>
        <v>11.375</v>
      </c>
      <c r="O14" s="25"/>
      <c r="P14" s="25">
        <f t="shared" si="10"/>
        <v>1.2222222222222223</v>
      </c>
      <c r="Q14" s="25">
        <f t="shared" si="2"/>
        <v>1.3121387283237016</v>
      </c>
      <c r="R14" s="25">
        <f t="shared" si="2"/>
        <v>1.2813688212927772</v>
      </c>
      <c r="S14" s="25">
        <f t="shared" si="2"/>
        <v>1.318840579710145</v>
      </c>
      <c r="T14" s="25"/>
      <c r="U14" s="63">
        <f t="shared" si="11"/>
        <v>207.25</v>
      </c>
      <c r="V14" s="63">
        <f t="shared" si="3"/>
        <v>209.32499999999999</v>
      </c>
      <c r="W14" s="63">
        <f t="shared" si="3"/>
        <v>211.57499999999999</v>
      </c>
      <c r="X14" s="63">
        <f t="shared" si="3"/>
        <v>213.625</v>
      </c>
      <c r="Y14" s="63"/>
      <c r="Z14" s="133">
        <f t="shared" ca="1" si="12"/>
        <v>0.45411370895539704</v>
      </c>
      <c r="AA14" s="133">
        <f t="shared" ca="1" si="4"/>
        <v>0.48141015681325183</v>
      </c>
      <c r="AB14" s="133">
        <f t="shared" ca="1" si="4"/>
        <v>0.47213368123531385</v>
      </c>
      <c r="AC14" s="133">
        <f t="shared" ca="1" si="4"/>
        <v>0.48342191165646486</v>
      </c>
      <c r="AD14" s="127"/>
      <c r="AE14" s="127">
        <f t="shared" si="13"/>
        <v>5.7952967096124297E-3</v>
      </c>
      <c r="AF14" s="127">
        <f t="shared" si="5"/>
        <v>2.9742803774126969E-2</v>
      </c>
      <c r="AG14" s="127">
        <f t="shared" si="5"/>
        <v>5.3690310838641508E-2</v>
      </c>
      <c r="AH14" s="127">
        <f t="shared" si="5"/>
        <v>7.763781790315627E-2</v>
      </c>
      <c r="AI14" s="25"/>
      <c r="AJ14" s="125">
        <f t="shared" si="14"/>
        <v>444.44444444444446</v>
      </c>
      <c r="AK14" s="125">
        <f t="shared" si="6"/>
        <v>231.21387283237016</v>
      </c>
      <c r="AL14" s="125">
        <f t="shared" si="6"/>
        <v>152.0912547528518</v>
      </c>
      <c r="AM14" s="125">
        <f t="shared" si="6"/>
        <v>115.94202898550725</v>
      </c>
      <c r="AO14" s="63">
        <f t="shared" si="15"/>
        <v>1222.2222222222222</v>
      </c>
      <c r="AP14" s="63">
        <f t="shared" si="7"/>
        <v>1312.1387283237016</v>
      </c>
      <c r="AQ14" s="63">
        <f t="shared" si="7"/>
        <v>1281.3688212927771</v>
      </c>
      <c r="AR14" s="63">
        <f t="shared" si="7"/>
        <v>1318.840579710145</v>
      </c>
    </row>
    <row r="15" spans="1:44" x14ac:dyDescent="0.25">
      <c r="A15" s="114"/>
      <c r="B15" s="107">
        <f t="shared" si="16"/>
        <v>210</v>
      </c>
      <c r="C15" s="23">
        <f t="shared" si="8"/>
        <v>48.05</v>
      </c>
      <c r="D15" s="130">
        <f>_xll.xlqBid(CONCATENATE($A$7,B15&amp;""),tda)</f>
        <v>46.1</v>
      </c>
      <c r="E15" s="130">
        <f>_xll.xlqAsk(CONCATENATE($A$7,B15&amp;""),tda)</f>
        <v>50</v>
      </c>
      <c r="F15" s="55">
        <f>MAX($C15-AVERAGE(_xll.xlqBid(CONCATENATE($A$7,($B15+F$2)&amp;""),tda),_xll.xlqAsk(CONCATENATE($A$7,($B15+F$2)&amp;""),tda)),0)</f>
        <v>2.0749999999999957</v>
      </c>
      <c r="G15" s="55">
        <f>MAX($C15-AVERAGE(_xll.xlqBid(CONCATENATE($A$7,($B15+G$2)&amp;""),tda),_xll.xlqAsk(CONCATENATE($A$7,($B15+G$2)&amp;""),tda)),0)</f>
        <v>4.3249999999999957</v>
      </c>
      <c r="H15" s="55">
        <f>MAX($C15-AVERAGE(_xll.xlqBid(CONCATENATE($A$7,($B15+H$2)&amp;""),tda),_xll.xlqAsk(CONCATENATE($A$7,($B15+H$2)&amp;""),tda)),0)</f>
        <v>6.375</v>
      </c>
      <c r="I15" s="55">
        <f>MAX($C15-AVERAGE(_xll.xlqBid(CONCATENATE($A$7,($B15+I$2)&amp;""),tda),_xll.xlqAsk(CONCATENATE($A$7,($B15+I$2)&amp;""),tda)),0)</f>
        <v>8.3499999999999943</v>
      </c>
      <c r="J15" s="25"/>
      <c r="K15" s="63">
        <f t="shared" si="9"/>
        <v>2.9250000000000043</v>
      </c>
      <c r="L15" s="63">
        <f t="shared" si="1"/>
        <v>5.6750000000000043</v>
      </c>
      <c r="M15" s="63">
        <f t="shared" si="1"/>
        <v>8.625</v>
      </c>
      <c r="N15" s="63">
        <f t="shared" si="1"/>
        <v>11.650000000000006</v>
      </c>
      <c r="O15" s="25"/>
      <c r="P15" s="25">
        <f t="shared" si="10"/>
        <v>1.4096385542168723</v>
      </c>
      <c r="Q15" s="25">
        <f t="shared" si="2"/>
        <v>1.3121387283237016</v>
      </c>
      <c r="R15" s="25">
        <f t="shared" si="2"/>
        <v>1.3529411764705883</v>
      </c>
      <c r="S15" s="25">
        <f t="shared" si="2"/>
        <v>1.3952095808383249</v>
      </c>
      <c r="T15" s="25"/>
      <c r="U15" s="63">
        <f t="shared" si="11"/>
        <v>212.07499999999999</v>
      </c>
      <c r="V15" s="63">
        <f t="shared" si="3"/>
        <v>214.32499999999999</v>
      </c>
      <c r="W15" s="63">
        <f t="shared" si="3"/>
        <v>216.375</v>
      </c>
      <c r="X15" s="63">
        <f t="shared" si="3"/>
        <v>218.35</v>
      </c>
      <c r="Y15" s="63"/>
      <c r="Z15" s="133">
        <f t="shared" ca="1" si="12"/>
        <v>0.51037893956989411</v>
      </c>
      <c r="AA15" s="133">
        <f t="shared" ca="1" si="4"/>
        <v>0.48141015681325183</v>
      </c>
      <c r="AB15" s="133">
        <f t="shared" ca="1" si="4"/>
        <v>0.49361068278775044</v>
      </c>
      <c r="AC15" s="133">
        <f t="shared" ca="1" si="4"/>
        <v>0.50613162524270816</v>
      </c>
      <c r="AD15" s="127"/>
      <c r="AE15" s="127">
        <f t="shared" si="13"/>
        <v>2.9742803774126969E-2</v>
      </c>
      <c r="AF15" s="127">
        <f t="shared" si="5"/>
        <v>5.3690310838641508E-2</v>
      </c>
      <c r="AG15" s="127">
        <f t="shared" si="5"/>
        <v>7.763781790315627E-2</v>
      </c>
      <c r="AH15" s="127">
        <f t="shared" si="5"/>
        <v>0.10158532496767081</v>
      </c>
      <c r="AI15" s="25"/>
      <c r="AJ15" s="125">
        <f t="shared" si="14"/>
        <v>481.92771084337448</v>
      </c>
      <c r="AK15" s="125">
        <f t="shared" si="6"/>
        <v>231.21387283237016</v>
      </c>
      <c r="AL15" s="125">
        <f t="shared" si="6"/>
        <v>156.86274509803923</v>
      </c>
      <c r="AM15" s="125">
        <f t="shared" si="6"/>
        <v>119.76047904191626</v>
      </c>
      <c r="AO15" s="63">
        <f t="shared" si="15"/>
        <v>1409.6385542168723</v>
      </c>
      <c r="AP15" s="63">
        <f t="shared" si="7"/>
        <v>1312.1387283237016</v>
      </c>
      <c r="AQ15" s="63">
        <f t="shared" si="7"/>
        <v>1352.9411764705883</v>
      </c>
      <c r="AR15" s="63">
        <f t="shared" si="7"/>
        <v>1395.2095808383251</v>
      </c>
    </row>
    <row r="16" spans="1:44" s="77" customFormat="1" x14ac:dyDescent="0.25">
      <c r="A16" s="115" t="s">
        <v>103</v>
      </c>
      <c r="B16" s="107">
        <f t="shared" si="16"/>
        <v>215</v>
      </c>
      <c r="C16" s="108">
        <f t="shared" si="8"/>
        <v>45.975000000000001</v>
      </c>
      <c r="D16" s="131">
        <f>_xll.xlqBid(CONCATENATE($A$7,B16&amp;""),tda)</f>
        <v>44.15</v>
      </c>
      <c r="E16" s="131">
        <f>_xll.xlqAsk(CONCATENATE($A$7,B16&amp;""),tda)</f>
        <v>47.800000000000004</v>
      </c>
      <c r="F16" s="109">
        <f>MAX($C16-AVERAGE(_xll.xlqBid(CONCATENATE($A$7,($B16+F$2)&amp;""),tda),_xll.xlqAsk(CONCATENATE($A$7,($B16+F$2)&amp;""),tda)),0)</f>
        <v>2.25</v>
      </c>
      <c r="G16" s="109">
        <f>MAX($C16-AVERAGE(_xll.xlqBid(CONCATENATE($A$7,($B16+G$2)&amp;""),tda),_xll.xlqAsk(CONCATENATE($A$7,($B16+G$2)&amp;""),tda)),0)</f>
        <v>4.3000000000000043</v>
      </c>
      <c r="H16" s="109">
        <f>MAX($C16-AVERAGE(_xll.xlqBid(CONCATENATE($A$7,($B16+H$2)&amp;""),tda),_xll.xlqAsk(CONCATENATE($A$7,($B16+H$2)&amp;""),tda)),0)</f>
        <v>6.2749999999999986</v>
      </c>
      <c r="I16" s="109" t="e">
        <f>MAX($C16-AVERAGE(_xll.xlqBid(CONCATENATE($A$7,($B16+I$2)&amp;""),tda),_xll.xlqAsk(CONCATENATE($A$7,($B16+I$2)&amp;""),tda)),0)</f>
        <v>#VALUE!</v>
      </c>
      <c r="J16" s="110"/>
      <c r="K16" s="76">
        <f t="shared" si="9"/>
        <v>2.75</v>
      </c>
      <c r="L16" s="76">
        <f t="shared" si="1"/>
        <v>5.6999999999999957</v>
      </c>
      <c r="M16" s="76">
        <f t="shared" si="1"/>
        <v>8.7250000000000014</v>
      </c>
      <c r="N16" s="76" t="e">
        <f t="shared" si="1"/>
        <v>#VALUE!</v>
      </c>
      <c r="O16" s="110"/>
      <c r="P16" s="110">
        <f t="shared" si="10"/>
        <v>1.2222222222222223</v>
      </c>
      <c r="Q16" s="110">
        <f t="shared" si="2"/>
        <v>1.3255813953488349</v>
      </c>
      <c r="R16" s="110">
        <f t="shared" si="2"/>
        <v>1.3904382470119527</v>
      </c>
      <c r="S16" s="110" t="e">
        <f t="shared" si="2"/>
        <v>#VALUE!</v>
      </c>
      <c r="T16" s="110"/>
      <c r="U16" s="76">
        <f t="shared" si="11"/>
        <v>217.25</v>
      </c>
      <c r="V16" s="76">
        <f t="shared" si="3"/>
        <v>219.3</v>
      </c>
      <c r="W16" s="76">
        <f t="shared" si="3"/>
        <v>221.27500000000001</v>
      </c>
      <c r="X16" s="76" t="e">
        <f t="shared" si="3"/>
        <v>#VALUE!</v>
      </c>
      <c r="Y16" s="76"/>
      <c r="Z16" s="134">
        <f t="shared" ca="1" si="12"/>
        <v>0.45411370895539704</v>
      </c>
      <c r="AA16" s="134">
        <f t="shared" ca="1" si="4"/>
        <v>0.48544225001791053</v>
      </c>
      <c r="AB16" s="134">
        <f t="shared" ca="1" si="4"/>
        <v>0.50472414632536244</v>
      </c>
      <c r="AC16" s="134" t="e">
        <f t="shared" ca="1" si="4"/>
        <v>#VALUE!</v>
      </c>
      <c r="AD16" s="128"/>
      <c r="AE16" s="127">
        <f t="shared" si="13"/>
        <v>5.3690310838641508E-2</v>
      </c>
      <c r="AF16" s="127">
        <f t="shared" si="5"/>
        <v>7.763781790315627E-2</v>
      </c>
      <c r="AG16" s="127">
        <f t="shared" si="5"/>
        <v>0.10158532496767081</v>
      </c>
      <c r="AH16" s="127">
        <f t="shared" si="5"/>
        <v>0.12553283203218535</v>
      </c>
      <c r="AI16" s="110"/>
      <c r="AJ16" s="125">
        <f t="shared" si="14"/>
        <v>444.44444444444446</v>
      </c>
      <c r="AK16" s="125">
        <f t="shared" si="6"/>
        <v>232.55813953488348</v>
      </c>
      <c r="AL16" s="125">
        <f t="shared" si="6"/>
        <v>159.36254980079684</v>
      </c>
      <c r="AM16" s="125" t="e">
        <f t="shared" si="6"/>
        <v>#VALUE!</v>
      </c>
      <c r="AO16" s="63">
        <f t="shared" si="15"/>
        <v>1222.2222222222222</v>
      </c>
      <c r="AP16" s="63">
        <f t="shared" si="7"/>
        <v>1325.5813953488348</v>
      </c>
      <c r="AQ16" s="63">
        <f t="shared" si="7"/>
        <v>1390.4382470119526</v>
      </c>
      <c r="AR16" s="63" t="e">
        <f t="shared" si="7"/>
        <v>#VALUE!</v>
      </c>
    </row>
    <row r="17" spans="1:44" x14ac:dyDescent="0.25">
      <c r="A17" s="37">
        <v>1000</v>
      </c>
      <c r="B17" s="107">
        <f t="shared" si="16"/>
        <v>220</v>
      </c>
      <c r="C17" s="23">
        <f t="shared" si="8"/>
        <v>43.725000000000001</v>
      </c>
      <c r="D17" s="130">
        <f>_xll.xlqBid(CONCATENATE($A$7,B17&amp;""),tda)</f>
        <v>41.75</v>
      </c>
      <c r="E17" s="130">
        <f>_xll.xlqAsk(CONCATENATE($A$7,B17&amp;""),tda)</f>
        <v>45.7</v>
      </c>
      <c r="F17" s="55">
        <f>MAX($C17-AVERAGE(_xll.xlqBid(CONCATENATE($A$7,($B17+F$2)&amp;""),tda),_xll.xlqAsk(CONCATENATE($A$7,($B17+F$2)&amp;""),tda)),0)</f>
        <v>2.0500000000000043</v>
      </c>
      <c r="G17" s="55">
        <f>MAX($C17-AVERAGE(_xll.xlqBid(CONCATENATE($A$7,($B17+G$2)&amp;""),tda),_xll.xlqAsk(CONCATENATE($A$7,($B17+G$2)&amp;""),tda)),0)</f>
        <v>4.0249999999999986</v>
      </c>
      <c r="H17" s="55" t="e">
        <f>MAX($C17-AVERAGE(_xll.xlqBid(CONCATENATE($A$7,($B17+H$2)&amp;""),tda),_xll.xlqAsk(CONCATENATE($A$7,($B17+H$2)&amp;""),tda)),0)</f>
        <v>#VALUE!</v>
      </c>
      <c r="I17" s="55">
        <f>MAX($C17-AVERAGE(_xll.xlqBid(CONCATENATE($A$7,($B17+I$2)&amp;""),tda),_xll.xlqAsk(CONCATENATE($A$7,($B17+I$2)&amp;""),tda)),0)</f>
        <v>7.7250000000000014</v>
      </c>
      <c r="J17" s="25"/>
      <c r="K17" s="63">
        <f t="shared" si="9"/>
        <v>2.9499999999999957</v>
      </c>
      <c r="L17" s="63">
        <f t="shared" si="1"/>
        <v>5.9750000000000014</v>
      </c>
      <c r="M17" s="63" t="e">
        <f t="shared" si="1"/>
        <v>#VALUE!</v>
      </c>
      <c r="N17" s="63">
        <f t="shared" si="1"/>
        <v>12.274999999999999</v>
      </c>
      <c r="O17" s="25"/>
      <c r="P17" s="25">
        <f t="shared" si="10"/>
        <v>1.4390243902438973</v>
      </c>
      <c r="Q17" s="25">
        <f t="shared" si="2"/>
        <v>1.4844720496894419</v>
      </c>
      <c r="R17" s="25" t="e">
        <f t="shared" si="2"/>
        <v>#VALUE!</v>
      </c>
      <c r="S17" s="25">
        <f t="shared" si="2"/>
        <v>1.5889967637540447</v>
      </c>
      <c r="T17" s="25"/>
      <c r="U17" s="63">
        <f t="shared" si="11"/>
        <v>222.05</v>
      </c>
      <c r="V17" s="63">
        <f t="shared" si="3"/>
        <v>224.02500000000001</v>
      </c>
      <c r="W17" s="63" t="e">
        <f t="shared" si="3"/>
        <v>#VALUE!</v>
      </c>
      <c r="X17" s="63">
        <f t="shared" si="3"/>
        <v>227.72499999999999</v>
      </c>
      <c r="Y17" s="63"/>
      <c r="Z17" s="133">
        <f t="shared" ca="1" si="12"/>
        <v>0.51898738567068614</v>
      </c>
      <c r="AA17" s="133">
        <f t="shared" ca="1" si="4"/>
        <v>0.53219329191575038</v>
      </c>
      <c r="AB17" s="133" t="e">
        <f t="shared" ca="1" si="4"/>
        <v>#VALUE!</v>
      </c>
      <c r="AC17" s="133">
        <f t="shared" ca="1" si="4"/>
        <v>0.56208662239911722</v>
      </c>
      <c r="AD17" s="127"/>
      <c r="AE17" s="127">
        <f t="shared" si="13"/>
        <v>7.763781790315627E-2</v>
      </c>
      <c r="AF17" s="127">
        <f t="shared" si="5"/>
        <v>0.10158532496767081</v>
      </c>
      <c r="AG17" s="127">
        <f t="shared" si="5"/>
        <v>0.12553283203218535</v>
      </c>
      <c r="AH17" s="127">
        <f t="shared" si="5"/>
        <v>0.14948033909669989</v>
      </c>
      <c r="AI17" s="25"/>
      <c r="AJ17" s="125">
        <f t="shared" si="14"/>
        <v>487.80487804877947</v>
      </c>
      <c r="AK17" s="125">
        <f t="shared" si="6"/>
        <v>248.44720496894419</v>
      </c>
      <c r="AL17" s="125" t="e">
        <f t="shared" si="6"/>
        <v>#VALUE!</v>
      </c>
      <c r="AM17" s="125">
        <f t="shared" si="6"/>
        <v>129.44983818770226</v>
      </c>
      <c r="AO17" s="63">
        <f t="shared" si="15"/>
        <v>1439.0243902438974</v>
      </c>
      <c r="AP17" s="63">
        <f t="shared" si="7"/>
        <v>1484.472049689442</v>
      </c>
      <c r="AQ17" s="63" t="e">
        <f t="shared" si="7"/>
        <v>#VALUE!</v>
      </c>
      <c r="AR17" s="63">
        <f t="shared" si="7"/>
        <v>1588.9967637540451</v>
      </c>
    </row>
    <row r="18" spans="1:44" x14ac:dyDescent="0.25">
      <c r="A18" s="102"/>
      <c r="B18" s="107">
        <f t="shared" si="16"/>
        <v>225</v>
      </c>
      <c r="C18" s="23">
        <f t="shared" si="8"/>
        <v>41.674999999999997</v>
      </c>
      <c r="D18" s="130">
        <f>_xll.xlqBid(CONCATENATE($A$7,B18&amp;""),tda)</f>
        <v>39.700000000000003</v>
      </c>
      <c r="E18" s="130">
        <f>_xll.xlqAsk(CONCATENATE($A$7,B18&amp;""),tda)</f>
        <v>43.65</v>
      </c>
      <c r="F18" s="55">
        <f>MAX($C18-AVERAGE(_xll.xlqBid(CONCATENATE($A$7,($B18+F$2)&amp;""),tda),_xll.xlqAsk(CONCATENATE($A$7,($B18+F$2)&amp;""),tda)),0)</f>
        <v>1.9749999999999943</v>
      </c>
      <c r="G18" s="55" t="e">
        <f>MAX($C18-AVERAGE(_xll.xlqBid(CONCATENATE($A$7,($B18+G$2)&amp;""),tda),_xll.xlqAsk(CONCATENATE($A$7,($B18+G$2)&amp;""),tda)),0)</f>
        <v>#VALUE!</v>
      </c>
      <c r="H18" s="55">
        <f>MAX($C18-AVERAGE(_xll.xlqBid(CONCATENATE($A$7,($B18+H$2)&amp;""),tda),_xll.xlqAsk(CONCATENATE($A$7,($B18+H$2)&amp;""),tda)),0)</f>
        <v>5.6749999999999972</v>
      </c>
      <c r="I18" s="55" t="e">
        <f>MAX($C18-AVERAGE(_xll.xlqBid(CONCATENATE($A$7,($B18+I$2)&amp;""),tda),_xll.xlqAsk(CONCATENATE($A$7,($B18+I$2)&amp;""),tda)),0)</f>
        <v>#VALUE!</v>
      </c>
      <c r="J18" s="25"/>
      <c r="K18" s="63">
        <f t="shared" si="9"/>
        <v>3.0250000000000057</v>
      </c>
      <c r="L18" s="63" t="e">
        <f t="shared" si="1"/>
        <v>#VALUE!</v>
      </c>
      <c r="M18" s="63">
        <f t="shared" si="1"/>
        <v>9.3250000000000028</v>
      </c>
      <c r="N18" s="63" t="e">
        <f t="shared" si="1"/>
        <v>#VALUE!</v>
      </c>
      <c r="O18" s="25"/>
      <c r="P18" s="25">
        <f t="shared" si="10"/>
        <v>1.5316455696202604</v>
      </c>
      <c r="Q18" s="25" t="e">
        <f t="shared" si="2"/>
        <v>#VALUE!</v>
      </c>
      <c r="R18" s="25">
        <f t="shared" si="2"/>
        <v>1.6431718061674021</v>
      </c>
      <c r="S18" s="25" t="e">
        <f t="shared" si="2"/>
        <v>#VALUE!</v>
      </c>
      <c r="T18" s="25"/>
      <c r="U18" s="63">
        <f t="shared" si="11"/>
        <v>226.97499999999999</v>
      </c>
      <c r="V18" s="63" t="e">
        <f t="shared" si="3"/>
        <v>#VALUE!</v>
      </c>
      <c r="W18" s="63">
        <f t="shared" si="3"/>
        <v>230.67500000000001</v>
      </c>
      <c r="X18" s="63" t="e">
        <f t="shared" si="3"/>
        <v>#VALUE!</v>
      </c>
      <c r="Y18" s="63"/>
      <c r="Z18" s="133">
        <f t="shared" ca="1" si="12"/>
        <v>0.54576567638833362</v>
      </c>
      <c r="AA18" s="133" t="e">
        <f t="shared" ca="1" si="4"/>
        <v>#VALUE!</v>
      </c>
      <c r="AB18" s="133">
        <f t="shared" ca="1" si="4"/>
        <v>0.57732824199828814</v>
      </c>
      <c r="AC18" s="133" t="e">
        <f t="shared" ca="1" si="4"/>
        <v>#VALUE!</v>
      </c>
      <c r="AD18" s="127"/>
      <c r="AE18" s="127">
        <f t="shared" si="13"/>
        <v>0.10158532496767081</v>
      </c>
      <c r="AF18" s="127">
        <f t="shared" si="5"/>
        <v>0.12553283203218535</v>
      </c>
      <c r="AG18" s="127">
        <f t="shared" si="5"/>
        <v>0.14948033909669989</v>
      </c>
      <c r="AH18" s="127">
        <f t="shared" si="5"/>
        <v>0.17342784616121443</v>
      </c>
      <c r="AI18" s="25"/>
      <c r="AJ18" s="125">
        <f t="shared" si="14"/>
        <v>506.32911392405208</v>
      </c>
      <c r="AK18" s="125" t="e">
        <f t="shared" si="6"/>
        <v>#VALUE!</v>
      </c>
      <c r="AL18" s="125">
        <f t="shared" si="6"/>
        <v>176.21145374449347</v>
      </c>
      <c r="AM18" s="125" t="e">
        <f t="shared" si="6"/>
        <v>#VALUE!</v>
      </c>
      <c r="AO18" s="63">
        <f t="shared" si="15"/>
        <v>1531.6455696202604</v>
      </c>
      <c r="AP18" s="63" t="e">
        <f t="shared" si="7"/>
        <v>#VALUE!</v>
      </c>
      <c r="AQ18" s="63">
        <f t="shared" si="7"/>
        <v>1643.1718061674021</v>
      </c>
      <c r="AR18" s="63" t="e">
        <f t="shared" si="7"/>
        <v>#VALUE!</v>
      </c>
    </row>
    <row r="19" spans="1:44" s="77" customFormat="1" x14ac:dyDescent="0.25">
      <c r="A19" s="167" t="s">
        <v>120</v>
      </c>
      <c r="B19" s="107">
        <f t="shared" si="16"/>
        <v>230</v>
      </c>
      <c r="C19" s="108">
        <f t="shared" si="8"/>
        <v>39.700000000000003</v>
      </c>
      <c r="D19" s="131">
        <f>_xll.xlqBid(CONCATENATE($A$7,B19&amp;""),tda)</f>
        <v>37.700000000000003</v>
      </c>
      <c r="E19" s="131">
        <f>_xll.xlqAsk(CONCATENATE($A$7,B19&amp;""),tda)</f>
        <v>41.7</v>
      </c>
      <c r="F19" s="109" t="e">
        <f>MAX($C19-AVERAGE(_xll.xlqBid(CONCATENATE($A$7,($B19+F$2)&amp;""),tda),_xll.xlqAsk(CONCATENATE($A$7,($B19+F$2)&amp;""),tda)),0)</f>
        <v>#VALUE!</v>
      </c>
      <c r="G19" s="109">
        <f>MAX($C19-AVERAGE(_xll.xlqBid(CONCATENATE($A$7,($B19+G$2)&amp;""),tda),_xll.xlqAsk(CONCATENATE($A$7,($B19+G$2)&amp;""),tda)),0)</f>
        <v>3.7000000000000028</v>
      </c>
      <c r="H19" s="109" t="e">
        <f>MAX($C19-AVERAGE(_xll.xlqBid(CONCATENATE($A$7,($B19+H$2)&amp;""),tda),_xll.xlqAsk(CONCATENATE($A$7,($B19+H$2)&amp;""),tda)),0)</f>
        <v>#VALUE!</v>
      </c>
      <c r="I19" s="109">
        <f>MAX($C19-AVERAGE(_xll.xlqBid(CONCATENATE($A$7,($B19+I$2)&amp;""),tda),_xll.xlqAsk(CONCATENATE($A$7,($B19+I$2)&amp;""),tda)),0)</f>
        <v>7.1000000000000014</v>
      </c>
      <c r="J19" s="110"/>
      <c r="K19" s="76" t="e">
        <f t="shared" si="9"/>
        <v>#VALUE!</v>
      </c>
      <c r="L19" s="76">
        <f t="shared" si="1"/>
        <v>6.2999999999999972</v>
      </c>
      <c r="M19" s="76" t="e">
        <f t="shared" si="1"/>
        <v>#VALUE!</v>
      </c>
      <c r="N19" s="76">
        <f t="shared" si="1"/>
        <v>12.899999999999999</v>
      </c>
      <c r="O19" s="110"/>
      <c r="P19" s="110" t="e">
        <f t="shared" si="10"/>
        <v>#VALUE!</v>
      </c>
      <c r="Q19" s="110">
        <f t="shared" si="2"/>
        <v>1.7027027027027006</v>
      </c>
      <c r="R19" s="110" t="e">
        <f t="shared" si="2"/>
        <v>#VALUE!</v>
      </c>
      <c r="S19" s="110">
        <f t="shared" si="2"/>
        <v>1.8169014084507036</v>
      </c>
      <c r="T19" s="110"/>
      <c r="U19" s="76" t="e">
        <f t="shared" si="11"/>
        <v>#VALUE!</v>
      </c>
      <c r="V19" s="76">
        <f t="shared" si="3"/>
        <v>233.7</v>
      </c>
      <c r="W19" s="76" t="e">
        <f t="shared" si="3"/>
        <v>#VALUE!</v>
      </c>
      <c r="X19" s="76">
        <f t="shared" si="3"/>
        <v>237.1</v>
      </c>
      <c r="Y19" s="76"/>
      <c r="Z19" s="134" t="e">
        <f t="shared" ca="1" si="12"/>
        <v>#VALUE!</v>
      </c>
      <c r="AA19" s="134">
        <f t="shared" ca="1" si="12"/>
        <v>0.59388655529649315</v>
      </c>
      <c r="AB19" s="134" t="e">
        <f t="shared" ca="1" si="12"/>
        <v>#VALUE!</v>
      </c>
      <c r="AC19" s="134">
        <f t="shared" ca="1" si="12"/>
        <v>0.62511683011886432</v>
      </c>
      <c r="AD19" s="128"/>
      <c r="AE19" s="127">
        <f t="shared" si="13"/>
        <v>0.12553283203218535</v>
      </c>
      <c r="AF19" s="127">
        <f t="shared" si="13"/>
        <v>0.14948033909669989</v>
      </c>
      <c r="AG19" s="127">
        <f t="shared" si="13"/>
        <v>0.17342784616121443</v>
      </c>
      <c r="AH19" s="127">
        <f t="shared" si="13"/>
        <v>0.19737535322572919</v>
      </c>
      <c r="AI19" s="110"/>
      <c r="AJ19" s="125" t="e">
        <f t="shared" si="14"/>
        <v>#VALUE!</v>
      </c>
      <c r="AK19" s="125">
        <f t="shared" si="6"/>
        <v>270.27027027027009</v>
      </c>
      <c r="AL19" s="125" t="e">
        <f t="shared" si="6"/>
        <v>#VALUE!</v>
      </c>
      <c r="AM19" s="125">
        <f t="shared" si="6"/>
        <v>140.84507042253517</v>
      </c>
      <c r="AO19" s="63" t="e">
        <f t="shared" si="15"/>
        <v>#VALUE!</v>
      </c>
      <c r="AP19" s="63">
        <f t="shared" si="7"/>
        <v>1702.7027027027009</v>
      </c>
      <c r="AQ19" s="63" t="e">
        <f t="shared" si="7"/>
        <v>#VALUE!</v>
      </c>
      <c r="AR19" s="63">
        <f t="shared" si="7"/>
        <v>1816.9014084507035</v>
      </c>
    </row>
    <row r="20" spans="1:44" x14ac:dyDescent="0.25">
      <c r="A20" s="166">
        <f>_xll.xlqVolatility(A2,tda)</f>
        <v>1.9800000000000002E-2</v>
      </c>
      <c r="B20" s="107">
        <f t="shared" si="16"/>
        <v>235</v>
      </c>
      <c r="C20" s="23" t="e">
        <f t="shared" si="8"/>
        <v>#DIV/0!</v>
      </c>
      <c r="D20" s="130" t="str">
        <f>_xll.xlqBid(CONCATENATE($A$7,B20&amp;""),tda)</f>
        <v>#N/A</v>
      </c>
      <c r="E20" s="130" t="str">
        <f>_xll.xlqAsk(CONCATENATE($A$7,B20&amp;""),tda)</f>
        <v>#N/A</v>
      </c>
      <c r="F20" s="55" t="e">
        <f>MAX($C20-AVERAGE(_xll.xlqBid(CONCATENATE($A$7,($B20+F$2)&amp;""),tda),_xll.xlqAsk(CONCATENATE($A$7,($B20+F$2)&amp;""),tda)),0)</f>
        <v>#DIV/0!</v>
      </c>
      <c r="G20" s="55" t="e">
        <f>MAX($C20-AVERAGE(_xll.xlqBid(CONCATENATE($A$7,($B20+G$2)&amp;""),tda),_xll.xlqAsk(CONCATENATE($A$7,($B20+G$2)&amp;""),tda)),0)</f>
        <v>#DIV/0!</v>
      </c>
      <c r="H20" s="55" t="e">
        <f>MAX($C20-AVERAGE(_xll.xlqBid(CONCATENATE($A$7,($B20+H$2)&amp;""),tda),_xll.xlqAsk(CONCATENATE($A$7,($B20+H$2)&amp;""),tda)),0)</f>
        <v>#DIV/0!</v>
      </c>
      <c r="I20" s="55" t="e">
        <f>MAX($C20-AVERAGE(_xll.xlqBid(CONCATENATE($A$7,($B20+I$2)&amp;""),tda),_xll.xlqAsk(CONCATENATE($A$7,($B20+I$2)&amp;""),tda)),0)</f>
        <v>#DIV/0!</v>
      </c>
      <c r="J20" s="25"/>
      <c r="K20" s="63" t="e">
        <f t="shared" si="9"/>
        <v>#DIV/0!</v>
      </c>
      <c r="L20" s="63" t="e">
        <f t="shared" si="1"/>
        <v>#DIV/0!</v>
      </c>
      <c r="M20" s="63" t="e">
        <f t="shared" si="1"/>
        <v>#DIV/0!</v>
      </c>
      <c r="N20" s="63" t="e">
        <f t="shared" si="1"/>
        <v>#DIV/0!</v>
      </c>
      <c r="O20" s="25"/>
      <c r="P20" s="25" t="e">
        <f t="shared" si="10"/>
        <v>#DIV/0!</v>
      </c>
      <c r="Q20" s="25" t="e">
        <f t="shared" si="2"/>
        <v>#DIV/0!</v>
      </c>
      <c r="R20" s="25" t="e">
        <f t="shared" si="2"/>
        <v>#DIV/0!</v>
      </c>
      <c r="S20" s="25" t="e">
        <f t="shared" si="2"/>
        <v>#DIV/0!</v>
      </c>
      <c r="T20" s="25"/>
      <c r="U20" s="63" t="e">
        <f t="shared" si="11"/>
        <v>#DIV/0!</v>
      </c>
      <c r="V20" s="63" t="e">
        <f t="shared" si="3"/>
        <v>#DIV/0!</v>
      </c>
      <c r="W20" s="63" t="e">
        <f t="shared" si="3"/>
        <v>#DIV/0!</v>
      </c>
      <c r="X20" s="63" t="e">
        <f t="shared" si="3"/>
        <v>#DIV/0!</v>
      </c>
      <c r="Y20" s="63"/>
      <c r="Z20" s="133" t="e">
        <f t="shared" ca="1" si="12"/>
        <v>#DIV/0!</v>
      </c>
      <c r="AA20" s="133" t="e">
        <f t="shared" ca="1" si="12"/>
        <v>#DIV/0!</v>
      </c>
      <c r="AB20" s="133" t="e">
        <f t="shared" ca="1" si="12"/>
        <v>#DIV/0!</v>
      </c>
      <c r="AC20" s="133" t="e">
        <f t="shared" ca="1" si="12"/>
        <v>#DIV/0!</v>
      </c>
      <c r="AD20" s="127"/>
      <c r="AE20" s="127">
        <f t="shared" si="13"/>
        <v>0.14948033909669989</v>
      </c>
      <c r="AF20" s="127">
        <f t="shared" si="13"/>
        <v>0.17342784616121443</v>
      </c>
      <c r="AG20" s="127">
        <f t="shared" si="13"/>
        <v>0.19737535322572919</v>
      </c>
      <c r="AH20" s="127">
        <f t="shared" si="13"/>
        <v>0.22132286029024373</v>
      </c>
      <c r="AI20" s="25"/>
      <c r="AJ20" s="125" t="e">
        <f t="shared" si="14"/>
        <v>#DIV/0!</v>
      </c>
      <c r="AK20" s="125" t="e">
        <f t="shared" si="6"/>
        <v>#DIV/0!</v>
      </c>
      <c r="AL20" s="125" t="e">
        <f t="shared" si="6"/>
        <v>#DIV/0!</v>
      </c>
      <c r="AM20" s="125" t="e">
        <f t="shared" si="6"/>
        <v>#DIV/0!</v>
      </c>
      <c r="AO20" s="63" t="e">
        <f t="shared" si="15"/>
        <v>#DIV/0!</v>
      </c>
      <c r="AP20" s="63" t="e">
        <f t="shared" si="7"/>
        <v>#DIV/0!</v>
      </c>
      <c r="AQ20" s="63" t="e">
        <f t="shared" si="7"/>
        <v>#DIV/0!</v>
      </c>
      <c r="AR20" s="63" t="e">
        <f t="shared" si="7"/>
        <v>#DIV/0!</v>
      </c>
    </row>
    <row r="21" spans="1:44" x14ac:dyDescent="0.25">
      <c r="A21" s="102"/>
      <c r="B21" s="107">
        <f t="shared" si="16"/>
        <v>240</v>
      </c>
      <c r="C21" s="23">
        <f t="shared" si="8"/>
        <v>36</v>
      </c>
      <c r="D21" s="130">
        <f>_xll.xlqBid(CONCATENATE($A$7,B21&amp;""),tda)</f>
        <v>34</v>
      </c>
      <c r="E21" s="130">
        <f>_xll.xlqAsk(CONCATENATE($A$7,B21&amp;""),tda)</f>
        <v>38</v>
      </c>
      <c r="F21" s="55" t="e">
        <f>MAX($C21-AVERAGE(_xll.xlqBid(CONCATENATE($A$7,($B21+F$2)&amp;""),tda),_xll.xlqAsk(CONCATENATE($A$7,($B21+F$2)&amp;""),tda)),0)</f>
        <v>#VALUE!</v>
      </c>
      <c r="G21" s="55">
        <f>MAX($C21-AVERAGE(_xll.xlqBid(CONCATENATE($A$7,($B21+G$2)&amp;""),tda),_xll.xlqAsk(CONCATENATE($A$7,($B21+G$2)&amp;""),tda)),0)</f>
        <v>3.3999999999999986</v>
      </c>
      <c r="H21" s="55" t="e">
        <f>MAX($C21-AVERAGE(_xll.xlqBid(CONCATENATE($A$7,($B21+H$2)&amp;""),tda),_xll.xlqAsk(CONCATENATE($A$7,($B21+H$2)&amp;""),tda)),0)</f>
        <v>#VALUE!</v>
      </c>
      <c r="I21" s="55">
        <f>MAX($C21-AVERAGE(_xll.xlqBid(CONCATENATE($A$7,($B21+I$2)&amp;""),tda),_xll.xlqAsk(CONCATENATE($A$7,($B21+I$2)&amp;""),tda)),0)</f>
        <v>6.5</v>
      </c>
      <c r="J21" s="25"/>
      <c r="K21" s="63" t="e">
        <f t="shared" si="9"/>
        <v>#VALUE!</v>
      </c>
      <c r="L21" s="63">
        <f t="shared" si="1"/>
        <v>6.6000000000000014</v>
      </c>
      <c r="M21" s="63" t="e">
        <f t="shared" si="1"/>
        <v>#VALUE!</v>
      </c>
      <c r="N21" s="63">
        <f t="shared" si="1"/>
        <v>13.5</v>
      </c>
      <c r="O21" s="25"/>
      <c r="P21" s="25" t="e">
        <f t="shared" si="10"/>
        <v>#VALUE!</v>
      </c>
      <c r="Q21" s="25">
        <f t="shared" si="2"/>
        <v>1.9411764705882366</v>
      </c>
      <c r="R21" s="25" t="e">
        <f t="shared" si="2"/>
        <v>#VALUE!</v>
      </c>
      <c r="S21" s="25">
        <f t="shared" si="2"/>
        <v>2.0769230769230771</v>
      </c>
      <c r="T21" s="25"/>
      <c r="U21" s="63" t="e">
        <f t="shared" si="11"/>
        <v>#VALUE!</v>
      </c>
      <c r="V21" s="63">
        <f t="shared" si="3"/>
        <v>243.4</v>
      </c>
      <c r="W21" s="63" t="e">
        <f t="shared" si="3"/>
        <v>#VALUE!</v>
      </c>
      <c r="X21" s="63">
        <f t="shared" si="3"/>
        <v>246.5</v>
      </c>
      <c r="Y21" s="63"/>
      <c r="Z21" s="133" t="e">
        <f t="shared" ca="1" si="12"/>
        <v>#VALUE!</v>
      </c>
      <c r="AA21" s="133">
        <f t="shared" ca="1" si="12"/>
        <v>0.65834789007890193</v>
      </c>
      <c r="AB21" s="133" t="e">
        <f t="shared" ca="1" si="12"/>
        <v>#VALUE!</v>
      </c>
      <c r="AC21" s="133">
        <f t="shared" ca="1" si="12"/>
        <v>0.69380502799212573</v>
      </c>
      <c r="AD21" s="127"/>
      <c r="AE21" s="127">
        <f t="shared" si="13"/>
        <v>0.17342784616121443</v>
      </c>
      <c r="AF21" s="127">
        <f t="shared" si="13"/>
        <v>0.19737535322572919</v>
      </c>
      <c r="AG21" s="127">
        <f t="shared" si="13"/>
        <v>0.22132286029024373</v>
      </c>
      <c r="AH21" s="127">
        <f t="shared" si="13"/>
        <v>0.24527036735475827</v>
      </c>
      <c r="AI21" s="25"/>
      <c r="AJ21" s="125" t="e">
        <f t="shared" si="14"/>
        <v>#VALUE!</v>
      </c>
      <c r="AK21" s="125">
        <f t="shared" si="6"/>
        <v>294.11764705882365</v>
      </c>
      <c r="AL21" s="125" t="e">
        <f t="shared" si="6"/>
        <v>#VALUE!</v>
      </c>
      <c r="AM21" s="125">
        <f t="shared" si="6"/>
        <v>153.84615384615384</v>
      </c>
      <c r="AO21" s="63" t="e">
        <f t="shared" si="15"/>
        <v>#VALUE!</v>
      </c>
      <c r="AP21" s="63">
        <f t="shared" si="7"/>
        <v>1941.1764705882365</v>
      </c>
      <c r="AQ21" s="63" t="e">
        <f t="shared" si="7"/>
        <v>#VALUE!</v>
      </c>
      <c r="AR21" s="63">
        <f t="shared" si="7"/>
        <v>2076.9230769230767</v>
      </c>
    </row>
    <row r="22" spans="1:44" s="77" customFormat="1" x14ac:dyDescent="0.25">
      <c r="A22" s="115"/>
      <c r="B22" s="107">
        <f t="shared" si="16"/>
        <v>245</v>
      </c>
      <c r="C22" s="108" t="e">
        <f t="shared" si="8"/>
        <v>#DIV/0!</v>
      </c>
      <c r="D22" s="131" t="str">
        <f>_xll.xlqBid(CONCATENATE($A$7,B22&amp;""),tda)</f>
        <v>#N/A</v>
      </c>
      <c r="E22" s="131" t="str">
        <f>_xll.xlqAsk(CONCATENATE($A$7,B22&amp;""),tda)</f>
        <v>#N/A</v>
      </c>
      <c r="F22" s="109" t="e">
        <f>MAX($C22-AVERAGE(_xll.xlqBid(CONCATENATE($A$7,($B22+F$2)&amp;""),tda),_xll.xlqAsk(CONCATENATE($A$7,($B22+F$2)&amp;""),tda)),0)</f>
        <v>#DIV/0!</v>
      </c>
      <c r="G22" s="109" t="e">
        <f>MAX($C22-AVERAGE(_xll.xlqBid(CONCATENATE($A$7,($B22+G$2)&amp;""),tda),_xll.xlqAsk(CONCATENATE($A$7,($B22+G$2)&amp;""),tda)),0)</f>
        <v>#DIV/0!</v>
      </c>
      <c r="H22" s="109" t="e">
        <f>MAX($C22-AVERAGE(_xll.xlqBid(CONCATENATE($A$7,($B22+H$2)&amp;""),tda),_xll.xlqAsk(CONCATENATE($A$7,($B22+H$2)&amp;""),tda)),0)</f>
        <v>#DIV/0!</v>
      </c>
      <c r="I22" s="109" t="e">
        <f>MAX($C22-AVERAGE(_xll.xlqBid(CONCATENATE($A$7,($B22+I$2)&amp;""),tda),_xll.xlqAsk(CONCATENATE($A$7,($B22+I$2)&amp;""),tda)),0)</f>
        <v>#DIV/0!</v>
      </c>
      <c r="J22" s="110"/>
      <c r="K22" s="76" t="e">
        <f t="shared" si="9"/>
        <v>#DIV/0!</v>
      </c>
      <c r="L22" s="76" t="e">
        <f t="shared" si="1"/>
        <v>#DIV/0!</v>
      </c>
      <c r="M22" s="76" t="e">
        <f t="shared" si="1"/>
        <v>#DIV/0!</v>
      </c>
      <c r="N22" s="76" t="e">
        <f t="shared" si="1"/>
        <v>#DIV/0!</v>
      </c>
      <c r="O22" s="110"/>
      <c r="P22" s="110" t="e">
        <f t="shared" si="10"/>
        <v>#DIV/0!</v>
      </c>
      <c r="Q22" s="110" t="e">
        <f t="shared" si="2"/>
        <v>#DIV/0!</v>
      </c>
      <c r="R22" s="110" t="e">
        <f t="shared" si="2"/>
        <v>#DIV/0!</v>
      </c>
      <c r="S22" s="110" t="e">
        <f t="shared" si="2"/>
        <v>#DIV/0!</v>
      </c>
      <c r="T22" s="110"/>
      <c r="U22" s="76" t="e">
        <f t="shared" si="11"/>
        <v>#DIV/0!</v>
      </c>
      <c r="V22" s="76" t="e">
        <f t="shared" si="3"/>
        <v>#DIV/0!</v>
      </c>
      <c r="W22" s="76" t="e">
        <f t="shared" si="3"/>
        <v>#DIV/0!</v>
      </c>
      <c r="X22" s="76" t="e">
        <f t="shared" si="3"/>
        <v>#DIV/0!</v>
      </c>
      <c r="Y22" s="76"/>
      <c r="Z22" s="134" t="e">
        <f t="shared" ca="1" si="12"/>
        <v>#DIV/0!</v>
      </c>
      <c r="AA22" s="134" t="e">
        <f t="shared" ca="1" si="12"/>
        <v>#DIV/0!</v>
      </c>
      <c r="AB22" s="134" t="e">
        <f t="shared" ca="1" si="12"/>
        <v>#DIV/0!</v>
      </c>
      <c r="AC22" s="134" t="e">
        <f t="shared" ca="1" si="12"/>
        <v>#DIV/0!</v>
      </c>
      <c r="AD22" s="128"/>
      <c r="AE22" s="127">
        <f t="shared" si="13"/>
        <v>0.19737535322572919</v>
      </c>
      <c r="AF22" s="127">
        <f t="shared" si="13"/>
        <v>0.22132286029024373</v>
      </c>
      <c r="AG22" s="127">
        <f t="shared" si="13"/>
        <v>0.24527036735475827</v>
      </c>
      <c r="AH22" s="127">
        <f t="shared" si="13"/>
        <v>0.26921787441927281</v>
      </c>
      <c r="AI22" s="110"/>
      <c r="AJ22" s="125" t="e">
        <f t="shared" si="14"/>
        <v>#DIV/0!</v>
      </c>
      <c r="AK22" s="125" t="e">
        <f t="shared" si="6"/>
        <v>#DIV/0!</v>
      </c>
      <c r="AL22" s="125" t="e">
        <f t="shared" si="6"/>
        <v>#DIV/0!</v>
      </c>
      <c r="AM22" s="125" t="e">
        <f t="shared" si="6"/>
        <v>#DIV/0!</v>
      </c>
      <c r="AO22" s="63" t="e">
        <f t="shared" si="15"/>
        <v>#DIV/0!</v>
      </c>
      <c r="AP22" s="63" t="e">
        <f t="shared" si="7"/>
        <v>#DIV/0!</v>
      </c>
      <c r="AQ22" s="63" t="e">
        <f t="shared" si="7"/>
        <v>#DIV/0!</v>
      </c>
      <c r="AR22" s="63" t="e">
        <f t="shared" si="7"/>
        <v>#DIV/0!</v>
      </c>
    </row>
    <row r="23" spans="1:44" x14ac:dyDescent="0.25">
      <c r="A23" s="113"/>
      <c r="B23" s="107">
        <f t="shared" si="16"/>
        <v>250</v>
      </c>
      <c r="C23" s="23">
        <f t="shared" si="8"/>
        <v>32.6</v>
      </c>
      <c r="D23" s="130">
        <f>_xll.xlqBid(CONCATENATE($A$7,B23&amp;""),tda)</f>
        <v>30.6</v>
      </c>
      <c r="E23" s="130">
        <f>_xll.xlqAsk(CONCATENATE($A$7,B23&amp;""),tda)</f>
        <v>34.6</v>
      </c>
      <c r="F23" s="55" t="e">
        <f>MAX($C23-AVERAGE(_xll.xlqBid(CONCATENATE($A$7,($B23+F$2)&amp;""),tda),_xll.xlqAsk(CONCATENATE($A$7,($B23+F$2)&amp;""),tda)),0)</f>
        <v>#VALUE!</v>
      </c>
      <c r="G23" s="55">
        <f>MAX($C23-AVERAGE(_xll.xlqBid(CONCATENATE($A$7,($B23+G$2)&amp;""),tda),_xll.xlqAsk(CONCATENATE($A$7,($B23+G$2)&amp;""),tda)),0)</f>
        <v>3.1000000000000014</v>
      </c>
      <c r="H23" s="55" t="e">
        <f>MAX($C23-AVERAGE(_xll.xlqBid(CONCATENATE($A$7,($B23+H$2)&amp;""),tda),_xll.xlqAsk(CONCATENATE($A$7,($B23+H$2)&amp;""),tda)),0)</f>
        <v>#VALUE!</v>
      </c>
      <c r="I23" s="55">
        <f>MAX($C23-AVERAGE(_xll.xlqBid(CONCATENATE($A$7,($B23+I$2)&amp;""),tda),_xll.xlqAsk(CONCATENATE($A$7,($B23+I$2)&amp;""),tda)),0)</f>
        <v>5.4750000000000014</v>
      </c>
      <c r="J23" s="25"/>
      <c r="K23" s="63" t="e">
        <f t="shared" si="9"/>
        <v>#VALUE!</v>
      </c>
      <c r="L23" s="63">
        <f t="shared" si="1"/>
        <v>6.8999999999999986</v>
      </c>
      <c r="M23" s="63" t="e">
        <f t="shared" si="1"/>
        <v>#VALUE!</v>
      </c>
      <c r="N23" s="63">
        <f t="shared" si="1"/>
        <v>14.524999999999999</v>
      </c>
      <c r="O23" s="25"/>
      <c r="P23" s="25" t="e">
        <f t="shared" si="10"/>
        <v>#VALUE!</v>
      </c>
      <c r="Q23" s="25">
        <f t="shared" si="2"/>
        <v>2.2258064516129017</v>
      </c>
      <c r="R23" s="25" t="e">
        <f t="shared" si="2"/>
        <v>#VALUE!</v>
      </c>
      <c r="S23" s="25">
        <f t="shared" si="2"/>
        <v>2.6529680365296793</v>
      </c>
      <c r="T23" s="25"/>
      <c r="U23" s="63" t="e">
        <f t="shared" si="11"/>
        <v>#VALUE!</v>
      </c>
      <c r="V23" s="63">
        <f t="shared" si="3"/>
        <v>253.1</v>
      </c>
      <c r="W23" s="63" t="e">
        <f t="shared" si="3"/>
        <v>#VALUE!</v>
      </c>
      <c r="X23" s="63">
        <f t="shared" si="3"/>
        <v>255.47499999999999</v>
      </c>
      <c r="Y23" s="63"/>
      <c r="Z23" s="133" t="e">
        <f t="shared" ca="1" si="12"/>
        <v>#VALUE!</v>
      </c>
      <c r="AA23" s="133">
        <f t="shared" ca="1" si="12"/>
        <v>0.73175088760284512</v>
      </c>
      <c r="AB23" s="133" t="e">
        <f t="shared" ca="1" si="12"/>
        <v>#VALUE!</v>
      </c>
      <c r="AC23" s="133">
        <f t="shared" ca="1" si="12"/>
        <v>0.83572644835028509</v>
      </c>
      <c r="AD23" s="127"/>
      <c r="AE23" s="127">
        <f t="shared" si="13"/>
        <v>0.22132286029024373</v>
      </c>
      <c r="AF23" s="127">
        <f t="shared" si="13"/>
        <v>0.24527036735475827</v>
      </c>
      <c r="AG23" s="127">
        <f t="shared" si="13"/>
        <v>0.26921787441927281</v>
      </c>
      <c r="AH23" s="127">
        <f t="shared" si="13"/>
        <v>0.29316538148378735</v>
      </c>
      <c r="AI23" s="25"/>
      <c r="AJ23" s="125" t="e">
        <f t="shared" si="14"/>
        <v>#VALUE!</v>
      </c>
      <c r="AK23" s="125">
        <f t="shared" si="6"/>
        <v>322.58064516129019</v>
      </c>
      <c r="AL23" s="125" t="e">
        <f t="shared" si="6"/>
        <v>#VALUE!</v>
      </c>
      <c r="AM23" s="125">
        <f t="shared" si="6"/>
        <v>182.64840182648396</v>
      </c>
      <c r="AO23" s="63" t="e">
        <f t="shared" si="15"/>
        <v>#VALUE!</v>
      </c>
      <c r="AP23" s="63">
        <f t="shared" si="7"/>
        <v>2225.806451612902</v>
      </c>
      <c r="AQ23" s="63" t="e">
        <f t="shared" si="7"/>
        <v>#VALUE!</v>
      </c>
      <c r="AR23" s="63">
        <f t="shared" si="7"/>
        <v>2652.9680365296795</v>
      </c>
    </row>
    <row r="24" spans="1:44" x14ac:dyDescent="0.25">
      <c r="AJ24" s="126"/>
      <c r="AK24" s="126"/>
      <c r="AL24" s="126"/>
      <c r="AM24" s="126"/>
    </row>
    <row r="25" spans="1:44" x14ac:dyDescent="0.25">
      <c r="A25" s="176"/>
      <c r="B25" s="13"/>
      <c r="C25" s="13"/>
      <c r="D25" s="117"/>
      <c r="E25" s="117"/>
      <c r="F25" s="262" t="s">
        <v>100</v>
      </c>
      <c r="G25" s="262"/>
      <c r="H25" s="262"/>
      <c r="I25" s="262"/>
      <c r="J25" s="13"/>
      <c r="K25" s="262" t="s">
        <v>99</v>
      </c>
      <c r="L25" s="262"/>
      <c r="M25" s="262"/>
      <c r="N25" s="262"/>
      <c r="O25" s="13"/>
      <c r="P25" s="262" t="s">
        <v>98</v>
      </c>
      <c r="Q25" s="262"/>
      <c r="R25" s="262"/>
      <c r="S25" s="262"/>
      <c r="T25" s="13"/>
      <c r="U25" s="262" t="s">
        <v>97</v>
      </c>
      <c r="V25" s="262"/>
      <c r="W25" s="262"/>
      <c r="X25" s="262"/>
      <c r="Y25" s="176"/>
      <c r="Z25" s="263" t="s">
        <v>107</v>
      </c>
      <c r="AA25" s="262"/>
      <c r="AB25" s="262"/>
      <c r="AC25" s="262"/>
      <c r="AD25" s="176"/>
      <c r="AE25" s="176"/>
      <c r="AF25" s="176"/>
      <c r="AG25" s="176"/>
      <c r="AH25" s="176"/>
      <c r="AJ25" s="262" t="s">
        <v>104</v>
      </c>
      <c r="AK25" s="262"/>
      <c r="AL25" s="262"/>
      <c r="AM25" s="262"/>
      <c r="AN25" s="13"/>
      <c r="AO25" s="262" t="s">
        <v>105</v>
      </c>
      <c r="AP25" s="262"/>
      <c r="AQ25" s="262"/>
      <c r="AR25" s="262"/>
    </row>
    <row r="26" spans="1:44" x14ac:dyDescent="0.25">
      <c r="A26" s="99" t="str">
        <f>A2</f>
        <v>NVDA</v>
      </c>
      <c r="B26" s="13" t="s">
        <v>95</v>
      </c>
      <c r="C26" s="20" t="s">
        <v>96</v>
      </c>
      <c r="D26" s="129" t="s">
        <v>64</v>
      </c>
      <c r="E26" s="129" t="s">
        <v>65</v>
      </c>
      <c r="F26" s="21">
        <v>5</v>
      </c>
      <c r="G26" s="21">
        <v>10</v>
      </c>
      <c r="H26" s="21">
        <v>15</v>
      </c>
      <c r="I26" s="21">
        <v>20</v>
      </c>
      <c r="J26" s="21"/>
      <c r="K26" s="21">
        <f>F26</f>
        <v>5</v>
      </c>
      <c r="L26" s="21">
        <f t="shared" ref="L26:X26" si="17">G26</f>
        <v>10</v>
      </c>
      <c r="M26" s="21">
        <f t="shared" si="17"/>
        <v>15</v>
      </c>
      <c r="N26" s="21">
        <f t="shared" si="17"/>
        <v>20</v>
      </c>
      <c r="O26" s="21"/>
      <c r="P26" s="21">
        <f t="shared" si="17"/>
        <v>5</v>
      </c>
      <c r="Q26" s="21">
        <f t="shared" si="17"/>
        <v>10</v>
      </c>
      <c r="R26" s="21">
        <f t="shared" si="17"/>
        <v>15</v>
      </c>
      <c r="S26" s="21">
        <f t="shared" si="17"/>
        <v>20</v>
      </c>
      <c r="T26" s="21"/>
      <c r="U26" s="21">
        <f t="shared" si="17"/>
        <v>5</v>
      </c>
      <c r="V26" s="21">
        <f t="shared" si="17"/>
        <v>10</v>
      </c>
      <c r="W26" s="21">
        <f t="shared" si="17"/>
        <v>15</v>
      </c>
      <c r="X26" s="21">
        <f t="shared" si="17"/>
        <v>20</v>
      </c>
      <c r="Y26" s="21"/>
      <c r="Z26" s="132">
        <f>U26</f>
        <v>5</v>
      </c>
      <c r="AA26" s="132">
        <f>V26</f>
        <v>10</v>
      </c>
      <c r="AB26" s="132">
        <f>W26</f>
        <v>15</v>
      </c>
      <c r="AC26" s="132">
        <f>X26</f>
        <v>20</v>
      </c>
      <c r="AD26" s="132"/>
      <c r="AE26" s="132">
        <f>Z26</f>
        <v>5</v>
      </c>
      <c r="AF26" s="132">
        <f>AA26</f>
        <v>10</v>
      </c>
      <c r="AG26" s="132">
        <f>AB26</f>
        <v>15</v>
      </c>
      <c r="AH26" s="132">
        <f>AC26</f>
        <v>20</v>
      </c>
      <c r="AJ26" s="21">
        <f>U26</f>
        <v>5</v>
      </c>
      <c r="AK26" s="21">
        <f>V26</f>
        <v>10</v>
      </c>
      <c r="AL26" s="21">
        <f>W26</f>
        <v>15</v>
      </c>
      <c r="AM26" s="21">
        <f>X26</f>
        <v>20</v>
      </c>
      <c r="AO26" s="21">
        <f>AJ26</f>
        <v>5</v>
      </c>
      <c r="AP26" s="21">
        <f>AK26</f>
        <v>10</v>
      </c>
      <c r="AQ26" s="21">
        <f>AL26</f>
        <v>15</v>
      </c>
      <c r="AR26" s="21">
        <f>AM26</f>
        <v>20</v>
      </c>
    </row>
    <row r="27" spans="1:44" x14ac:dyDescent="0.25">
      <c r="A27" s="100">
        <f>_xll.xlqPrice(A26,"TDA")</f>
        <v>208.79000000000002</v>
      </c>
      <c r="B27" s="21">
        <f>B3</f>
        <v>150</v>
      </c>
      <c r="C27" s="23">
        <f>AVERAGE(D27,E27)</f>
        <v>75.599999999999994</v>
      </c>
      <c r="D27" s="130">
        <f>_xll.xlqBid(CONCATENATE($A$31,B27&amp;""),tda)</f>
        <v>73.650000000000006</v>
      </c>
      <c r="E27" s="130">
        <f>_xll.xlqAsk(CONCATENATE($A$31,B27&amp;""),tda)</f>
        <v>77.55</v>
      </c>
      <c r="F27" s="55">
        <f>MAX($C27-AVERAGE(_xll.xlqBid(CONCATENATE($A$31,($B27+F$26)&amp;""),tda),_xll.xlqAsk(CONCATENATE($A$31,($B27+F$26)&amp;""),tda)),0)</f>
        <v>3.4249999999999829</v>
      </c>
      <c r="G27" s="55">
        <f>MAX($C27-AVERAGE(_xll.xlqBid(CONCATENATE($A$31,($B27+G$26)&amp;""),tda),_xll.xlqAsk(CONCATENATE($A$31,($B27+G$26)&amp;""),tda)),0)</f>
        <v>6.75</v>
      </c>
      <c r="H27" s="55">
        <f>MAX($C27-AVERAGE(_xll.xlqBid(CONCATENATE($A$31,($B27+H$26)&amp;""),tda),_xll.xlqAsk(CONCATENATE($A$31,($B27+H$26)&amp;""),tda)),0)</f>
        <v>10</v>
      </c>
      <c r="I27" s="55">
        <f>MAX($C27-AVERAGE(_xll.xlqBid(CONCATENATE($A$31,($B27+I$26)&amp;""),tda),_xll.xlqAsk(CONCATENATE($A$31,($B27+I$26)&amp;""),tda)),0)</f>
        <v>13.149999999999991</v>
      </c>
      <c r="J27" s="25"/>
      <c r="K27" s="63">
        <f t="shared" ref="K27:N47" si="18">K$26-F27</f>
        <v>1.5750000000000171</v>
      </c>
      <c r="L27" s="63">
        <f t="shared" si="18"/>
        <v>3.25</v>
      </c>
      <c r="M27" s="63">
        <f t="shared" si="18"/>
        <v>5</v>
      </c>
      <c r="N27" s="63">
        <f t="shared" si="18"/>
        <v>6.8500000000000085</v>
      </c>
      <c r="O27" s="25"/>
      <c r="P27" s="25">
        <f>K27/F27</f>
        <v>0.45985401459854741</v>
      </c>
      <c r="Q27" s="25">
        <f t="shared" ref="Q27:S47" si="19">L27/G27</f>
        <v>0.48148148148148145</v>
      </c>
      <c r="R27" s="25">
        <f t="shared" si="19"/>
        <v>0.5</v>
      </c>
      <c r="S27" s="25">
        <f t="shared" si="19"/>
        <v>0.52091254752851812</v>
      </c>
      <c r="T27" s="25"/>
      <c r="U27" s="63">
        <f t="shared" ref="U27:X47" si="20">$B27+F27</f>
        <v>153.42499999999998</v>
      </c>
      <c r="V27" s="63">
        <f t="shared" si="20"/>
        <v>156.75</v>
      </c>
      <c r="W27" s="63">
        <f t="shared" si="20"/>
        <v>160</v>
      </c>
      <c r="X27" s="63">
        <f t="shared" si="20"/>
        <v>163.14999999999998</v>
      </c>
      <c r="Y27" s="63"/>
      <c r="Z27" s="133">
        <f ca="1">(1+P27)^(365.25/$A$34)-1</f>
        <v>0.27875254261603621</v>
      </c>
      <c r="AA27" s="133">
        <f t="shared" ref="AA27:AC42" ca="1" si="21">(1+Q27)^(365.25/$A$34)-1</f>
        <v>0.29103305286970205</v>
      </c>
      <c r="AB27" s="133">
        <f t="shared" ca="1" si="21"/>
        <v>0.30149844003556714</v>
      </c>
      <c r="AC27" s="133">
        <f t="shared" ca="1" si="21"/>
        <v>0.31326253982021779</v>
      </c>
      <c r="AD27" s="2"/>
      <c r="AE27" s="127">
        <f>($B27+AE$2)/$A$3-1</f>
        <v>-0.25762728100004795</v>
      </c>
      <c r="AF27" s="127">
        <f t="shared" ref="AF27:AH42" si="22">($B27+AF$2)/$A$3-1</f>
        <v>-0.23367977393553341</v>
      </c>
      <c r="AG27" s="127">
        <f t="shared" si="22"/>
        <v>-0.20973226687101876</v>
      </c>
      <c r="AH27" s="127">
        <f t="shared" si="22"/>
        <v>-0.18578475980650422</v>
      </c>
      <c r="AJ27" s="125">
        <f>$A$17/F27</f>
        <v>291.97080291970946</v>
      </c>
      <c r="AK27" s="125">
        <f t="shared" ref="AK27:AM47" si="23">$A$17/G27</f>
        <v>148.14814814814815</v>
      </c>
      <c r="AL27" s="125">
        <f t="shared" si="23"/>
        <v>100</v>
      </c>
      <c r="AM27" s="125">
        <f t="shared" si="23"/>
        <v>76.045627376425898</v>
      </c>
      <c r="AO27" s="63">
        <f>AJ27*K27</f>
        <v>459.85401459854739</v>
      </c>
      <c r="AP27" s="63">
        <f t="shared" ref="AP27:AR47" si="24">AK27*L27</f>
        <v>481.48148148148152</v>
      </c>
      <c r="AQ27" s="63">
        <f t="shared" si="24"/>
        <v>500</v>
      </c>
      <c r="AR27" s="63">
        <f t="shared" si="24"/>
        <v>520.91254752851808</v>
      </c>
    </row>
    <row r="28" spans="1:44" s="77" customFormat="1" x14ac:dyDescent="0.25">
      <c r="A28" s="111"/>
      <c r="B28" s="107">
        <f>B27+5</f>
        <v>155</v>
      </c>
      <c r="C28" s="108">
        <f t="shared" ref="C28:C47" si="25">AVERAGE(D28,E28)</f>
        <v>72.175000000000011</v>
      </c>
      <c r="D28" s="131">
        <f>_xll.xlqBid(CONCATENATE($A$31,B28&amp;""),tda)</f>
        <v>70.2</v>
      </c>
      <c r="E28" s="131">
        <f>_xll.xlqAsk(CONCATENATE($A$31,B28&amp;""),tda)</f>
        <v>74.150000000000006</v>
      </c>
      <c r="F28" s="109">
        <f>MAX($C28-AVERAGE(_xll.xlqBid(CONCATENATE($A$31,($B28+F$26)&amp;""),tda),_xll.xlqAsk(CONCATENATE($A$31,($B28+F$26)&amp;""),tda)),0)</f>
        <v>3.3250000000000171</v>
      </c>
      <c r="G28" s="109">
        <f>MAX($C28-AVERAGE(_xll.xlqBid(CONCATENATE($A$31,($B28+G$26)&amp;""),tda),_xll.xlqAsk(CONCATENATE($A$31,($B28+G$26)&amp;""),tda)),0)</f>
        <v>6.5750000000000171</v>
      </c>
      <c r="H28" s="109">
        <f>MAX($C28-AVERAGE(_xll.xlqBid(CONCATENATE($A$31,($B28+H$26)&amp;""),tda),_xll.xlqAsk(CONCATENATE($A$31,($B28+H$26)&amp;""),tda)),0)</f>
        <v>9.7250000000000085</v>
      </c>
      <c r="I28" s="109">
        <f>MAX($C28-AVERAGE(_xll.xlqBid(CONCATENATE($A$31,($B28+I$26)&amp;""),tda),_xll.xlqAsk(CONCATENATE($A$31,($B28+I$26)&amp;""),tda)),0)</f>
        <v>12.775000000000006</v>
      </c>
      <c r="J28" s="110"/>
      <c r="K28" s="76">
        <f t="shared" si="18"/>
        <v>1.6749999999999829</v>
      </c>
      <c r="L28" s="76">
        <f t="shared" si="18"/>
        <v>3.4249999999999829</v>
      </c>
      <c r="M28" s="76">
        <f t="shared" si="18"/>
        <v>5.2749999999999915</v>
      </c>
      <c r="N28" s="76">
        <f t="shared" si="18"/>
        <v>7.2249999999999943</v>
      </c>
      <c r="O28" s="110"/>
      <c r="P28" s="110">
        <f t="shared" ref="P28:P47" si="26">K28/F28</f>
        <v>0.50375939849623286</v>
      </c>
      <c r="Q28" s="110">
        <f t="shared" si="19"/>
        <v>0.52091254752851313</v>
      </c>
      <c r="R28" s="110">
        <f t="shared" si="19"/>
        <v>0.54241645244215808</v>
      </c>
      <c r="S28" s="110">
        <f t="shared" si="19"/>
        <v>0.56555772994129094</v>
      </c>
      <c r="T28" s="110"/>
      <c r="U28" s="76">
        <f t="shared" si="20"/>
        <v>158.32500000000002</v>
      </c>
      <c r="V28" s="76">
        <f t="shared" si="20"/>
        <v>161.57500000000002</v>
      </c>
      <c r="W28" s="76">
        <f t="shared" si="20"/>
        <v>164.72500000000002</v>
      </c>
      <c r="X28" s="76">
        <f t="shared" si="20"/>
        <v>167.77500000000001</v>
      </c>
      <c r="Y28" s="76"/>
      <c r="Z28" s="133">
        <f t="shared" ref="Z28:AC47" ca="1" si="27">(1+P28)^(365.25/$A$34)-1</f>
        <v>0.30361745639530269</v>
      </c>
      <c r="AA28" s="133">
        <f t="shared" ca="1" si="21"/>
        <v>0.31326253982021512</v>
      </c>
      <c r="AB28" s="133">
        <f t="shared" ca="1" si="21"/>
        <v>0.32530039670982647</v>
      </c>
      <c r="AC28" s="133">
        <f t="shared" ca="1" si="21"/>
        <v>0.33818940523344643</v>
      </c>
      <c r="AD28" s="2"/>
      <c r="AE28" s="127">
        <f t="shared" ref="AE28:AH47" si="28">($B28+AE$2)/$A$3-1</f>
        <v>-0.23367977393553341</v>
      </c>
      <c r="AF28" s="127">
        <f t="shared" si="22"/>
        <v>-0.20973226687101876</v>
      </c>
      <c r="AG28" s="127">
        <f t="shared" si="22"/>
        <v>-0.18578475980650422</v>
      </c>
      <c r="AH28" s="127">
        <f t="shared" si="22"/>
        <v>-0.16183725274198968</v>
      </c>
      <c r="AJ28" s="125">
        <f t="shared" ref="AJ28:AJ47" si="29">$A$17/F28</f>
        <v>300.75187969924656</v>
      </c>
      <c r="AK28" s="125">
        <f t="shared" si="23"/>
        <v>152.09125475285131</v>
      </c>
      <c r="AL28" s="125">
        <f t="shared" si="23"/>
        <v>102.82776349614387</v>
      </c>
      <c r="AM28" s="125">
        <f t="shared" si="23"/>
        <v>78.277886497064543</v>
      </c>
      <c r="AO28" s="63">
        <f t="shared" ref="AO28:AO47" si="30">AJ28*K28</f>
        <v>503.75939849623285</v>
      </c>
      <c r="AP28" s="63">
        <f t="shared" si="24"/>
        <v>520.91254752851319</v>
      </c>
      <c r="AQ28" s="63">
        <f t="shared" si="24"/>
        <v>542.41645244215806</v>
      </c>
      <c r="AR28" s="63">
        <f t="shared" si="24"/>
        <v>565.55772994129086</v>
      </c>
    </row>
    <row r="29" spans="1:44" x14ac:dyDescent="0.25">
      <c r="A29" s="235">
        <v>44365</v>
      </c>
      <c r="B29" s="107">
        <f t="shared" ref="B29:B47" si="31">B28+5</f>
        <v>160</v>
      </c>
      <c r="C29" s="23">
        <f t="shared" si="25"/>
        <v>68.849999999999994</v>
      </c>
      <c r="D29" s="130">
        <f>_xll.xlqBid(CONCATENATE($A$31,B29&amp;""),tda)</f>
        <v>66.900000000000006</v>
      </c>
      <c r="E29" s="130">
        <f>_xll.xlqAsk(CONCATENATE($A$31,B29&amp;""),tda)</f>
        <v>70.8</v>
      </c>
      <c r="F29" s="55">
        <f>MAX($C29-AVERAGE(_xll.xlqBid(CONCATENATE($A$31,($B29+F$26)&amp;""),tda),_xll.xlqAsk(CONCATENATE($A$31,($B29+F$26)&amp;""),tda)),0)</f>
        <v>3.25</v>
      </c>
      <c r="G29" s="55">
        <f>MAX($C29-AVERAGE(_xll.xlqBid(CONCATENATE($A$31,($B29+G$26)&amp;""),tda),_xll.xlqAsk(CONCATENATE($A$31,($B29+G$26)&amp;""),tda)),0)</f>
        <v>6.3999999999999915</v>
      </c>
      <c r="H29" s="55">
        <f>MAX($C29-AVERAGE(_xll.xlqBid(CONCATENATE($A$31,($B29+H$26)&amp;""),tda),_xll.xlqAsk(CONCATENATE($A$31,($B29+H$26)&amp;""),tda)),0)</f>
        <v>9.4499999999999886</v>
      </c>
      <c r="I29" s="55">
        <f>MAX($C29-AVERAGE(_xll.xlqBid(CONCATENATE($A$31,($B29+I$26)&amp;""),tda),_xll.xlqAsk(CONCATENATE($A$31,($B29+I$26)&amp;""),tda)),0)</f>
        <v>12.374999999999986</v>
      </c>
      <c r="J29" s="25"/>
      <c r="K29" s="63">
        <f t="shared" si="18"/>
        <v>1.75</v>
      </c>
      <c r="L29" s="63">
        <f t="shared" si="18"/>
        <v>3.6000000000000085</v>
      </c>
      <c r="M29" s="63">
        <f t="shared" si="18"/>
        <v>5.5500000000000114</v>
      </c>
      <c r="N29" s="63">
        <f t="shared" si="18"/>
        <v>7.6250000000000142</v>
      </c>
      <c r="O29" s="25"/>
      <c r="P29" s="25">
        <f t="shared" si="26"/>
        <v>0.53846153846153844</v>
      </c>
      <c r="Q29" s="25">
        <f t="shared" si="19"/>
        <v>0.56250000000000211</v>
      </c>
      <c r="R29" s="25">
        <f t="shared" si="19"/>
        <v>0.58730158730158921</v>
      </c>
      <c r="S29" s="25">
        <f t="shared" si="19"/>
        <v>0.61616161616161802</v>
      </c>
      <c r="T29" s="25"/>
      <c r="U29" s="63">
        <f t="shared" si="20"/>
        <v>163.25</v>
      </c>
      <c r="V29" s="63">
        <f t="shared" si="20"/>
        <v>166.39999999999998</v>
      </c>
      <c r="W29" s="63">
        <f t="shared" si="20"/>
        <v>169.45</v>
      </c>
      <c r="X29" s="63">
        <f t="shared" si="20"/>
        <v>172.375</v>
      </c>
      <c r="Y29" s="63"/>
      <c r="Z29" s="133">
        <f t="shared" ca="1" si="27"/>
        <v>0.32309087264154979</v>
      </c>
      <c r="AA29" s="133">
        <f t="shared" ca="1" si="21"/>
        <v>0.33649018324761659</v>
      </c>
      <c r="AB29" s="133">
        <f t="shared" ca="1" si="21"/>
        <v>0.35023944363727266</v>
      </c>
      <c r="AC29" s="133">
        <f t="shared" ca="1" si="21"/>
        <v>0.36614426642228248</v>
      </c>
      <c r="AD29" s="2"/>
      <c r="AE29" s="127">
        <f t="shared" si="28"/>
        <v>-0.20973226687101876</v>
      </c>
      <c r="AF29" s="127">
        <f t="shared" si="22"/>
        <v>-0.18578475980650422</v>
      </c>
      <c r="AG29" s="127">
        <f t="shared" si="22"/>
        <v>-0.16183725274198968</v>
      </c>
      <c r="AH29" s="127">
        <f t="shared" si="22"/>
        <v>-0.13788974567747503</v>
      </c>
      <c r="AJ29" s="125">
        <f t="shared" si="29"/>
        <v>307.69230769230768</v>
      </c>
      <c r="AK29" s="125">
        <f t="shared" si="23"/>
        <v>156.2500000000002</v>
      </c>
      <c r="AL29" s="125">
        <f t="shared" si="23"/>
        <v>105.82010582010595</v>
      </c>
      <c r="AM29" s="125">
        <f t="shared" si="23"/>
        <v>80.808080808080902</v>
      </c>
      <c r="AO29" s="63">
        <f t="shared" si="30"/>
        <v>538.46153846153845</v>
      </c>
      <c r="AP29" s="63">
        <f t="shared" si="24"/>
        <v>562.50000000000205</v>
      </c>
      <c r="AQ29" s="63">
        <f t="shared" si="24"/>
        <v>587.30158730158928</v>
      </c>
      <c r="AR29" s="63">
        <f t="shared" si="24"/>
        <v>616.16161616161799</v>
      </c>
    </row>
    <row r="30" spans="1:44" x14ac:dyDescent="0.25">
      <c r="A30" s="101" t="str">
        <f>CONCATENATE(TEXT(MONTH(A29),"00"),TEXT(DAY(A29),"00"),TEXT(MOD(YEAR(A29),100),"00"))</f>
        <v>061821</v>
      </c>
      <c r="B30" s="107">
        <f t="shared" si="31"/>
        <v>165</v>
      </c>
      <c r="C30" s="23">
        <f t="shared" si="25"/>
        <v>65.599999999999994</v>
      </c>
      <c r="D30" s="130">
        <f>_xll.xlqBid(CONCATENATE($A$31,B30&amp;""),tda)</f>
        <v>63.650000000000006</v>
      </c>
      <c r="E30" s="130">
        <f>_xll.xlqAsk(CONCATENATE($A$31,B30&amp;""),tda)</f>
        <v>67.55</v>
      </c>
      <c r="F30" s="55">
        <f>MAX($C30-AVERAGE(_xll.xlqBid(CONCATENATE($A$31,($B30+F$26)&amp;""),tda),_xll.xlqAsk(CONCATENATE($A$31,($B30+F$26)&amp;""),tda)),0)</f>
        <v>3.1499999999999915</v>
      </c>
      <c r="G30" s="55">
        <f>MAX($C30-AVERAGE(_xll.xlqBid(CONCATENATE($A$31,($B30+G$26)&amp;""),tda),_xll.xlqAsk(CONCATENATE($A$31,($B30+G$26)&amp;""),tda)),0)</f>
        <v>6.1999999999999886</v>
      </c>
      <c r="H30" s="55">
        <f>MAX($C30-AVERAGE(_xll.xlqBid(CONCATENATE($A$31,($B30+H$26)&amp;""),tda),_xll.xlqAsk(CONCATENATE($A$31,($B30+H$26)&amp;""),tda)),0)</f>
        <v>9.1249999999999858</v>
      </c>
      <c r="I30" s="55">
        <f>MAX($C30-AVERAGE(_xll.xlqBid(CONCATENATE($A$31,($B30+I$26)&amp;""),tda),_xll.xlqAsk(CONCATENATE($A$31,($B30+I$26)&amp;""),tda)),0)</f>
        <v>11.949999999999989</v>
      </c>
      <c r="J30" s="25"/>
      <c r="K30" s="63">
        <f t="shared" si="18"/>
        <v>1.8500000000000085</v>
      </c>
      <c r="L30" s="63">
        <f t="shared" si="18"/>
        <v>3.8000000000000114</v>
      </c>
      <c r="M30" s="63">
        <f t="shared" si="18"/>
        <v>5.8750000000000142</v>
      </c>
      <c r="N30" s="63">
        <f t="shared" si="18"/>
        <v>8.0500000000000114</v>
      </c>
      <c r="O30" s="25"/>
      <c r="P30" s="25">
        <f t="shared" si="26"/>
        <v>0.58730158730159154</v>
      </c>
      <c r="Q30" s="25">
        <f t="shared" si="19"/>
        <v>0.61290322580645462</v>
      </c>
      <c r="R30" s="25">
        <f t="shared" si="19"/>
        <v>0.64383561643835874</v>
      </c>
      <c r="S30" s="25">
        <f t="shared" si="19"/>
        <v>0.67364016736401833</v>
      </c>
      <c r="T30" s="25"/>
      <c r="U30" s="63">
        <f t="shared" si="20"/>
        <v>168.14999999999998</v>
      </c>
      <c r="V30" s="63">
        <f t="shared" si="20"/>
        <v>171.2</v>
      </c>
      <c r="W30" s="63">
        <f t="shared" si="20"/>
        <v>174.125</v>
      </c>
      <c r="X30" s="63">
        <f t="shared" si="20"/>
        <v>176.95</v>
      </c>
      <c r="Y30" s="63"/>
      <c r="Z30" s="133">
        <f t="shared" ca="1" si="27"/>
        <v>0.35023944363727399</v>
      </c>
      <c r="AA30" s="133">
        <f t="shared" ca="1" si="21"/>
        <v>0.3643535691325086</v>
      </c>
      <c r="AB30" s="133">
        <f t="shared" ca="1" si="21"/>
        <v>0.38130233630853771</v>
      </c>
      <c r="AC30" s="133">
        <f t="shared" ca="1" si="21"/>
        <v>0.39752781363441447</v>
      </c>
      <c r="AD30" s="2"/>
      <c r="AE30" s="127">
        <f t="shared" si="28"/>
        <v>-0.18578475980650422</v>
      </c>
      <c r="AF30" s="127">
        <f t="shared" si="22"/>
        <v>-0.16183725274198968</v>
      </c>
      <c r="AG30" s="127">
        <f t="shared" si="22"/>
        <v>-0.13788974567747503</v>
      </c>
      <c r="AH30" s="127">
        <f t="shared" si="22"/>
        <v>-0.11394223861296049</v>
      </c>
      <c r="AJ30" s="125">
        <f t="shared" si="29"/>
        <v>317.46031746031832</v>
      </c>
      <c r="AK30" s="125">
        <f t="shared" si="23"/>
        <v>161.29032258064547</v>
      </c>
      <c r="AL30" s="125">
        <f t="shared" si="23"/>
        <v>109.58904109589058</v>
      </c>
      <c r="AM30" s="125">
        <f t="shared" si="23"/>
        <v>83.682008368200911</v>
      </c>
      <c r="AO30" s="63">
        <f t="shared" si="30"/>
        <v>587.30158730159155</v>
      </c>
      <c r="AP30" s="63">
        <f t="shared" si="24"/>
        <v>612.90322580645466</v>
      </c>
      <c r="AQ30" s="63">
        <f t="shared" si="24"/>
        <v>643.83561643835867</v>
      </c>
      <c r="AR30" s="63">
        <f t="shared" si="24"/>
        <v>673.64016736401834</v>
      </c>
    </row>
    <row r="31" spans="1:44" s="77" customFormat="1" x14ac:dyDescent="0.25">
      <c r="A31" s="111" t="str">
        <f>CONCATENATE(A26,"_",A30,"C")</f>
        <v>NVDA_061821C</v>
      </c>
      <c r="B31" s="107">
        <f t="shared" si="31"/>
        <v>170</v>
      </c>
      <c r="C31" s="108">
        <f t="shared" si="25"/>
        <v>62.45</v>
      </c>
      <c r="D31" s="131">
        <f>_xll.xlqBid(CONCATENATE($A$31,B31&amp;""),tda)</f>
        <v>60.550000000000004</v>
      </c>
      <c r="E31" s="131">
        <f>_xll.xlqAsk(CONCATENATE($A$31,B31&amp;""),tda)</f>
        <v>64.350000000000009</v>
      </c>
      <c r="F31" s="109">
        <f>MAX($C31-AVERAGE(_xll.xlqBid(CONCATENATE($A$31,($B31+F$26)&amp;""),tda),_xll.xlqAsk(CONCATENATE($A$31,($B31+F$26)&amp;""),tda)),0)</f>
        <v>3.0499999999999972</v>
      </c>
      <c r="G31" s="109">
        <f>MAX($C31-AVERAGE(_xll.xlqBid(CONCATENATE($A$31,($B31+G$26)&amp;""),tda),_xll.xlqAsk(CONCATENATE($A$31,($B31+G$26)&amp;""),tda)),0)</f>
        <v>5.9749999999999943</v>
      </c>
      <c r="H31" s="109">
        <f>MAX($C31-AVERAGE(_xll.xlqBid(CONCATENATE($A$31,($B31+H$26)&amp;""),tda),_xll.xlqAsk(CONCATENATE($A$31,($B31+H$26)&amp;""),tda)),0)</f>
        <v>8.7999999999999972</v>
      </c>
      <c r="I31" s="109">
        <f>MAX($C31-AVERAGE(_xll.xlqBid(CONCATENATE($A$31,($B31+I$26)&amp;""),tda),_xll.xlqAsk(CONCATENATE($A$31,($B31+I$26)&amp;""),tda)),0)</f>
        <v>11.549999999999997</v>
      </c>
      <c r="J31" s="110"/>
      <c r="K31" s="76">
        <f t="shared" si="18"/>
        <v>1.9500000000000028</v>
      </c>
      <c r="L31" s="76">
        <f t="shared" si="18"/>
        <v>4.0250000000000057</v>
      </c>
      <c r="M31" s="76">
        <f t="shared" si="18"/>
        <v>6.2000000000000028</v>
      </c>
      <c r="N31" s="76">
        <f t="shared" si="18"/>
        <v>8.4500000000000028</v>
      </c>
      <c r="O31" s="110"/>
      <c r="P31" s="110">
        <f t="shared" si="26"/>
        <v>0.63934426229508345</v>
      </c>
      <c r="Q31" s="110">
        <f t="shared" si="19"/>
        <v>0.67364016736401833</v>
      </c>
      <c r="R31" s="110">
        <f t="shared" si="19"/>
        <v>0.70454545454545514</v>
      </c>
      <c r="S31" s="110">
        <f t="shared" si="19"/>
        <v>0.73160173160173203</v>
      </c>
      <c r="T31" s="110"/>
      <c r="U31" s="76">
        <f t="shared" si="20"/>
        <v>173.05</v>
      </c>
      <c r="V31" s="76">
        <f t="shared" si="20"/>
        <v>175.97499999999999</v>
      </c>
      <c r="W31" s="76">
        <f t="shared" si="20"/>
        <v>178.8</v>
      </c>
      <c r="X31" s="76">
        <f t="shared" si="20"/>
        <v>181.55</v>
      </c>
      <c r="Y31" s="76"/>
      <c r="Z31" s="133">
        <f t="shared" ca="1" si="27"/>
        <v>0.37884836498543795</v>
      </c>
      <c r="AA31" s="133">
        <f t="shared" ca="1" si="21"/>
        <v>0.39752781363441447</v>
      </c>
      <c r="AB31" s="133">
        <f t="shared" ca="1" si="21"/>
        <v>0.41424605428569738</v>
      </c>
      <c r="AC31" s="133">
        <f t="shared" ca="1" si="21"/>
        <v>0.42879523504224282</v>
      </c>
      <c r="AD31" s="2"/>
      <c r="AE31" s="127">
        <f t="shared" si="28"/>
        <v>-0.16183725274198968</v>
      </c>
      <c r="AF31" s="127">
        <f t="shared" si="22"/>
        <v>-0.13788974567747503</v>
      </c>
      <c r="AG31" s="127">
        <f t="shared" si="22"/>
        <v>-0.11394223861296049</v>
      </c>
      <c r="AH31" s="127">
        <f t="shared" si="22"/>
        <v>-8.999473154844595E-2</v>
      </c>
      <c r="AJ31" s="125">
        <f t="shared" si="29"/>
        <v>327.86885245901669</v>
      </c>
      <c r="AK31" s="125">
        <f t="shared" si="23"/>
        <v>167.36401673640182</v>
      </c>
      <c r="AL31" s="125">
        <f t="shared" si="23"/>
        <v>113.63636363636367</v>
      </c>
      <c r="AM31" s="125">
        <f t="shared" si="23"/>
        <v>86.580086580086601</v>
      </c>
      <c r="AO31" s="63">
        <f t="shared" si="30"/>
        <v>639.34426229508347</v>
      </c>
      <c r="AP31" s="63">
        <f t="shared" si="24"/>
        <v>673.64016736401834</v>
      </c>
      <c r="AQ31" s="63">
        <f t="shared" si="24"/>
        <v>704.54545454545507</v>
      </c>
      <c r="AR31" s="63">
        <f t="shared" si="24"/>
        <v>731.60173160173201</v>
      </c>
    </row>
    <row r="32" spans="1:44" x14ac:dyDescent="0.25">
      <c r="A32" s="105"/>
      <c r="B32" s="107">
        <f t="shared" si="31"/>
        <v>175</v>
      </c>
      <c r="C32" s="23">
        <f t="shared" si="25"/>
        <v>59.400000000000006</v>
      </c>
      <c r="D32" s="130">
        <f>_xll.xlqBid(CONCATENATE($A$31,B32&amp;""),tda)</f>
        <v>57.5</v>
      </c>
      <c r="E32" s="130">
        <f>_xll.xlqAsk(CONCATENATE($A$31,B32&amp;""),tda)</f>
        <v>61.300000000000004</v>
      </c>
      <c r="F32" s="55">
        <f>MAX($C32-AVERAGE(_xll.xlqBid(CONCATENATE($A$31,($B32+F$26)&amp;""),tda),_xll.xlqAsk(CONCATENATE($A$31,($B32+F$26)&amp;""),tda)),0)</f>
        <v>2.9249999999999972</v>
      </c>
      <c r="G32" s="55">
        <f>MAX($C32-AVERAGE(_xll.xlqBid(CONCATENATE($A$31,($B32+G$26)&amp;""),tda),_xll.xlqAsk(CONCATENATE($A$31,($B32+G$26)&amp;""),tda)),0)</f>
        <v>5.75</v>
      </c>
      <c r="H32" s="55">
        <f>MAX($C32-AVERAGE(_xll.xlqBid(CONCATENATE($A$31,($B32+H$26)&amp;""),tda),_xll.xlqAsk(CONCATENATE($A$31,($B32+H$26)&amp;""),tda)),0)</f>
        <v>8.5</v>
      </c>
      <c r="I32" s="55">
        <f>MAX($C32-AVERAGE(_xll.xlqBid(CONCATENATE($A$31,($B32+I$26)&amp;""),tda),_xll.xlqAsk(CONCATENATE($A$31,($B32+I$26)&amp;""),tda)),0)</f>
        <v>11.100000000000001</v>
      </c>
      <c r="J32" s="25"/>
      <c r="K32" s="63">
        <f t="shared" si="18"/>
        <v>2.0750000000000028</v>
      </c>
      <c r="L32" s="63">
        <f t="shared" si="18"/>
        <v>4.25</v>
      </c>
      <c r="M32" s="63">
        <f t="shared" si="18"/>
        <v>6.5</v>
      </c>
      <c r="N32" s="63">
        <f t="shared" si="18"/>
        <v>8.8999999999999986</v>
      </c>
      <c r="O32" s="25"/>
      <c r="P32" s="25">
        <f t="shared" si="26"/>
        <v>0.7094017094017111</v>
      </c>
      <c r="Q32" s="25">
        <f t="shared" si="19"/>
        <v>0.73913043478260865</v>
      </c>
      <c r="R32" s="25">
        <f t="shared" si="19"/>
        <v>0.76470588235294112</v>
      </c>
      <c r="S32" s="25">
        <f t="shared" si="19"/>
        <v>0.80180180180180161</v>
      </c>
      <c r="T32" s="25"/>
      <c r="U32" s="63">
        <f t="shared" si="20"/>
        <v>177.92500000000001</v>
      </c>
      <c r="V32" s="63">
        <f t="shared" si="20"/>
        <v>180.75</v>
      </c>
      <c r="W32" s="63">
        <f t="shared" si="20"/>
        <v>183.5</v>
      </c>
      <c r="X32" s="63">
        <f t="shared" si="20"/>
        <v>186.1</v>
      </c>
      <c r="Y32" s="63"/>
      <c r="Z32" s="133">
        <f t="shared" ca="1" si="27"/>
        <v>0.41686336575340244</v>
      </c>
      <c r="AA32" s="133">
        <f t="shared" ca="1" si="21"/>
        <v>0.43282951525847202</v>
      </c>
      <c r="AB32" s="133">
        <f t="shared" ca="1" si="21"/>
        <v>0.44648878478237508</v>
      </c>
      <c r="AC32" s="133">
        <f t="shared" ca="1" si="21"/>
        <v>0.46617838015496593</v>
      </c>
      <c r="AD32" s="2"/>
      <c r="AE32" s="127">
        <f t="shared" si="28"/>
        <v>-0.13788974567747503</v>
      </c>
      <c r="AF32" s="127">
        <f t="shared" si="22"/>
        <v>-0.11394223861296049</v>
      </c>
      <c r="AG32" s="127">
        <f t="shared" si="22"/>
        <v>-8.999473154844595E-2</v>
      </c>
      <c r="AH32" s="127">
        <f t="shared" si="22"/>
        <v>-6.6047224483931299E-2</v>
      </c>
      <c r="AJ32" s="125">
        <f t="shared" si="29"/>
        <v>341.8803418803422</v>
      </c>
      <c r="AK32" s="125">
        <f t="shared" si="23"/>
        <v>173.91304347826087</v>
      </c>
      <c r="AL32" s="125">
        <f t="shared" si="23"/>
        <v>117.64705882352941</v>
      </c>
      <c r="AM32" s="125">
        <f t="shared" si="23"/>
        <v>90.090090090090072</v>
      </c>
      <c r="AO32" s="63">
        <f t="shared" si="30"/>
        <v>709.40170940171106</v>
      </c>
      <c r="AP32" s="63">
        <f t="shared" si="24"/>
        <v>739.13043478260875</v>
      </c>
      <c r="AQ32" s="63">
        <f t="shared" si="24"/>
        <v>764.7058823529411</v>
      </c>
      <c r="AR32" s="63">
        <f t="shared" si="24"/>
        <v>801.8018018018015</v>
      </c>
    </row>
    <row r="33" spans="1:44" x14ac:dyDescent="0.25">
      <c r="A33" s="32" t="s">
        <v>101</v>
      </c>
      <c r="B33" s="107">
        <f t="shared" si="31"/>
        <v>180</v>
      </c>
      <c r="C33" s="23">
        <f t="shared" si="25"/>
        <v>56.475000000000009</v>
      </c>
      <c r="D33" s="130">
        <f>_xll.xlqBid(CONCATENATE($A$31,B33&amp;""),tda)</f>
        <v>54.550000000000004</v>
      </c>
      <c r="E33" s="130">
        <f>_xll.xlqAsk(CONCATENATE($A$31,B33&amp;""),tda)</f>
        <v>58.400000000000006</v>
      </c>
      <c r="F33" s="55">
        <f>MAX($C33-AVERAGE(_xll.xlqBid(CONCATENATE($A$31,($B33+F$26)&amp;""),tda),_xll.xlqAsk(CONCATENATE($A$31,($B33+F$26)&amp;""),tda)),0)</f>
        <v>2.8250000000000028</v>
      </c>
      <c r="G33" s="55">
        <f>MAX($C33-AVERAGE(_xll.xlqBid(CONCATENATE($A$31,($B33+G$26)&amp;""),tda),_xll.xlqAsk(CONCATENATE($A$31,($B33+G$26)&amp;""),tda)),0)</f>
        <v>5.5750000000000028</v>
      </c>
      <c r="H33" s="55">
        <f>MAX($C33-AVERAGE(_xll.xlqBid(CONCATENATE($A$31,($B33+H$26)&amp;""),tda),_xll.xlqAsk(CONCATENATE($A$31,($B33+H$26)&amp;""),tda)),0)</f>
        <v>8.1750000000000043</v>
      </c>
      <c r="I33" s="55">
        <f>MAX($C33-AVERAGE(_xll.xlqBid(CONCATENATE($A$31,($B33+I$26)&amp;""),tda),_xll.xlqAsk(CONCATENATE($A$31,($B33+I$26)&amp;""),tda)),0)</f>
        <v>10.700000000000003</v>
      </c>
      <c r="J33" s="25"/>
      <c r="K33" s="63">
        <f t="shared" si="18"/>
        <v>2.1749999999999972</v>
      </c>
      <c r="L33" s="63">
        <f t="shared" si="18"/>
        <v>4.4249999999999972</v>
      </c>
      <c r="M33" s="63">
        <f t="shared" si="18"/>
        <v>6.8249999999999957</v>
      </c>
      <c r="N33" s="63">
        <f t="shared" si="18"/>
        <v>9.2999999999999972</v>
      </c>
      <c r="O33" s="25"/>
      <c r="P33" s="25">
        <f t="shared" si="26"/>
        <v>0.76991150442477696</v>
      </c>
      <c r="Q33" s="25">
        <f t="shared" si="19"/>
        <v>0.79372197309416948</v>
      </c>
      <c r="R33" s="25">
        <f t="shared" si="19"/>
        <v>0.83486238532109991</v>
      </c>
      <c r="S33" s="25">
        <f t="shared" si="19"/>
        <v>0.86915887850467244</v>
      </c>
      <c r="T33" s="25"/>
      <c r="U33" s="63">
        <f t="shared" si="20"/>
        <v>182.82499999999999</v>
      </c>
      <c r="V33" s="63">
        <f t="shared" si="20"/>
        <v>185.57499999999999</v>
      </c>
      <c r="W33" s="63">
        <f t="shared" si="20"/>
        <v>188.17500000000001</v>
      </c>
      <c r="X33" s="63">
        <f t="shared" si="20"/>
        <v>190.7</v>
      </c>
      <c r="Y33" s="63"/>
      <c r="Z33" s="133">
        <f t="shared" ca="1" si="27"/>
        <v>0.44926047871209551</v>
      </c>
      <c r="AA33" s="133">
        <f t="shared" ca="1" si="21"/>
        <v>0.46190199007507737</v>
      </c>
      <c r="AB33" s="133">
        <f t="shared" ca="1" si="21"/>
        <v>0.48360682061473459</v>
      </c>
      <c r="AC33" s="133">
        <f t="shared" ca="1" si="21"/>
        <v>0.50157100606557425</v>
      </c>
      <c r="AD33" s="2"/>
      <c r="AE33" s="127">
        <f t="shared" si="28"/>
        <v>-0.11394223861296049</v>
      </c>
      <c r="AF33" s="127">
        <f t="shared" si="22"/>
        <v>-8.999473154844595E-2</v>
      </c>
      <c r="AG33" s="127">
        <f t="shared" si="22"/>
        <v>-6.6047224483931299E-2</v>
      </c>
      <c r="AH33" s="127">
        <f t="shared" si="22"/>
        <v>-4.209971741941676E-2</v>
      </c>
      <c r="AJ33" s="125">
        <f t="shared" si="29"/>
        <v>353.98230088495541</v>
      </c>
      <c r="AK33" s="125">
        <f t="shared" si="23"/>
        <v>179.37219730941695</v>
      </c>
      <c r="AL33" s="125">
        <f t="shared" si="23"/>
        <v>122.32415902140666</v>
      </c>
      <c r="AM33" s="125">
        <f t="shared" si="23"/>
        <v>93.457943925233621</v>
      </c>
      <c r="AO33" s="63">
        <f t="shared" si="30"/>
        <v>769.91150442477704</v>
      </c>
      <c r="AP33" s="63">
        <f t="shared" si="24"/>
        <v>793.72197309416947</v>
      </c>
      <c r="AQ33" s="63">
        <f t="shared" si="24"/>
        <v>834.86238532109996</v>
      </c>
      <c r="AR33" s="63">
        <f t="shared" si="24"/>
        <v>869.15887850467243</v>
      </c>
    </row>
    <row r="34" spans="1:44" s="77" customFormat="1" x14ac:dyDescent="0.25">
      <c r="A34" s="116">
        <f ca="1">A29-TODAY()</f>
        <v>562</v>
      </c>
      <c r="B34" s="107">
        <f t="shared" si="31"/>
        <v>185</v>
      </c>
      <c r="C34" s="108">
        <f t="shared" si="25"/>
        <v>53.650000000000006</v>
      </c>
      <c r="D34" s="131">
        <f>_xll.xlqBid(CONCATENATE($A$31,B34&amp;""),tda)</f>
        <v>51.75</v>
      </c>
      <c r="E34" s="131">
        <f>_xll.xlqAsk(CONCATENATE($A$31,B34&amp;""),tda)</f>
        <v>55.550000000000004</v>
      </c>
      <c r="F34" s="109">
        <f>MAX($C34-AVERAGE(_xll.xlqBid(CONCATENATE($A$31,($B34+F$26)&amp;""),tda),_xll.xlqAsk(CONCATENATE($A$31,($B34+F$26)&amp;""),tda)),0)</f>
        <v>2.75</v>
      </c>
      <c r="G34" s="109">
        <f>MAX($C34-AVERAGE(_xll.xlqBid(CONCATENATE($A$31,($B34+G$26)&amp;""),tda),_xll.xlqAsk(CONCATENATE($A$31,($B34+G$26)&amp;""),tda)),0)</f>
        <v>5.3500000000000014</v>
      </c>
      <c r="H34" s="109">
        <f>MAX($C34-AVERAGE(_xll.xlqBid(CONCATENATE($A$31,($B34+H$26)&amp;""),tda),_xll.xlqAsk(CONCATENATE($A$31,($B34+H$26)&amp;""),tda)),0)</f>
        <v>7.875</v>
      </c>
      <c r="I34" s="109">
        <f>MAX($C34-AVERAGE(_xll.xlqBid(CONCATENATE($A$31,($B34+I$26)&amp;""),tda),_xll.xlqAsk(CONCATENATE($A$31,($B34+I$26)&amp;""),tda)),0)</f>
        <v>10.275000000000006</v>
      </c>
      <c r="J34" s="110"/>
      <c r="K34" s="76">
        <f t="shared" si="18"/>
        <v>2.25</v>
      </c>
      <c r="L34" s="76">
        <f t="shared" si="18"/>
        <v>4.6499999999999986</v>
      </c>
      <c r="M34" s="76">
        <f t="shared" si="18"/>
        <v>7.125</v>
      </c>
      <c r="N34" s="76">
        <f t="shared" si="18"/>
        <v>9.7249999999999943</v>
      </c>
      <c r="O34" s="110"/>
      <c r="P34" s="110">
        <f t="shared" si="26"/>
        <v>0.81818181818181823</v>
      </c>
      <c r="Q34" s="110">
        <f t="shared" si="19"/>
        <v>0.86915887850467244</v>
      </c>
      <c r="R34" s="110">
        <f t="shared" si="19"/>
        <v>0.90476190476190477</v>
      </c>
      <c r="S34" s="110">
        <f t="shared" si="19"/>
        <v>0.94647201946471915</v>
      </c>
      <c r="T34" s="110"/>
      <c r="U34" s="76">
        <f t="shared" si="20"/>
        <v>187.75</v>
      </c>
      <c r="V34" s="76">
        <f t="shared" si="20"/>
        <v>190.35</v>
      </c>
      <c r="W34" s="76">
        <f t="shared" si="20"/>
        <v>192.875</v>
      </c>
      <c r="X34" s="76">
        <f t="shared" si="20"/>
        <v>195.27500000000001</v>
      </c>
      <c r="Y34" s="76"/>
      <c r="Z34" s="133">
        <f t="shared" ca="1" si="27"/>
        <v>0.4748272468395911</v>
      </c>
      <c r="AA34" s="133">
        <f t="shared" ca="1" si="21"/>
        <v>0.50157100606557425</v>
      </c>
      <c r="AB34" s="133">
        <f t="shared" ca="1" si="21"/>
        <v>0.52009788911354771</v>
      </c>
      <c r="AC34" s="133">
        <f t="shared" ca="1" si="21"/>
        <v>0.54164924122850122</v>
      </c>
      <c r="AD34" s="2"/>
      <c r="AE34" s="127">
        <f t="shared" si="28"/>
        <v>-8.999473154844595E-2</v>
      </c>
      <c r="AF34" s="127">
        <f t="shared" si="22"/>
        <v>-6.6047224483931299E-2</v>
      </c>
      <c r="AG34" s="127">
        <f t="shared" si="22"/>
        <v>-4.209971741941676E-2</v>
      </c>
      <c r="AH34" s="127">
        <f t="shared" si="22"/>
        <v>-1.815221035490211E-2</v>
      </c>
      <c r="AJ34" s="125">
        <f t="shared" si="29"/>
        <v>363.63636363636363</v>
      </c>
      <c r="AK34" s="125">
        <f t="shared" si="23"/>
        <v>186.91588785046724</v>
      </c>
      <c r="AL34" s="125">
        <f t="shared" si="23"/>
        <v>126.98412698412699</v>
      </c>
      <c r="AM34" s="125">
        <f t="shared" si="23"/>
        <v>97.323600973235955</v>
      </c>
      <c r="AO34" s="63">
        <f t="shared" si="30"/>
        <v>818.18181818181813</v>
      </c>
      <c r="AP34" s="63">
        <f t="shared" si="24"/>
        <v>869.15887850467243</v>
      </c>
      <c r="AQ34" s="63">
        <f t="shared" si="24"/>
        <v>904.76190476190482</v>
      </c>
      <c r="AR34" s="63">
        <f t="shared" si="24"/>
        <v>946.4720194647191</v>
      </c>
    </row>
    <row r="35" spans="1:44" x14ac:dyDescent="0.25">
      <c r="A35" s="32"/>
      <c r="B35" s="107">
        <f t="shared" si="31"/>
        <v>190</v>
      </c>
      <c r="C35" s="23">
        <f t="shared" si="25"/>
        <v>50.900000000000006</v>
      </c>
      <c r="D35" s="130">
        <f>_xll.xlqBid(CONCATENATE($A$31,B35&amp;""),tda)</f>
        <v>49</v>
      </c>
      <c r="E35" s="130">
        <f>_xll.xlqAsk(CONCATENATE($A$31,B35&amp;""),tda)</f>
        <v>52.800000000000004</v>
      </c>
      <c r="F35" s="55">
        <f>MAX($C35-AVERAGE(_xll.xlqBid(CONCATENATE($A$31,($B35+F$26)&amp;""),tda),_xll.xlqAsk(CONCATENATE($A$31,($B35+F$26)&amp;""),tda)),0)</f>
        <v>2.6000000000000014</v>
      </c>
      <c r="G35" s="55">
        <f>MAX($C35-AVERAGE(_xll.xlqBid(CONCATENATE($A$31,($B35+G$26)&amp;""),tda),_xll.xlqAsk(CONCATENATE($A$31,($B35+G$26)&amp;""),tda)),0)</f>
        <v>5.125</v>
      </c>
      <c r="H35" s="55">
        <f>MAX($C35-AVERAGE(_xll.xlqBid(CONCATENATE($A$31,($B35+H$26)&amp;""),tda),_xll.xlqAsk(CONCATENATE($A$31,($B35+H$26)&amp;""),tda)),0)</f>
        <v>7.5250000000000057</v>
      </c>
      <c r="I35" s="55">
        <f>MAX($C35-AVERAGE(_xll.xlqBid(CONCATENATE($A$31,($B35+I$26)&amp;""),tda),_xll.xlqAsk(CONCATENATE($A$31,($B35+I$26)&amp;""),tda)),0)</f>
        <v>9.8000000000000043</v>
      </c>
      <c r="J35" s="25"/>
      <c r="K35" s="63">
        <f t="shared" si="18"/>
        <v>2.3999999999999986</v>
      </c>
      <c r="L35" s="63">
        <f t="shared" si="18"/>
        <v>4.875</v>
      </c>
      <c r="M35" s="63">
        <f t="shared" si="18"/>
        <v>7.4749999999999943</v>
      </c>
      <c r="N35" s="63">
        <f t="shared" si="18"/>
        <v>10.199999999999996</v>
      </c>
      <c r="O35" s="25"/>
      <c r="P35" s="25">
        <f t="shared" si="26"/>
        <v>0.92307692307692202</v>
      </c>
      <c r="Q35" s="25">
        <f t="shared" si="19"/>
        <v>0.95121951219512191</v>
      </c>
      <c r="R35" s="25">
        <f t="shared" si="19"/>
        <v>0.99335548172757326</v>
      </c>
      <c r="S35" s="25">
        <f t="shared" si="19"/>
        <v>1.0408163265306114</v>
      </c>
      <c r="T35" s="25"/>
      <c r="U35" s="63">
        <f t="shared" si="20"/>
        <v>192.6</v>
      </c>
      <c r="V35" s="63">
        <f t="shared" si="20"/>
        <v>195.125</v>
      </c>
      <c r="W35" s="63">
        <f t="shared" si="20"/>
        <v>197.52500000000001</v>
      </c>
      <c r="X35" s="63">
        <f t="shared" si="20"/>
        <v>199.8</v>
      </c>
      <c r="Y35" s="63"/>
      <c r="Z35" s="133">
        <f t="shared" ca="1" si="27"/>
        <v>0.52958128085138201</v>
      </c>
      <c r="AA35" s="133">
        <f t="shared" ca="1" si="21"/>
        <v>0.54409194258075222</v>
      </c>
      <c r="AB35" s="133">
        <f t="shared" ca="1" si="21"/>
        <v>0.56568156185622454</v>
      </c>
      <c r="AC35" s="133">
        <f t="shared" ca="1" si="21"/>
        <v>0.58980912495508053</v>
      </c>
      <c r="AD35" s="2"/>
      <c r="AE35" s="127">
        <f t="shared" si="28"/>
        <v>-6.6047224483931299E-2</v>
      </c>
      <c r="AF35" s="127">
        <f t="shared" si="22"/>
        <v>-4.209971741941676E-2</v>
      </c>
      <c r="AG35" s="127">
        <f t="shared" si="22"/>
        <v>-1.815221035490211E-2</v>
      </c>
      <c r="AH35" s="127">
        <f t="shared" si="22"/>
        <v>5.7952967096124297E-3</v>
      </c>
      <c r="AJ35" s="125">
        <f t="shared" si="29"/>
        <v>384.61538461538441</v>
      </c>
      <c r="AK35" s="125">
        <f t="shared" si="23"/>
        <v>195.1219512195122</v>
      </c>
      <c r="AL35" s="125">
        <f t="shared" si="23"/>
        <v>132.89036544850489</v>
      </c>
      <c r="AM35" s="125">
        <f t="shared" si="23"/>
        <v>102.04081632653057</v>
      </c>
      <c r="AO35" s="63">
        <f t="shared" si="30"/>
        <v>923.07692307692207</v>
      </c>
      <c r="AP35" s="63">
        <f t="shared" si="24"/>
        <v>951.21951219512198</v>
      </c>
      <c r="AQ35" s="63">
        <f t="shared" si="24"/>
        <v>993.35548172757331</v>
      </c>
      <c r="AR35" s="63">
        <f t="shared" si="24"/>
        <v>1040.8163265306114</v>
      </c>
    </row>
    <row r="36" spans="1:44" x14ac:dyDescent="0.25">
      <c r="A36" s="37"/>
      <c r="B36" s="107">
        <f t="shared" si="31"/>
        <v>195</v>
      </c>
      <c r="C36" s="23">
        <f t="shared" si="25"/>
        <v>48.300000000000004</v>
      </c>
      <c r="D36" s="130">
        <f>_xll.xlqBid(CONCATENATE($A$31,B36&amp;""),tda)</f>
        <v>46.400000000000006</v>
      </c>
      <c r="E36" s="130">
        <f>_xll.xlqAsk(CONCATENATE($A$31,B36&amp;""),tda)</f>
        <v>50.2</v>
      </c>
      <c r="F36" s="55">
        <f>MAX($C36-AVERAGE(_xll.xlqBid(CONCATENATE($A$31,($B36+F$26)&amp;""),tda),_xll.xlqAsk(CONCATENATE($A$31,($B36+F$26)&amp;""),tda)),0)</f>
        <v>2.5249999999999986</v>
      </c>
      <c r="G36" s="55">
        <f>MAX($C36-AVERAGE(_xll.xlqBid(CONCATENATE($A$31,($B36+G$26)&amp;""),tda),_xll.xlqAsk(CONCATENATE($A$31,($B36+G$26)&amp;""),tda)),0)</f>
        <v>4.9250000000000043</v>
      </c>
      <c r="H36" s="55">
        <f>MAX($C36-AVERAGE(_xll.xlqBid(CONCATENATE($A$31,($B36+H$26)&amp;""),tda),_xll.xlqAsk(CONCATENATE($A$31,($B36+H$26)&amp;""),tda)),0)</f>
        <v>7.2000000000000028</v>
      </c>
      <c r="I36" s="55">
        <f>MAX($C36-AVERAGE(_xll.xlqBid(CONCATENATE($A$31,($B36+I$26)&amp;""),tda),_xll.xlqAsk(CONCATENATE($A$31,($B36+I$26)&amp;""),tda)),0)</f>
        <v>9.4250000000000043</v>
      </c>
      <c r="J36" s="25"/>
      <c r="K36" s="63">
        <f t="shared" si="18"/>
        <v>2.4750000000000014</v>
      </c>
      <c r="L36" s="63">
        <f t="shared" si="18"/>
        <v>5.0749999999999957</v>
      </c>
      <c r="M36" s="63">
        <f t="shared" si="18"/>
        <v>7.7999999999999972</v>
      </c>
      <c r="N36" s="63">
        <f t="shared" si="18"/>
        <v>10.574999999999996</v>
      </c>
      <c r="O36" s="25"/>
      <c r="P36" s="25">
        <f t="shared" si="26"/>
        <v>0.98019801980198129</v>
      </c>
      <c r="Q36" s="25">
        <f t="shared" si="19"/>
        <v>1.0304568527918765</v>
      </c>
      <c r="R36" s="25">
        <f t="shared" si="19"/>
        <v>1.0833333333333326</v>
      </c>
      <c r="S36" s="25">
        <f t="shared" si="19"/>
        <v>1.1220159151193625</v>
      </c>
      <c r="T36" s="25"/>
      <c r="U36" s="63">
        <f t="shared" si="20"/>
        <v>197.52500000000001</v>
      </c>
      <c r="V36" s="63">
        <f t="shared" si="20"/>
        <v>199.92500000000001</v>
      </c>
      <c r="W36" s="63">
        <f t="shared" si="20"/>
        <v>202.2</v>
      </c>
      <c r="X36" s="63">
        <f t="shared" si="20"/>
        <v>204.42500000000001</v>
      </c>
      <c r="Y36" s="63"/>
      <c r="Z36" s="133">
        <f t="shared" ca="1" si="27"/>
        <v>0.55895725217607928</v>
      </c>
      <c r="AA36" s="133">
        <f t="shared" ca="1" si="21"/>
        <v>0.58455960884396307</v>
      </c>
      <c r="AB36" s="133">
        <f t="shared" ca="1" si="21"/>
        <v>0.61125707144083297</v>
      </c>
      <c r="AC36" s="133">
        <f t="shared" ca="1" si="21"/>
        <v>0.63063794347836843</v>
      </c>
      <c r="AD36" s="2"/>
      <c r="AE36" s="127">
        <f t="shared" si="28"/>
        <v>-4.209971741941676E-2</v>
      </c>
      <c r="AF36" s="127">
        <f t="shared" si="22"/>
        <v>-1.815221035490211E-2</v>
      </c>
      <c r="AG36" s="127">
        <f t="shared" si="22"/>
        <v>5.7952967096124297E-3</v>
      </c>
      <c r="AH36" s="127">
        <f t="shared" si="22"/>
        <v>2.9742803774126969E-2</v>
      </c>
      <c r="AJ36" s="125">
        <f t="shared" si="29"/>
        <v>396.03960396039628</v>
      </c>
      <c r="AK36" s="125">
        <f t="shared" si="23"/>
        <v>203.04568527918764</v>
      </c>
      <c r="AL36" s="125">
        <f t="shared" si="23"/>
        <v>138.88888888888883</v>
      </c>
      <c r="AM36" s="125">
        <f t="shared" si="23"/>
        <v>106.10079575596812</v>
      </c>
      <c r="AO36" s="63">
        <f t="shared" si="30"/>
        <v>980.19801980198133</v>
      </c>
      <c r="AP36" s="63">
        <f t="shared" si="24"/>
        <v>1030.4568527918764</v>
      </c>
      <c r="AQ36" s="63">
        <f t="shared" si="24"/>
        <v>1083.3333333333326</v>
      </c>
      <c r="AR36" s="63">
        <f t="shared" si="24"/>
        <v>1122.0159151193625</v>
      </c>
    </row>
    <row r="37" spans="1:44" s="77" customFormat="1" x14ac:dyDescent="0.25">
      <c r="A37" s="111"/>
      <c r="B37" s="107">
        <f t="shared" si="31"/>
        <v>200</v>
      </c>
      <c r="C37" s="108">
        <f t="shared" si="25"/>
        <v>45.775000000000006</v>
      </c>
      <c r="D37" s="131">
        <f>_xll.xlqBid(CONCATENATE($A$31,B37&amp;""),tda)</f>
        <v>43.85</v>
      </c>
      <c r="E37" s="131">
        <f>_xll.xlqAsk(CONCATENATE($A$31,B37&amp;""),tda)</f>
        <v>47.7</v>
      </c>
      <c r="F37" s="109">
        <f>MAX($C37-AVERAGE(_xll.xlqBid(CONCATENATE($A$31,($B37+F$26)&amp;""),tda),_xll.xlqAsk(CONCATENATE($A$31,($B37+F$26)&amp;""),tda)),0)</f>
        <v>2.4000000000000057</v>
      </c>
      <c r="G37" s="109">
        <f>MAX($C37-AVERAGE(_xll.xlqBid(CONCATENATE($A$31,($B37+G$26)&amp;""),tda),_xll.xlqAsk(CONCATENATE($A$31,($B37+G$26)&amp;""),tda)),0)</f>
        <v>4.6750000000000043</v>
      </c>
      <c r="H37" s="109">
        <f>MAX($C37-AVERAGE(_xll.xlqBid(CONCATENATE($A$31,($B37+H$26)&amp;""),tda),_xll.xlqAsk(CONCATENATE($A$31,($B37+H$26)&amp;""),tda)),0)</f>
        <v>6.9000000000000057</v>
      </c>
      <c r="I37" s="109">
        <f>MAX($C37-AVERAGE(_xll.xlqBid(CONCATENATE($A$31,($B37+I$26)&amp;""),tda),_xll.xlqAsk(CONCATENATE($A$31,($B37+I$26)&amp;""),tda)),0)</f>
        <v>9</v>
      </c>
      <c r="J37" s="110"/>
      <c r="K37" s="76">
        <f t="shared" si="18"/>
        <v>2.5999999999999943</v>
      </c>
      <c r="L37" s="76">
        <f t="shared" si="18"/>
        <v>5.3249999999999957</v>
      </c>
      <c r="M37" s="76">
        <f t="shared" si="18"/>
        <v>8.0999999999999943</v>
      </c>
      <c r="N37" s="76">
        <f t="shared" si="18"/>
        <v>11</v>
      </c>
      <c r="O37" s="110"/>
      <c r="P37" s="110">
        <f t="shared" si="26"/>
        <v>1.0833333333333284</v>
      </c>
      <c r="Q37" s="110">
        <f t="shared" si="19"/>
        <v>1.1390374331550783</v>
      </c>
      <c r="R37" s="110">
        <f t="shared" si="19"/>
        <v>1.173913043478259</v>
      </c>
      <c r="S37" s="110">
        <f t="shared" si="19"/>
        <v>1.2222222222222223</v>
      </c>
      <c r="T37" s="110"/>
      <c r="U37" s="76">
        <f t="shared" si="20"/>
        <v>202.4</v>
      </c>
      <c r="V37" s="76">
        <f t="shared" si="20"/>
        <v>204.67500000000001</v>
      </c>
      <c r="W37" s="76">
        <f t="shared" si="20"/>
        <v>206.9</v>
      </c>
      <c r="X37" s="76">
        <f t="shared" si="20"/>
        <v>209</v>
      </c>
      <c r="Y37" s="76"/>
      <c r="Z37" s="133">
        <f t="shared" ca="1" si="27"/>
        <v>0.61125707144083097</v>
      </c>
      <c r="AA37" s="133">
        <f t="shared" ca="1" si="21"/>
        <v>0.63912687593128092</v>
      </c>
      <c r="AB37" s="133">
        <f t="shared" ca="1" si="21"/>
        <v>0.65644646978414434</v>
      </c>
      <c r="AC37" s="133">
        <f t="shared" ca="1" si="21"/>
        <v>0.68027750434427325</v>
      </c>
      <c r="AD37" s="2"/>
      <c r="AE37" s="127">
        <f t="shared" si="28"/>
        <v>-1.815221035490211E-2</v>
      </c>
      <c r="AF37" s="127">
        <f t="shared" si="22"/>
        <v>5.7952967096124297E-3</v>
      </c>
      <c r="AG37" s="127">
        <f t="shared" si="22"/>
        <v>2.9742803774126969E-2</v>
      </c>
      <c r="AH37" s="127">
        <f t="shared" si="22"/>
        <v>5.3690310838641508E-2</v>
      </c>
      <c r="AJ37" s="125">
        <f t="shared" si="29"/>
        <v>416.66666666666566</v>
      </c>
      <c r="AK37" s="125">
        <f t="shared" si="23"/>
        <v>213.90374331550782</v>
      </c>
      <c r="AL37" s="125">
        <f t="shared" si="23"/>
        <v>144.92753623188395</v>
      </c>
      <c r="AM37" s="125">
        <f t="shared" si="23"/>
        <v>111.11111111111111</v>
      </c>
      <c r="AO37" s="63">
        <f t="shared" si="30"/>
        <v>1083.3333333333283</v>
      </c>
      <c r="AP37" s="63">
        <f t="shared" si="24"/>
        <v>1139.0374331550784</v>
      </c>
      <c r="AQ37" s="63">
        <f t="shared" si="24"/>
        <v>1173.9130434782592</v>
      </c>
      <c r="AR37" s="63">
        <f t="shared" si="24"/>
        <v>1222.2222222222222</v>
      </c>
    </row>
    <row r="38" spans="1:44" x14ac:dyDescent="0.25">
      <c r="A38" s="103"/>
      <c r="B38" s="107">
        <f t="shared" si="31"/>
        <v>205</v>
      </c>
      <c r="C38" s="23">
        <f t="shared" si="25"/>
        <v>43.375</v>
      </c>
      <c r="D38" s="130">
        <f>_xll.xlqBid(CONCATENATE($A$31,B38&amp;""),tda)</f>
        <v>41.45</v>
      </c>
      <c r="E38" s="130">
        <f>_xll.xlqAsk(CONCATENATE($A$31,B38&amp;""),tda)</f>
        <v>45.300000000000004</v>
      </c>
      <c r="F38" s="55">
        <f>MAX($C38-AVERAGE(_xll.xlqBid(CONCATENATE($A$31,($B38+F$26)&amp;""),tda),_xll.xlqAsk(CONCATENATE($A$31,($B38+F$26)&amp;""),tda)),0)</f>
        <v>2.2749999999999986</v>
      </c>
      <c r="G38" s="55">
        <f>MAX($C38-AVERAGE(_xll.xlqBid(CONCATENATE($A$31,($B38+G$26)&amp;""),tda),_xll.xlqAsk(CONCATENATE($A$31,($B38+G$26)&amp;""),tda)),0)</f>
        <v>4.5</v>
      </c>
      <c r="H38" s="55">
        <f>MAX($C38-AVERAGE(_xll.xlqBid(CONCATENATE($A$31,($B38+H$26)&amp;""),tda),_xll.xlqAsk(CONCATENATE($A$31,($B38+H$26)&amp;""),tda)),0)</f>
        <v>6.5999999999999943</v>
      </c>
      <c r="I38" s="55">
        <f>MAX($C38-AVERAGE(_xll.xlqBid(CONCATENATE($A$31,($B38+I$26)&amp;""),tda),_xll.xlqAsk(CONCATENATE($A$31,($B38+I$26)&amp;""),tda)),0)</f>
        <v>8.6499999999999986</v>
      </c>
      <c r="J38" s="25"/>
      <c r="K38" s="63">
        <f t="shared" si="18"/>
        <v>2.7250000000000014</v>
      </c>
      <c r="L38" s="63">
        <f t="shared" si="18"/>
        <v>5.5</v>
      </c>
      <c r="M38" s="63">
        <f t="shared" si="18"/>
        <v>8.4000000000000057</v>
      </c>
      <c r="N38" s="63">
        <f t="shared" si="18"/>
        <v>11.350000000000001</v>
      </c>
      <c r="O38" s="25"/>
      <c r="P38" s="25">
        <f t="shared" si="26"/>
        <v>1.1978021978021991</v>
      </c>
      <c r="Q38" s="25">
        <f t="shared" si="19"/>
        <v>1.2222222222222223</v>
      </c>
      <c r="R38" s="25">
        <f t="shared" si="19"/>
        <v>1.2727272727272747</v>
      </c>
      <c r="S38" s="25">
        <f t="shared" si="19"/>
        <v>1.3121387283236998</v>
      </c>
      <c r="T38" s="25"/>
      <c r="U38" s="63">
        <f t="shared" si="20"/>
        <v>207.27500000000001</v>
      </c>
      <c r="V38" s="63">
        <f t="shared" si="20"/>
        <v>209.5</v>
      </c>
      <c r="W38" s="63">
        <f t="shared" si="20"/>
        <v>211.6</v>
      </c>
      <c r="X38" s="63">
        <f t="shared" si="20"/>
        <v>213.65</v>
      </c>
      <c r="Y38" s="63"/>
      <c r="Z38" s="133">
        <f t="shared" ca="1" si="27"/>
        <v>0.66825396658642555</v>
      </c>
      <c r="AA38" s="133">
        <f t="shared" ca="1" si="21"/>
        <v>0.68027750434427325</v>
      </c>
      <c r="AB38" s="133">
        <f t="shared" ca="1" si="21"/>
        <v>0.70499864816660884</v>
      </c>
      <c r="AC38" s="133">
        <f t="shared" ca="1" si="21"/>
        <v>0.7241563332147134</v>
      </c>
      <c r="AD38" s="2"/>
      <c r="AE38" s="127">
        <f t="shared" si="28"/>
        <v>5.7952967096124297E-3</v>
      </c>
      <c r="AF38" s="127">
        <f t="shared" si="22"/>
        <v>2.9742803774126969E-2</v>
      </c>
      <c r="AG38" s="127">
        <f t="shared" si="22"/>
        <v>5.3690310838641508E-2</v>
      </c>
      <c r="AH38" s="127">
        <f t="shared" si="22"/>
        <v>7.763781790315627E-2</v>
      </c>
      <c r="AJ38" s="125">
        <f t="shared" si="29"/>
        <v>439.56043956043982</v>
      </c>
      <c r="AK38" s="125">
        <f t="shared" si="23"/>
        <v>222.22222222222223</v>
      </c>
      <c r="AL38" s="125">
        <f t="shared" si="23"/>
        <v>151.51515151515164</v>
      </c>
      <c r="AM38" s="125">
        <f t="shared" si="23"/>
        <v>115.60693641618499</v>
      </c>
      <c r="AO38" s="63">
        <f t="shared" si="30"/>
        <v>1197.8021978021991</v>
      </c>
      <c r="AP38" s="63">
        <f t="shared" si="24"/>
        <v>1222.2222222222222</v>
      </c>
      <c r="AQ38" s="63">
        <f t="shared" si="24"/>
        <v>1272.7272727272746</v>
      </c>
      <c r="AR38" s="63">
        <f t="shared" si="24"/>
        <v>1312.1387283236998</v>
      </c>
    </row>
    <row r="39" spans="1:44" x14ac:dyDescent="0.25">
      <c r="A39" s="104"/>
      <c r="B39" s="107">
        <f t="shared" si="31"/>
        <v>210</v>
      </c>
      <c r="C39" s="23">
        <f t="shared" si="25"/>
        <v>41.1</v>
      </c>
      <c r="D39" s="130">
        <f>_xll.xlqBid(CONCATENATE($A$31,B39&amp;""),tda)</f>
        <v>39.15</v>
      </c>
      <c r="E39" s="130">
        <f>_xll.xlqAsk(CONCATENATE($A$31,B39&amp;""),tda)</f>
        <v>43.050000000000004</v>
      </c>
      <c r="F39" s="55">
        <f>MAX($C39-AVERAGE(_xll.xlqBid(CONCATENATE($A$31,($B39+F$26)&amp;""),tda),_xll.xlqAsk(CONCATENATE($A$31,($B39+F$26)&amp;""),tda)),0)</f>
        <v>2.2250000000000014</v>
      </c>
      <c r="G39" s="55">
        <f>MAX($C39-AVERAGE(_xll.xlqBid(CONCATENATE($A$31,($B39+G$26)&amp;""),tda),_xll.xlqAsk(CONCATENATE($A$31,($B39+G$26)&amp;""),tda)),0)</f>
        <v>4.3249999999999957</v>
      </c>
      <c r="H39" s="55">
        <f>MAX($C39-AVERAGE(_xll.xlqBid(CONCATENATE($A$31,($B39+H$26)&amp;""),tda),_xll.xlqAsk(CONCATENATE($A$31,($B39+H$26)&amp;""),tda)),0)</f>
        <v>6.375</v>
      </c>
      <c r="I39" s="55">
        <f>MAX($C39-AVERAGE(_xll.xlqBid(CONCATENATE($A$31,($B39+I$26)&amp;""),tda),_xll.xlqAsk(CONCATENATE($A$31,($B39+I$26)&amp;""),tda)),0)</f>
        <v>8.3250000000000028</v>
      </c>
      <c r="J39" s="25"/>
      <c r="K39" s="63">
        <f t="shared" si="18"/>
        <v>2.7749999999999986</v>
      </c>
      <c r="L39" s="63">
        <f t="shared" si="18"/>
        <v>5.6750000000000043</v>
      </c>
      <c r="M39" s="63">
        <f t="shared" si="18"/>
        <v>8.625</v>
      </c>
      <c r="N39" s="63">
        <f t="shared" si="18"/>
        <v>11.674999999999997</v>
      </c>
      <c r="O39" s="25"/>
      <c r="P39" s="25">
        <f t="shared" si="26"/>
        <v>1.2471910112359537</v>
      </c>
      <c r="Q39" s="25">
        <f t="shared" si="19"/>
        <v>1.3121387283237016</v>
      </c>
      <c r="R39" s="25">
        <f t="shared" si="19"/>
        <v>1.3529411764705883</v>
      </c>
      <c r="S39" s="25">
        <f t="shared" si="19"/>
        <v>1.4024024024024015</v>
      </c>
      <c r="T39" s="25"/>
      <c r="U39" s="63">
        <f t="shared" si="20"/>
        <v>212.22499999999999</v>
      </c>
      <c r="V39" s="63">
        <f t="shared" si="20"/>
        <v>214.32499999999999</v>
      </c>
      <c r="W39" s="63">
        <f t="shared" si="20"/>
        <v>216.375</v>
      </c>
      <c r="X39" s="63">
        <f t="shared" si="20"/>
        <v>218.32499999999999</v>
      </c>
      <c r="Y39" s="63"/>
      <c r="Z39" s="133">
        <f t="shared" ca="1" si="27"/>
        <v>0.69252350298009224</v>
      </c>
      <c r="AA39" s="133">
        <f t="shared" ca="1" si="21"/>
        <v>0.72415633321471429</v>
      </c>
      <c r="AB39" s="133">
        <f t="shared" ca="1" si="21"/>
        <v>0.74387011027424133</v>
      </c>
      <c r="AC39" s="133">
        <f t="shared" ca="1" si="21"/>
        <v>0.76760765820056021</v>
      </c>
      <c r="AD39" s="2"/>
      <c r="AE39" s="127">
        <f t="shared" si="28"/>
        <v>2.9742803774126969E-2</v>
      </c>
      <c r="AF39" s="127">
        <f t="shared" si="22"/>
        <v>5.3690310838641508E-2</v>
      </c>
      <c r="AG39" s="127">
        <f t="shared" si="22"/>
        <v>7.763781790315627E-2</v>
      </c>
      <c r="AH39" s="127">
        <f t="shared" si="22"/>
        <v>0.10158532496767081</v>
      </c>
      <c r="AJ39" s="125">
        <f t="shared" si="29"/>
        <v>449.4382022471907</v>
      </c>
      <c r="AK39" s="125">
        <f t="shared" si="23"/>
        <v>231.21387283237016</v>
      </c>
      <c r="AL39" s="125">
        <f t="shared" si="23"/>
        <v>156.86274509803923</v>
      </c>
      <c r="AM39" s="125">
        <f t="shared" si="23"/>
        <v>120.12012012012008</v>
      </c>
      <c r="AO39" s="63">
        <f t="shared" si="30"/>
        <v>1247.1910112359535</v>
      </c>
      <c r="AP39" s="63">
        <f t="shared" si="24"/>
        <v>1312.1387283237016</v>
      </c>
      <c r="AQ39" s="63">
        <f t="shared" si="24"/>
        <v>1352.9411764705883</v>
      </c>
      <c r="AR39" s="63">
        <f t="shared" si="24"/>
        <v>1402.4024024024015</v>
      </c>
    </row>
    <row r="40" spans="1:44" s="77" customFormat="1" x14ac:dyDescent="0.25">
      <c r="A40" s="111"/>
      <c r="B40" s="107">
        <f t="shared" si="31"/>
        <v>215</v>
      </c>
      <c r="C40" s="108">
        <f t="shared" si="25"/>
        <v>38.875</v>
      </c>
      <c r="D40" s="131">
        <f>_xll.xlqBid(CONCATENATE($A$31,B40&amp;""),tda)</f>
        <v>36.9</v>
      </c>
      <c r="E40" s="131">
        <f>_xll.xlqAsk(CONCATENATE($A$31,B40&amp;""),tda)</f>
        <v>40.85</v>
      </c>
      <c r="F40" s="109">
        <f>MAX($C40-AVERAGE(_xll.xlqBid(CONCATENATE($A$31,($B40+F$26)&amp;""),tda),_xll.xlqAsk(CONCATENATE($A$31,($B40+F$26)&amp;""),tda)),0)</f>
        <v>2.0999999999999943</v>
      </c>
      <c r="G40" s="109">
        <f>MAX($C40-AVERAGE(_xll.xlqBid(CONCATENATE($A$31,($B40+G$26)&amp;""),tda),_xll.xlqAsk(CONCATENATE($A$31,($B40+G$26)&amp;""),tda)),0)</f>
        <v>4.1499999999999986</v>
      </c>
      <c r="H40" s="109">
        <f>MAX($C40-AVERAGE(_xll.xlqBid(CONCATENATE($A$31,($B40+H$26)&amp;""),tda),_xll.xlqAsk(CONCATENATE($A$31,($B40+H$26)&amp;""),tda)),0)</f>
        <v>6.1000000000000014</v>
      </c>
      <c r="I40" s="109">
        <f>MAX($C40-AVERAGE(_xll.xlqBid(CONCATENATE($A$31,($B40+I$26)&amp;""),tda),_xll.xlqAsk(CONCATENATE($A$31,($B40+I$26)&amp;""),tda)),0)</f>
        <v>7.9499999999999993</v>
      </c>
      <c r="J40" s="110"/>
      <c r="K40" s="76">
        <f t="shared" si="18"/>
        <v>2.9000000000000057</v>
      </c>
      <c r="L40" s="76">
        <f t="shared" si="18"/>
        <v>5.8500000000000014</v>
      </c>
      <c r="M40" s="76">
        <f t="shared" si="18"/>
        <v>8.8999999999999986</v>
      </c>
      <c r="N40" s="76">
        <f t="shared" si="18"/>
        <v>12.05</v>
      </c>
      <c r="O40" s="110"/>
      <c r="P40" s="110">
        <f t="shared" si="26"/>
        <v>1.3809523809523874</v>
      </c>
      <c r="Q40" s="110">
        <f t="shared" si="19"/>
        <v>1.4096385542168683</v>
      </c>
      <c r="R40" s="110">
        <f t="shared" si="19"/>
        <v>1.4590163934426224</v>
      </c>
      <c r="S40" s="110">
        <f t="shared" si="19"/>
        <v>1.5157232704402519</v>
      </c>
      <c r="T40" s="110"/>
      <c r="U40" s="76">
        <f t="shared" si="20"/>
        <v>217.1</v>
      </c>
      <c r="V40" s="76">
        <f t="shared" si="20"/>
        <v>219.15</v>
      </c>
      <c r="W40" s="76">
        <f t="shared" si="20"/>
        <v>221.1</v>
      </c>
      <c r="X40" s="76">
        <f t="shared" si="20"/>
        <v>222.95</v>
      </c>
      <c r="Y40" s="76"/>
      <c r="Z40" s="133">
        <f t="shared" ca="1" si="27"/>
        <v>0.75733452956840441</v>
      </c>
      <c r="AA40" s="133">
        <f t="shared" ca="1" si="21"/>
        <v>0.77106604027078229</v>
      </c>
      <c r="AB40" s="133">
        <f t="shared" ca="1" si="21"/>
        <v>0.79456899607413889</v>
      </c>
      <c r="AC40" s="133">
        <f t="shared" ca="1" si="21"/>
        <v>0.82135757954696187</v>
      </c>
      <c r="AD40" s="2"/>
      <c r="AE40" s="127">
        <f t="shared" si="28"/>
        <v>5.3690310838641508E-2</v>
      </c>
      <c r="AF40" s="127">
        <f t="shared" si="22"/>
        <v>7.763781790315627E-2</v>
      </c>
      <c r="AG40" s="127">
        <f t="shared" si="22"/>
        <v>0.10158532496767081</v>
      </c>
      <c r="AH40" s="127">
        <f t="shared" si="22"/>
        <v>0.12553283203218535</v>
      </c>
      <c r="AJ40" s="125">
        <f t="shared" si="29"/>
        <v>476.19047619047745</v>
      </c>
      <c r="AK40" s="125">
        <f t="shared" si="23"/>
        <v>240.96385542168682</v>
      </c>
      <c r="AL40" s="125">
        <f t="shared" si="23"/>
        <v>163.93442622950815</v>
      </c>
      <c r="AM40" s="125">
        <f t="shared" si="23"/>
        <v>125.78616352201259</v>
      </c>
      <c r="AO40" s="63">
        <f t="shared" si="30"/>
        <v>1380.9523809523873</v>
      </c>
      <c r="AP40" s="63">
        <f t="shared" si="24"/>
        <v>1409.6385542168682</v>
      </c>
      <c r="AQ40" s="63">
        <f t="shared" si="24"/>
        <v>1459.0163934426223</v>
      </c>
      <c r="AR40" s="63">
        <f t="shared" si="24"/>
        <v>1515.7232704402518</v>
      </c>
    </row>
    <row r="41" spans="1:44" x14ac:dyDescent="0.25">
      <c r="A41" s="80"/>
      <c r="B41" s="107">
        <f t="shared" si="31"/>
        <v>220</v>
      </c>
      <c r="C41" s="23">
        <f t="shared" si="25"/>
        <v>36.775000000000006</v>
      </c>
      <c r="D41" s="130">
        <f>_xll.xlqBid(CONCATENATE($A$31,B41&amp;""),tda)</f>
        <v>34.800000000000004</v>
      </c>
      <c r="E41" s="130">
        <f>_xll.xlqAsk(CONCATENATE($A$31,B41&amp;""),tda)</f>
        <v>38.75</v>
      </c>
      <c r="F41" s="55">
        <f>MAX($C41-AVERAGE(_xll.xlqBid(CONCATENATE($A$31,($B41+F$26)&amp;""),tda),_xll.xlqAsk(CONCATENATE($A$31,($B41+F$26)&amp;""),tda)),0)</f>
        <v>2.0500000000000043</v>
      </c>
      <c r="G41" s="55">
        <f>MAX($C41-AVERAGE(_xll.xlqBid(CONCATENATE($A$31,($B41+G$26)&amp;""),tda),_xll.xlqAsk(CONCATENATE($A$31,($B41+G$26)&amp;""),tda)),0)</f>
        <v>4.0000000000000071</v>
      </c>
      <c r="H41" s="55">
        <f>MAX($C41-AVERAGE(_xll.xlqBid(CONCATENATE($A$31,($B41+H$26)&amp;""),tda),_xll.xlqAsk(CONCATENATE($A$31,($B41+H$26)&amp;""),tda)),0)</f>
        <v>5.850000000000005</v>
      </c>
      <c r="I41" s="55">
        <f>MAX($C41-AVERAGE(_xll.xlqBid(CONCATENATE($A$31,($B41+I$26)&amp;""),tda),_xll.xlqAsk(CONCATENATE($A$31,($B41+I$26)&amp;""),tda)),0)</f>
        <v>7.6250000000000036</v>
      </c>
      <c r="J41" s="25"/>
      <c r="K41" s="63">
        <f t="shared" si="18"/>
        <v>2.9499999999999957</v>
      </c>
      <c r="L41" s="63">
        <f t="shared" si="18"/>
        <v>5.9999999999999929</v>
      </c>
      <c r="M41" s="63">
        <f t="shared" si="18"/>
        <v>9.149999999999995</v>
      </c>
      <c r="N41" s="63">
        <f t="shared" si="18"/>
        <v>12.374999999999996</v>
      </c>
      <c r="O41" s="25"/>
      <c r="P41" s="25">
        <f t="shared" si="26"/>
        <v>1.4390243902438973</v>
      </c>
      <c r="Q41" s="25">
        <f t="shared" si="19"/>
        <v>1.4999999999999956</v>
      </c>
      <c r="R41" s="25">
        <f t="shared" si="19"/>
        <v>1.5641025641025619</v>
      </c>
      <c r="S41" s="25">
        <f t="shared" si="19"/>
        <v>1.6229508196721298</v>
      </c>
      <c r="T41" s="25"/>
      <c r="U41" s="63">
        <f t="shared" si="20"/>
        <v>222.05</v>
      </c>
      <c r="V41" s="63">
        <f t="shared" si="20"/>
        <v>224</v>
      </c>
      <c r="W41" s="63">
        <f t="shared" si="20"/>
        <v>225.85</v>
      </c>
      <c r="X41" s="63">
        <f t="shared" si="20"/>
        <v>227.625</v>
      </c>
      <c r="Y41" s="63"/>
      <c r="Z41" s="133">
        <f t="shared" ca="1" si="27"/>
        <v>0.78507325545191287</v>
      </c>
      <c r="AA41" s="133">
        <f t="shared" ca="1" si="21"/>
        <v>0.81395121040061724</v>
      </c>
      <c r="AB41" s="133">
        <f t="shared" ca="1" si="21"/>
        <v>0.84404546027159433</v>
      </c>
      <c r="AC41" s="133">
        <f t="shared" ca="1" si="21"/>
        <v>0.87144184968611205</v>
      </c>
      <c r="AD41" s="2"/>
      <c r="AE41" s="127">
        <f t="shared" si="28"/>
        <v>7.763781790315627E-2</v>
      </c>
      <c r="AF41" s="127">
        <f t="shared" si="22"/>
        <v>0.10158532496767081</v>
      </c>
      <c r="AG41" s="127">
        <f t="shared" si="22"/>
        <v>0.12553283203218535</v>
      </c>
      <c r="AH41" s="127">
        <f t="shared" si="22"/>
        <v>0.14948033909669989</v>
      </c>
      <c r="AJ41" s="125">
        <f t="shared" si="29"/>
        <v>487.80487804877947</v>
      </c>
      <c r="AK41" s="125">
        <f t="shared" si="23"/>
        <v>249.99999999999955</v>
      </c>
      <c r="AL41" s="125">
        <f t="shared" si="23"/>
        <v>170.94017094017079</v>
      </c>
      <c r="AM41" s="125">
        <f t="shared" si="23"/>
        <v>131.14754098360649</v>
      </c>
      <c r="AO41" s="63">
        <f t="shared" si="30"/>
        <v>1439.0243902438974</v>
      </c>
      <c r="AP41" s="63">
        <f t="shared" si="24"/>
        <v>1499.9999999999955</v>
      </c>
      <c r="AQ41" s="63">
        <f t="shared" si="24"/>
        <v>1564.1025641025619</v>
      </c>
      <c r="AR41" s="63">
        <f t="shared" si="24"/>
        <v>1622.9508196721299</v>
      </c>
    </row>
    <row r="42" spans="1:44" x14ac:dyDescent="0.25">
      <c r="A42" s="102"/>
      <c r="B42" s="107">
        <f t="shared" si="31"/>
        <v>225</v>
      </c>
      <c r="C42" s="23">
        <f t="shared" si="25"/>
        <v>34.725000000000001</v>
      </c>
      <c r="D42" s="130">
        <f>_xll.xlqBid(CONCATENATE($A$31,B42&amp;""),tda)</f>
        <v>32.75</v>
      </c>
      <c r="E42" s="130">
        <f>_xll.xlqAsk(CONCATENATE($A$31,B42&amp;""),tda)</f>
        <v>36.700000000000003</v>
      </c>
      <c r="F42" s="55">
        <f>MAX($C42-AVERAGE(_xll.xlqBid(CONCATENATE($A$31,($B42+F$26)&amp;""),tda),_xll.xlqAsk(CONCATENATE($A$31,($B42+F$26)&amp;""),tda)),0)</f>
        <v>1.9500000000000028</v>
      </c>
      <c r="G42" s="55">
        <f>MAX($C42-AVERAGE(_xll.xlqBid(CONCATENATE($A$31,($B42+G$26)&amp;""),tda),_xll.xlqAsk(CONCATENATE($A$31,($B42+G$26)&amp;""),tda)),0)</f>
        <v>3.8000000000000007</v>
      </c>
      <c r="H42" s="55">
        <f>MAX($C42-AVERAGE(_xll.xlqBid(CONCATENATE($A$31,($B42+H$26)&amp;""),tda),_xll.xlqAsk(CONCATENATE($A$31,($B42+H$26)&amp;""),tda)),0)</f>
        <v>5.5749999999999993</v>
      </c>
      <c r="I42" s="55">
        <f>MAX($C42-AVERAGE(_xll.xlqBid(CONCATENATE($A$31,($B42+I$26)&amp;""),tda),_xll.xlqAsk(CONCATENATE($A$31,($B42+I$26)&amp;""),tda)),0)</f>
        <v>7.2749999999999986</v>
      </c>
      <c r="J42" s="25"/>
      <c r="K42" s="63">
        <f t="shared" si="18"/>
        <v>3.0499999999999972</v>
      </c>
      <c r="L42" s="63">
        <f t="shared" si="18"/>
        <v>6.1999999999999993</v>
      </c>
      <c r="M42" s="63">
        <f t="shared" si="18"/>
        <v>9.4250000000000007</v>
      </c>
      <c r="N42" s="63">
        <f t="shared" si="18"/>
        <v>12.725000000000001</v>
      </c>
      <c r="O42" s="25"/>
      <c r="P42" s="25">
        <f t="shared" si="26"/>
        <v>1.5641025641025603</v>
      </c>
      <c r="Q42" s="25">
        <f t="shared" si="19"/>
        <v>1.6315789473684206</v>
      </c>
      <c r="R42" s="25">
        <f t="shared" si="19"/>
        <v>1.690582959641256</v>
      </c>
      <c r="S42" s="25">
        <f t="shared" si="19"/>
        <v>1.7491408934707908</v>
      </c>
      <c r="T42" s="25"/>
      <c r="U42" s="63">
        <f t="shared" si="20"/>
        <v>226.95</v>
      </c>
      <c r="V42" s="63">
        <f t="shared" si="20"/>
        <v>228.8</v>
      </c>
      <c r="W42" s="63">
        <f t="shared" si="20"/>
        <v>230.57499999999999</v>
      </c>
      <c r="X42" s="63">
        <f t="shared" si="20"/>
        <v>232.27500000000001</v>
      </c>
      <c r="Y42" s="63"/>
      <c r="Z42" s="133">
        <f t="shared" ca="1" si="27"/>
        <v>0.84404546027159366</v>
      </c>
      <c r="AA42" s="133">
        <f t="shared" ca="1" si="21"/>
        <v>0.87544043983364439</v>
      </c>
      <c r="AB42" s="133">
        <f t="shared" ca="1" si="21"/>
        <v>0.90266315956760534</v>
      </c>
      <c r="AC42" s="133">
        <f t="shared" ca="1" si="21"/>
        <v>0.92947419319533586</v>
      </c>
      <c r="AD42" s="2"/>
      <c r="AE42" s="127">
        <f t="shared" si="28"/>
        <v>0.10158532496767081</v>
      </c>
      <c r="AF42" s="127">
        <f t="shared" si="22"/>
        <v>0.12553283203218535</v>
      </c>
      <c r="AG42" s="127">
        <f t="shared" si="22"/>
        <v>0.14948033909669989</v>
      </c>
      <c r="AH42" s="127">
        <f t="shared" si="22"/>
        <v>0.17342784616121443</v>
      </c>
      <c r="AJ42" s="125">
        <f t="shared" si="29"/>
        <v>512.82051282051202</v>
      </c>
      <c r="AK42" s="125">
        <f t="shared" si="23"/>
        <v>263.15789473684208</v>
      </c>
      <c r="AL42" s="125">
        <f t="shared" si="23"/>
        <v>179.37219730941706</v>
      </c>
      <c r="AM42" s="125">
        <f t="shared" si="23"/>
        <v>137.45704467353954</v>
      </c>
      <c r="AO42" s="63">
        <f t="shared" si="30"/>
        <v>1564.1025641025601</v>
      </c>
      <c r="AP42" s="63">
        <f t="shared" si="24"/>
        <v>1631.5789473684208</v>
      </c>
      <c r="AQ42" s="63">
        <f t="shared" si="24"/>
        <v>1690.5829596412559</v>
      </c>
      <c r="AR42" s="63">
        <f t="shared" si="24"/>
        <v>1749.1408934707908</v>
      </c>
    </row>
    <row r="43" spans="1:44" s="77" customFormat="1" x14ac:dyDescent="0.25">
      <c r="A43" s="111"/>
      <c r="B43" s="107">
        <f t="shared" si="31"/>
        <v>230</v>
      </c>
      <c r="C43" s="108">
        <f t="shared" si="25"/>
        <v>32.774999999999999</v>
      </c>
      <c r="D43" s="131">
        <f>_xll.xlqBid(CONCATENATE($A$31,B43&amp;""),tda)</f>
        <v>30.8</v>
      </c>
      <c r="E43" s="131">
        <f>_xll.xlqAsk(CONCATENATE($A$31,B43&amp;""),tda)</f>
        <v>34.75</v>
      </c>
      <c r="F43" s="109">
        <f>MAX($C43-AVERAGE(_xll.xlqBid(CONCATENATE($A$31,($B43+F$26)&amp;""),tda),_xll.xlqAsk(CONCATENATE($A$31,($B43+F$26)&amp;""),tda)),0)</f>
        <v>1.8499999999999979</v>
      </c>
      <c r="G43" s="109">
        <f>MAX($C43-AVERAGE(_xll.xlqBid(CONCATENATE($A$31,($B43+G$26)&amp;""),tda),_xll.xlqAsk(CONCATENATE($A$31,($B43+G$26)&amp;""),tda)),0)</f>
        <v>3.6249999999999964</v>
      </c>
      <c r="H43" s="109">
        <f>MAX($C43-AVERAGE(_xll.xlqBid(CONCATENATE($A$31,($B43+H$26)&amp;""),tda),_xll.xlqAsk(CONCATENATE($A$31,($B43+H$26)&amp;""),tda)),0)</f>
        <v>5.3249999999999957</v>
      </c>
      <c r="I43" s="109">
        <f>MAX($C43-AVERAGE(_xll.xlqBid(CONCATENATE($A$31,($B43+I$26)&amp;""),tda),_xll.xlqAsk(CONCATENATE($A$31,($B43+I$26)&amp;""),tda)),0)</f>
        <v>6.9499999999999957</v>
      </c>
      <c r="J43" s="110"/>
      <c r="K43" s="76">
        <f t="shared" si="18"/>
        <v>3.1500000000000021</v>
      </c>
      <c r="L43" s="76">
        <f t="shared" si="18"/>
        <v>6.3750000000000036</v>
      </c>
      <c r="M43" s="76">
        <f t="shared" si="18"/>
        <v>9.6750000000000043</v>
      </c>
      <c r="N43" s="76">
        <f t="shared" si="18"/>
        <v>13.050000000000004</v>
      </c>
      <c r="O43" s="110"/>
      <c r="P43" s="110">
        <f t="shared" si="26"/>
        <v>1.7027027027027057</v>
      </c>
      <c r="Q43" s="110">
        <f t="shared" si="19"/>
        <v>1.758620689655175</v>
      </c>
      <c r="R43" s="110">
        <f t="shared" si="19"/>
        <v>1.8169014084507065</v>
      </c>
      <c r="S43" s="110">
        <f t="shared" si="19"/>
        <v>1.8776978417266206</v>
      </c>
      <c r="T43" s="110"/>
      <c r="U43" s="76">
        <f t="shared" si="20"/>
        <v>231.85</v>
      </c>
      <c r="V43" s="76">
        <f t="shared" si="20"/>
        <v>233.625</v>
      </c>
      <c r="W43" s="76">
        <f t="shared" si="20"/>
        <v>235.32499999999999</v>
      </c>
      <c r="X43" s="76">
        <f t="shared" si="20"/>
        <v>236.95</v>
      </c>
      <c r="Y43" s="76"/>
      <c r="Z43" s="133">
        <f t="shared" ca="1" si="27"/>
        <v>0.90822887458556467</v>
      </c>
      <c r="AA43" s="133">
        <f t="shared" ca="1" si="27"/>
        <v>0.93379567880914793</v>
      </c>
      <c r="AB43" s="133">
        <f t="shared" ca="1" si="27"/>
        <v>0.96025041848165005</v>
      </c>
      <c r="AC43" s="133">
        <f t="shared" ca="1" si="27"/>
        <v>0.9876436879844952</v>
      </c>
      <c r="AD43" s="2"/>
      <c r="AE43" s="127">
        <f t="shared" si="28"/>
        <v>0.12553283203218535</v>
      </c>
      <c r="AF43" s="127">
        <f t="shared" si="28"/>
        <v>0.14948033909669989</v>
      </c>
      <c r="AG43" s="127">
        <f t="shared" si="28"/>
        <v>0.17342784616121443</v>
      </c>
      <c r="AH43" s="127">
        <f t="shared" si="28"/>
        <v>0.19737535322572919</v>
      </c>
      <c r="AJ43" s="125">
        <f t="shared" si="29"/>
        <v>540.5405405405412</v>
      </c>
      <c r="AK43" s="125">
        <f t="shared" si="23"/>
        <v>275.86206896551749</v>
      </c>
      <c r="AL43" s="125">
        <f t="shared" si="23"/>
        <v>187.79342723004709</v>
      </c>
      <c r="AM43" s="125">
        <f t="shared" si="23"/>
        <v>143.88489208633104</v>
      </c>
      <c r="AO43" s="63">
        <f t="shared" si="30"/>
        <v>1702.7027027027059</v>
      </c>
      <c r="AP43" s="63">
        <f t="shared" si="24"/>
        <v>1758.6206896551751</v>
      </c>
      <c r="AQ43" s="63">
        <f t="shared" si="24"/>
        <v>1816.9014084507064</v>
      </c>
      <c r="AR43" s="63">
        <f t="shared" si="24"/>
        <v>1877.6978417266207</v>
      </c>
    </row>
    <row r="44" spans="1:44" x14ac:dyDescent="0.25">
      <c r="A44" s="101"/>
      <c r="B44" s="107">
        <f t="shared" si="31"/>
        <v>235</v>
      </c>
      <c r="C44" s="23">
        <f t="shared" si="25"/>
        <v>30.925000000000001</v>
      </c>
      <c r="D44" s="130">
        <f>_xll.xlqBid(CONCATENATE($A$31,B44&amp;""),tda)</f>
        <v>28.950000000000003</v>
      </c>
      <c r="E44" s="130">
        <f>_xll.xlqAsk(CONCATENATE($A$31,B44&amp;""),tda)</f>
        <v>32.9</v>
      </c>
      <c r="F44" s="55">
        <f>MAX($C44-AVERAGE(_xll.xlqBid(CONCATENATE($A$31,($B44+F$26)&amp;""),tda),_xll.xlqAsk(CONCATENATE($A$31,($B44+F$26)&amp;""),tda)),0)</f>
        <v>1.7749999999999986</v>
      </c>
      <c r="G44" s="55">
        <f>MAX($C44-AVERAGE(_xll.xlqBid(CONCATENATE($A$31,($B44+G$26)&amp;""),tda),_xll.xlqAsk(CONCATENATE($A$31,($B44+G$26)&amp;""),tda)),0)</f>
        <v>3.4749999999999979</v>
      </c>
      <c r="H44" s="55">
        <f>MAX($C44-AVERAGE(_xll.xlqBid(CONCATENATE($A$31,($B44+H$26)&amp;""),tda),_xll.xlqAsk(CONCATENATE($A$31,($B44+H$26)&amp;""),tda)),0)</f>
        <v>5.0999999999999979</v>
      </c>
      <c r="I44" s="55">
        <f>MAX($C44-AVERAGE(_xll.xlqBid(CONCATENATE($A$31,($B44+I$26)&amp;""),tda),_xll.xlqAsk(CONCATENATE($A$31,($B44+I$26)&amp;""),tda)),0)</f>
        <v>6.5999999999999979</v>
      </c>
      <c r="J44" s="25"/>
      <c r="K44" s="63">
        <f t="shared" si="18"/>
        <v>3.2250000000000014</v>
      </c>
      <c r="L44" s="63">
        <f t="shared" si="18"/>
        <v>6.5250000000000021</v>
      </c>
      <c r="M44" s="63">
        <f t="shared" si="18"/>
        <v>9.9000000000000021</v>
      </c>
      <c r="N44" s="63">
        <f t="shared" si="18"/>
        <v>13.400000000000002</v>
      </c>
      <c r="O44" s="25"/>
      <c r="P44" s="25">
        <f t="shared" si="26"/>
        <v>1.8169014084507065</v>
      </c>
      <c r="Q44" s="25">
        <f t="shared" si="19"/>
        <v>1.8776978417266206</v>
      </c>
      <c r="R44" s="25">
        <f t="shared" si="19"/>
        <v>1.9411764705882366</v>
      </c>
      <c r="S44" s="25">
        <f t="shared" si="19"/>
        <v>2.0303030303030312</v>
      </c>
      <c r="T44" s="25"/>
      <c r="U44" s="63">
        <f t="shared" si="20"/>
        <v>236.77500000000001</v>
      </c>
      <c r="V44" s="63">
        <f t="shared" si="20"/>
        <v>238.47499999999999</v>
      </c>
      <c r="W44" s="63">
        <f t="shared" si="20"/>
        <v>240.1</v>
      </c>
      <c r="X44" s="63">
        <f t="shared" si="20"/>
        <v>241.6</v>
      </c>
      <c r="Y44" s="63"/>
      <c r="Z44" s="133">
        <f t="shared" ca="1" si="27"/>
        <v>0.96025041848165005</v>
      </c>
      <c r="AA44" s="133">
        <f t="shared" ca="1" si="27"/>
        <v>0.9876436879844952</v>
      </c>
      <c r="AB44" s="133">
        <f t="shared" ca="1" si="27"/>
        <v>1.0160301397788896</v>
      </c>
      <c r="AC44" s="133">
        <f t="shared" ca="1" si="27"/>
        <v>1.0555266047521195</v>
      </c>
      <c r="AD44" s="2"/>
      <c r="AE44" s="127">
        <f t="shared" si="28"/>
        <v>0.14948033909669989</v>
      </c>
      <c r="AF44" s="127">
        <f t="shared" si="28"/>
        <v>0.17342784616121443</v>
      </c>
      <c r="AG44" s="127">
        <f t="shared" si="28"/>
        <v>0.19737535322572919</v>
      </c>
      <c r="AH44" s="127">
        <f t="shared" si="28"/>
        <v>0.22132286029024373</v>
      </c>
      <c r="AJ44" s="125">
        <f t="shared" si="29"/>
        <v>563.38028169014126</v>
      </c>
      <c r="AK44" s="125">
        <f t="shared" si="23"/>
        <v>287.76978417266207</v>
      </c>
      <c r="AL44" s="125">
        <f t="shared" si="23"/>
        <v>196.07843137254909</v>
      </c>
      <c r="AM44" s="125">
        <f t="shared" si="23"/>
        <v>151.51515151515156</v>
      </c>
      <c r="AO44" s="63">
        <f t="shared" si="30"/>
        <v>1816.9014084507064</v>
      </c>
      <c r="AP44" s="63">
        <f t="shared" si="24"/>
        <v>1877.6978417266207</v>
      </c>
      <c r="AQ44" s="63">
        <f t="shared" si="24"/>
        <v>1941.1764705882365</v>
      </c>
      <c r="AR44" s="63">
        <f t="shared" si="24"/>
        <v>2030.3030303030312</v>
      </c>
    </row>
    <row r="45" spans="1:44" x14ac:dyDescent="0.25">
      <c r="A45" s="102"/>
      <c r="B45" s="107">
        <f t="shared" si="31"/>
        <v>240</v>
      </c>
      <c r="C45" s="23">
        <f t="shared" si="25"/>
        <v>29.150000000000002</v>
      </c>
      <c r="D45" s="130">
        <f>_xll.xlqBid(CONCATENATE($A$31,B45&amp;""),tda)</f>
        <v>27.200000000000003</v>
      </c>
      <c r="E45" s="130">
        <f>_xll.xlqAsk(CONCATENATE($A$31,B45&amp;""),tda)</f>
        <v>31.1</v>
      </c>
      <c r="F45" s="55">
        <f>MAX($C45-AVERAGE(_xll.xlqBid(CONCATENATE($A$31,($B45+F$26)&amp;""),tda),_xll.xlqAsk(CONCATENATE($A$31,($B45+F$26)&amp;""),tda)),0)</f>
        <v>1.6999999999999993</v>
      </c>
      <c r="G45" s="55">
        <f>MAX($C45-AVERAGE(_xll.xlqBid(CONCATENATE($A$31,($B45+G$26)&amp;""),tda),_xll.xlqAsk(CONCATENATE($A$31,($B45+G$26)&amp;""),tda)),0)</f>
        <v>3.3249999999999993</v>
      </c>
      <c r="H45" s="55">
        <f>MAX($C45-AVERAGE(_xll.xlqBid(CONCATENATE($A$31,($B45+H$26)&amp;""),tda),_xll.xlqAsk(CONCATENATE($A$31,($B45+H$26)&amp;""),tda)),0)</f>
        <v>4.8249999999999993</v>
      </c>
      <c r="I45" s="55">
        <f>MAX($C45-AVERAGE(_xll.xlqBid(CONCATENATE($A$31,($B45+I$26)&amp;""),tda),_xll.xlqAsk(CONCATENATE($A$31,($B45+I$26)&amp;""),tda)),0)</f>
        <v>6.2750000000000021</v>
      </c>
      <c r="J45" s="25"/>
      <c r="K45" s="63">
        <f t="shared" si="18"/>
        <v>3.3000000000000007</v>
      </c>
      <c r="L45" s="63">
        <f t="shared" si="18"/>
        <v>6.6750000000000007</v>
      </c>
      <c r="M45" s="63">
        <f t="shared" si="18"/>
        <v>10.175000000000001</v>
      </c>
      <c r="N45" s="63">
        <f t="shared" si="18"/>
        <v>13.724999999999998</v>
      </c>
      <c r="O45" s="25"/>
      <c r="P45" s="25">
        <f t="shared" si="26"/>
        <v>1.9411764705882366</v>
      </c>
      <c r="Q45" s="25">
        <f t="shared" si="19"/>
        <v>2.0075187969924819</v>
      </c>
      <c r="R45" s="25">
        <f t="shared" si="19"/>
        <v>2.1088082901554408</v>
      </c>
      <c r="S45" s="25">
        <f t="shared" si="19"/>
        <v>2.1872509960159352</v>
      </c>
      <c r="T45" s="25"/>
      <c r="U45" s="63">
        <f t="shared" si="20"/>
        <v>241.7</v>
      </c>
      <c r="V45" s="63">
        <f t="shared" si="20"/>
        <v>243.32499999999999</v>
      </c>
      <c r="W45" s="63">
        <f t="shared" si="20"/>
        <v>244.82499999999999</v>
      </c>
      <c r="X45" s="63">
        <f t="shared" si="20"/>
        <v>246.27500000000001</v>
      </c>
      <c r="Y45" s="63"/>
      <c r="Z45" s="133">
        <f t="shared" ca="1" si="27"/>
        <v>1.0160301397788896</v>
      </c>
      <c r="AA45" s="133">
        <f t="shared" ca="1" si="27"/>
        <v>1.045468908397984</v>
      </c>
      <c r="AB45" s="133">
        <f t="shared" ca="1" si="27"/>
        <v>1.0899805132256466</v>
      </c>
      <c r="AC45" s="133">
        <f t="shared" ca="1" si="27"/>
        <v>1.1241040385375252</v>
      </c>
      <c r="AD45" s="2"/>
      <c r="AE45" s="127">
        <f t="shared" si="28"/>
        <v>0.17342784616121443</v>
      </c>
      <c r="AF45" s="127">
        <f t="shared" si="28"/>
        <v>0.19737535322572919</v>
      </c>
      <c r="AG45" s="127">
        <f t="shared" si="28"/>
        <v>0.22132286029024373</v>
      </c>
      <c r="AH45" s="127">
        <f t="shared" si="28"/>
        <v>0.24527036735475827</v>
      </c>
      <c r="AJ45" s="125">
        <f t="shared" si="29"/>
        <v>588.2352941176473</v>
      </c>
      <c r="AK45" s="125">
        <f t="shared" si="23"/>
        <v>300.75187969924821</v>
      </c>
      <c r="AL45" s="125">
        <f t="shared" si="23"/>
        <v>207.25388601036272</v>
      </c>
      <c r="AM45" s="125">
        <f t="shared" si="23"/>
        <v>159.36254980079676</v>
      </c>
      <c r="AO45" s="63">
        <f t="shared" si="30"/>
        <v>1941.1764705882365</v>
      </c>
      <c r="AP45" s="63">
        <f t="shared" si="24"/>
        <v>2007.5187969924821</v>
      </c>
      <c r="AQ45" s="63">
        <f t="shared" si="24"/>
        <v>2108.8082901554408</v>
      </c>
      <c r="AR45" s="63">
        <f t="shared" si="24"/>
        <v>2187.250996015935</v>
      </c>
    </row>
    <row r="46" spans="1:44" s="77" customFormat="1" x14ac:dyDescent="0.25">
      <c r="A46" s="106"/>
      <c r="B46" s="107">
        <f t="shared" si="31"/>
        <v>245</v>
      </c>
      <c r="C46" s="108">
        <f t="shared" si="25"/>
        <v>27.450000000000003</v>
      </c>
      <c r="D46" s="131">
        <f>_xll.xlqBid(CONCATENATE($A$31,B46&amp;""),tda)</f>
        <v>25.5</v>
      </c>
      <c r="E46" s="131">
        <f>_xll.xlqAsk(CONCATENATE($A$31,B46&amp;""),tda)</f>
        <v>29.400000000000002</v>
      </c>
      <c r="F46" s="109">
        <f>MAX($C46-AVERAGE(_xll.xlqBid(CONCATENATE($A$31,($B46+F$26)&amp;""),tda),_xll.xlqAsk(CONCATENATE($A$31,($B46+F$26)&amp;""),tda)),0)</f>
        <v>1.625</v>
      </c>
      <c r="G46" s="109">
        <f>MAX($C46-AVERAGE(_xll.xlqBid(CONCATENATE($A$31,($B46+G$26)&amp;""),tda),_xll.xlqAsk(CONCATENATE($A$31,($B46+G$26)&amp;""),tda)),0)</f>
        <v>3.125</v>
      </c>
      <c r="H46" s="109">
        <f>MAX($C46-AVERAGE(_xll.xlqBid(CONCATENATE($A$31,($B46+H$26)&amp;""),tda),_xll.xlqAsk(CONCATENATE($A$31,($B46+H$26)&amp;""),tda)),0)</f>
        <v>4.5750000000000028</v>
      </c>
      <c r="I46" s="109">
        <f>MAX($C46-AVERAGE(_xll.xlqBid(CONCATENATE($A$31,($B46+I$26)&amp;""),tda),_xll.xlqAsk(CONCATENATE($A$31,($B46+I$26)&amp;""),tda)),0)</f>
        <v>5.9500000000000028</v>
      </c>
      <c r="J46" s="110"/>
      <c r="K46" s="76">
        <f t="shared" si="18"/>
        <v>3.375</v>
      </c>
      <c r="L46" s="76">
        <f t="shared" si="18"/>
        <v>6.875</v>
      </c>
      <c r="M46" s="76">
        <f t="shared" si="18"/>
        <v>10.424999999999997</v>
      </c>
      <c r="N46" s="76">
        <f t="shared" si="18"/>
        <v>14.049999999999997</v>
      </c>
      <c r="O46" s="110"/>
      <c r="P46" s="110">
        <f t="shared" si="26"/>
        <v>2.0769230769230771</v>
      </c>
      <c r="Q46" s="110">
        <f t="shared" si="19"/>
        <v>2.2000000000000002</v>
      </c>
      <c r="R46" s="110">
        <f t="shared" si="19"/>
        <v>2.2786885245901618</v>
      </c>
      <c r="S46" s="110">
        <f t="shared" si="19"/>
        <v>2.3613445378151243</v>
      </c>
      <c r="T46" s="110"/>
      <c r="U46" s="76">
        <f t="shared" si="20"/>
        <v>246.625</v>
      </c>
      <c r="V46" s="76">
        <f t="shared" si="20"/>
        <v>248.125</v>
      </c>
      <c r="W46" s="76">
        <f t="shared" si="20"/>
        <v>249.57499999999999</v>
      </c>
      <c r="X46" s="76">
        <f t="shared" si="20"/>
        <v>250.95</v>
      </c>
      <c r="Y46" s="76"/>
      <c r="Z46" s="133">
        <f t="shared" ca="1" si="27"/>
        <v>1.0760240895031248</v>
      </c>
      <c r="AA46" s="133">
        <f t="shared" ca="1" si="27"/>
        <v>1.1296220937495782</v>
      </c>
      <c r="AB46" s="133">
        <f t="shared" ca="1" si="27"/>
        <v>1.1635115778304326</v>
      </c>
      <c r="AC46" s="133">
        <f t="shared" ca="1" si="27"/>
        <v>1.1988045483741088</v>
      </c>
      <c r="AD46" s="2"/>
      <c r="AE46" s="127">
        <f t="shared" si="28"/>
        <v>0.19737535322572919</v>
      </c>
      <c r="AF46" s="127">
        <f t="shared" si="28"/>
        <v>0.22132286029024373</v>
      </c>
      <c r="AG46" s="127">
        <f t="shared" si="28"/>
        <v>0.24527036735475827</v>
      </c>
      <c r="AH46" s="127">
        <f t="shared" si="28"/>
        <v>0.26921787441927281</v>
      </c>
      <c r="AJ46" s="125">
        <f t="shared" si="29"/>
        <v>615.38461538461536</v>
      </c>
      <c r="AK46" s="125">
        <f t="shared" si="23"/>
        <v>320</v>
      </c>
      <c r="AL46" s="125">
        <f t="shared" si="23"/>
        <v>218.57923497267745</v>
      </c>
      <c r="AM46" s="125">
        <f t="shared" si="23"/>
        <v>168.06722689075622</v>
      </c>
      <c r="AO46" s="63">
        <f t="shared" si="30"/>
        <v>2076.9230769230767</v>
      </c>
      <c r="AP46" s="63">
        <f t="shared" si="24"/>
        <v>2200</v>
      </c>
      <c r="AQ46" s="63">
        <f t="shared" si="24"/>
        <v>2278.6885245901617</v>
      </c>
      <c r="AR46" s="63">
        <f t="shared" si="24"/>
        <v>2361.3445378151246</v>
      </c>
    </row>
    <row r="47" spans="1:44" x14ac:dyDescent="0.25">
      <c r="A47" s="37"/>
      <c r="B47" s="107">
        <f t="shared" si="31"/>
        <v>250</v>
      </c>
      <c r="C47" s="23">
        <f t="shared" si="25"/>
        <v>25.825000000000003</v>
      </c>
      <c r="D47" s="130">
        <f>_xll.xlqBid(CONCATENATE($A$31,B47&amp;""),tda)</f>
        <v>23.900000000000002</v>
      </c>
      <c r="E47" s="130">
        <f>_xll.xlqAsk(CONCATENATE($A$31,B47&amp;""),tda)</f>
        <v>27.75</v>
      </c>
      <c r="F47" s="55">
        <f>MAX($C47-AVERAGE(_xll.xlqBid(CONCATENATE($A$31,($B47+F$26)&amp;""),tda),_xll.xlqAsk(CONCATENATE($A$31,($B47+F$26)&amp;""),tda)),0)</f>
        <v>1.5</v>
      </c>
      <c r="G47" s="55">
        <f>MAX($C47-AVERAGE(_xll.xlqBid(CONCATENATE($A$31,($B47+G$26)&amp;""),tda),_xll.xlqAsk(CONCATENATE($A$31,($B47+G$26)&amp;""),tda)),0)</f>
        <v>2.9500000000000028</v>
      </c>
      <c r="H47" s="55">
        <f>MAX($C47-AVERAGE(_xll.xlqBid(CONCATENATE($A$31,($B47+H$26)&amp;""),tda),_xll.xlqAsk(CONCATENATE($A$31,($B47+H$26)&amp;""),tda)),0)</f>
        <v>4.3250000000000028</v>
      </c>
      <c r="I47" s="55">
        <f>MAX($C47-AVERAGE(_xll.xlqBid(CONCATENATE($A$31,($B47+I$26)&amp;""),tda),_xll.xlqAsk(CONCATENATE($A$31,($B47+I$26)&amp;""),tda)),0)</f>
        <v>5.625</v>
      </c>
      <c r="J47" s="25"/>
      <c r="K47" s="63">
        <f t="shared" si="18"/>
        <v>3.5</v>
      </c>
      <c r="L47" s="63">
        <f t="shared" si="18"/>
        <v>7.0499999999999972</v>
      </c>
      <c r="M47" s="63">
        <f t="shared" si="18"/>
        <v>10.674999999999997</v>
      </c>
      <c r="N47" s="63">
        <f t="shared" si="18"/>
        <v>14.375</v>
      </c>
      <c r="O47" s="25"/>
      <c r="P47" s="25">
        <f t="shared" si="26"/>
        <v>2.3333333333333335</v>
      </c>
      <c r="Q47" s="25">
        <f t="shared" si="19"/>
        <v>2.389830508474573</v>
      </c>
      <c r="R47" s="25">
        <f t="shared" si="19"/>
        <v>2.468208092485547</v>
      </c>
      <c r="S47" s="25">
        <f t="shared" si="19"/>
        <v>2.5555555555555554</v>
      </c>
      <c r="T47" s="25"/>
      <c r="U47" s="63">
        <f t="shared" si="20"/>
        <v>251.5</v>
      </c>
      <c r="V47" s="63">
        <f t="shared" si="20"/>
        <v>252.95</v>
      </c>
      <c r="W47" s="63">
        <f t="shared" si="20"/>
        <v>254.32499999999999</v>
      </c>
      <c r="X47" s="63">
        <f t="shared" si="20"/>
        <v>255.625</v>
      </c>
      <c r="Y47" s="63"/>
      <c r="Z47" s="133">
        <f t="shared" ca="1" si="27"/>
        <v>1.1868785507309276</v>
      </c>
      <c r="AA47" s="133">
        <f t="shared" ca="1" si="27"/>
        <v>1.2108970527729208</v>
      </c>
      <c r="AB47" s="133">
        <f t="shared" ca="1" si="27"/>
        <v>1.2439867780563918</v>
      </c>
      <c r="AC47" s="133">
        <f t="shared" ca="1" si="27"/>
        <v>1.2805565285993015</v>
      </c>
      <c r="AD47" s="2"/>
      <c r="AE47" s="127">
        <f t="shared" si="28"/>
        <v>0.22132286029024373</v>
      </c>
      <c r="AF47" s="127">
        <f t="shared" si="28"/>
        <v>0.24527036735475827</v>
      </c>
      <c r="AG47" s="127">
        <f t="shared" si="28"/>
        <v>0.26921787441927281</v>
      </c>
      <c r="AH47" s="127">
        <f t="shared" si="28"/>
        <v>0.29316538148378735</v>
      </c>
      <c r="AJ47" s="125">
        <f t="shared" si="29"/>
        <v>666.66666666666663</v>
      </c>
      <c r="AK47" s="125">
        <f t="shared" si="23"/>
        <v>338.98305084745732</v>
      </c>
      <c r="AL47" s="125">
        <f t="shared" si="23"/>
        <v>231.21387283236979</v>
      </c>
      <c r="AM47" s="125">
        <f t="shared" si="23"/>
        <v>177.77777777777777</v>
      </c>
      <c r="AO47" s="63">
        <f t="shared" si="30"/>
        <v>2333.333333333333</v>
      </c>
      <c r="AP47" s="63">
        <f t="shared" si="24"/>
        <v>2389.830508474573</v>
      </c>
      <c r="AQ47" s="63">
        <f t="shared" si="24"/>
        <v>2468.2080924855468</v>
      </c>
      <c r="AR47" s="63">
        <f t="shared" si="24"/>
        <v>2555.5555555555557</v>
      </c>
    </row>
    <row r="49" spans="1:44" x14ac:dyDescent="0.25">
      <c r="A49" s="176"/>
      <c r="B49" s="13"/>
      <c r="C49" s="13"/>
      <c r="D49" s="117"/>
      <c r="E49" s="117"/>
      <c r="F49" s="262" t="s">
        <v>100</v>
      </c>
      <c r="G49" s="262"/>
      <c r="H49" s="262"/>
      <c r="I49" s="262"/>
      <c r="J49" s="13"/>
      <c r="K49" s="262" t="s">
        <v>99</v>
      </c>
      <c r="L49" s="262"/>
      <c r="M49" s="262"/>
      <c r="N49" s="262"/>
      <c r="O49" s="13"/>
      <c r="P49" s="262" t="s">
        <v>98</v>
      </c>
      <c r="Q49" s="262"/>
      <c r="R49" s="262"/>
      <c r="S49" s="262"/>
      <c r="T49" s="13"/>
      <c r="U49" s="262" t="s">
        <v>97</v>
      </c>
      <c r="V49" s="262"/>
      <c r="W49" s="262"/>
      <c r="X49" s="262"/>
      <c r="Y49" s="176"/>
      <c r="Z49" s="263" t="s">
        <v>107</v>
      </c>
      <c r="AA49" s="262"/>
      <c r="AB49" s="262"/>
      <c r="AC49" s="262"/>
      <c r="AD49" s="176"/>
      <c r="AE49" s="176"/>
      <c r="AF49" s="176"/>
      <c r="AG49" s="176"/>
      <c r="AH49" s="176"/>
      <c r="AJ49" s="262" t="s">
        <v>104</v>
      </c>
      <c r="AK49" s="262"/>
      <c r="AL49" s="262"/>
      <c r="AM49" s="262"/>
      <c r="AN49" s="13"/>
      <c r="AO49" s="262" t="s">
        <v>105</v>
      </c>
      <c r="AP49" s="262"/>
      <c r="AQ49" s="262"/>
      <c r="AR49" s="262"/>
    </row>
    <row r="50" spans="1:44" x14ac:dyDescent="0.25">
      <c r="A50" s="99" t="str">
        <f>A2</f>
        <v>NVDA</v>
      </c>
      <c r="B50" s="13" t="s">
        <v>95</v>
      </c>
      <c r="C50" s="20" t="s">
        <v>96</v>
      </c>
      <c r="D50" s="129" t="s">
        <v>64</v>
      </c>
      <c r="E50" s="129" t="s">
        <v>65</v>
      </c>
      <c r="F50" s="21">
        <v>5</v>
      </c>
      <c r="G50" s="21">
        <v>10</v>
      </c>
      <c r="H50" s="21">
        <v>15</v>
      </c>
      <c r="I50" s="21">
        <v>20</v>
      </c>
      <c r="J50" s="21"/>
      <c r="K50" s="21">
        <f>F50</f>
        <v>5</v>
      </c>
      <c r="L50" s="21">
        <f t="shared" ref="L50:X50" si="32">G50</f>
        <v>10</v>
      </c>
      <c r="M50" s="21">
        <f t="shared" si="32"/>
        <v>15</v>
      </c>
      <c r="N50" s="21">
        <f t="shared" si="32"/>
        <v>20</v>
      </c>
      <c r="O50" s="21"/>
      <c r="P50" s="21">
        <f t="shared" si="32"/>
        <v>5</v>
      </c>
      <c r="Q50" s="21">
        <f t="shared" si="32"/>
        <v>10</v>
      </c>
      <c r="R50" s="21">
        <f t="shared" si="32"/>
        <v>15</v>
      </c>
      <c r="S50" s="21">
        <f t="shared" si="32"/>
        <v>20</v>
      </c>
      <c r="T50" s="21"/>
      <c r="U50" s="21">
        <f t="shared" si="32"/>
        <v>5</v>
      </c>
      <c r="V50" s="21">
        <f t="shared" si="32"/>
        <v>10</v>
      </c>
      <c r="W50" s="21">
        <f t="shared" si="32"/>
        <v>15</v>
      </c>
      <c r="X50" s="21">
        <f t="shared" si="32"/>
        <v>20</v>
      </c>
      <c r="Y50" s="21"/>
      <c r="Z50" s="132">
        <f>U50</f>
        <v>5</v>
      </c>
      <c r="AA50" s="132">
        <f>V50</f>
        <v>10</v>
      </c>
      <c r="AB50" s="132">
        <f>W50</f>
        <v>15</v>
      </c>
      <c r="AC50" s="132">
        <f>X50</f>
        <v>20</v>
      </c>
      <c r="AD50" s="132"/>
      <c r="AE50" s="132">
        <f>Z50</f>
        <v>5</v>
      </c>
      <c r="AF50" s="132">
        <f>AA50</f>
        <v>10</v>
      </c>
      <c r="AG50" s="132">
        <f>AB50</f>
        <v>15</v>
      </c>
      <c r="AH50" s="132">
        <f>AC50</f>
        <v>20</v>
      </c>
      <c r="AJ50" s="21">
        <f>U50</f>
        <v>5</v>
      </c>
      <c r="AK50" s="21">
        <f>V50</f>
        <v>10</v>
      </c>
      <c r="AL50" s="21">
        <f>W50</f>
        <v>15</v>
      </c>
      <c r="AM50" s="21">
        <f>X50</f>
        <v>20</v>
      </c>
      <c r="AO50" s="21">
        <f>AJ50</f>
        <v>5</v>
      </c>
      <c r="AP50" s="21">
        <f>AK50</f>
        <v>10</v>
      </c>
      <c r="AQ50" s="21">
        <f>AL50</f>
        <v>15</v>
      </c>
      <c r="AR50" s="21">
        <f>AM50</f>
        <v>20</v>
      </c>
    </row>
    <row r="51" spans="1:44" x14ac:dyDescent="0.25">
      <c r="A51" s="100">
        <f>_xll.xlqPrice(A50,"TDA")</f>
        <v>208.79000000000002</v>
      </c>
      <c r="B51" s="21">
        <f>B27</f>
        <v>150</v>
      </c>
      <c r="C51" s="23">
        <f>AVERAGE(D51,E51)</f>
        <v>71.775000000000006</v>
      </c>
      <c r="D51" s="130">
        <f>_xll.xlqBid(CONCATENATE($A$55,B51&amp;""),tda)</f>
        <v>71.5</v>
      </c>
      <c r="E51" s="130">
        <f>_xll.xlqAsk(CONCATENATE($A$55,B51&amp;""),tda)</f>
        <v>72.05</v>
      </c>
      <c r="F51" s="55">
        <f>MAX($C51-AVERAGE(_xll.xlqBid(CONCATENATE($A$55,($B51+F$50)&amp;""),tda),_xll.xlqAsk(CONCATENATE($A$55,($B51+F$50)&amp;""),tda)),0)</f>
        <v>3.625</v>
      </c>
      <c r="G51" s="55">
        <f>MAX($C51-AVERAGE(_xll.xlqBid(CONCATENATE($A$55,($B51+G$50)&amp;""),tda),_xll.xlqAsk(CONCATENATE($A$55,($B51+G$50)&amp;""),tda)),0)</f>
        <v>6.9000000000000057</v>
      </c>
      <c r="H51" s="55">
        <f>MAX($C51-AVERAGE(_xll.xlqBid(CONCATENATE($A$55,($B51+H$50)&amp;""),tda),_xll.xlqAsk(CONCATENATE($A$55,($B51+H$50)&amp;""),tda)),0)</f>
        <v>10.600000000000001</v>
      </c>
      <c r="I51" s="55">
        <f>MAX($C51-AVERAGE(_xll.xlqBid(CONCATENATE($A$55,($B51+I$50)&amp;""),tda),_xll.xlqAsk(CONCATENATE($A$55,($B51+I$50)&amp;""),tda)),0)</f>
        <v>13.900000000000006</v>
      </c>
      <c r="J51" s="25"/>
      <c r="K51" s="63">
        <f t="shared" ref="K51:N71" si="33">K$50-F51</f>
        <v>1.375</v>
      </c>
      <c r="L51" s="63">
        <f t="shared" si="33"/>
        <v>3.0999999999999943</v>
      </c>
      <c r="M51" s="63">
        <f t="shared" si="33"/>
        <v>4.3999999999999986</v>
      </c>
      <c r="N51" s="63">
        <f t="shared" si="33"/>
        <v>6.0999999999999943</v>
      </c>
      <c r="O51" s="25"/>
      <c r="P51" s="25">
        <f>K51/F51</f>
        <v>0.37931034482758619</v>
      </c>
      <c r="Q51" s="25">
        <f t="shared" ref="Q51:S71" si="34">L51/G51</f>
        <v>0.44927536231883941</v>
      </c>
      <c r="R51" s="25">
        <f t="shared" si="34"/>
        <v>0.41509433962264131</v>
      </c>
      <c r="S51" s="25">
        <f t="shared" si="34"/>
        <v>0.43884892086330879</v>
      </c>
      <c r="T51" s="25"/>
      <c r="U51" s="63">
        <f t="shared" ref="U51:X71" si="35">$B51+F51</f>
        <v>153.625</v>
      </c>
      <c r="V51" s="63">
        <f t="shared" si="35"/>
        <v>156.9</v>
      </c>
      <c r="W51" s="63">
        <f t="shared" si="35"/>
        <v>160.6</v>
      </c>
      <c r="X51" s="63">
        <f t="shared" si="35"/>
        <v>163.9</v>
      </c>
      <c r="Y51" s="63"/>
      <c r="Z51" s="133">
        <f ca="1">(1+P51)^(365.25/$A$58)-1</f>
        <v>0.33360830662522734</v>
      </c>
      <c r="AA51" s="133">
        <f t="shared" ref="AA51:AC66" ca="1" si="36">(1+Q51)^(365.25/$A$58)-1</f>
        <v>0.39400910952579982</v>
      </c>
      <c r="AB51" s="133">
        <f t="shared" ca="1" si="36"/>
        <v>0.36453974193685967</v>
      </c>
      <c r="AC51" s="133">
        <f t="shared" ca="1" si="36"/>
        <v>0.38502769037422335</v>
      </c>
      <c r="AD51" s="2"/>
      <c r="AE51" s="127">
        <f>($B51+AE$2)/$A$3-1</f>
        <v>-0.25762728100004795</v>
      </c>
      <c r="AF51" s="127">
        <f t="shared" ref="AF51:AH66" si="37">($B51+AF$2)/$A$3-1</f>
        <v>-0.23367977393553341</v>
      </c>
      <c r="AG51" s="127">
        <f t="shared" si="37"/>
        <v>-0.20973226687101876</v>
      </c>
      <c r="AH51" s="127">
        <f t="shared" si="37"/>
        <v>-0.18578475980650422</v>
      </c>
      <c r="AJ51" s="125">
        <f>$A$17/F51</f>
        <v>275.86206896551727</v>
      </c>
      <c r="AK51" s="125">
        <f t="shared" ref="AK51:AM71" si="38">$A$17/G51</f>
        <v>144.92753623188395</v>
      </c>
      <c r="AL51" s="125">
        <f t="shared" si="38"/>
        <v>94.339622641509422</v>
      </c>
      <c r="AM51" s="125">
        <f t="shared" si="38"/>
        <v>71.942446043165432</v>
      </c>
      <c r="AO51" s="63">
        <f>AJ51*K51</f>
        <v>379.31034482758622</v>
      </c>
      <c r="AP51" s="63">
        <f t="shared" ref="AP51:AR71" si="39">AK51*L51</f>
        <v>449.27536231883943</v>
      </c>
      <c r="AQ51" s="63">
        <f t="shared" si="39"/>
        <v>415.09433962264131</v>
      </c>
      <c r="AR51" s="63">
        <f t="shared" si="39"/>
        <v>438.84892086330871</v>
      </c>
    </row>
    <row r="52" spans="1:44" s="77" customFormat="1" x14ac:dyDescent="0.25">
      <c r="A52" s="111"/>
      <c r="B52" s="107">
        <f>B51+5</f>
        <v>155</v>
      </c>
      <c r="C52" s="108">
        <f t="shared" ref="C52:C71" si="40">AVERAGE(D52,E52)</f>
        <v>68.150000000000006</v>
      </c>
      <c r="D52" s="131">
        <f>_xll.xlqBid(CONCATENATE($A$55,B52&amp;""),tda)</f>
        <v>67.900000000000006</v>
      </c>
      <c r="E52" s="131">
        <f>_xll.xlqAsk(CONCATENATE($A$55,B52&amp;""),tda)</f>
        <v>68.400000000000006</v>
      </c>
      <c r="F52" s="109">
        <f>MAX($C52-AVERAGE(_xll.xlqBid(CONCATENATE($A$55,($B52+F$50)&amp;""),tda),_xll.xlqAsk(CONCATENATE($A$55,($B52+F$50)&amp;""),tda)),0)</f>
        <v>3.2750000000000057</v>
      </c>
      <c r="G52" s="109">
        <f>MAX($C52-AVERAGE(_xll.xlqBid(CONCATENATE($A$55,($B52+G$50)&amp;""),tda),_xll.xlqAsk(CONCATENATE($A$55,($B52+G$50)&amp;""),tda)),0)</f>
        <v>6.9750000000000014</v>
      </c>
      <c r="H52" s="109">
        <f>MAX($C52-AVERAGE(_xll.xlqBid(CONCATENATE($A$55,($B52+H$50)&amp;""),tda),_xll.xlqAsk(CONCATENATE($A$55,($B52+H$50)&amp;""),tda)),0)</f>
        <v>10.275000000000006</v>
      </c>
      <c r="I52" s="109">
        <f>MAX($C52-AVERAGE(_xll.xlqBid(CONCATENATE($A$55,($B52+I$50)&amp;""),tda),_xll.xlqAsk(CONCATENATE($A$55,($B52+I$50)&amp;""),tda)),0)</f>
        <v>13.450000000000003</v>
      </c>
      <c r="J52" s="110"/>
      <c r="K52" s="76">
        <f t="shared" si="33"/>
        <v>1.7249999999999943</v>
      </c>
      <c r="L52" s="76">
        <f t="shared" si="33"/>
        <v>3.0249999999999986</v>
      </c>
      <c r="M52" s="76">
        <f t="shared" si="33"/>
        <v>4.7249999999999943</v>
      </c>
      <c r="N52" s="76">
        <f t="shared" si="33"/>
        <v>6.5499999999999972</v>
      </c>
      <c r="O52" s="110"/>
      <c r="P52" s="110">
        <f t="shared" ref="P52:P71" si="41">K52/F52</f>
        <v>0.52671755725190572</v>
      </c>
      <c r="Q52" s="110">
        <f t="shared" si="34"/>
        <v>0.43369175627240114</v>
      </c>
      <c r="R52" s="110">
        <f t="shared" si="34"/>
        <v>0.45985401459853936</v>
      </c>
      <c r="S52" s="110">
        <f t="shared" si="34"/>
        <v>0.4869888475836428</v>
      </c>
      <c r="T52" s="110"/>
      <c r="U52" s="76">
        <f t="shared" si="35"/>
        <v>158.27500000000001</v>
      </c>
      <c r="V52" s="76">
        <f t="shared" si="35"/>
        <v>161.97499999999999</v>
      </c>
      <c r="W52" s="76">
        <f t="shared" si="35"/>
        <v>165.27500000000001</v>
      </c>
      <c r="X52" s="76">
        <f t="shared" si="35"/>
        <v>168.45</v>
      </c>
      <c r="Y52" s="76"/>
      <c r="Z52" s="133">
        <f t="shared" ref="Z52:AC71" ca="1" si="42">(1+P52)^(365.25/$A$58)-1</f>
        <v>0.46051012313079265</v>
      </c>
      <c r="AA52" s="133">
        <f t="shared" ca="1" si="36"/>
        <v>0.38058274974000161</v>
      </c>
      <c r="AB52" s="133">
        <f t="shared" ca="1" si="36"/>
        <v>0.40311472784877678</v>
      </c>
      <c r="AC52" s="133">
        <f t="shared" ca="1" si="36"/>
        <v>0.42643967791083859</v>
      </c>
      <c r="AD52" s="2"/>
      <c r="AE52" s="127">
        <f t="shared" ref="AE52:AH71" si="43">($B52+AE$2)/$A$3-1</f>
        <v>-0.23367977393553341</v>
      </c>
      <c r="AF52" s="127">
        <f t="shared" si="37"/>
        <v>-0.20973226687101876</v>
      </c>
      <c r="AG52" s="127">
        <f t="shared" si="37"/>
        <v>-0.18578475980650422</v>
      </c>
      <c r="AH52" s="127">
        <f t="shared" si="37"/>
        <v>-0.16183725274198968</v>
      </c>
      <c r="AJ52" s="125">
        <f t="shared" ref="AJ52:AJ71" si="44">$A$17/F52</f>
        <v>305.34351145038113</v>
      </c>
      <c r="AK52" s="125">
        <f t="shared" si="38"/>
        <v>143.36917562724011</v>
      </c>
      <c r="AL52" s="125">
        <f t="shared" si="38"/>
        <v>97.323600973235955</v>
      </c>
      <c r="AM52" s="125">
        <f t="shared" si="38"/>
        <v>74.349442379182136</v>
      </c>
      <c r="AO52" s="63">
        <f t="shared" ref="AO52:AO71" si="45">AJ52*K52</f>
        <v>526.71755725190576</v>
      </c>
      <c r="AP52" s="63">
        <f t="shared" si="39"/>
        <v>433.69175627240111</v>
      </c>
      <c r="AQ52" s="63">
        <f t="shared" si="39"/>
        <v>459.85401459853932</v>
      </c>
      <c r="AR52" s="63">
        <f t="shared" si="39"/>
        <v>486.98884758364278</v>
      </c>
    </row>
    <row r="53" spans="1:44" x14ac:dyDescent="0.25">
      <c r="A53" s="235">
        <v>44211</v>
      </c>
      <c r="B53" s="107">
        <f t="shared" ref="B53:B71" si="46">B52+5</f>
        <v>160</v>
      </c>
      <c r="C53" s="23">
        <f t="shared" si="40"/>
        <v>64.875</v>
      </c>
      <c r="D53" s="130">
        <f>_xll.xlqBid(CONCATENATE($A$55,B53&amp;""),tda)</f>
        <v>64.350000000000009</v>
      </c>
      <c r="E53" s="130">
        <f>_xll.xlqAsk(CONCATENATE($A$55,B53&amp;""),tda)</f>
        <v>65.400000000000006</v>
      </c>
      <c r="F53" s="55">
        <f>MAX($C53-AVERAGE(_xll.xlqBid(CONCATENATE($A$55,($B53+F$50)&amp;""),tda),_xll.xlqAsk(CONCATENATE($A$55,($B53+F$50)&amp;""),tda)),0)</f>
        <v>3.6999999999999957</v>
      </c>
      <c r="G53" s="55">
        <f>MAX($C53-AVERAGE(_xll.xlqBid(CONCATENATE($A$55,($B53+G$50)&amp;""),tda),_xll.xlqAsk(CONCATENATE($A$55,($B53+G$50)&amp;""),tda)),0)</f>
        <v>7</v>
      </c>
      <c r="H53" s="55">
        <f>MAX($C53-AVERAGE(_xll.xlqBid(CONCATENATE($A$55,($B53+H$50)&amp;""),tda),_xll.xlqAsk(CONCATENATE($A$55,($B53+H$50)&amp;""),tda)),0)</f>
        <v>10.174999999999997</v>
      </c>
      <c r="I53" s="55">
        <f>MAX($C53-AVERAGE(_xll.xlqBid(CONCATENATE($A$55,($B53+I$50)&amp;""),tda),_xll.xlqAsk(CONCATENATE($A$55,($B53+I$50)&amp;""),tda)),0)</f>
        <v>13.274999999999999</v>
      </c>
      <c r="J53" s="25"/>
      <c r="K53" s="63">
        <f t="shared" si="33"/>
        <v>1.3000000000000043</v>
      </c>
      <c r="L53" s="63">
        <f t="shared" si="33"/>
        <v>3</v>
      </c>
      <c r="M53" s="63">
        <f t="shared" si="33"/>
        <v>4.8250000000000028</v>
      </c>
      <c r="N53" s="63">
        <f t="shared" si="33"/>
        <v>6.7250000000000014</v>
      </c>
      <c r="O53" s="25"/>
      <c r="P53" s="25">
        <f t="shared" si="41"/>
        <v>0.35135135135135293</v>
      </c>
      <c r="Q53" s="25">
        <f t="shared" si="34"/>
        <v>0.42857142857142855</v>
      </c>
      <c r="R53" s="25">
        <f t="shared" si="34"/>
        <v>0.47420147420147463</v>
      </c>
      <c r="S53" s="25">
        <f t="shared" si="34"/>
        <v>0.50659133709981186</v>
      </c>
      <c r="T53" s="25"/>
      <c r="U53" s="63">
        <f t="shared" si="35"/>
        <v>163.69999999999999</v>
      </c>
      <c r="V53" s="63">
        <f t="shared" si="35"/>
        <v>167</v>
      </c>
      <c r="W53" s="63">
        <f t="shared" si="35"/>
        <v>170.17500000000001</v>
      </c>
      <c r="X53" s="63">
        <f t="shared" si="35"/>
        <v>173.27500000000001</v>
      </c>
      <c r="Y53" s="63"/>
      <c r="Z53" s="133">
        <f t="shared" ca="1" si="42"/>
        <v>0.3093822724909836</v>
      </c>
      <c r="AA53" s="133">
        <f t="shared" ca="1" si="36"/>
        <v>0.37616790097090114</v>
      </c>
      <c r="AB53" s="133">
        <f t="shared" ca="1" si="36"/>
        <v>0.41545333004239327</v>
      </c>
      <c r="AC53" s="133">
        <f t="shared" ca="1" si="36"/>
        <v>0.44326209494150159</v>
      </c>
      <c r="AD53" s="2"/>
      <c r="AE53" s="127">
        <f t="shared" si="43"/>
        <v>-0.20973226687101876</v>
      </c>
      <c r="AF53" s="127">
        <f t="shared" si="37"/>
        <v>-0.18578475980650422</v>
      </c>
      <c r="AG53" s="127">
        <f t="shared" si="37"/>
        <v>-0.16183725274198968</v>
      </c>
      <c r="AH53" s="127">
        <f t="shared" si="37"/>
        <v>-0.13788974567747503</v>
      </c>
      <c r="AJ53" s="125">
        <f t="shared" si="44"/>
        <v>270.2702702702706</v>
      </c>
      <c r="AK53" s="125">
        <f t="shared" si="38"/>
        <v>142.85714285714286</v>
      </c>
      <c r="AL53" s="125">
        <f t="shared" si="38"/>
        <v>98.280098280098301</v>
      </c>
      <c r="AM53" s="125">
        <f t="shared" si="38"/>
        <v>75.329566854990588</v>
      </c>
      <c r="AO53" s="63">
        <f t="shared" si="45"/>
        <v>351.35135135135295</v>
      </c>
      <c r="AP53" s="63">
        <f t="shared" si="39"/>
        <v>428.57142857142856</v>
      </c>
      <c r="AQ53" s="63">
        <f t="shared" si="39"/>
        <v>474.20147420147458</v>
      </c>
      <c r="AR53" s="63">
        <f t="shared" si="39"/>
        <v>506.59133709981182</v>
      </c>
    </row>
    <row r="54" spans="1:44" x14ac:dyDescent="0.25">
      <c r="A54" s="101" t="str">
        <f>CONCATENATE(TEXT(MONTH(A53),"00"),TEXT(DAY(A53),"00"),TEXT(MOD(YEAR(A53),100),"00"))</f>
        <v>011521</v>
      </c>
      <c r="B54" s="107">
        <f t="shared" si="46"/>
        <v>165</v>
      </c>
      <c r="C54" s="23">
        <f t="shared" si="40"/>
        <v>61.175000000000004</v>
      </c>
      <c r="D54" s="130">
        <f>_xll.xlqBid(CONCATENATE($A$55,B54&amp;""),tda)</f>
        <v>60.95</v>
      </c>
      <c r="E54" s="130">
        <f>_xll.xlqAsk(CONCATENATE($A$55,B54&amp;""),tda)</f>
        <v>61.400000000000006</v>
      </c>
      <c r="F54" s="55">
        <f>MAX($C54-AVERAGE(_xll.xlqBid(CONCATENATE($A$55,($B54+F$50)&amp;""),tda),_xll.xlqAsk(CONCATENATE($A$55,($B54+F$50)&amp;""),tda)),0)</f>
        <v>3.3000000000000043</v>
      </c>
      <c r="G54" s="55">
        <f>MAX($C54-AVERAGE(_xll.xlqBid(CONCATENATE($A$55,($B54+G$50)&amp;""),tda),_xll.xlqAsk(CONCATENATE($A$55,($B54+G$50)&amp;""),tda)),0)</f>
        <v>6.4750000000000014</v>
      </c>
      <c r="H54" s="55">
        <f>MAX($C54-AVERAGE(_xll.xlqBid(CONCATENATE($A$55,($B54+H$50)&amp;""),tda),_xll.xlqAsk(CONCATENATE($A$55,($B54+H$50)&amp;""),tda)),0)</f>
        <v>9.5750000000000028</v>
      </c>
      <c r="I54" s="55">
        <f>MAX($C54-AVERAGE(_xll.xlqBid(CONCATENATE($A$55,($B54+I$50)&amp;""),tda),_xll.xlqAsk(CONCATENATE($A$55,($B54+I$50)&amp;""),tda)),0)</f>
        <v>12.524999999999999</v>
      </c>
      <c r="J54" s="25"/>
      <c r="K54" s="63">
        <f t="shared" si="33"/>
        <v>1.6999999999999957</v>
      </c>
      <c r="L54" s="63">
        <f t="shared" si="33"/>
        <v>3.5249999999999986</v>
      </c>
      <c r="M54" s="63">
        <f t="shared" si="33"/>
        <v>5.4249999999999972</v>
      </c>
      <c r="N54" s="63">
        <f t="shared" si="33"/>
        <v>7.4750000000000014</v>
      </c>
      <c r="O54" s="25"/>
      <c r="P54" s="25">
        <f t="shared" si="41"/>
        <v>0.51515151515151314</v>
      </c>
      <c r="Q54" s="25">
        <f t="shared" si="34"/>
        <v>0.54440154440154409</v>
      </c>
      <c r="R54" s="25">
        <f t="shared" si="34"/>
        <v>0.56657963446475146</v>
      </c>
      <c r="S54" s="25">
        <f t="shared" si="34"/>
        <v>0.59680638722554913</v>
      </c>
      <c r="T54" s="25"/>
      <c r="U54" s="63">
        <f t="shared" si="35"/>
        <v>168.3</v>
      </c>
      <c r="V54" s="63">
        <f t="shared" si="35"/>
        <v>171.47499999999999</v>
      </c>
      <c r="W54" s="63">
        <f t="shared" si="35"/>
        <v>174.57499999999999</v>
      </c>
      <c r="X54" s="63">
        <f t="shared" si="35"/>
        <v>177.52500000000001</v>
      </c>
      <c r="Y54" s="63"/>
      <c r="Z54" s="133">
        <f t="shared" ca="1" si="42"/>
        <v>0.45060103894480408</v>
      </c>
      <c r="AA54" s="133">
        <f t="shared" ca="1" si="36"/>
        <v>0.47564551321626447</v>
      </c>
      <c r="AB54" s="133">
        <f t="shared" ca="1" si="36"/>
        <v>0.49460169557972455</v>
      </c>
      <c r="AC54" s="133">
        <f t="shared" ca="1" si="36"/>
        <v>0.52039211552124476</v>
      </c>
      <c r="AD54" s="2"/>
      <c r="AE54" s="127">
        <f t="shared" si="43"/>
        <v>-0.18578475980650422</v>
      </c>
      <c r="AF54" s="127">
        <f t="shared" si="37"/>
        <v>-0.16183725274198968</v>
      </c>
      <c r="AG54" s="127">
        <f t="shared" si="37"/>
        <v>-0.13788974567747503</v>
      </c>
      <c r="AH54" s="127">
        <f t="shared" si="37"/>
        <v>-0.11394223861296049</v>
      </c>
      <c r="AJ54" s="125">
        <f t="shared" si="44"/>
        <v>303.03030303030266</v>
      </c>
      <c r="AK54" s="125">
        <f t="shared" si="38"/>
        <v>154.4401544401544</v>
      </c>
      <c r="AL54" s="125">
        <f t="shared" si="38"/>
        <v>104.43864229765011</v>
      </c>
      <c r="AM54" s="125">
        <f t="shared" si="38"/>
        <v>79.840319361277452</v>
      </c>
      <c r="AO54" s="63">
        <f t="shared" si="45"/>
        <v>515.15151515151319</v>
      </c>
      <c r="AP54" s="63">
        <f t="shared" si="39"/>
        <v>544.40154440154402</v>
      </c>
      <c r="AQ54" s="63">
        <f t="shared" si="39"/>
        <v>566.57963446475151</v>
      </c>
      <c r="AR54" s="63">
        <f t="shared" si="39"/>
        <v>596.80638722554909</v>
      </c>
    </row>
    <row r="55" spans="1:44" s="77" customFormat="1" x14ac:dyDescent="0.25">
      <c r="A55" s="111" t="str">
        <f>CONCATENATE(A50,"_",A54,"C")</f>
        <v>NVDA_011521C</v>
      </c>
      <c r="B55" s="107">
        <f t="shared" si="46"/>
        <v>170</v>
      </c>
      <c r="C55" s="108">
        <f t="shared" si="40"/>
        <v>57.875</v>
      </c>
      <c r="D55" s="131">
        <f>_xll.xlqBid(CONCATENATE($A$55,B55&amp;""),tda)</f>
        <v>57.550000000000004</v>
      </c>
      <c r="E55" s="131">
        <f>_xll.xlqAsk(CONCATENATE($A$55,B55&amp;""),tda)</f>
        <v>58.2</v>
      </c>
      <c r="F55" s="109">
        <f>MAX($C55-AVERAGE(_xll.xlqBid(CONCATENATE($A$55,($B55+F$50)&amp;""),tda),_xll.xlqAsk(CONCATENATE($A$55,($B55+F$50)&amp;""),tda)),0)</f>
        <v>3.1749999999999972</v>
      </c>
      <c r="G55" s="109">
        <f>MAX($C55-AVERAGE(_xll.xlqBid(CONCATENATE($A$55,($B55+G$50)&amp;""),tda),_xll.xlqAsk(CONCATENATE($A$55,($B55+G$50)&amp;""),tda)),0)</f>
        <v>6.2749999999999986</v>
      </c>
      <c r="H55" s="109">
        <f>MAX($C55-AVERAGE(_xll.xlqBid(CONCATENATE($A$55,($B55+H$50)&amp;""),tda),_xll.xlqAsk(CONCATENATE($A$55,($B55+H$50)&amp;""),tda)),0)</f>
        <v>9.2249999999999943</v>
      </c>
      <c r="I55" s="109">
        <f>MAX($C55-AVERAGE(_xll.xlqBid(CONCATENATE($A$55,($B55+I$50)&amp;""),tda),_xll.xlqAsk(CONCATENATE($A$55,($B55+I$50)&amp;""),tda)),0)</f>
        <v>12.149999999999999</v>
      </c>
      <c r="J55" s="110"/>
      <c r="K55" s="76">
        <f t="shared" si="33"/>
        <v>1.8250000000000028</v>
      </c>
      <c r="L55" s="76">
        <f t="shared" si="33"/>
        <v>3.7250000000000014</v>
      </c>
      <c r="M55" s="76">
        <f t="shared" si="33"/>
        <v>5.7750000000000057</v>
      </c>
      <c r="N55" s="76">
        <f t="shared" si="33"/>
        <v>7.8500000000000014</v>
      </c>
      <c r="O55" s="110"/>
      <c r="P55" s="110">
        <f t="shared" si="41"/>
        <v>0.57480314960630063</v>
      </c>
      <c r="Q55" s="110">
        <f t="shared" si="34"/>
        <v>0.59362549800796849</v>
      </c>
      <c r="R55" s="110">
        <f t="shared" si="34"/>
        <v>0.62601626016260259</v>
      </c>
      <c r="S55" s="110">
        <f t="shared" si="34"/>
        <v>0.64609053497942404</v>
      </c>
      <c r="T55" s="110"/>
      <c r="U55" s="76">
        <f t="shared" si="35"/>
        <v>173.17500000000001</v>
      </c>
      <c r="V55" s="76">
        <f t="shared" si="35"/>
        <v>176.27500000000001</v>
      </c>
      <c r="W55" s="76">
        <f t="shared" si="35"/>
        <v>179.22499999999999</v>
      </c>
      <c r="X55" s="76">
        <f t="shared" si="35"/>
        <v>182.15</v>
      </c>
      <c r="Y55" s="76"/>
      <c r="Z55" s="133">
        <f t="shared" ca="1" si="42"/>
        <v>0.50162338037477361</v>
      </c>
      <c r="AA55" s="133">
        <f t="shared" ca="1" si="36"/>
        <v>0.51768050501535057</v>
      </c>
      <c r="AB55" s="133">
        <f t="shared" ca="1" si="36"/>
        <v>0.54526633441104022</v>
      </c>
      <c r="AC55" s="133">
        <f t="shared" ca="1" si="36"/>
        <v>0.56233378556721614</v>
      </c>
      <c r="AD55" s="2"/>
      <c r="AE55" s="127">
        <f t="shared" si="43"/>
        <v>-0.16183725274198968</v>
      </c>
      <c r="AF55" s="127">
        <f t="shared" si="37"/>
        <v>-0.13788974567747503</v>
      </c>
      <c r="AG55" s="127">
        <f t="shared" si="37"/>
        <v>-0.11394223861296049</v>
      </c>
      <c r="AH55" s="127">
        <f t="shared" si="37"/>
        <v>-8.999473154844595E-2</v>
      </c>
      <c r="AJ55" s="125">
        <f t="shared" si="44"/>
        <v>314.96062992126014</v>
      </c>
      <c r="AK55" s="125">
        <f t="shared" si="38"/>
        <v>159.36254980079684</v>
      </c>
      <c r="AL55" s="125">
        <f t="shared" si="38"/>
        <v>108.40108401084018</v>
      </c>
      <c r="AM55" s="125">
        <f t="shared" si="38"/>
        <v>82.304526748971199</v>
      </c>
      <c r="AO55" s="63">
        <f t="shared" si="45"/>
        <v>574.80314960630062</v>
      </c>
      <c r="AP55" s="63">
        <f t="shared" si="39"/>
        <v>593.62549800796842</v>
      </c>
      <c r="AQ55" s="63">
        <f t="shared" si="39"/>
        <v>626.01626016260263</v>
      </c>
      <c r="AR55" s="63">
        <f t="shared" si="39"/>
        <v>646.09053497942398</v>
      </c>
    </row>
    <row r="56" spans="1:44" x14ac:dyDescent="0.25">
      <c r="A56" s="105"/>
      <c r="B56" s="107">
        <f t="shared" si="46"/>
        <v>175</v>
      </c>
      <c r="C56" s="23">
        <f t="shared" si="40"/>
        <v>54.7</v>
      </c>
      <c r="D56" s="130">
        <f>_xll.xlqBid(CONCATENATE($A$55,B56&amp;""),tda)</f>
        <v>54.400000000000006</v>
      </c>
      <c r="E56" s="130">
        <f>_xll.xlqAsk(CONCATENATE($A$55,B56&amp;""),tda)</f>
        <v>55</v>
      </c>
      <c r="F56" s="55">
        <f>MAX($C56-AVERAGE(_xll.xlqBid(CONCATENATE($A$55,($B56+F$50)&amp;""),tda),_xll.xlqAsk(CONCATENATE($A$55,($B56+F$50)&amp;""),tda)),0)</f>
        <v>3.1000000000000014</v>
      </c>
      <c r="G56" s="55">
        <f>MAX($C56-AVERAGE(_xll.xlqBid(CONCATENATE($A$55,($B56+G$50)&amp;""),tda),_xll.xlqAsk(CONCATENATE($A$55,($B56+G$50)&amp;""),tda)),0)</f>
        <v>6.0499999999999972</v>
      </c>
      <c r="H56" s="55">
        <f>MAX($C56-AVERAGE(_xll.xlqBid(CONCATENATE($A$55,($B56+H$50)&amp;""),tda),_xll.xlqAsk(CONCATENATE($A$55,($B56+H$50)&amp;""),tda)),0)</f>
        <v>8.9750000000000014</v>
      </c>
      <c r="I56" s="55">
        <f>MAX($C56-AVERAGE(_xll.xlqBid(CONCATENATE($A$55,($B56+I$50)&amp;""),tda),_xll.xlqAsk(CONCATENATE($A$55,($B56+I$50)&amp;""),tda)),0)</f>
        <v>11.625</v>
      </c>
      <c r="J56" s="25"/>
      <c r="K56" s="63">
        <f t="shared" si="33"/>
        <v>1.8999999999999986</v>
      </c>
      <c r="L56" s="63">
        <f t="shared" si="33"/>
        <v>3.9500000000000028</v>
      </c>
      <c r="M56" s="63">
        <f t="shared" si="33"/>
        <v>6.0249999999999986</v>
      </c>
      <c r="N56" s="63">
        <f t="shared" si="33"/>
        <v>8.375</v>
      </c>
      <c r="O56" s="25"/>
      <c r="P56" s="25">
        <f t="shared" si="41"/>
        <v>0.61290322580645085</v>
      </c>
      <c r="Q56" s="25">
        <f t="shared" si="34"/>
        <v>0.6528925619834719</v>
      </c>
      <c r="R56" s="25">
        <f t="shared" si="34"/>
        <v>0.67130919220055685</v>
      </c>
      <c r="S56" s="25">
        <f t="shared" si="34"/>
        <v>0.72043010752688175</v>
      </c>
      <c r="T56" s="25"/>
      <c r="U56" s="63">
        <f t="shared" si="35"/>
        <v>178.1</v>
      </c>
      <c r="V56" s="63">
        <f t="shared" si="35"/>
        <v>181.05</v>
      </c>
      <c r="W56" s="63">
        <f t="shared" si="35"/>
        <v>183.97499999999999</v>
      </c>
      <c r="X56" s="63">
        <f t="shared" si="35"/>
        <v>186.625</v>
      </c>
      <c r="Y56" s="63"/>
      <c r="Z56" s="133">
        <f t="shared" ca="1" si="42"/>
        <v>0.53410552437941905</v>
      </c>
      <c r="AA56" s="133">
        <f t="shared" ca="1" si="36"/>
        <v>0.56811201302675451</v>
      </c>
      <c r="AB56" s="133">
        <f t="shared" ca="1" si="36"/>
        <v>0.58374421423737965</v>
      </c>
      <c r="AC56" s="133">
        <f t="shared" ca="1" si="36"/>
        <v>0.62535085585945094</v>
      </c>
      <c r="AD56" s="2"/>
      <c r="AE56" s="127">
        <f t="shared" si="43"/>
        <v>-0.13788974567747503</v>
      </c>
      <c r="AF56" s="127">
        <f t="shared" si="37"/>
        <v>-0.11394223861296049</v>
      </c>
      <c r="AG56" s="127">
        <f t="shared" si="37"/>
        <v>-8.999473154844595E-2</v>
      </c>
      <c r="AH56" s="127">
        <f t="shared" si="37"/>
        <v>-6.6047224483931299E-2</v>
      </c>
      <c r="AJ56" s="125">
        <f t="shared" si="44"/>
        <v>322.58064516129019</v>
      </c>
      <c r="AK56" s="125">
        <f t="shared" si="38"/>
        <v>165.28925619834718</v>
      </c>
      <c r="AL56" s="125">
        <f t="shared" si="38"/>
        <v>111.42061281337045</v>
      </c>
      <c r="AM56" s="125">
        <f t="shared" si="38"/>
        <v>86.021505376344081</v>
      </c>
      <c r="AO56" s="63">
        <f t="shared" si="45"/>
        <v>612.90322580645091</v>
      </c>
      <c r="AP56" s="63">
        <f t="shared" si="39"/>
        <v>652.89256198347186</v>
      </c>
      <c r="AQ56" s="63">
        <f t="shared" si="39"/>
        <v>671.30919220055682</v>
      </c>
      <c r="AR56" s="63">
        <f t="shared" si="39"/>
        <v>720.43010752688167</v>
      </c>
    </row>
    <row r="57" spans="1:44" x14ac:dyDescent="0.25">
      <c r="A57" s="32" t="s">
        <v>101</v>
      </c>
      <c r="B57" s="107">
        <f t="shared" si="46"/>
        <v>180</v>
      </c>
      <c r="C57" s="23">
        <f t="shared" si="40"/>
        <v>51.6</v>
      </c>
      <c r="D57" s="130">
        <f>_xll.xlqBid(CONCATENATE($A$55,B57&amp;""),tda)</f>
        <v>51.35</v>
      </c>
      <c r="E57" s="130">
        <f>_xll.xlqAsk(CONCATENATE($A$55,B57&amp;""),tda)</f>
        <v>51.85</v>
      </c>
      <c r="F57" s="55">
        <f>MAX($C57-AVERAGE(_xll.xlqBid(CONCATENATE($A$55,($B57+F$50)&amp;""),tda),_xll.xlqAsk(CONCATENATE($A$55,($B57+F$50)&amp;""),tda)),0)</f>
        <v>2.9499999999999957</v>
      </c>
      <c r="G57" s="55">
        <f>MAX($C57-AVERAGE(_xll.xlqBid(CONCATENATE($A$55,($B57+G$50)&amp;""),tda),_xll.xlqAsk(CONCATENATE($A$55,($B57+G$50)&amp;""),tda)),0)</f>
        <v>5.875</v>
      </c>
      <c r="H57" s="55">
        <f>MAX($C57-AVERAGE(_xll.xlqBid(CONCATENATE($A$55,($B57+H$50)&amp;""),tda),_xll.xlqAsk(CONCATENATE($A$55,($B57+H$50)&amp;""),tda)),0)</f>
        <v>8.5249999999999986</v>
      </c>
      <c r="I57" s="55">
        <f>MAX($C57-AVERAGE(_xll.xlqBid(CONCATENATE($A$55,($B57+I$50)&amp;""),tda),_xll.xlqAsk(CONCATENATE($A$55,($B57+I$50)&amp;""),tda)),0)</f>
        <v>11.149999999999999</v>
      </c>
      <c r="J57" s="25"/>
      <c r="K57" s="63">
        <f t="shared" si="33"/>
        <v>2.0500000000000043</v>
      </c>
      <c r="L57" s="63">
        <f t="shared" si="33"/>
        <v>4.125</v>
      </c>
      <c r="M57" s="63">
        <f t="shared" si="33"/>
        <v>6.4750000000000014</v>
      </c>
      <c r="N57" s="63">
        <f t="shared" si="33"/>
        <v>8.8500000000000014</v>
      </c>
      <c r="O57" s="25"/>
      <c r="P57" s="25">
        <f t="shared" si="41"/>
        <v>0.69491525423729061</v>
      </c>
      <c r="Q57" s="25">
        <f t="shared" si="34"/>
        <v>0.7021276595744681</v>
      </c>
      <c r="R57" s="25">
        <f t="shared" si="34"/>
        <v>0.75953079178885663</v>
      </c>
      <c r="S57" s="25">
        <f t="shared" si="34"/>
        <v>0.79372197309417059</v>
      </c>
      <c r="T57" s="25"/>
      <c r="U57" s="63">
        <f t="shared" si="35"/>
        <v>182.95</v>
      </c>
      <c r="V57" s="63">
        <f t="shared" si="35"/>
        <v>185.875</v>
      </c>
      <c r="W57" s="63">
        <f t="shared" si="35"/>
        <v>188.52500000000001</v>
      </c>
      <c r="X57" s="63">
        <f t="shared" si="35"/>
        <v>191.15</v>
      </c>
      <c r="Y57" s="63"/>
      <c r="Z57" s="133">
        <f t="shared" ca="1" si="42"/>
        <v>0.60375490233681983</v>
      </c>
      <c r="AA57" s="133">
        <f t="shared" ca="1" si="36"/>
        <v>0.60986296547142094</v>
      </c>
      <c r="AB57" s="133">
        <f t="shared" ca="1" si="36"/>
        <v>0.6583810692566372</v>
      </c>
      <c r="AC57" s="133">
        <f t="shared" ca="1" si="36"/>
        <v>0.68720096530591701</v>
      </c>
      <c r="AD57" s="2"/>
      <c r="AE57" s="127">
        <f t="shared" si="43"/>
        <v>-0.11394223861296049</v>
      </c>
      <c r="AF57" s="127">
        <f t="shared" si="37"/>
        <v>-8.999473154844595E-2</v>
      </c>
      <c r="AG57" s="127">
        <f t="shared" si="37"/>
        <v>-6.6047224483931299E-2</v>
      </c>
      <c r="AH57" s="127">
        <f t="shared" si="37"/>
        <v>-4.209971741941676E-2</v>
      </c>
      <c r="AJ57" s="125">
        <f t="shared" si="44"/>
        <v>338.98305084745812</v>
      </c>
      <c r="AK57" s="125">
        <f t="shared" si="38"/>
        <v>170.21276595744681</v>
      </c>
      <c r="AL57" s="125">
        <f t="shared" si="38"/>
        <v>117.30205278592378</v>
      </c>
      <c r="AM57" s="125">
        <f t="shared" si="38"/>
        <v>89.68609865470853</v>
      </c>
      <c r="AO57" s="63">
        <f t="shared" si="45"/>
        <v>694.91525423729058</v>
      </c>
      <c r="AP57" s="63">
        <f t="shared" si="39"/>
        <v>702.12765957446811</v>
      </c>
      <c r="AQ57" s="63">
        <f t="shared" si="39"/>
        <v>759.53079178885662</v>
      </c>
      <c r="AR57" s="63">
        <f t="shared" si="39"/>
        <v>793.72197309417061</v>
      </c>
    </row>
    <row r="58" spans="1:44" s="77" customFormat="1" x14ac:dyDescent="0.25">
      <c r="A58" s="116">
        <f ca="1">A53-TODAY()</f>
        <v>408</v>
      </c>
      <c r="B58" s="107">
        <f t="shared" si="46"/>
        <v>185</v>
      </c>
      <c r="C58" s="108">
        <f t="shared" si="40"/>
        <v>48.650000000000006</v>
      </c>
      <c r="D58" s="131">
        <f>_xll.xlqBid(CONCATENATE($A$55,B58&amp;""),tda)</f>
        <v>48.400000000000006</v>
      </c>
      <c r="E58" s="131">
        <f>_xll.xlqAsk(CONCATENATE($A$55,B58&amp;""),tda)</f>
        <v>48.900000000000006</v>
      </c>
      <c r="F58" s="109">
        <f>MAX($C58-AVERAGE(_xll.xlqBid(CONCATENATE($A$55,($B58+F$50)&amp;""),tda),_xll.xlqAsk(CONCATENATE($A$55,($B58+F$50)&amp;""),tda)),0)</f>
        <v>2.9250000000000043</v>
      </c>
      <c r="G58" s="109">
        <f>MAX($C58-AVERAGE(_xll.xlqBid(CONCATENATE($A$55,($B58+G$50)&amp;""),tda),_xll.xlqAsk(CONCATENATE($A$55,($B58+G$50)&amp;""),tda)),0)</f>
        <v>5.5750000000000028</v>
      </c>
      <c r="H58" s="109">
        <f>MAX($C58-AVERAGE(_xll.xlqBid(CONCATENATE($A$55,($B58+H$50)&amp;""),tda),_xll.xlqAsk(CONCATENATE($A$55,($B58+H$50)&amp;""),tda)),0)</f>
        <v>8.2000000000000028</v>
      </c>
      <c r="I58" s="109" t="e">
        <f>MAX($C58-AVERAGE(_xll.xlqBid(CONCATENATE($A$55,($B58+I$50)&amp;""),tda),_xll.xlqAsk(CONCATENATE($A$55,($B58+I$50)&amp;""),tda)),0)</f>
        <v>#VALUE!</v>
      </c>
      <c r="J58" s="110"/>
      <c r="K58" s="76">
        <f t="shared" si="33"/>
        <v>2.0749999999999957</v>
      </c>
      <c r="L58" s="76">
        <f t="shared" si="33"/>
        <v>4.4249999999999972</v>
      </c>
      <c r="M58" s="76">
        <f t="shared" si="33"/>
        <v>6.7999999999999972</v>
      </c>
      <c r="N58" s="76" t="e">
        <f t="shared" si="33"/>
        <v>#VALUE!</v>
      </c>
      <c r="O58" s="110"/>
      <c r="P58" s="110">
        <f t="shared" si="41"/>
        <v>0.70940170940170688</v>
      </c>
      <c r="Q58" s="110">
        <f t="shared" si="34"/>
        <v>0.79372197309416948</v>
      </c>
      <c r="R58" s="110">
        <f t="shared" si="34"/>
        <v>0.82926829268292623</v>
      </c>
      <c r="S58" s="110" t="e">
        <f t="shared" si="34"/>
        <v>#VALUE!</v>
      </c>
      <c r="T58" s="110"/>
      <c r="U58" s="76">
        <f t="shared" si="35"/>
        <v>187.92500000000001</v>
      </c>
      <c r="V58" s="76">
        <f t="shared" si="35"/>
        <v>190.57499999999999</v>
      </c>
      <c r="W58" s="76">
        <f t="shared" si="35"/>
        <v>193.2</v>
      </c>
      <c r="X58" s="76" t="e">
        <f t="shared" si="35"/>
        <v>#VALUE!</v>
      </c>
      <c r="Y58" s="76"/>
      <c r="Z58" s="133">
        <f t="shared" ca="1" si="42"/>
        <v>0.61602048818360688</v>
      </c>
      <c r="AA58" s="133">
        <f t="shared" ca="1" si="36"/>
        <v>0.6872009653059159</v>
      </c>
      <c r="AB58" s="133">
        <f t="shared" ca="1" si="36"/>
        <v>0.71710215900057728</v>
      </c>
      <c r="AC58" s="133" t="e">
        <f t="shared" ca="1" si="36"/>
        <v>#VALUE!</v>
      </c>
      <c r="AD58" s="2"/>
      <c r="AE58" s="127">
        <f t="shared" si="43"/>
        <v>-8.999473154844595E-2</v>
      </c>
      <c r="AF58" s="127">
        <f t="shared" si="37"/>
        <v>-6.6047224483931299E-2</v>
      </c>
      <c r="AG58" s="127">
        <f t="shared" si="37"/>
        <v>-4.209971741941676E-2</v>
      </c>
      <c r="AH58" s="127">
        <f t="shared" si="37"/>
        <v>-1.815221035490211E-2</v>
      </c>
      <c r="AJ58" s="125">
        <f t="shared" si="44"/>
        <v>341.8803418803414</v>
      </c>
      <c r="AK58" s="125">
        <f t="shared" si="38"/>
        <v>179.37219730941695</v>
      </c>
      <c r="AL58" s="125">
        <f t="shared" si="38"/>
        <v>121.95121951219508</v>
      </c>
      <c r="AM58" s="125" t="e">
        <f t="shared" si="38"/>
        <v>#VALUE!</v>
      </c>
      <c r="AO58" s="63">
        <f t="shared" si="45"/>
        <v>709.40170940170697</v>
      </c>
      <c r="AP58" s="63">
        <f t="shared" si="39"/>
        <v>793.72197309416947</v>
      </c>
      <c r="AQ58" s="63">
        <f t="shared" si="39"/>
        <v>829.26829268292624</v>
      </c>
      <c r="AR58" s="63" t="e">
        <f t="shared" si="39"/>
        <v>#VALUE!</v>
      </c>
    </row>
    <row r="59" spans="1:44" x14ac:dyDescent="0.25">
      <c r="A59" s="32"/>
      <c r="B59" s="107">
        <f t="shared" si="46"/>
        <v>190</v>
      </c>
      <c r="C59" s="23">
        <f t="shared" si="40"/>
        <v>45.725000000000001</v>
      </c>
      <c r="D59" s="130">
        <f>_xll.xlqBid(CONCATENATE($A$55,B59&amp;""),tda)</f>
        <v>45.5</v>
      </c>
      <c r="E59" s="130">
        <f>_xll.xlqAsk(CONCATENATE($A$55,B59&amp;""),tda)</f>
        <v>45.95</v>
      </c>
      <c r="F59" s="55">
        <f>MAX($C59-AVERAGE(_xll.xlqBid(CONCATENATE($A$55,($B59+F$50)&amp;""),tda),_xll.xlqAsk(CONCATENATE($A$55,($B59+F$50)&amp;""),tda)),0)</f>
        <v>2.6499999999999986</v>
      </c>
      <c r="G59" s="55">
        <f>MAX($C59-AVERAGE(_xll.xlqBid(CONCATENATE($A$55,($B59+G$50)&amp;""),tda),_xll.xlqAsk(CONCATENATE($A$55,($B59+G$50)&amp;""),tda)),0)</f>
        <v>5.2749999999999986</v>
      </c>
      <c r="H59" s="55" t="e">
        <f>MAX($C59-AVERAGE(_xll.xlqBid(CONCATENATE($A$55,($B59+H$50)&amp;""),tda),_xll.xlqAsk(CONCATENATE($A$55,($B59+H$50)&amp;""),tda)),0)</f>
        <v>#VALUE!</v>
      </c>
      <c r="I59" s="55">
        <f>MAX($C59-AVERAGE(_xll.xlqBid(CONCATENATE($A$55,($B59+I$50)&amp;""),tda),_xll.xlqAsk(CONCATENATE($A$55,($B59+I$50)&amp;""),tda)),0)</f>
        <v>10.149999999999999</v>
      </c>
      <c r="J59" s="25"/>
      <c r="K59" s="63">
        <f t="shared" si="33"/>
        <v>2.3500000000000014</v>
      </c>
      <c r="L59" s="63">
        <f t="shared" si="33"/>
        <v>4.7250000000000014</v>
      </c>
      <c r="M59" s="63" t="e">
        <f t="shared" si="33"/>
        <v>#VALUE!</v>
      </c>
      <c r="N59" s="63">
        <f t="shared" si="33"/>
        <v>9.8500000000000014</v>
      </c>
      <c r="O59" s="25"/>
      <c r="P59" s="25">
        <f t="shared" si="41"/>
        <v>0.8867924528301897</v>
      </c>
      <c r="Q59" s="25">
        <f t="shared" si="34"/>
        <v>0.89573459715639858</v>
      </c>
      <c r="R59" s="25" t="e">
        <f t="shared" si="34"/>
        <v>#VALUE!</v>
      </c>
      <c r="S59" s="25">
        <f t="shared" si="34"/>
        <v>0.97044334975369484</v>
      </c>
      <c r="T59" s="25"/>
      <c r="U59" s="63">
        <f t="shared" si="35"/>
        <v>192.65</v>
      </c>
      <c r="V59" s="63">
        <f t="shared" si="35"/>
        <v>195.27500000000001</v>
      </c>
      <c r="W59" s="63" t="e">
        <f t="shared" si="35"/>
        <v>#VALUE!</v>
      </c>
      <c r="X59" s="63">
        <f t="shared" si="35"/>
        <v>200.15</v>
      </c>
      <c r="Y59" s="63"/>
      <c r="Z59" s="133">
        <f t="shared" ca="1" si="42"/>
        <v>0.76536258610467711</v>
      </c>
      <c r="AA59" s="133">
        <f t="shared" ca="1" si="36"/>
        <v>0.77285072457530379</v>
      </c>
      <c r="AB59" s="133" t="e">
        <f t="shared" ca="1" si="36"/>
        <v>#VALUE!</v>
      </c>
      <c r="AC59" s="133">
        <f t="shared" ca="1" si="36"/>
        <v>0.83526894404579699</v>
      </c>
      <c r="AD59" s="2"/>
      <c r="AE59" s="127">
        <f t="shared" si="43"/>
        <v>-6.6047224483931299E-2</v>
      </c>
      <c r="AF59" s="127">
        <f t="shared" si="37"/>
        <v>-4.209971741941676E-2</v>
      </c>
      <c r="AG59" s="127">
        <f t="shared" si="37"/>
        <v>-1.815221035490211E-2</v>
      </c>
      <c r="AH59" s="127">
        <f t="shared" si="37"/>
        <v>5.7952967096124297E-3</v>
      </c>
      <c r="AJ59" s="125">
        <f t="shared" si="44"/>
        <v>377.35849056603791</v>
      </c>
      <c r="AK59" s="125">
        <f t="shared" si="38"/>
        <v>189.57345971563987</v>
      </c>
      <c r="AL59" s="125" t="e">
        <f t="shared" si="38"/>
        <v>#VALUE!</v>
      </c>
      <c r="AM59" s="125">
        <f t="shared" si="38"/>
        <v>98.52216748768474</v>
      </c>
      <c r="AO59" s="63">
        <f t="shared" si="45"/>
        <v>886.79245283018963</v>
      </c>
      <c r="AP59" s="63">
        <f t="shared" si="39"/>
        <v>895.73459715639865</v>
      </c>
      <c r="AQ59" s="63" t="e">
        <f t="shared" si="39"/>
        <v>#VALUE!</v>
      </c>
      <c r="AR59" s="63">
        <f t="shared" si="39"/>
        <v>970.44334975369486</v>
      </c>
    </row>
    <row r="60" spans="1:44" x14ac:dyDescent="0.25">
      <c r="A60" s="37"/>
      <c r="B60" s="107">
        <f t="shared" si="46"/>
        <v>195</v>
      </c>
      <c r="C60" s="23">
        <f t="shared" si="40"/>
        <v>43.075000000000003</v>
      </c>
      <c r="D60" s="130">
        <f>_xll.xlqBid(CONCATENATE($A$55,B60&amp;""),tda)</f>
        <v>42.85</v>
      </c>
      <c r="E60" s="130">
        <f>_xll.xlqAsk(CONCATENATE($A$55,B60&amp;""),tda)</f>
        <v>43.300000000000004</v>
      </c>
      <c r="F60" s="55">
        <f>MAX($C60-AVERAGE(_xll.xlqBid(CONCATENATE($A$55,($B60+F$50)&amp;""),tda),_xll.xlqAsk(CONCATENATE($A$55,($B60+F$50)&amp;""),tda)),0)</f>
        <v>2.625</v>
      </c>
      <c r="G60" s="55" t="e">
        <f>MAX($C60-AVERAGE(_xll.xlqBid(CONCATENATE($A$55,($B60+G$50)&amp;""),tda),_xll.xlqAsk(CONCATENATE($A$55,($B60+G$50)&amp;""),tda)),0)</f>
        <v>#VALUE!</v>
      </c>
      <c r="H60" s="55">
        <f>MAX($C60-AVERAGE(_xll.xlqBid(CONCATENATE($A$55,($B60+H$50)&amp;""),tda),_xll.xlqAsk(CONCATENATE($A$55,($B60+H$50)&amp;""),tda)),0)</f>
        <v>7.5</v>
      </c>
      <c r="I60" s="55" t="e">
        <f>MAX($C60-AVERAGE(_xll.xlqBid(CONCATENATE($A$55,($B60+I$50)&amp;""),tda),_xll.xlqAsk(CONCATENATE($A$55,($B60+I$50)&amp;""),tda)),0)</f>
        <v>#VALUE!</v>
      </c>
      <c r="J60" s="25"/>
      <c r="K60" s="63">
        <f t="shared" si="33"/>
        <v>2.375</v>
      </c>
      <c r="L60" s="63" t="e">
        <f t="shared" si="33"/>
        <v>#VALUE!</v>
      </c>
      <c r="M60" s="63">
        <f t="shared" si="33"/>
        <v>7.5</v>
      </c>
      <c r="N60" s="63" t="e">
        <f t="shared" si="33"/>
        <v>#VALUE!</v>
      </c>
      <c r="O60" s="25"/>
      <c r="P60" s="25">
        <f t="shared" si="41"/>
        <v>0.90476190476190477</v>
      </c>
      <c r="Q60" s="25" t="e">
        <f t="shared" si="34"/>
        <v>#VALUE!</v>
      </c>
      <c r="R60" s="25">
        <f t="shared" si="34"/>
        <v>1</v>
      </c>
      <c r="S60" s="25" t="e">
        <f t="shared" si="34"/>
        <v>#VALUE!</v>
      </c>
      <c r="T60" s="25"/>
      <c r="U60" s="63">
        <f t="shared" si="35"/>
        <v>197.625</v>
      </c>
      <c r="V60" s="63" t="e">
        <f t="shared" si="35"/>
        <v>#VALUE!</v>
      </c>
      <c r="W60" s="63">
        <f t="shared" si="35"/>
        <v>202.5</v>
      </c>
      <c r="X60" s="63" t="e">
        <f t="shared" si="35"/>
        <v>#VALUE!</v>
      </c>
      <c r="Y60" s="63"/>
      <c r="Z60" s="133">
        <f t="shared" ca="1" si="42"/>
        <v>0.78040642563025409</v>
      </c>
      <c r="AA60" s="133" t="e">
        <f t="shared" ca="1" si="36"/>
        <v>#VALUE!</v>
      </c>
      <c r="AB60" s="133">
        <f t="shared" ca="1" si="36"/>
        <v>0.85989424152707938</v>
      </c>
      <c r="AC60" s="133" t="e">
        <f t="shared" ca="1" si="36"/>
        <v>#VALUE!</v>
      </c>
      <c r="AD60" s="2"/>
      <c r="AE60" s="127">
        <f t="shared" si="43"/>
        <v>-4.209971741941676E-2</v>
      </c>
      <c r="AF60" s="127">
        <f t="shared" si="37"/>
        <v>-1.815221035490211E-2</v>
      </c>
      <c r="AG60" s="127">
        <f t="shared" si="37"/>
        <v>5.7952967096124297E-3</v>
      </c>
      <c r="AH60" s="127">
        <f t="shared" si="37"/>
        <v>2.9742803774126969E-2</v>
      </c>
      <c r="AJ60" s="125">
        <f t="shared" si="44"/>
        <v>380.95238095238096</v>
      </c>
      <c r="AK60" s="125" t="e">
        <f t="shared" si="38"/>
        <v>#VALUE!</v>
      </c>
      <c r="AL60" s="125">
        <f t="shared" si="38"/>
        <v>133.33333333333334</v>
      </c>
      <c r="AM60" s="125" t="e">
        <f t="shared" si="38"/>
        <v>#VALUE!</v>
      </c>
      <c r="AO60" s="63">
        <f t="shared" si="45"/>
        <v>904.76190476190482</v>
      </c>
      <c r="AP60" s="63" t="e">
        <f t="shared" si="39"/>
        <v>#VALUE!</v>
      </c>
      <c r="AQ60" s="63">
        <f t="shared" si="39"/>
        <v>1000.0000000000001</v>
      </c>
      <c r="AR60" s="63" t="e">
        <f t="shared" si="39"/>
        <v>#VALUE!</v>
      </c>
    </row>
    <row r="61" spans="1:44" s="77" customFormat="1" x14ac:dyDescent="0.25">
      <c r="A61" s="111"/>
      <c r="B61" s="107">
        <f t="shared" si="46"/>
        <v>200</v>
      </c>
      <c r="C61" s="108">
        <f t="shared" si="40"/>
        <v>40.450000000000003</v>
      </c>
      <c r="D61" s="131">
        <f>_xll.xlqBid(CONCATENATE($A$55,B61&amp;""),tda)</f>
        <v>40.25</v>
      </c>
      <c r="E61" s="131">
        <f>_xll.xlqAsk(CONCATENATE($A$55,B61&amp;""),tda)</f>
        <v>40.65</v>
      </c>
      <c r="F61" s="109" t="e">
        <f>MAX($C61-AVERAGE(_xll.xlqBid(CONCATENATE($A$55,($B61+F$50)&amp;""),tda),_xll.xlqAsk(CONCATENATE($A$55,($B61+F$50)&amp;""),tda)),0)</f>
        <v>#VALUE!</v>
      </c>
      <c r="G61" s="109">
        <f>MAX($C61-AVERAGE(_xll.xlqBid(CONCATENATE($A$55,($B61+G$50)&amp;""),tda),_xll.xlqAsk(CONCATENATE($A$55,($B61+G$50)&amp;""),tda)),0)</f>
        <v>4.875</v>
      </c>
      <c r="H61" s="109" t="e">
        <f>MAX($C61-AVERAGE(_xll.xlqBid(CONCATENATE($A$55,($B61+H$50)&amp;""),tda),_xll.xlqAsk(CONCATENATE($A$55,($B61+H$50)&amp;""),tda)),0)</f>
        <v>#VALUE!</v>
      </c>
      <c r="I61" s="109">
        <f>MAX($C61-AVERAGE(_xll.xlqBid(CONCATENATE($A$55,($B61+I$50)&amp;""),tda),_xll.xlqAsk(CONCATENATE($A$55,($B61+I$50)&amp;""),tda)),0)</f>
        <v>9.3250000000000028</v>
      </c>
      <c r="J61" s="110"/>
      <c r="K61" s="76" t="e">
        <f t="shared" si="33"/>
        <v>#VALUE!</v>
      </c>
      <c r="L61" s="76">
        <f t="shared" si="33"/>
        <v>5.125</v>
      </c>
      <c r="M61" s="76" t="e">
        <f t="shared" si="33"/>
        <v>#VALUE!</v>
      </c>
      <c r="N61" s="76">
        <f t="shared" si="33"/>
        <v>10.674999999999997</v>
      </c>
      <c r="O61" s="110"/>
      <c r="P61" s="110" t="e">
        <f t="shared" si="41"/>
        <v>#VALUE!</v>
      </c>
      <c r="Q61" s="110">
        <f t="shared" si="34"/>
        <v>1.0512820512820513</v>
      </c>
      <c r="R61" s="110" t="e">
        <f t="shared" si="34"/>
        <v>#VALUE!</v>
      </c>
      <c r="S61" s="110">
        <f t="shared" si="34"/>
        <v>1.1447721179624659</v>
      </c>
      <c r="T61" s="110"/>
      <c r="U61" s="76" t="e">
        <f t="shared" si="35"/>
        <v>#VALUE!</v>
      </c>
      <c r="V61" s="76">
        <f t="shared" si="35"/>
        <v>204.875</v>
      </c>
      <c r="W61" s="76" t="e">
        <f t="shared" si="35"/>
        <v>#VALUE!</v>
      </c>
      <c r="X61" s="76">
        <f t="shared" si="35"/>
        <v>209.32499999999999</v>
      </c>
      <c r="Y61" s="76"/>
      <c r="Z61" s="133" t="e">
        <f t="shared" ca="1" si="42"/>
        <v>#VALUE!</v>
      </c>
      <c r="AA61" s="133">
        <f t="shared" ca="1" si="36"/>
        <v>0.90253013377886337</v>
      </c>
      <c r="AB61" s="133" t="e">
        <f t="shared" ca="1" si="36"/>
        <v>#VALUE!</v>
      </c>
      <c r="AC61" s="133">
        <f t="shared" ca="1" si="36"/>
        <v>0.97997283883542385</v>
      </c>
      <c r="AD61" s="2"/>
      <c r="AE61" s="127">
        <f t="shared" si="43"/>
        <v>-1.815221035490211E-2</v>
      </c>
      <c r="AF61" s="127">
        <f t="shared" si="37"/>
        <v>5.7952967096124297E-3</v>
      </c>
      <c r="AG61" s="127">
        <f t="shared" si="37"/>
        <v>2.9742803774126969E-2</v>
      </c>
      <c r="AH61" s="127">
        <f t="shared" si="37"/>
        <v>5.3690310838641508E-2</v>
      </c>
      <c r="AJ61" s="125" t="e">
        <f t="shared" si="44"/>
        <v>#VALUE!</v>
      </c>
      <c r="AK61" s="125">
        <f t="shared" si="38"/>
        <v>205.12820512820514</v>
      </c>
      <c r="AL61" s="125" t="e">
        <f t="shared" si="38"/>
        <v>#VALUE!</v>
      </c>
      <c r="AM61" s="125">
        <f t="shared" si="38"/>
        <v>107.2386058981233</v>
      </c>
      <c r="AO61" s="63" t="e">
        <f t="shared" si="45"/>
        <v>#VALUE!</v>
      </c>
      <c r="AP61" s="63">
        <f t="shared" si="39"/>
        <v>1051.2820512820513</v>
      </c>
      <c r="AQ61" s="63" t="e">
        <f t="shared" si="39"/>
        <v>#VALUE!</v>
      </c>
      <c r="AR61" s="63">
        <f t="shared" si="39"/>
        <v>1144.7721179624659</v>
      </c>
    </row>
    <row r="62" spans="1:44" x14ac:dyDescent="0.25">
      <c r="A62" s="103"/>
      <c r="B62" s="107">
        <f t="shared" si="46"/>
        <v>205</v>
      </c>
      <c r="C62" s="23" t="e">
        <f t="shared" si="40"/>
        <v>#DIV/0!</v>
      </c>
      <c r="D62" s="130" t="str">
        <f>_xll.xlqBid(CONCATENATE($A$55,B62&amp;""),tda)</f>
        <v>#N/A</v>
      </c>
      <c r="E62" s="130" t="str">
        <f>_xll.xlqAsk(CONCATENATE($A$55,B62&amp;""),tda)</f>
        <v>#N/A</v>
      </c>
      <c r="F62" s="55" t="e">
        <f>MAX($C62-AVERAGE(_xll.xlqBid(CONCATENATE($A$55,($B62+F$50)&amp;""),tda),_xll.xlqAsk(CONCATENATE($A$55,($B62+F$50)&amp;""),tda)),0)</f>
        <v>#DIV/0!</v>
      </c>
      <c r="G62" s="55" t="e">
        <f>MAX($C62-AVERAGE(_xll.xlqBid(CONCATENATE($A$55,($B62+G$50)&amp;""),tda),_xll.xlqAsk(CONCATENATE($A$55,($B62+G$50)&amp;""),tda)),0)</f>
        <v>#DIV/0!</v>
      </c>
      <c r="H62" s="55" t="e">
        <f>MAX($C62-AVERAGE(_xll.xlqBid(CONCATENATE($A$55,($B62+H$50)&amp;""),tda),_xll.xlqAsk(CONCATENATE($A$55,($B62+H$50)&amp;""),tda)),0)</f>
        <v>#DIV/0!</v>
      </c>
      <c r="I62" s="55" t="e">
        <f>MAX($C62-AVERAGE(_xll.xlqBid(CONCATENATE($A$55,($B62+I$50)&amp;""),tda),_xll.xlqAsk(CONCATENATE($A$55,($B62+I$50)&amp;""),tda)),0)</f>
        <v>#DIV/0!</v>
      </c>
      <c r="J62" s="25"/>
      <c r="K62" s="63" t="e">
        <f t="shared" si="33"/>
        <v>#DIV/0!</v>
      </c>
      <c r="L62" s="63" t="e">
        <f t="shared" si="33"/>
        <v>#DIV/0!</v>
      </c>
      <c r="M62" s="63" t="e">
        <f t="shared" si="33"/>
        <v>#DIV/0!</v>
      </c>
      <c r="N62" s="63" t="e">
        <f t="shared" si="33"/>
        <v>#DIV/0!</v>
      </c>
      <c r="O62" s="25"/>
      <c r="P62" s="25" t="e">
        <f t="shared" si="41"/>
        <v>#DIV/0!</v>
      </c>
      <c r="Q62" s="25" t="e">
        <f t="shared" si="34"/>
        <v>#DIV/0!</v>
      </c>
      <c r="R62" s="25" t="e">
        <f t="shared" si="34"/>
        <v>#DIV/0!</v>
      </c>
      <c r="S62" s="25" t="e">
        <f t="shared" si="34"/>
        <v>#DIV/0!</v>
      </c>
      <c r="T62" s="25"/>
      <c r="U62" s="63" t="e">
        <f t="shared" si="35"/>
        <v>#DIV/0!</v>
      </c>
      <c r="V62" s="63" t="e">
        <f t="shared" si="35"/>
        <v>#DIV/0!</v>
      </c>
      <c r="W62" s="63" t="e">
        <f t="shared" si="35"/>
        <v>#DIV/0!</v>
      </c>
      <c r="X62" s="63" t="e">
        <f t="shared" si="35"/>
        <v>#DIV/0!</v>
      </c>
      <c r="Y62" s="63"/>
      <c r="Z62" s="133" t="e">
        <f t="shared" ca="1" si="42"/>
        <v>#DIV/0!</v>
      </c>
      <c r="AA62" s="133" t="e">
        <f t="shared" ca="1" si="36"/>
        <v>#DIV/0!</v>
      </c>
      <c r="AB62" s="133" t="e">
        <f t="shared" ca="1" si="36"/>
        <v>#DIV/0!</v>
      </c>
      <c r="AC62" s="133" t="e">
        <f t="shared" ca="1" si="36"/>
        <v>#DIV/0!</v>
      </c>
      <c r="AD62" s="2"/>
      <c r="AE62" s="127">
        <f t="shared" si="43"/>
        <v>5.7952967096124297E-3</v>
      </c>
      <c r="AF62" s="127">
        <f t="shared" si="37"/>
        <v>2.9742803774126969E-2</v>
      </c>
      <c r="AG62" s="127">
        <f t="shared" si="37"/>
        <v>5.3690310838641508E-2</v>
      </c>
      <c r="AH62" s="127">
        <f t="shared" si="37"/>
        <v>7.763781790315627E-2</v>
      </c>
      <c r="AJ62" s="125" t="e">
        <f t="shared" si="44"/>
        <v>#DIV/0!</v>
      </c>
      <c r="AK62" s="125" t="e">
        <f t="shared" si="38"/>
        <v>#DIV/0!</v>
      </c>
      <c r="AL62" s="125" t="e">
        <f t="shared" si="38"/>
        <v>#DIV/0!</v>
      </c>
      <c r="AM62" s="125" t="e">
        <f t="shared" si="38"/>
        <v>#DIV/0!</v>
      </c>
      <c r="AO62" s="63" t="e">
        <f t="shared" si="45"/>
        <v>#DIV/0!</v>
      </c>
      <c r="AP62" s="63" t="e">
        <f t="shared" si="39"/>
        <v>#DIV/0!</v>
      </c>
      <c r="AQ62" s="63" t="e">
        <f t="shared" si="39"/>
        <v>#DIV/0!</v>
      </c>
      <c r="AR62" s="63" t="e">
        <f t="shared" si="39"/>
        <v>#DIV/0!</v>
      </c>
    </row>
    <row r="63" spans="1:44" x14ac:dyDescent="0.25">
      <c r="A63" s="104"/>
      <c r="B63" s="107">
        <f t="shared" si="46"/>
        <v>210</v>
      </c>
      <c r="C63" s="23">
        <f t="shared" si="40"/>
        <v>35.575000000000003</v>
      </c>
      <c r="D63" s="130">
        <f>_xll.xlqBid(CONCATENATE($A$55,B63&amp;""),tda)</f>
        <v>35.4</v>
      </c>
      <c r="E63" s="130">
        <f>_xll.xlqAsk(CONCATENATE($A$55,B63&amp;""),tda)</f>
        <v>35.75</v>
      </c>
      <c r="F63" s="55" t="e">
        <f>MAX($C63-AVERAGE(_xll.xlqBid(CONCATENATE($A$55,($B63+F$50)&amp;""),tda),_xll.xlqAsk(CONCATENATE($A$55,($B63+F$50)&amp;""),tda)),0)</f>
        <v>#VALUE!</v>
      </c>
      <c r="G63" s="55">
        <f>MAX($C63-AVERAGE(_xll.xlqBid(CONCATENATE($A$55,($B63+G$50)&amp;""),tda),_xll.xlqAsk(CONCATENATE($A$55,($B63+G$50)&amp;""),tda)),0)</f>
        <v>4.4500000000000028</v>
      </c>
      <c r="H63" s="55">
        <f>MAX($C63-AVERAGE(_xll.xlqBid(CONCATENATE($A$55,($B63+H$50)&amp;""),tda),_xll.xlqAsk(CONCATENATE($A$55,($B63+H$50)&amp;""),tda)),0)</f>
        <v>6.5</v>
      </c>
      <c r="I63" s="55">
        <f>MAX($C63-AVERAGE(_xll.xlqBid(CONCATENATE($A$55,($B63+I$50)&amp;""),tda),_xll.xlqAsk(CONCATENATE($A$55,($B63+I$50)&amp;""),tda)),0)</f>
        <v>8.3500000000000014</v>
      </c>
      <c r="J63" s="25"/>
      <c r="K63" s="63" t="e">
        <f t="shared" si="33"/>
        <v>#VALUE!</v>
      </c>
      <c r="L63" s="63">
        <f t="shared" si="33"/>
        <v>5.5499999999999972</v>
      </c>
      <c r="M63" s="63">
        <f t="shared" si="33"/>
        <v>8.5</v>
      </c>
      <c r="N63" s="63">
        <f t="shared" si="33"/>
        <v>11.649999999999999</v>
      </c>
      <c r="O63" s="25"/>
      <c r="P63" s="25" t="e">
        <f t="shared" si="41"/>
        <v>#VALUE!</v>
      </c>
      <c r="Q63" s="25">
        <f t="shared" si="34"/>
        <v>1.2471910112359537</v>
      </c>
      <c r="R63" s="25">
        <f t="shared" si="34"/>
        <v>1.3076923076923077</v>
      </c>
      <c r="S63" s="25">
        <f t="shared" si="34"/>
        <v>1.3952095808383229</v>
      </c>
      <c r="T63" s="25"/>
      <c r="U63" s="63" t="e">
        <f t="shared" si="35"/>
        <v>#VALUE!</v>
      </c>
      <c r="V63" s="63">
        <f t="shared" si="35"/>
        <v>214.45</v>
      </c>
      <c r="W63" s="63">
        <f t="shared" si="35"/>
        <v>216.5</v>
      </c>
      <c r="X63" s="63">
        <f t="shared" si="35"/>
        <v>218.35</v>
      </c>
      <c r="Y63" s="63"/>
      <c r="Z63" s="133" t="e">
        <f t="shared" ca="1" si="42"/>
        <v>#VALUE!</v>
      </c>
      <c r="AA63" s="133">
        <f t="shared" ca="1" si="36"/>
        <v>1.0644071654623231</v>
      </c>
      <c r="AB63" s="133">
        <f t="shared" ca="1" si="36"/>
        <v>1.1140942033921046</v>
      </c>
      <c r="AC63" s="133">
        <f t="shared" ca="1" si="36"/>
        <v>1.1857280679398561</v>
      </c>
      <c r="AD63" s="2"/>
      <c r="AE63" s="127">
        <f t="shared" si="43"/>
        <v>2.9742803774126969E-2</v>
      </c>
      <c r="AF63" s="127">
        <f t="shared" si="37"/>
        <v>5.3690310838641508E-2</v>
      </c>
      <c r="AG63" s="127">
        <f t="shared" si="37"/>
        <v>7.763781790315627E-2</v>
      </c>
      <c r="AH63" s="127">
        <f t="shared" si="37"/>
        <v>0.10158532496767081</v>
      </c>
      <c r="AJ63" s="125" t="e">
        <f t="shared" si="44"/>
        <v>#VALUE!</v>
      </c>
      <c r="AK63" s="125">
        <f t="shared" si="38"/>
        <v>224.71910112359535</v>
      </c>
      <c r="AL63" s="125">
        <f t="shared" si="38"/>
        <v>153.84615384615384</v>
      </c>
      <c r="AM63" s="125">
        <f t="shared" si="38"/>
        <v>119.76047904191614</v>
      </c>
      <c r="AO63" s="63" t="e">
        <f t="shared" si="45"/>
        <v>#VALUE!</v>
      </c>
      <c r="AP63" s="63">
        <f t="shared" si="39"/>
        <v>1247.1910112359535</v>
      </c>
      <c r="AQ63" s="63">
        <f t="shared" si="39"/>
        <v>1307.6923076923076</v>
      </c>
      <c r="AR63" s="63">
        <f t="shared" si="39"/>
        <v>1395.2095808383228</v>
      </c>
    </row>
    <row r="64" spans="1:44" s="77" customFormat="1" x14ac:dyDescent="0.25">
      <c r="A64" s="111"/>
      <c r="B64" s="107">
        <f t="shared" si="46"/>
        <v>215</v>
      </c>
      <c r="C64" s="108" t="e">
        <f t="shared" si="40"/>
        <v>#DIV/0!</v>
      </c>
      <c r="D64" s="131" t="str">
        <f>_xll.xlqBid(CONCATENATE($A$55,B64&amp;""),tda)</f>
        <v>#N/A</v>
      </c>
      <c r="E64" s="131" t="str">
        <f>_xll.xlqAsk(CONCATENATE($A$55,B64&amp;""),tda)</f>
        <v>#N/A</v>
      </c>
      <c r="F64" s="109" t="e">
        <f>MAX($C64-AVERAGE(_xll.xlqBid(CONCATENATE($A$55,($B64+F$50)&amp;""),tda),_xll.xlqAsk(CONCATENATE($A$55,($B64+F$50)&amp;""),tda)),0)</f>
        <v>#DIV/0!</v>
      </c>
      <c r="G64" s="109" t="e">
        <f>MAX($C64-AVERAGE(_xll.xlqBid(CONCATENATE($A$55,($B64+G$50)&amp;""),tda),_xll.xlqAsk(CONCATENATE($A$55,($B64+G$50)&amp;""),tda)),0)</f>
        <v>#DIV/0!</v>
      </c>
      <c r="H64" s="109" t="e">
        <f>MAX($C64-AVERAGE(_xll.xlqBid(CONCATENATE($A$55,($B64+H$50)&amp;""),tda),_xll.xlqAsk(CONCATENATE($A$55,($B64+H$50)&amp;""),tda)),0)</f>
        <v>#DIV/0!</v>
      </c>
      <c r="I64" s="109" t="e">
        <f>MAX($C64-AVERAGE(_xll.xlqBid(CONCATENATE($A$55,($B64+I$50)&amp;""),tda),_xll.xlqAsk(CONCATENATE($A$55,($B64+I$50)&amp;""),tda)),0)</f>
        <v>#DIV/0!</v>
      </c>
      <c r="J64" s="110"/>
      <c r="K64" s="76" t="e">
        <f t="shared" si="33"/>
        <v>#DIV/0!</v>
      </c>
      <c r="L64" s="76" t="e">
        <f t="shared" si="33"/>
        <v>#DIV/0!</v>
      </c>
      <c r="M64" s="76" t="e">
        <f t="shared" si="33"/>
        <v>#DIV/0!</v>
      </c>
      <c r="N64" s="76" t="e">
        <f t="shared" si="33"/>
        <v>#DIV/0!</v>
      </c>
      <c r="O64" s="110"/>
      <c r="P64" s="110" t="e">
        <f t="shared" si="41"/>
        <v>#DIV/0!</v>
      </c>
      <c r="Q64" s="110" t="e">
        <f t="shared" si="34"/>
        <v>#DIV/0!</v>
      </c>
      <c r="R64" s="110" t="e">
        <f t="shared" si="34"/>
        <v>#DIV/0!</v>
      </c>
      <c r="S64" s="110" t="e">
        <f t="shared" si="34"/>
        <v>#DIV/0!</v>
      </c>
      <c r="T64" s="110"/>
      <c r="U64" s="76" t="e">
        <f t="shared" si="35"/>
        <v>#DIV/0!</v>
      </c>
      <c r="V64" s="76" t="e">
        <f t="shared" si="35"/>
        <v>#DIV/0!</v>
      </c>
      <c r="W64" s="76" t="e">
        <f t="shared" si="35"/>
        <v>#DIV/0!</v>
      </c>
      <c r="X64" s="76" t="e">
        <f t="shared" si="35"/>
        <v>#DIV/0!</v>
      </c>
      <c r="Y64" s="76"/>
      <c r="Z64" s="133" t="e">
        <f t="shared" ca="1" si="42"/>
        <v>#DIV/0!</v>
      </c>
      <c r="AA64" s="133" t="e">
        <f t="shared" ca="1" si="36"/>
        <v>#DIV/0!</v>
      </c>
      <c r="AB64" s="133" t="e">
        <f t="shared" ca="1" si="36"/>
        <v>#DIV/0!</v>
      </c>
      <c r="AC64" s="133" t="e">
        <f t="shared" ca="1" si="36"/>
        <v>#DIV/0!</v>
      </c>
      <c r="AD64" s="2"/>
      <c r="AE64" s="127">
        <f t="shared" si="43"/>
        <v>5.3690310838641508E-2</v>
      </c>
      <c r="AF64" s="127">
        <f t="shared" si="37"/>
        <v>7.763781790315627E-2</v>
      </c>
      <c r="AG64" s="127">
        <f t="shared" si="37"/>
        <v>0.10158532496767081</v>
      </c>
      <c r="AH64" s="127">
        <f t="shared" si="37"/>
        <v>0.12553283203218535</v>
      </c>
      <c r="AJ64" s="125" t="e">
        <f t="shared" si="44"/>
        <v>#DIV/0!</v>
      </c>
      <c r="AK64" s="125" t="e">
        <f t="shared" si="38"/>
        <v>#DIV/0!</v>
      </c>
      <c r="AL64" s="125" t="e">
        <f t="shared" si="38"/>
        <v>#DIV/0!</v>
      </c>
      <c r="AM64" s="125" t="e">
        <f t="shared" si="38"/>
        <v>#DIV/0!</v>
      </c>
      <c r="AO64" s="63" t="e">
        <f t="shared" si="45"/>
        <v>#DIV/0!</v>
      </c>
      <c r="AP64" s="63" t="e">
        <f t="shared" si="39"/>
        <v>#DIV/0!</v>
      </c>
      <c r="AQ64" s="63" t="e">
        <f t="shared" si="39"/>
        <v>#DIV/0!</v>
      </c>
      <c r="AR64" s="63" t="e">
        <f t="shared" si="39"/>
        <v>#DIV/0!</v>
      </c>
    </row>
    <row r="65" spans="1:44" x14ac:dyDescent="0.25">
      <c r="A65" s="80"/>
      <c r="B65" s="107">
        <f t="shared" si="46"/>
        <v>220</v>
      </c>
      <c r="C65" s="23">
        <f t="shared" si="40"/>
        <v>31.125</v>
      </c>
      <c r="D65" s="130">
        <f>_xll.xlqBid(CONCATENATE($A$55,B65&amp;""),tda)</f>
        <v>31</v>
      </c>
      <c r="E65" s="130">
        <f>_xll.xlqAsk(CONCATENATE($A$55,B65&amp;""),tda)</f>
        <v>31.25</v>
      </c>
      <c r="F65" s="55">
        <f>MAX($C65-AVERAGE(_xll.xlqBid(CONCATENATE($A$55,($B65+F$50)&amp;""),tda),_xll.xlqAsk(CONCATENATE($A$55,($B65+F$50)&amp;""),tda)),0)</f>
        <v>2.0499999999999972</v>
      </c>
      <c r="G65" s="55">
        <f>MAX($C65-AVERAGE(_xll.xlqBid(CONCATENATE($A$55,($B65+G$50)&amp;""),tda),_xll.xlqAsk(CONCATENATE($A$55,($B65+G$50)&amp;""),tda)),0)</f>
        <v>3.8999999999999986</v>
      </c>
      <c r="H65" s="55">
        <f>MAX($C65-AVERAGE(_xll.xlqBid(CONCATENATE($A$55,($B65+H$50)&amp;""),tda),_xll.xlqAsk(CONCATENATE($A$55,($B65+H$50)&amp;""),tda)),0)</f>
        <v>5.7249999999999979</v>
      </c>
      <c r="I65" s="55">
        <f>MAX($C65-AVERAGE(_xll.xlqBid(CONCATENATE($A$55,($B65+I$50)&amp;""),tda),_xll.xlqAsk(CONCATENATE($A$55,($B65+I$50)&amp;""),tda)),0)</f>
        <v>7.5249999999999986</v>
      </c>
      <c r="J65" s="25"/>
      <c r="K65" s="63">
        <f t="shared" si="33"/>
        <v>2.9500000000000028</v>
      </c>
      <c r="L65" s="63">
        <f t="shared" si="33"/>
        <v>6.1000000000000014</v>
      </c>
      <c r="M65" s="63">
        <f t="shared" si="33"/>
        <v>9.2750000000000021</v>
      </c>
      <c r="N65" s="63">
        <f t="shared" si="33"/>
        <v>12.475000000000001</v>
      </c>
      <c r="O65" s="25"/>
      <c r="P65" s="25">
        <f t="shared" si="41"/>
        <v>1.4390243902439057</v>
      </c>
      <c r="Q65" s="25">
        <f t="shared" si="34"/>
        <v>1.564102564102565</v>
      </c>
      <c r="R65" s="25">
        <f t="shared" si="34"/>
        <v>1.6200873362445425</v>
      </c>
      <c r="S65" s="25">
        <f t="shared" si="34"/>
        <v>1.6578073089701002</v>
      </c>
      <c r="T65" s="25"/>
      <c r="U65" s="63">
        <f t="shared" si="35"/>
        <v>222.05</v>
      </c>
      <c r="V65" s="63">
        <f t="shared" si="35"/>
        <v>223.9</v>
      </c>
      <c r="W65" s="63">
        <f t="shared" si="35"/>
        <v>225.72499999999999</v>
      </c>
      <c r="X65" s="63">
        <f t="shared" si="35"/>
        <v>227.52500000000001</v>
      </c>
      <c r="Y65" s="63"/>
      <c r="Z65" s="133">
        <f t="shared" ca="1" si="42"/>
        <v>1.221487447273963</v>
      </c>
      <c r="AA65" s="133">
        <f t="shared" ca="1" si="36"/>
        <v>1.3232041940561015</v>
      </c>
      <c r="AB65" s="133">
        <f t="shared" ca="1" si="36"/>
        <v>1.3685627119169737</v>
      </c>
      <c r="AC65" s="133">
        <f t="shared" ca="1" si="36"/>
        <v>1.3990658553195798</v>
      </c>
      <c r="AD65" s="2"/>
      <c r="AE65" s="127">
        <f t="shared" si="43"/>
        <v>7.763781790315627E-2</v>
      </c>
      <c r="AF65" s="127">
        <f t="shared" si="37"/>
        <v>0.10158532496767081</v>
      </c>
      <c r="AG65" s="127">
        <f t="shared" si="37"/>
        <v>0.12553283203218535</v>
      </c>
      <c r="AH65" s="127">
        <f t="shared" si="37"/>
        <v>0.14948033909669989</v>
      </c>
      <c r="AJ65" s="125">
        <f t="shared" si="44"/>
        <v>487.80487804878118</v>
      </c>
      <c r="AK65" s="125">
        <f t="shared" si="38"/>
        <v>256.41025641025652</v>
      </c>
      <c r="AL65" s="125">
        <f t="shared" si="38"/>
        <v>174.67248908296949</v>
      </c>
      <c r="AM65" s="125">
        <f t="shared" si="38"/>
        <v>132.89036544850501</v>
      </c>
      <c r="AO65" s="63">
        <f t="shared" si="45"/>
        <v>1439.0243902439058</v>
      </c>
      <c r="AP65" s="63">
        <f t="shared" si="39"/>
        <v>1564.1025641025651</v>
      </c>
      <c r="AQ65" s="63">
        <f t="shared" si="39"/>
        <v>1620.0873362445425</v>
      </c>
      <c r="AR65" s="63">
        <f t="shared" si="39"/>
        <v>1657.8073089701002</v>
      </c>
    </row>
    <row r="66" spans="1:44" x14ac:dyDescent="0.25">
      <c r="A66" s="102"/>
      <c r="B66" s="107">
        <f t="shared" si="46"/>
        <v>225</v>
      </c>
      <c r="C66" s="23">
        <f t="shared" si="40"/>
        <v>29.075000000000003</v>
      </c>
      <c r="D66" s="130">
        <f>_xll.xlqBid(CONCATENATE($A$55,B66&amp;""),tda)</f>
        <v>28.950000000000003</v>
      </c>
      <c r="E66" s="130">
        <f>_xll.xlqAsk(CONCATENATE($A$55,B66&amp;""),tda)</f>
        <v>29.200000000000003</v>
      </c>
      <c r="F66" s="55">
        <f>MAX($C66-AVERAGE(_xll.xlqBid(CONCATENATE($A$55,($B66+F$50)&amp;""),tda),_xll.xlqAsk(CONCATENATE($A$55,($B66+F$50)&amp;""),tda)),0)</f>
        <v>1.8500000000000014</v>
      </c>
      <c r="G66" s="55">
        <f>MAX($C66-AVERAGE(_xll.xlqBid(CONCATENATE($A$55,($B66+G$50)&amp;""),tda),_xll.xlqAsk(CONCATENATE($A$55,($B66+G$50)&amp;""),tda)),0)</f>
        <v>3.6750000000000007</v>
      </c>
      <c r="H66" s="55">
        <f>MAX($C66-AVERAGE(_xll.xlqBid(CONCATENATE($A$55,($B66+H$50)&amp;""),tda),_xll.xlqAsk(CONCATENATE($A$55,($B66+H$50)&amp;""),tda)),0)</f>
        <v>5.4750000000000014</v>
      </c>
      <c r="I66" s="55">
        <f>MAX($C66-AVERAGE(_xll.xlqBid(CONCATENATE($A$55,($B66+I$50)&amp;""),tda),_xll.xlqAsk(CONCATENATE($A$55,($B66+I$50)&amp;""),tda)),0)</f>
        <v>7.1000000000000014</v>
      </c>
      <c r="J66" s="25"/>
      <c r="K66" s="63">
        <f t="shared" si="33"/>
        <v>3.1499999999999986</v>
      </c>
      <c r="L66" s="63">
        <f t="shared" si="33"/>
        <v>6.3249999999999993</v>
      </c>
      <c r="M66" s="63">
        <f t="shared" si="33"/>
        <v>9.5249999999999986</v>
      </c>
      <c r="N66" s="63">
        <f t="shared" si="33"/>
        <v>12.899999999999999</v>
      </c>
      <c r="O66" s="25"/>
      <c r="P66" s="25">
        <f t="shared" si="41"/>
        <v>1.7027027027027006</v>
      </c>
      <c r="Q66" s="25">
        <f t="shared" si="34"/>
        <v>1.7210884353741491</v>
      </c>
      <c r="R66" s="25">
        <f t="shared" si="34"/>
        <v>1.7397260273972595</v>
      </c>
      <c r="S66" s="25">
        <f t="shared" si="34"/>
        <v>1.8169014084507036</v>
      </c>
      <c r="T66" s="25"/>
      <c r="U66" s="63">
        <f t="shared" si="35"/>
        <v>226.85</v>
      </c>
      <c r="V66" s="63">
        <f t="shared" si="35"/>
        <v>228.67500000000001</v>
      </c>
      <c r="W66" s="63">
        <f t="shared" si="35"/>
        <v>230.47499999999999</v>
      </c>
      <c r="X66" s="63">
        <f t="shared" si="35"/>
        <v>232.1</v>
      </c>
      <c r="Y66" s="63"/>
      <c r="Z66" s="133">
        <f t="shared" ca="1" si="42"/>
        <v>1.4353125485636178</v>
      </c>
      <c r="AA66" s="133">
        <f t="shared" ca="1" si="36"/>
        <v>1.4501381736346914</v>
      </c>
      <c r="AB66" s="133">
        <f t="shared" ca="1" si="36"/>
        <v>1.4651561807887252</v>
      </c>
      <c r="AC66" s="133">
        <f t="shared" ca="1" si="36"/>
        <v>1.5272304075771443</v>
      </c>
      <c r="AD66" s="2"/>
      <c r="AE66" s="127">
        <f t="shared" si="43"/>
        <v>0.10158532496767081</v>
      </c>
      <c r="AF66" s="127">
        <f t="shared" si="37"/>
        <v>0.12553283203218535</v>
      </c>
      <c r="AG66" s="127">
        <f t="shared" si="37"/>
        <v>0.14948033909669989</v>
      </c>
      <c r="AH66" s="127">
        <f t="shared" si="37"/>
        <v>0.17342784616121443</v>
      </c>
      <c r="AJ66" s="125">
        <f t="shared" si="44"/>
        <v>540.54054054054018</v>
      </c>
      <c r="AK66" s="125">
        <f t="shared" si="38"/>
        <v>272.10884353741494</v>
      </c>
      <c r="AL66" s="125">
        <f t="shared" si="38"/>
        <v>182.64840182648396</v>
      </c>
      <c r="AM66" s="125">
        <f t="shared" si="38"/>
        <v>140.84507042253517</v>
      </c>
      <c r="AO66" s="63">
        <f t="shared" si="45"/>
        <v>1702.7027027027009</v>
      </c>
      <c r="AP66" s="63">
        <f t="shared" si="39"/>
        <v>1721.0884353741494</v>
      </c>
      <c r="AQ66" s="63">
        <f t="shared" si="39"/>
        <v>1739.7260273972595</v>
      </c>
      <c r="AR66" s="63">
        <f t="shared" si="39"/>
        <v>1816.9014084507035</v>
      </c>
    </row>
    <row r="67" spans="1:44" s="77" customFormat="1" x14ac:dyDescent="0.25">
      <c r="A67" s="111"/>
      <c r="B67" s="107">
        <f t="shared" si="46"/>
        <v>230</v>
      </c>
      <c r="C67" s="108">
        <f t="shared" si="40"/>
        <v>27.225000000000001</v>
      </c>
      <c r="D67" s="131">
        <f>_xll.xlqBid(CONCATENATE($A$55,B67&amp;""),tda)</f>
        <v>27</v>
      </c>
      <c r="E67" s="131">
        <f>_xll.xlqAsk(CONCATENATE($A$55,B67&amp;""),tda)</f>
        <v>27.450000000000003</v>
      </c>
      <c r="F67" s="109">
        <f>MAX($C67-AVERAGE(_xll.xlqBid(CONCATENATE($A$55,($B67+F$50)&amp;""),tda),_xll.xlqAsk(CONCATENATE($A$55,($B67+F$50)&amp;""),tda)),0)</f>
        <v>1.8249999999999993</v>
      </c>
      <c r="G67" s="109">
        <f>MAX($C67-AVERAGE(_xll.xlqBid(CONCATENATE($A$55,($B67+G$50)&amp;""),tda),_xll.xlqAsk(CONCATENATE($A$55,($B67+G$50)&amp;""),tda)),0)</f>
        <v>3.625</v>
      </c>
      <c r="H67" s="109">
        <f>MAX($C67-AVERAGE(_xll.xlqBid(CONCATENATE($A$55,($B67+H$50)&amp;""),tda),_xll.xlqAsk(CONCATENATE($A$55,($B67+H$50)&amp;""),tda)),0)</f>
        <v>5.25</v>
      </c>
      <c r="I67" s="109">
        <f>MAX($C67-AVERAGE(_xll.xlqBid(CONCATENATE($A$55,($B67+I$50)&amp;""),tda),_xll.xlqAsk(CONCATENATE($A$55,($B67+I$50)&amp;""),tda)),0)</f>
        <v>6.7749999999999986</v>
      </c>
      <c r="J67" s="110"/>
      <c r="K67" s="76">
        <f t="shared" si="33"/>
        <v>3.1750000000000007</v>
      </c>
      <c r="L67" s="76">
        <f t="shared" si="33"/>
        <v>6.375</v>
      </c>
      <c r="M67" s="76">
        <f t="shared" si="33"/>
        <v>9.75</v>
      </c>
      <c r="N67" s="76">
        <f t="shared" si="33"/>
        <v>13.225000000000001</v>
      </c>
      <c r="O67" s="110"/>
      <c r="P67" s="110">
        <f t="shared" si="41"/>
        <v>1.7397260273972612</v>
      </c>
      <c r="Q67" s="110">
        <f t="shared" si="34"/>
        <v>1.7586206896551724</v>
      </c>
      <c r="R67" s="110">
        <f t="shared" si="34"/>
        <v>1.8571428571428572</v>
      </c>
      <c r="S67" s="110">
        <f t="shared" si="34"/>
        <v>1.9520295202952036</v>
      </c>
      <c r="T67" s="110"/>
      <c r="U67" s="76">
        <f t="shared" si="35"/>
        <v>231.82499999999999</v>
      </c>
      <c r="V67" s="76">
        <f t="shared" si="35"/>
        <v>233.625</v>
      </c>
      <c r="W67" s="76">
        <f t="shared" si="35"/>
        <v>235.25</v>
      </c>
      <c r="X67" s="76">
        <f t="shared" si="35"/>
        <v>236.77500000000001</v>
      </c>
      <c r="Y67" s="76"/>
      <c r="Z67" s="133">
        <f t="shared" ca="1" si="42"/>
        <v>1.465156180788727</v>
      </c>
      <c r="AA67" s="133">
        <f t="shared" ca="1" si="42"/>
        <v>1.48037040994494</v>
      </c>
      <c r="AB67" s="133">
        <f t="shared" ca="1" si="42"/>
        <v>1.5595267543901867</v>
      </c>
      <c r="AC67" s="133">
        <f t="shared" ca="1" si="42"/>
        <v>1.6354921448047701</v>
      </c>
      <c r="AD67" s="2"/>
      <c r="AE67" s="127">
        <f t="shared" si="43"/>
        <v>0.12553283203218535</v>
      </c>
      <c r="AF67" s="127">
        <f t="shared" si="43"/>
        <v>0.14948033909669989</v>
      </c>
      <c r="AG67" s="127">
        <f t="shared" si="43"/>
        <v>0.17342784616121443</v>
      </c>
      <c r="AH67" s="127">
        <f t="shared" si="43"/>
        <v>0.19737535322572919</v>
      </c>
      <c r="AJ67" s="125">
        <f t="shared" si="44"/>
        <v>547.94520547945228</v>
      </c>
      <c r="AK67" s="125">
        <f t="shared" si="38"/>
        <v>275.86206896551727</v>
      </c>
      <c r="AL67" s="125">
        <f t="shared" si="38"/>
        <v>190.47619047619048</v>
      </c>
      <c r="AM67" s="125">
        <f t="shared" si="38"/>
        <v>147.60147601476018</v>
      </c>
      <c r="AO67" s="63">
        <f t="shared" si="45"/>
        <v>1739.7260273972613</v>
      </c>
      <c r="AP67" s="63">
        <f t="shared" si="39"/>
        <v>1758.6206896551726</v>
      </c>
      <c r="AQ67" s="63">
        <f t="shared" si="39"/>
        <v>1857.1428571428571</v>
      </c>
      <c r="AR67" s="63">
        <f t="shared" si="39"/>
        <v>1952.0295202952036</v>
      </c>
    </row>
    <row r="68" spans="1:44" x14ac:dyDescent="0.25">
      <c r="A68" s="101"/>
      <c r="B68" s="107">
        <f t="shared" si="46"/>
        <v>235</v>
      </c>
      <c r="C68" s="23">
        <f t="shared" si="40"/>
        <v>25.400000000000002</v>
      </c>
      <c r="D68" s="130">
        <f>_xll.xlqBid(CONCATENATE($A$55,B68&amp;""),tda)</f>
        <v>25.150000000000002</v>
      </c>
      <c r="E68" s="130">
        <f>_xll.xlqAsk(CONCATENATE($A$55,B68&amp;""),tda)</f>
        <v>25.650000000000002</v>
      </c>
      <c r="F68" s="55">
        <f>MAX($C68-AVERAGE(_xll.xlqBid(CONCATENATE($A$55,($B68+F$50)&amp;""),tda),_xll.xlqAsk(CONCATENATE($A$55,($B68+F$50)&amp;""),tda)),0)</f>
        <v>1.8000000000000007</v>
      </c>
      <c r="G68" s="55">
        <f>MAX($C68-AVERAGE(_xll.xlqBid(CONCATENATE($A$55,($B68+G$50)&amp;""),tda),_xll.xlqAsk(CONCATENATE($A$55,($B68+G$50)&amp;""),tda)),0)</f>
        <v>3.4250000000000007</v>
      </c>
      <c r="H68" s="55">
        <f>MAX($C68-AVERAGE(_xll.xlqBid(CONCATENATE($A$55,($B68+H$50)&amp;""),tda),_xll.xlqAsk(CONCATENATE($A$55,($B68+H$50)&amp;""),tda)),0)</f>
        <v>4.9499999999999993</v>
      </c>
      <c r="I68" s="55">
        <f>MAX($C68-AVERAGE(_xll.xlqBid(CONCATENATE($A$55,($B68+I$50)&amp;""),tda),_xll.xlqAsk(CONCATENATE($A$55,($B68+I$50)&amp;""),tda)),0)</f>
        <v>6.3500000000000014</v>
      </c>
      <c r="J68" s="25"/>
      <c r="K68" s="63">
        <f t="shared" si="33"/>
        <v>3.1999999999999993</v>
      </c>
      <c r="L68" s="63">
        <f t="shared" si="33"/>
        <v>6.5749999999999993</v>
      </c>
      <c r="M68" s="63">
        <f t="shared" si="33"/>
        <v>10.050000000000001</v>
      </c>
      <c r="N68" s="63">
        <f t="shared" si="33"/>
        <v>13.649999999999999</v>
      </c>
      <c r="O68" s="25"/>
      <c r="P68" s="25">
        <f t="shared" si="41"/>
        <v>1.7777777777777768</v>
      </c>
      <c r="Q68" s="25">
        <f t="shared" si="34"/>
        <v>1.9197080291970796</v>
      </c>
      <c r="R68" s="25">
        <f t="shared" si="34"/>
        <v>2.0303030303030307</v>
      </c>
      <c r="S68" s="25">
        <f t="shared" si="34"/>
        <v>2.1496062992125977</v>
      </c>
      <c r="T68" s="25"/>
      <c r="U68" s="63">
        <f t="shared" si="35"/>
        <v>236.8</v>
      </c>
      <c r="V68" s="63">
        <f t="shared" si="35"/>
        <v>238.42500000000001</v>
      </c>
      <c r="W68" s="63">
        <f t="shared" si="35"/>
        <v>239.95</v>
      </c>
      <c r="X68" s="63">
        <f t="shared" si="35"/>
        <v>241.35</v>
      </c>
      <c r="Y68" s="63"/>
      <c r="Z68" s="133">
        <f t="shared" ca="1" si="42"/>
        <v>1.4957848048553495</v>
      </c>
      <c r="AA68" s="133">
        <f t="shared" ca="1" si="42"/>
        <v>1.6096450025277762</v>
      </c>
      <c r="AB68" s="133">
        <f t="shared" ca="1" si="42"/>
        <v>1.6979645190866437</v>
      </c>
      <c r="AC68" s="133">
        <f t="shared" ca="1" si="42"/>
        <v>1.7928606781014658</v>
      </c>
      <c r="AD68" s="2"/>
      <c r="AE68" s="127">
        <f t="shared" si="43"/>
        <v>0.14948033909669989</v>
      </c>
      <c r="AF68" s="127">
        <f t="shared" si="43"/>
        <v>0.17342784616121443</v>
      </c>
      <c r="AG68" s="127">
        <f t="shared" si="43"/>
        <v>0.19737535322572919</v>
      </c>
      <c r="AH68" s="127">
        <f t="shared" si="43"/>
        <v>0.22132286029024373</v>
      </c>
      <c r="AJ68" s="125">
        <f t="shared" si="44"/>
        <v>555.55555555555532</v>
      </c>
      <c r="AK68" s="125">
        <f t="shared" si="38"/>
        <v>291.97080291970798</v>
      </c>
      <c r="AL68" s="125">
        <f t="shared" si="38"/>
        <v>202.02020202020205</v>
      </c>
      <c r="AM68" s="125">
        <f t="shared" si="38"/>
        <v>157.4803149606299</v>
      </c>
      <c r="AO68" s="63">
        <f t="shared" si="45"/>
        <v>1777.7777777777767</v>
      </c>
      <c r="AP68" s="63">
        <f t="shared" si="39"/>
        <v>1919.7080291970797</v>
      </c>
      <c r="AQ68" s="63">
        <f t="shared" si="39"/>
        <v>2030.3030303030307</v>
      </c>
      <c r="AR68" s="63">
        <f t="shared" si="39"/>
        <v>2149.6062992125981</v>
      </c>
    </row>
    <row r="69" spans="1:44" x14ac:dyDescent="0.25">
      <c r="A69" s="102"/>
      <c r="B69" s="107">
        <f t="shared" si="46"/>
        <v>240</v>
      </c>
      <c r="C69" s="23">
        <f t="shared" si="40"/>
        <v>23.6</v>
      </c>
      <c r="D69" s="130">
        <f>_xll.xlqBid(CONCATENATE($A$55,B69&amp;""),tda)</f>
        <v>23.450000000000003</v>
      </c>
      <c r="E69" s="130">
        <f>_xll.xlqAsk(CONCATENATE($A$55,B69&amp;""),tda)</f>
        <v>23.75</v>
      </c>
      <c r="F69" s="55">
        <f>MAX($C69-AVERAGE(_xll.xlqBid(CONCATENATE($A$55,($B69+F$50)&amp;""),tda),_xll.xlqAsk(CONCATENATE($A$55,($B69+F$50)&amp;""),tda)),0)</f>
        <v>1.625</v>
      </c>
      <c r="G69" s="55">
        <f>MAX($C69-AVERAGE(_xll.xlqBid(CONCATENATE($A$55,($B69+G$50)&amp;""),tda),_xll.xlqAsk(CONCATENATE($A$55,($B69+G$50)&amp;""),tda)),0)</f>
        <v>3.1499999999999986</v>
      </c>
      <c r="H69" s="55">
        <f>MAX($C69-AVERAGE(_xll.xlqBid(CONCATENATE($A$55,($B69+H$50)&amp;""),tda),_xll.xlqAsk(CONCATENATE($A$55,($B69+H$50)&amp;""),tda)),0)</f>
        <v>4.5500000000000007</v>
      </c>
      <c r="I69" s="55">
        <f>MAX($C69-AVERAGE(_xll.xlqBid(CONCATENATE($A$55,($B69+I$50)&amp;""),tda),_xll.xlqAsk(CONCATENATE($A$55,($B69+I$50)&amp;""),tda)),0)</f>
        <v>5.9500000000000028</v>
      </c>
      <c r="J69" s="25"/>
      <c r="K69" s="63">
        <f t="shared" si="33"/>
        <v>3.375</v>
      </c>
      <c r="L69" s="63">
        <f t="shared" si="33"/>
        <v>6.8500000000000014</v>
      </c>
      <c r="M69" s="63">
        <f t="shared" si="33"/>
        <v>10.45</v>
      </c>
      <c r="N69" s="63">
        <f t="shared" si="33"/>
        <v>14.049999999999997</v>
      </c>
      <c r="O69" s="25"/>
      <c r="P69" s="25">
        <f t="shared" si="41"/>
        <v>2.0769230769230771</v>
      </c>
      <c r="Q69" s="25">
        <f t="shared" si="34"/>
        <v>2.1746031746031762</v>
      </c>
      <c r="R69" s="25">
        <f t="shared" si="34"/>
        <v>2.2967032967032961</v>
      </c>
      <c r="S69" s="25">
        <f t="shared" si="34"/>
        <v>2.3613445378151243</v>
      </c>
      <c r="T69" s="25"/>
      <c r="U69" s="63">
        <f t="shared" si="35"/>
        <v>241.625</v>
      </c>
      <c r="V69" s="63">
        <f t="shared" si="35"/>
        <v>243.15</v>
      </c>
      <c r="W69" s="63">
        <f t="shared" si="35"/>
        <v>244.55</v>
      </c>
      <c r="X69" s="63">
        <f t="shared" si="35"/>
        <v>245.95</v>
      </c>
      <c r="Y69" s="63"/>
      <c r="Z69" s="133">
        <f t="shared" ca="1" si="42"/>
        <v>1.7350927902412718</v>
      </c>
      <c r="AA69" s="133">
        <f t="shared" ca="1" si="42"/>
        <v>1.8126955180413087</v>
      </c>
      <c r="AB69" s="133">
        <f t="shared" ca="1" si="42"/>
        <v>1.9093485823368614</v>
      </c>
      <c r="AC69" s="133">
        <f t="shared" ca="1" si="42"/>
        <v>1.9603652959058846</v>
      </c>
      <c r="AD69" s="2"/>
      <c r="AE69" s="127">
        <f t="shared" si="43"/>
        <v>0.17342784616121443</v>
      </c>
      <c r="AF69" s="127">
        <f t="shared" si="43"/>
        <v>0.19737535322572919</v>
      </c>
      <c r="AG69" s="127">
        <f t="shared" si="43"/>
        <v>0.22132286029024373</v>
      </c>
      <c r="AH69" s="127">
        <f t="shared" si="43"/>
        <v>0.24527036735475827</v>
      </c>
      <c r="AJ69" s="125">
        <f t="shared" si="44"/>
        <v>615.38461538461536</v>
      </c>
      <c r="AK69" s="125">
        <f t="shared" si="38"/>
        <v>317.46031746031758</v>
      </c>
      <c r="AL69" s="125">
        <f t="shared" si="38"/>
        <v>219.78021978021974</v>
      </c>
      <c r="AM69" s="125">
        <f t="shared" si="38"/>
        <v>168.06722689075622</v>
      </c>
      <c r="AO69" s="63">
        <f t="shared" si="45"/>
        <v>2076.9230769230767</v>
      </c>
      <c r="AP69" s="63">
        <f t="shared" si="39"/>
        <v>2174.6031746031758</v>
      </c>
      <c r="AQ69" s="63">
        <f t="shared" si="39"/>
        <v>2296.703296703296</v>
      </c>
      <c r="AR69" s="63">
        <f t="shared" si="39"/>
        <v>2361.3445378151246</v>
      </c>
    </row>
    <row r="70" spans="1:44" s="77" customFormat="1" x14ac:dyDescent="0.25">
      <c r="A70" s="106"/>
      <c r="B70" s="107">
        <f t="shared" si="46"/>
        <v>245</v>
      </c>
      <c r="C70" s="108">
        <f t="shared" si="40"/>
        <v>21.975000000000001</v>
      </c>
      <c r="D70" s="131">
        <f>_xll.xlqBid(CONCATENATE($A$55,B70&amp;""),tda)</f>
        <v>21.8</v>
      </c>
      <c r="E70" s="131">
        <f>_xll.xlqAsk(CONCATENATE($A$55,B70&amp;""),tda)</f>
        <v>22.150000000000002</v>
      </c>
      <c r="F70" s="109">
        <f>MAX($C70-AVERAGE(_xll.xlqBid(CONCATENATE($A$55,($B70+F$50)&amp;""),tda),_xll.xlqAsk(CONCATENATE($A$55,($B70+F$50)&amp;""),tda)),0)</f>
        <v>1.5249999999999986</v>
      </c>
      <c r="G70" s="109">
        <f>MAX($C70-AVERAGE(_xll.xlqBid(CONCATENATE($A$55,($B70+G$50)&amp;""),tda),_xll.xlqAsk(CONCATENATE($A$55,($B70+G$50)&amp;""),tda)),0)</f>
        <v>2.9250000000000007</v>
      </c>
      <c r="H70" s="109">
        <f>MAX($C70-AVERAGE(_xll.xlqBid(CONCATENATE($A$55,($B70+H$50)&amp;""),tda),_xll.xlqAsk(CONCATENATE($A$55,($B70+H$50)&amp;""),tda)),0)</f>
        <v>4.3250000000000028</v>
      </c>
      <c r="I70" s="109">
        <f>MAX($C70-AVERAGE(_xll.xlqBid(CONCATENATE($A$55,($B70+I$50)&amp;""),tda),_xll.xlqAsk(CONCATENATE($A$55,($B70+I$50)&amp;""),tda)),0)</f>
        <v>5.6000000000000014</v>
      </c>
      <c r="J70" s="110"/>
      <c r="K70" s="76">
        <f t="shared" si="33"/>
        <v>3.4750000000000014</v>
      </c>
      <c r="L70" s="76">
        <f t="shared" si="33"/>
        <v>7.0749999999999993</v>
      </c>
      <c r="M70" s="76">
        <f t="shared" si="33"/>
        <v>10.674999999999997</v>
      </c>
      <c r="N70" s="76">
        <f t="shared" si="33"/>
        <v>14.399999999999999</v>
      </c>
      <c r="O70" s="110"/>
      <c r="P70" s="110">
        <f t="shared" si="41"/>
        <v>2.2786885245901671</v>
      </c>
      <c r="Q70" s="110">
        <f t="shared" si="34"/>
        <v>2.4188034188034178</v>
      </c>
      <c r="R70" s="110">
        <f t="shared" si="34"/>
        <v>2.468208092485547</v>
      </c>
      <c r="S70" s="110">
        <f t="shared" si="34"/>
        <v>2.5714285714285707</v>
      </c>
      <c r="T70" s="110"/>
      <c r="U70" s="76">
        <f t="shared" si="35"/>
        <v>246.52500000000001</v>
      </c>
      <c r="V70" s="76">
        <f t="shared" si="35"/>
        <v>247.92500000000001</v>
      </c>
      <c r="W70" s="76">
        <f t="shared" si="35"/>
        <v>249.32499999999999</v>
      </c>
      <c r="X70" s="76">
        <f t="shared" si="35"/>
        <v>250.6</v>
      </c>
      <c r="Y70" s="76"/>
      <c r="Z70" s="133">
        <f t="shared" ca="1" si="42"/>
        <v>1.8951122114109422</v>
      </c>
      <c r="AA70" s="133">
        <f t="shared" ca="1" si="42"/>
        <v>2.0056272001624733</v>
      </c>
      <c r="AB70" s="133">
        <f t="shared" ca="1" si="42"/>
        <v>2.0444808568579704</v>
      </c>
      <c r="AC70" s="133">
        <f t="shared" ca="1" si="42"/>
        <v>2.1254712790211383</v>
      </c>
      <c r="AD70" s="2"/>
      <c r="AE70" s="127">
        <f t="shared" si="43"/>
        <v>0.19737535322572919</v>
      </c>
      <c r="AF70" s="127">
        <f t="shared" si="43"/>
        <v>0.22132286029024373</v>
      </c>
      <c r="AG70" s="127">
        <f t="shared" si="43"/>
        <v>0.24527036735475827</v>
      </c>
      <c r="AH70" s="127">
        <f t="shared" si="43"/>
        <v>0.26921787441927281</v>
      </c>
      <c r="AJ70" s="125">
        <f t="shared" si="44"/>
        <v>655.73770491803339</v>
      </c>
      <c r="AK70" s="125">
        <f t="shared" si="38"/>
        <v>341.8803418803418</v>
      </c>
      <c r="AL70" s="125">
        <f t="shared" si="38"/>
        <v>231.21387283236979</v>
      </c>
      <c r="AM70" s="125">
        <f t="shared" si="38"/>
        <v>178.57142857142853</v>
      </c>
      <c r="AO70" s="63">
        <f t="shared" si="45"/>
        <v>2278.6885245901672</v>
      </c>
      <c r="AP70" s="63">
        <f t="shared" si="39"/>
        <v>2418.803418803418</v>
      </c>
      <c r="AQ70" s="63">
        <f t="shared" si="39"/>
        <v>2468.2080924855468</v>
      </c>
      <c r="AR70" s="63">
        <f t="shared" si="39"/>
        <v>2571.4285714285706</v>
      </c>
    </row>
    <row r="71" spans="1:44" x14ac:dyDescent="0.25">
      <c r="A71" s="37"/>
      <c r="B71" s="107">
        <f t="shared" si="46"/>
        <v>250</v>
      </c>
      <c r="C71" s="23">
        <f t="shared" si="40"/>
        <v>20.450000000000003</v>
      </c>
      <c r="D71" s="130">
        <f>_xll.xlqBid(CONCATENATE($A$55,B71&amp;""),tda)</f>
        <v>20.3</v>
      </c>
      <c r="E71" s="130">
        <f>_xll.xlqAsk(CONCATENATE($A$55,B71&amp;""),tda)</f>
        <v>20.6</v>
      </c>
      <c r="F71" s="55">
        <f>MAX($C71-AVERAGE(_xll.xlqBid(CONCATENATE($A$55,($B71+F$50)&amp;""),tda),_xll.xlqAsk(CONCATENATE($A$55,($B71+F$50)&amp;""),tda)),0)</f>
        <v>1.4000000000000021</v>
      </c>
      <c r="G71" s="55">
        <f>MAX($C71-AVERAGE(_xll.xlqBid(CONCATENATE($A$55,($B71+G$50)&amp;""),tda),_xll.xlqAsk(CONCATENATE($A$55,($B71+G$50)&amp;""),tda)),0)</f>
        <v>2.8000000000000043</v>
      </c>
      <c r="H71" s="55">
        <f>MAX($C71-AVERAGE(_xll.xlqBid(CONCATENATE($A$55,($B71+H$50)&amp;""),tda),_xll.xlqAsk(CONCATENATE($A$55,($B71+H$50)&amp;""),tda)),0)</f>
        <v>4.0750000000000028</v>
      </c>
      <c r="I71" s="55">
        <f>MAX($C71-AVERAGE(_xll.xlqBid(CONCATENATE($A$55,($B71+I$50)&amp;""),tda),_xll.xlqAsk(CONCATENATE($A$55,($B71+I$50)&amp;""),tda)),0)</f>
        <v>5.2750000000000021</v>
      </c>
      <c r="J71" s="25"/>
      <c r="K71" s="63">
        <f t="shared" si="33"/>
        <v>3.5999999999999979</v>
      </c>
      <c r="L71" s="63">
        <f t="shared" si="33"/>
        <v>7.1999999999999957</v>
      </c>
      <c r="M71" s="63">
        <f t="shared" si="33"/>
        <v>10.924999999999997</v>
      </c>
      <c r="N71" s="63">
        <f t="shared" si="33"/>
        <v>14.724999999999998</v>
      </c>
      <c r="O71" s="25"/>
      <c r="P71" s="25">
        <f t="shared" si="41"/>
        <v>2.5714285714285658</v>
      </c>
      <c r="Q71" s="25">
        <f t="shared" si="34"/>
        <v>2.5714285714285658</v>
      </c>
      <c r="R71" s="25">
        <f t="shared" si="34"/>
        <v>2.6809815950920219</v>
      </c>
      <c r="S71" s="25">
        <f t="shared" si="34"/>
        <v>2.7914691943127945</v>
      </c>
      <c r="T71" s="25"/>
      <c r="U71" s="63">
        <f t="shared" si="35"/>
        <v>251.4</v>
      </c>
      <c r="V71" s="63">
        <f t="shared" si="35"/>
        <v>252.8</v>
      </c>
      <c r="W71" s="63">
        <f t="shared" si="35"/>
        <v>254.07499999999999</v>
      </c>
      <c r="X71" s="63">
        <f t="shared" si="35"/>
        <v>255.27500000000001</v>
      </c>
      <c r="Y71" s="63"/>
      <c r="Z71" s="133">
        <f t="shared" ca="1" si="42"/>
        <v>2.1254712790211343</v>
      </c>
      <c r="AA71" s="133">
        <f t="shared" ca="1" si="42"/>
        <v>2.1254712790211343</v>
      </c>
      <c r="AB71" s="133">
        <f t="shared" ca="1" si="42"/>
        <v>2.2111626818744599</v>
      </c>
      <c r="AC71" s="133">
        <f t="shared" ca="1" si="42"/>
        <v>2.2973148537247159</v>
      </c>
      <c r="AD71" s="2"/>
      <c r="AE71" s="127">
        <f t="shared" si="43"/>
        <v>0.22132286029024373</v>
      </c>
      <c r="AF71" s="127">
        <f t="shared" si="43"/>
        <v>0.24527036735475827</v>
      </c>
      <c r="AG71" s="127">
        <f t="shared" si="43"/>
        <v>0.26921787441927281</v>
      </c>
      <c r="AH71" s="127">
        <f t="shared" si="43"/>
        <v>0.29316538148378735</v>
      </c>
      <c r="AJ71" s="125">
        <f t="shared" si="44"/>
        <v>714.2857142857132</v>
      </c>
      <c r="AK71" s="125">
        <f t="shared" si="38"/>
        <v>357.1428571428566</v>
      </c>
      <c r="AL71" s="125">
        <f t="shared" si="38"/>
        <v>245.3987730061348</v>
      </c>
      <c r="AM71" s="125">
        <f t="shared" si="38"/>
        <v>189.57345971563973</v>
      </c>
      <c r="AO71" s="63">
        <f t="shared" si="45"/>
        <v>2571.4285714285661</v>
      </c>
      <c r="AP71" s="63">
        <f t="shared" si="39"/>
        <v>2571.4285714285661</v>
      </c>
      <c r="AQ71" s="63">
        <f t="shared" si="39"/>
        <v>2680.981595092022</v>
      </c>
      <c r="AR71" s="63">
        <f t="shared" si="39"/>
        <v>2791.4691943127946</v>
      </c>
    </row>
    <row r="73" spans="1:44" x14ac:dyDescent="0.25">
      <c r="A73" s="176"/>
      <c r="B73" s="13"/>
      <c r="C73" s="13"/>
      <c r="D73" s="117"/>
      <c r="E73" s="117"/>
      <c r="F73" s="262" t="s">
        <v>100</v>
      </c>
      <c r="G73" s="262"/>
      <c r="H73" s="262"/>
      <c r="I73" s="262"/>
      <c r="J73" s="13"/>
      <c r="K73" s="262" t="s">
        <v>99</v>
      </c>
      <c r="L73" s="262"/>
      <c r="M73" s="262"/>
      <c r="N73" s="262"/>
      <c r="O73" s="13"/>
      <c r="P73" s="262" t="s">
        <v>98</v>
      </c>
      <c r="Q73" s="262"/>
      <c r="R73" s="262"/>
      <c r="S73" s="262"/>
      <c r="T73" s="13"/>
      <c r="U73" s="262" t="s">
        <v>97</v>
      </c>
      <c r="V73" s="262"/>
      <c r="W73" s="262"/>
      <c r="X73" s="262"/>
      <c r="Y73" s="176"/>
      <c r="Z73" s="263" t="s">
        <v>107</v>
      </c>
      <c r="AA73" s="262"/>
      <c r="AB73" s="262"/>
      <c r="AC73" s="262"/>
      <c r="AD73" s="176"/>
      <c r="AE73" s="176"/>
      <c r="AF73" s="176"/>
      <c r="AG73" s="176"/>
      <c r="AH73" s="176"/>
      <c r="AJ73" s="262" t="s">
        <v>104</v>
      </c>
      <c r="AK73" s="262"/>
      <c r="AL73" s="262"/>
      <c r="AM73" s="262"/>
      <c r="AN73" s="13"/>
      <c r="AO73" s="262" t="s">
        <v>105</v>
      </c>
      <c r="AP73" s="262"/>
      <c r="AQ73" s="262"/>
      <c r="AR73" s="262"/>
    </row>
    <row r="74" spans="1:44" x14ac:dyDescent="0.25">
      <c r="A74" s="99" t="str">
        <f>A2</f>
        <v>NVDA</v>
      </c>
      <c r="B74" s="13" t="s">
        <v>95</v>
      </c>
      <c r="C74" s="20" t="s">
        <v>96</v>
      </c>
      <c r="D74" s="129" t="s">
        <v>64</v>
      </c>
      <c r="E74" s="129" t="s">
        <v>65</v>
      </c>
      <c r="F74" s="21">
        <v>5</v>
      </c>
      <c r="G74" s="21">
        <v>10</v>
      </c>
      <c r="H74" s="21">
        <v>15</v>
      </c>
      <c r="I74" s="21">
        <v>20</v>
      </c>
      <c r="J74" s="21"/>
      <c r="K74" s="21">
        <f>F74</f>
        <v>5</v>
      </c>
      <c r="L74" s="21">
        <f t="shared" ref="L74:X74" si="47">G74</f>
        <v>10</v>
      </c>
      <c r="M74" s="21">
        <f t="shared" si="47"/>
        <v>15</v>
      </c>
      <c r="N74" s="21">
        <f t="shared" si="47"/>
        <v>20</v>
      </c>
      <c r="O74" s="21"/>
      <c r="P74" s="21">
        <f t="shared" si="47"/>
        <v>5</v>
      </c>
      <c r="Q74" s="21">
        <f t="shared" si="47"/>
        <v>10</v>
      </c>
      <c r="R74" s="21">
        <f t="shared" si="47"/>
        <v>15</v>
      </c>
      <c r="S74" s="21">
        <f t="shared" si="47"/>
        <v>20</v>
      </c>
      <c r="T74" s="21"/>
      <c r="U74" s="21">
        <f t="shared" si="47"/>
        <v>5</v>
      </c>
      <c r="V74" s="21">
        <f t="shared" si="47"/>
        <v>10</v>
      </c>
      <c r="W74" s="21">
        <f t="shared" si="47"/>
        <v>15</v>
      </c>
      <c r="X74" s="21">
        <f t="shared" si="47"/>
        <v>20</v>
      </c>
      <c r="Y74" s="21"/>
      <c r="Z74" s="132">
        <f>U74</f>
        <v>5</v>
      </c>
      <c r="AA74" s="132">
        <f>V74</f>
        <v>10</v>
      </c>
      <c r="AB74" s="132">
        <f>W74</f>
        <v>15</v>
      </c>
      <c r="AC74" s="132">
        <f>X74</f>
        <v>20</v>
      </c>
      <c r="AD74" s="132"/>
      <c r="AE74" s="132">
        <f>Z74</f>
        <v>5</v>
      </c>
      <c r="AF74" s="132">
        <f>AA74</f>
        <v>10</v>
      </c>
      <c r="AG74" s="132">
        <f>AB74</f>
        <v>15</v>
      </c>
      <c r="AH74" s="132">
        <f>AC74</f>
        <v>20</v>
      </c>
      <c r="AJ74" s="21">
        <f>U74</f>
        <v>5</v>
      </c>
      <c r="AK74" s="21">
        <f>V74</f>
        <v>10</v>
      </c>
      <c r="AL74" s="21">
        <f>W74</f>
        <v>15</v>
      </c>
      <c r="AM74" s="21">
        <f>X74</f>
        <v>20</v>
      </c>
      <c r="AO74" s="21">
        <f>AJ74</f>
        <v>5</v>
      </c>
      <c r="AP74" s="21">
        <f>AK74</f>
        <v>10</v>
      </c>
      <c r="AQ74" s="21">
        <f>AL74</f>
        <v>15</v>
      </c>
      <c r="AR74" s="21">
        <f>AM74</f>
        <v>20</v>
      </c>
    </row>
    <row r="75" spans="1:44" x14ac:dyDescent="0.25">
      <c r="A75" s="100">
        <f>_xll.xlqPrice(A74,"TDA")</f>
        <v>208.79000000000002</v>
      </c>
      <c r="B75" s="21">
        <f>B51</f>
        <v>150</v>
      </c>
      <c r="C75" s="23">
        <f>AVERAGE(D75,E75)</f>
        <v>64.575000000000003</v>
      </c>
      <c r="D75" s="130">
        <f>_xll.xlqBid(CONCATENATE($A$79,B75&amp;""),tda)</f>
        <v>64.400000000000006</v>
      </c>
      <c r="E75" s="130">
        <f>_xll.xlqAsk(CONCATENATE($A$79,B75&amp;""),tda)</f>
        <v>64.75</v>
      </c>
      <c r="F75" s="55">
        <f>MAX($C75-AVERAGE(_xll.xlqBid(CONCATENATE($A$79,($B75+F$74)&amp;""),tda),_xll.xlqAsk(CONCATENATE($A$79,($B75+F$74)&amp;""),tda)),0)</f>
        <v>4.1500000000000057</v>
      </c>
      <c r="G75" s="55">
        <f>MAX($C75-AVERAGE(_xll.xlqBid(CONCATENATE($A$79,($B75+G$74)&amp;""),tda),_xll.xlqAsk(CONCATENATE($A$79,($B75+G$74)&amp;""),tda)),0)</f>
        <v>8.1749999999999972</v>
      </c>
      <c r="H75" s="55">
        <f>MAX($C75-AVERAGE(_xll.xlqBid(CONCATENATE($A$79,($B75+H$74)&amp;""),tda),_xll.xlqAsk(CONCATENATE($A$79,($B75+H$74)&amp;""),tda)),0)</f>
        <v>12.100000000000001</v>
      </c>
      <c r="I75" s="55">
        <f>MAX($C75-AVERAGE(_xll.xlqBid(CONCATENATE($A$79,($B75+I$74)&amp;""),tda),_xll.xlqAsk(CONCATENATE($A$79,($B75+I$74)&amp;""),tda)),0)</f>
        <v>15.875</v>
      </c>
      <c r="J75" s="25"/>
      <c r="K75" s="63">
        <f t="shared" ref="K75:N95" si="48">K$74-F75</f>
        <v>0.84999999999999432</v>
      </c>
      <c r="L75" s="63">
        <f t="shared" si="48"/>
        <v>1.8250000000000028</v>
      </c>
      <c r="M75" s="63">
        <f t="shared" si="48"/>
        <v>2.8999999999999986</v>
      </c>
      <c r="N75" s="63">
        <f t="shared" si="48"/>
        <v>4.125</v>
      </c>
      <c r="O75" s="25"/>
      <c r="P75" s="25">
        <f>K75/F75</f>
        <v>0.20481927710843209</v>
      </c>
      <c r="Q75" s="25">
        <f t="shared" ref="Q75:S95" si="49">L75/G75</f>
        <v>0.2232415902140677</v>
      </c>
      <c r="R75" s="25">
        <f t="shared" si="49"/>
        <v>0.23966942148760317</v>
      </c>
      <c r="S75" s="25">
        <f t="shared" si="49"/>
        <v>0.25984251968503935</v>
      </c>
      <c r="T75" s="25"/>
      <c r="U75" s="63">
        <f t="shared" ref="U75:X95" si="50">$B75+F75</f>
        <v>154.15</v>
      </c>
      <c r="V75" s="63">
        <f t="shared" si="50"/>
        <v>158.17500000000001</v>
      </c>
      <c r="W75" s="63">
        <f t="shared" si="50"/>
        <v>162.1</v>
      </c>
      <c r="X75" s="63">
        <f t="shared" si="50"/>
        <v>165.875</v>
      </c>
      <c r="Y75" s="63"/>
      <c r="Z75" s="133">
        <f ca="1">(1+P75)^(365.25/$A$82)-1</f>
        <v>0.41018599671577638</v>
      </c>
      <c r="AA75" s="133">
        <f t="shared" ref="AA75:AC90" ca="1" si="51">(1+Q75)^(365.25/$A$82)-1</f>
        <v>0.4502189023508516</v>
      </c>
      <c r="AB75" s="133">
        <f t="shared" ca="1" si="51"/>
        <v>0.48635000939593342</v>
      </c>
      <c r="AC75" s="133">
        <f t="shared" ca="1" si="51"/>
        <v>0.53127468900367902</v>
      </c>
      <c r="AD75" s="2"/>
      <c r="AE75" s="127">
        <f>($B75+AE$2)/$A$3-1</f>
        <v>-0.25762728100004795</v>
      </c>
      <c r="AF75" s="127">
        <f t="shared" ref="AF75:AH90" si="52">($B75+AF$2)/$A$3-1</f>
        <v>-0.23367977393553341</v>
      </c>
      <c r="AG75" s="127">
        <f t="shared" si="52"/>
        <v>-0.20973226687101876</v>
      </c>
      <c r="AH75" s="127">
        <f t="shared" si="52"/>
        <v>-0.18578475980650422</v>
      </c>
      <c r="AJ75" s="125">
        <f>$A$17/F75</f>
        <v>240.96385542168642</v>
      </c>
      <c r="AK75" s="125">
        <f t="shared" ref="AK75:AM95" si="53">$A$17/G75</f>
        <v>122.32415902140677</v>
      </c>
      <c r="AL75" s="125">
        <f t="shared" si="53"/>
        <v>82.644628099173545</v>
      </c>
      <c r="AM75" s="125">
        <f t="shared" si="53"/>
        <v>62.99212598425197</v>
      </c>
      <c r="AO75" s="63">
        <f>AJ75*K75</f>
        <v>204.81927710843209</v>
      </c>
      <c r="AP75" s="63">
        <f t="shared" ref="AP75:AR95" si="54">AK75*L75</f>
        <v>223.24159021406771</v>
      </c>
      <c r="AQ75" s="63">
        <f t="shared" si="54"/>
        <v>239.66942148760316</v>
      </c>
      <c r="AR75" s="63">
        <f t="shared" si="54"/>
        <v>259.84251968503941</v>
      </c>
    </row>
    <row r="76" spans="1:44" s="77" customFormat="1" x14ac:dyDescent="0.25">
      <c r="A76" s="111"/>
      <c r="B76" s="107">
        <f>B75+5</f>
        <v>155</v>
      </c>
      <c r="C76" s="108">
        <f t="shared" ref="C76:C95" si="55">AVERAGE(D76,E76)</f>
        <v>60.424999999999997</v>
      </c>
      <c r="D76" s="131">
        <f>_xll.xlqBid(CONCATENATE($A$79,B76&amp;""),tda)</f>
        <v>60.25</v>
      </c>
      <c r="E76" s="131">
        <f>_xll.xlqAsk(CONCATENATE($A$79,B76&amp;""),tda)</f>
        <v>60.6</v>
      </c>
      <c r="F76" s="109">
        <f>MAX($C76-AVERAGE(_xll.xlqBid(CONCATENATE($A$79,($B76+F$74)&amp;""),tda),_xll.xlqAsk(CONCATENATE($A$79,($B76+F$74)&amp;""),tda)),0)</f>
        <v>4.0249999999999915</v>
      </c>
      <c r="G76" s="109">
        <f>MAX($C76-AVERAGE(_xll.xlqBid(CONCATENATE($A$79,($B76+G$74)&amp;""),tda),_xll.xlqAsk(CONCATENATE($A$79,($B76+G$74)&amp;""),tda)),0)</f>
        <v>7.9499999999999957</v>
      </c>
      <c r="H76" s="109">
        <f>MAX($C76-AVERAGE(_xll.xlqBid(CONCATENATE($A$79,($B76+H$74)&amp;""),tda),_xll.xlqAsk(CONCATENATE($A$79,($B76+H$74)&amp;""),tda)),0)</f>
        <v>11.724999999999994</v>
      </c>
      <c r="I76" s="109">
        <f>MAX($C76-AVERAGE(_xll.xlqBid(CONCATENATE($A$79,($B76+I$74)&amp;""),tda),_xll.xlqAsk(CONCATENATE($A$79,($B76+I$74)&amp;""),tda)),0)</f>
        <v>15.374999999999993</v>
      </c>
      <c r="J76" s="110"/>
      <c r="K76" s="76">
        <f t="shared" si="48"/>
        <v>0.97500000000000853</v>
      </c>
      <c r="L76" s="76">
        <f t="shared" si="48"/>
        <v>2.0500000000000043</v>
      </c>
      <c r="M76" s="76">
        <f t="shared" si="48"/>
        <v>3.2750000000000057</v>
      </c>
      <c r="N76" s="76">
        <f t="shared" si="48"/>
        <v>4.6250000000000071</v>
      </c>
      <c r="O76" s="110"/>
      <c r="P76" s="110">
        <f t="shared" ref="P76:P95" si="56">K76/F76</f>
        <v>0.24223602484472312</v>
      </c>
      <c r="Q76" s="110">
        <f t="shared" si="49"/>
        <v>0.25786163522012645</v>
      </c>
      <c r="R76" s="110">
        <f t="shared" si="49"/>
        <v>0.27931769722814559</v>
      </c>
      <c r="S76" s="110">
        <f t="shared" si="49"/>
        <v>0.30081300813008188</v>
      </c>
      <c r="T76" s="110"/>
      <c r="U76" s="76">
        <f t="shared" si="50"/>
        <v>159.02499999999998</v>
      </c>
      <c r="V76" s="76">
        <f t="shared" si="50"/>
        <v>162.94999999999999</v>
      </c>
      <c r="W76" s="76">
        <f t="shared" si="50"/>
        <v>166.72499999999999</v>
      </c>
      <c r="X76" s="76">
        <f t="shared" si="50"/>
        <v>170.375</v>
      </c>
      <c r="Y76" s="76"/>
      <c r="Z76" s="133">
        <f t="shared" ref="Z76:AC95" ca="1" si="57">(1+P76)^(365.25/$A$82)-1</f>
        <v>0.4920317126338476</v>
      </c>
      <c r="AA76" s="133">
        <f t="shared" ca="1" si="51"/>
        <v>0.52683622705027644</v>
      </c>
      <c r="AB76" s="133">
        <f t="shared" ca="1" si="51"/>
        <v>0.57522553929714726</v>
      </c>
      <c r="AC76" s="133">
        <f t="shared" ca="1" si="51"/>
        <v>0.62439568371272403</v>
      </c>
      <c r="AD76" s="2"/>
      <c r="AE76" s="127">
        <f t="shared" ref="AE76:AH95" si="58">($B76+AE$2)/$A$3-1</f>
        <v>-0.23367977393553341</v>
      </c>
      <c r="AF76" s="127">
        <f t="shared" si="52"/>
        <v>-0.20973226687101876</v>
      </c>
      <c r="AG76" s="127">
        <f t="shared" si="52"/>
        <v>-0.18578475980650422</v>
      </c>
      <c r="AH76" s="127">
        <f t="shared" si="52"/>
        <v>-0.16183725274198968</v>
      </c>
      <c r="AJ76" s="125">
        <f t="shared" ref="AJ76:AJ95" si="59">$A$17/F76</f>
        <v>248.44720496894462</v>
      </c>
      <c r="AK76" s="125">
        <f t="shared" si="53"/>
        <v>125.78616352201264</v>
      </c>
      <c r="AL76" s="125">
        <f t="shared" si="53"/>
        <v>85.287846481876372</v>
      </c>
      <c r="AM76" s="125">
        <f t="shared" si="53"/>
        <v>65.040650406504099</v>
      </c>
      <c r="AO76" s="63">
        <f t="shared" ref="AO76:AO95" si="60">AJ76*K76</f>
        <v>242.23602484472312</v>
      </c>
      <c r="AP76" s="63">
        <f t="shared" si="54"/>
        <v>257.86163522012646</v>
      </c>
      <c r="AQ76" s="63">
        <f t="shared" si="54"/>
        <v>279.31769722814562</v>
      </c>
      <c r="AR76" s="63">
        <f t="shared" si="54"/>
        <v>300.81300813008193</v>
      </c>
    </row>
    <row r="77" spans="1:44" x14ac:dyDescent="0.25">
      <c r="A77" s="235">
        <v>44001</v>
      </c>
      <c r="B77" s="107">
        <f t="shared" ref="B77:B95" si="61">B76+5</f>
        <v>160</v>
      </c>
      <c r="C77" s="23">
        <f t="shared" si="55"/>
        <v>56.400000000000006</v>
      </c>
      <c r="D77" s="130">
        <f>_xll.xlqBid(CONCATENATE($A$79,B77&amp;""),tda)</f>
        <v>56.25</v>
      </c>
      <c r="E77" s="130">
        <f>_xll.xlqAsk(CONCATENATE($A$79,B77&amp;""),tda)</f>
        <v>56.550000000000004</v>
      </c>
      <c r="F77" s="55">
        <f>MAX($C77-AVERAGE(_xll.xlqBid(CONCATENATE($A$79,($B77+F$74)&amp;""),tda),_xll.xlqAsk(CONCATENATE($A$79,($B77+F$74)&amp;""),tda)),0)</f>
        <v>3.9250000000000043</v>
      </c>
      <c r="G77" s="55">
        <f>MAX($C77-AVERAGE(_xll.xlqBid(CONCATENATE($A$79,($B77+G$74)&amp;""),tda),_xll.xlqAsk(CONCATENATE($A$79,($B77+G$74)&amp;""),tda)),0)</f>
        <v>7.7000000000000028</v>
      </c>
      <c r="H77" s="55">
        <f>MAX($C77-AVERAGE(_xll.xlqBid(CONCATENATE($A$79,($B77+H$74)&amp;""),tda),_xll.xlqAsk(CONCATENATE($A$79,($B77+H$74)&amp;""),tda)),0)</f>
        <v>11.350000000000001</v>
      </c>
      <c r="I77" s="55">
        <f>MAX($C77-AVERAGE(_xll.xlqBid(CONCATENATE($A$79,($B77+I$74)&amp;""),tda),_xll.xlqAsk(CONCATENATE($A$79,($B77+I$74)&amp;""),tda)),0)</f>
        <v>14.875000000000007</v>
      </c>
      <c r="J77" s="25"/>
      <c r="K77" s="63">
        <f t="shared" si="48"/>
        <v>1.0749999999999957</v>
      </c>
      <c r="L77" s="63">
        <f t="shared" si="48"/>
        <v>2.2999999999999972</v>
      </c>
      <c r="M77" s="63">
        <f t="shared" si="48"/>
        <v>3.6499999999999986</v>
      </c>
      <c r="N77" s="63">
        <f t="shared" si="48"/>
        <v>5.1249999999999929</v>
      </c>
      <c r="O77" s="25"/>
      <c r="P77" s="25">
        <f t="shared" si="56"/>
        <v>0.27388535031846994</v>
      </c>
      <c r="Q77" s="25">
        <f t="shared" si="49"/>
        <v>0.29870129870129825</v>
      </c>
      <c r="R77" s="25">
        <f t="shared" si="49"/>
        <v>0.32158590308370028</v>
      </c>
      <c r="S77" s="25">
        <f t="shared" si="49"/>
        <v>0.34453781512604975</v>
      </c>
      <c r="T77" s="25"/>
      <c r="U77" s="63">
        <f t="shared" si="50"/>
        <v>163.92500000000001</v>
      </c>
      <c r="V77" s="63">
        <f t="shared" si="50"/>
        <v>167.7</v>
      </c>
      <c r="W77" s="63">
        <f t="shared" si="50"/>
        <v>171.35</v>
      </c>
      <c r="X77" s="63">
        <f t="shared" si="50"/>
        <v>174.875</v>
      </c>
      <c r="Y77" s="63"/>
      <c r="Z77" s="133">
        <f t="shared" ca="1" si="57"/>
        <v>0.56290876090573683</v>
      </c>
      <c r="AA77" s="133">
        <f t="shared" ca="1" si="51"/>
        <v>0.61953454228718585</v>
      </c>
      <c r="AB77" s="133">
        <f t="shared" ca="1" si="51"/>
        <v>0.6725700387139617</v>
      </c>
      <c r="AC77" s="133">
        <f t="shared" ca="1" si="51"/>
        <v>0.72654643354512594</v>
      </c>
      <c r="AD77" s="2"/>
      <c r="AE77" s="127">
        <f t="shared" si="58"/>
        <v>-0.20973226687101876</v>
      </c>
      <c r="AF77" s="127">
        <f t="shared" si="52"/>
        <v>-0.18578475980650422</v>
      </c>
      <c r="AG77" s="127">
        <f t="shared" si="52"/>
        <v>-0.16183725274198968</v>
      </c>
      <c r="AH77" s="127">
        <f t="shared" si="52"/>
        <v>-0.13788974567747503</v>
      </c>
      <c r="AJ77" s="125">
        <f t="shared" si="59"/>
        <v>254.777070063694</v>
      </c>
      <c r="AK77" s="125">
        <f t="shared" si="53"/>
        <v>129.87012987012983</v>
      </c>
      <c r="AL77" s="125">
        <f t="shared" si="53"/>
        <v>88.105726872246692</v>
      </c>
      <c r="AM77" s="125">
        <f t="shared" si="53"/>
        <v>67.226890756302495</v>
      </c>
      <c r="AO77" s="63">
        <f t="shared" si="60"/>
        <v>273.88535031846999</v>
      </c>
      <c r="AP77" s="63">
        <f t="shared" si="54"/>
        <v>298.70129870129824</v>
      </c>
      <c r="AQ77" s="63">
        <f t="shared" si="54"/>
        <v>321.58590308370032</v>
      </c>
      <c r="AR77" s="63">
        <f t="shared" si="54"/>
        <v>344.53781512604979</v>
      </c>
    </row>
    <row r="78" spans="1:44" x14ac:dyDescent="0.25">
      <c r="A78" s="101" t="str">
        <f>CONCATENATE(TEXT(MONTH(A77),"00"),TEXT(DAY(A77),"00"),TEXT(MOD(YEAR(A77),100),"00"))</f>
        <v>061920</v>
      </c>
      <c r="B78" s="107">
        <f t="shared" si="61"/>
        <v>165</v>
      </c>
      <c r="C78" s="23">
        <f t="shared" si="55"/>
        <v>52.475000000000001</v>
      </c>
      <c r="D78" s="130">
        <f>_xll.xlqBid(CONCATENATE($A$79,B78&amp;""),tda)</f>
        <v>52.35</v>
      </c>
      <c r="E78" s="130">
        <f>_xll.xlqAsk(CONCATENATE($A$79,B78&amp;""),tda)</f>
        <v>52.6</v>
      </c>
      <c r="F78" s="55">
        <f>MAX($C78-AVERAGE(_xll.xlqBid(CONCATENATE($A$79,($B78+F$74)&amp;""),tda),_xll.xlqAsk(CONCATENATE($A$79,($B78+F$74)&amp;""),tda)),0)</f>
        <v>3.7749999999999986</v>
      </c>
      <c r="G78" s="55">
        <f>MAX($C78-AVERAGE(_xll.xlqBid(CONCATENATE($A$79,($B78+G$74)&amp;""),tda),_xll.xlqAsk(CONCATENATE($A$79,($B78+G$74)&amp;""),tda)),0)</f>
        <v>7.4249999999999972</v>
      </c>
      <c r="H78" s="55">
        <f>MAX($C78-AVERAGE(_xll.xlqBid(CONCATENATE($A$79,($B78+H$74)&amp;""),tda),_xll.xlqAsk(CONCATENATE($A$79,($B78+H$74)&amp;""),tda)),0)</f>
        <v>10.950000000000003</v>
      </c>
      <c r="I78" s="55">
        <f>MAX($C78-AVERAGE(_xll.xlqBid(CONCATENATE($A$79,($B78+I$74)&amp;""),tda),_xll.xlqAsk(CONCATENATE($A$79,($B78+I$74)&amp;""),tda)),0)</f>
        <v>14.299999999999997</v>
      </c>
      <c r="J78" s="25"/>
      <c r="K78" s="63">
        <f t="shared" si="48"/>
        <v>1.2250000000000014</v>
      </c>
      <c r="L78" s="63">
        <f t="shared" si="48"/>
        <v>2.5750000000000028</v>
      </c>
      <c r="M78" s="63">
        <f t="shared" si="48"/>
        <v>4.0499999999999972</v>
      </c>
      <c r="N78" s="63">
        <f t="shared" si="48"/>
        <v>5.7000000000000028</v>
      </c>
      <c r="O78" s="25"/>
      <c r="P78" s="25">
        <f t="shared" si="56"/>
        <v>0.32450331125827864</v>
      </c>
      <c r="Q78" s="25">
        <f t="shared" si="49"/>
        <v>0.34680134680134733</v>
      </c>
      <c r="R78" s="25">
        <f t="shared" si="49"/>
        <v>0.36986301369862978</v>
      </c>
      <c r="S78" s="25">
        <f t="shared" si="49"/>
        <v>0.39860139860139887</v>
      </c>
      <c r="T78" s="25"/>
      <c r="U78" s="63">
        <f t="shared" si="50"/>
        <v>168.77500000000001</v>
      </c>
      <c r="V78" s="63">
        <f t="shared" si="50"/>
        <v>172.42500000000001</v>
      </c>
      <c r="W78" s="63">
        <f t="shared" si="50"/>
        <v>175.95</v>
      </c>
      <c r="X78" s="63">
        <f t="shared" si="50"/>
        <v>179.3</v>
      </c>
      <c r="Y78" s="63"/>
      <c r="Z78" s="133">
        <f t="shared" ca="1" si="57"/>
        <v>0.67938739229185185</v>
      </c>
      <c r="AA78" s="133">
        <f t="shared" ca="1" si="51"/>
        <v>0.73191212269898376</v>
      </c>
      <c r="AB78" s="133">
        <f t="shared" ca="1" si="51"/>
        <v>0.78701379776543656</v>
      </c>
      <c r="AC78" s="133">
        <f t="shared" ca="1" si="51"/>
        <v>0.85678322215832803</v>
      </c>
      <c r="AD78" s="2"/>
      <c r="AE78" s="127">
        <f t="shared" si="58"/>
        <v>-0.18578475980650422</v>
      </c>
      <c r="AF78" s="127">
        <f t="shared" si="52"/>
        <v>-0.16183725274198968</v>
      </c>
      <c r="AG78" s="127">
        <f t="shared" si="52"/>
        <v>-0.13788974567747503</v>
      </c>
      <c r="AH78" s="127">
        <f t="shared" si="52"/>
        <v>-0.11394223861296049</v>
      </c>
      <c r="AJ78" s="125">
        <f t="shared" si="59"/>
        <v>264.90066225165572</v>
      </c>
      <c r="AK78" s="125">
        <f t="shared" si="53"/>
        <v>134.68013468013473</v>
      </c>
      <c r="AL78" s="125">
        <f t="shared" si="53"/>
        <v>91.324200913241981</v>
      </c>
      <c r="AM78" s="125">
        <f t="shared" si="53"/>
        <v>69.930069930069948</v>
      </c>
      <c r="AO78" s="63">
        <f t="shared" si="60"/>
        <v>324.50331125827864</v>
      </c>
      <c r="AP78" s="63">
        <f t="shared" si="54"/>
        <v>346.80134680134728</v>
      </c>
      <c r="AQ78" s="63">
        <f t="shared" si="54"/>
        <v>369.86301369862974</v>
      </c>
      <c r="AR78" s="63">
        <f t="shared" si="54"/>
        <v>398.6013986013989</v>
      </c>
    </row>
    <row r="79" spans="1:44" s="77" customFormat="1" x14ac:dyDescent="0.25">
      <c r="A79" s="111" t="str">
        <f>CONCATENATE(A74,"_",A78,"C")</f>
        <v>NVDA_061920C</v>
      </c>
      <c r="B79" s="107">
        <f t="shared" si="61"/>
        <v>170</v>
      </c>
      <c r="C79" s="108">
        <f t="shared" si="55"/>
        <v>48.7</v>
      </c>
      <c r="D79" s="131">
        <f>_xll.xlqBid(CONCATENATE($A$79,B79&amp;""),tda)</f>
        <v>48.550000000000004</v>
      </c>
      <c r="E79" s="131">
        <f>_xll.xlqAsk(CONCATENATE($A$79,B79&amp;""),tda)</f>
        <v>48.85</v>
      </c>
      <c r="F79" s="109">
        <f>MAX($C79-AVERAGE(_xll.xlqBid(CONCATENATE($A$79,($B79+F$74)&amp;""),tda),_xll.xlqAsk(CONCATENATE($A$79,($B79+F$74)&amp;""),tda)),0)</f>
        <v>3.6499999999999986</v>
      </c>
      <c r="G79" s="109">
        <f>MAX($C79-AVERAGE(_xll.xlqBid(CONCATENATE($A$79,($B79+G$74)&amp;""),tda),_xll.xlqAsk(CONCATENATE($A$79,($B79+G$74)&amp;""),tda)),0)</f>
        <v>7.1750000000000043</v>
      </c>
      <c r="H79" s="109">
        <f>MAX($C79-AVERAGE(_xll.xlqBid(CONCATENATE($A$79,($B79+H$74)&amp;""),tda),_xll.xlqAsk(CONCATENATE($A$79,($B79+H$74)&amp;""),tda)),0)</f>
        <v>10.524999999999999</v>
      </c>
      <c r="I79" s="109">
        <f>MAX($C79-AVERAGE(_xll.xlqBid(CONCATENATE($A$79,($B79+I$74)&amp;""),tda),_xll.xlqAsk(CONCATENATE($A$79,($B79+I$74)&amp;""),tda)),0)</f>
        <v>13.725000000000001</v>
      </c>
      <c r="J79" s="110"/>
      <c r="K79" s="76">
        <f t="shared" si="48"/>
        <v>1.3500000000000014</v>
      </c>
      <c r="L79" s="76">
        <f t="shared" si="48"/>
        <v>2.8249999999999957</v>
      </c>
      <c r="M79" s="76">
        <f t="shared" si="48"/>
        <v>4.4750000000000014</v>
      </c>
      <c r="N79" s="76">
        <f t="shared" si="48"/>
        <v>6.2749999999999986</v>
      </c>
      <c r="O79" s="110"/>
      <c r="P79" s="110">
        <f t="shared" si="56"/>
        <v>0.36986301369863067</v>
      </c>
      <c r="Q79" s="110">
        <f t="shared" si="49"/>
        <v>0.39372822299651483</v>
      </c>
      <c r="R79" s="110">
        <f t="shared" si="49"/>
        <v>0.42517814726840875</v>
      </c>
      <c r="S79" s="110">
        <f t="shared" si="49"/>
        <v>0.4571948998178505</v>
      </c>
      <c r="T79" s="110"/>
      <c r="U79" s="76">
        <f t="shared" si="50"/>
        <v>173.65</v>
      </c>
      <c r="V79" s="76">
        <f t="shared" si="50"/>
        <v>177.17500000000001</v>
      </c>
      <c r="W79" s="76">
        <f t="shared" si="50"/>
        <v>180.52500000000001</v>
      </c>
      <c r="X79" s="76">
        <f t="shared" si="50"/>
        <v>183.72499999999999</v>
      </c>
      <c r="Y79" s="76"/>
      <c r="Z79" s="133">
        <f t="shared" ca="1" si="57"/>
        <v>0.78701379776543878</v>
      </c>
      <c r="AA79" s="133">
        <f t="shared" ca="1" si="51"/>
        <v>0.84486628503670036</v>
      </c>
      <c r="AB79" s="133">
        <f t="shared" ca="1" si="51"/>
        <v>0.92239205592234019</v>
      </c>
      <c r="AC79" s="133">
        <f t="shared" ca="1" si="51"/>
        <v>1.0028134519583043</v>
      </c>
      <c r="AD79" s="2"/>
      <c r="AE79" s="127">
        <f t="shared" si="58"/>
        <v>-0.16183725274198968</v>
      </c>
      <c r="AF79" s="127">
        <f t="shared" si="52"/>
        <v>-0.13788974567747503</v>
      </c>
      <c r="AG79" s="127">
        <f t="shared" si="52"/>
        <v>-0.11394223861296049</v>
      </c>
      <c r="AH79" s="127">
        <f t="shared" si="52"/>
        <v>-8.999473154844595E-2</v>
      </c>
      <c r="AJ79" s="125">
        <f t="shared" si="59"/>
        <v>273.97260273972614</v>
      </c>
      <c r="AK79" s="125">
        <f t="shared" si="53"/>
        <v>139.37282229965149</v>
      </c>
      <c r="AL79" s="125">
        <f t="shared" si="53"/>
        <v>95.011876484560588</v>
      </c>
      <c r="AM79" s="125">
        <f t="shared" si="53"/>
        <v>72.859744990892523</v>
      </c>
      <c r="AO79" s="63">
        <f t="shared" si="60"/>
        <v>369.86301369863065</v>
      </c>
      <c r="AP79" s="63">
        <f t="shared" si="54"/>
        <v>393.72822299651489</v>
      </c>
      <c r="AQ79" s="63">
        <f t="shared" si="54"/>
        <v>425.17814726840879</v>
      </c>
      <c r="AR79" s="63">
        <f t="shared" si="54"/>
        <v>457.19489981785046</v>
      </c>
    </row>
    <row r="80" spans="1:44" x14ac:dyDescent="0.25">
      <c r="A80" s="32"/>
      <c r="B80" s="107">
        <f t="shared" si="61"/>
        <v>175</v>
      </c>
      <c r="C80" s="23">
        <f t="shared" si="55"/>
        <v>45.050000000000004</v>
      </c>
      <c r="D80" s="130">
        <f>_xll.xlqBid(CONCATENATE($A$79,B80&amp;""),tda)</f>
        <v>44.900000000000006</v>
      </c>
      <c r="E80" s="130">
        <f>_xll.xlqAsk(CONCATENATE($A$79,B80&amp;""),tda)</f>
        <v>45.2</v>
      </c>
      <c r="F80" s="55">
        <f>MAX($C80-AVERAGE(_xll.xlqBid(CONCATENATE($A$79,($B80+F$74)&amp;""),tda),_xll.xlqAsk(CONCATENATE($A$79,($B80+F$74)&amp;""),tda)),0)</f>
        <v>3.5250000000000057</v>
      </c>
      <c r="G80" s="55">
        <f>MAX($C80-AVERAGE(_xll.xlqBid(CONCATENATE($A$79,($B80+G$74)&amp;""),tda),_xll.xlqAsk(CONCATENATE($A$79,($B80+G$74)&amp;""),tda)),0)</f>
        <v>6.875</v>
      </c>
      <c r="H80" s="55">
        <f>MAX($C80-AVERAGE(_xll.xlqBid(CONCATENATE($A$79,($B80+H$74)&amp;""),tda),_xll.xlqAsk(CONCATENATE($A$79,($B80+H$74)&amp;""),tda)),0)</f>
        <v>10.075000000000003</v>
      </c>
      <c r="I80" s="55">
        <f>MAX($C80-AVERAGE(_xll.xlqBid(CONCATENATE($A$79,($B80+I$74)&amp;""),tda),_xll.xlqAsk(CONCATENATE($A$79,($B80+I$74)&amp;""),tda)),0)</f>
        <v>13.125</v>
      </c>
      <c r="J80" s="25"/>
      <c r="K80" s="63">
        <f t="shared" si="48"/>
        <v>1.4749999999999943</v>
      </c>
      <c r="L80" s="63">
        <f t="shared" si="48"/>
        <v>3.125</v>
      </c>
      <c r="M80" s="63">
        <f t="shared" si="48"/>
        <v>4.9249999999999972</v>
      </c>
      <c r="N80" s="63">
        <f t="shared" si="48"/>
        <v>6.875</v>
      </c>
      <c r="O80" s="25"/>
      <c r="P80" s="25">
        <f t="shared" si="56"/>
        <v>0.41843971631205445</v>
      </c>
      <c r="Q80" s="25">
        <f t="shared" si="49"/>
        <v>0.45454545454545453</v>
      </c>
      <c r="R80" s="25">
        <f t="shared" si="49"/>
        <v>0.48883374689826259</v>
      </c>
      <c r="S80" s="25">
        <f t="shared" si="49"/>
        <v>0.52380952380952384</v>
      </c>
      <c r="T80" s="25"/>
      <c r="U80" s="63">
        <f t="shared" si="50"/>
        <v>178.52500000000001</v>
      </c>
      <c r="V80" s="63">
        <f t="shared" si="50"/>
        <v>181.875</v>
      </c>
      <c r="W80" s="63">
        <f t="shared" si="50"/>
        <v>185.07499999999999</v>
      </c>
      <c r="X80" s="63">
        <f t="shared" si="50"/>
        <v>188.125</v>
      </c>
      <c r="Y80" s="63"/>
      <c r="Z80" s="133">
        <f t="shared" ca="1" si="57"/>
        <v>0.90565849787583175</v>
      </c>
      <c r="AA80" s="133">
        <f t="shared" ca="1" si="51"/>
        <v>0.99610118551443327</v>
      </c>
      <c r="AB80" s="133">
        <f t="shared" ca="1" si="51"/>
        <v>1.0837656240819951</v>
      </c>
      <c r="AC80" s="133">
        <f t="shared" ca="1" si="51"/>
        <v>1.1749620206581417</v>
      </c>
      <c r="AD80" s="2"/>
      <c r="AE80" s="127">
        <f t="shared" si="58"/>
        <v>-0.13788974567747503</v>
      </c>
      <c r="AF80" s="127">
        <f t="shared" si="52"/>
        <v>-0.11394223861296049</v>
      </c>
      <c r="AG80" s="127">
        <f t="shared" si="52"/>
        <v>-8.999473154844595E-2</v>
      </c>
      <c r="AH80" s="127">
        <f t="shared" si="52"/>
        <v>-6.6047224483931299E-2</v>
      </c>
      <c r="AJ80" s="125">
        <f t="shared" si="59"/>
        <v>283.6879432624109</v>
      </c>
      <c r="AK80" s="125">
        <f t="shared" si="53"/>
        <v>145.45454545454547</v>
      </c>
      <c r="AL80" s="125">
        <f t="shared" si="53"/>
        <v>99.255583126550846</v>
      </c>
      <c r="AM80" s="125">
        <f t="shared" si="53"/>
        <v>76.19047619047619</v>
      </c>
      <c r="AO80" s="63">
        <f t="shared" si="60"/>
        <v>418.43971631205449</v>
      </c>
      <c r="AP80" s="63">
        <f t="shared" si="54"/>
        <v>454.54545454545456</v>
      </c>
      <c r="AQ80" s="63">
        <f t="shared" si="54"/>
        <v>488.83374689826263</v>
      </c>
      <c r="AR80" s="63">
        <f t="shared" si="54"/>
        <v>523.80952380952385</v>
      </c>
    </row>
    <row r="81" spans="1:44" x14ac:dyDescent="0.25">
      <c r="A81" s="32" t="s">
        <v>101</v>
      </c>
      <c r="B81" s="107">
        <f t="shared" si="61"/>
        <v>180</v>
      </c>
      <c r="C81" s="23">
        <f t="shared" si="55"/>
        <v>41.524999999999999</v>
      </c>
      <c r="D81" s="130">
        <f>_xll.xlqBid(CONCATENATE($A$79,B81&amp;""),tda)</f>
        <v>41.4</v>
      </c>
      <c r="E81" s="130">
        <f>_xll.xlqAsk(CONCATENATE($A$79,B81&amp;""),tda)</f>
        <v>41.65</v>
      </c>
      <c r="F81" s="55">
        <f>MAX($C81-AVERAGE(_xll.xlqBid(CONCATENATE($A$79,($B81+F$74)&amp;""),tda),_xll.xlqAsk(CONCATENATE($A$79,($B81+F$74)&amp;""),tda)),0)</f>
        <v>3.3499999999999943</v>
      </c>
      <c r="G81" s="55">
        <f>MAX($C81-AVERAGE(_xll.xlqBid(CONCATENATE($A$79,($B81+G$74)&amp;""),tda),_xll.xlqAsk(CONCATENATE($A$79,($B81+G$74)&amp;""),tda)),0)</f>
        <v>6.5499999999999972</v>
      </c>
      <c r="H81" s="55">
        <f>MAX($C81-AVERAGE(_xll.xlqBid(CONCATENATE($A$79,($B81+H$74)&amp;""),tda),_xll.xlqAsk(CONCATENATE($A$79,($B81+H$74)&amp;""),tda)),0)</f>
        <v>9.5999999999999943</v>
      </c>
      <c r="I81" s="55">
        <f>MAX($C81-AVERAGE(_xll.xlqBid(CONCATENATE($A$79,($B81+I$74)&amp;""),tda),_xll.xlqAsk(CONCATENATE($A$79,($B81+I$74)&amp;""),tda)),0)</f>
        <v>12.474999999999994</v>
      </c>
      <c r="J81" s="25"/>
      <c r="K81" s="63">
        <f t="shared" si="48"/>
        <v>1.6500000000000057</v>
      </c>
      <c r="L81" s="63">
        <f t="shared" si="48"/>
        <v>3.4500000000000028</v>
      </c>
      <c r="M81" s="63">
        <f t="shared" si="48"/>
        <v>5.4000000000000057</v>
      </c>
      <c r="N81" s="63">
        <f t="shared" si="48"/>
        <v>7.5250000000000057</v>
      </c>
      <c r="O81" s="25"/>
      <c r="P81" s="25">
        <f t="shared" si="56"/>
        <v>0.49253731343283835</v>
      </c>
      <c r="Q81" s="25">
        <f t="shared" si="49"/>
        <v>0.52671755725190905</v>
      </c>
      <c r="R81" s="25">
        <f t="shared" si="49"/>
        <v>0.56250000000000089</v>
      </c>
      <c r="S81" s="25">
        <f t="shared" si="49"/>
        <v>0.60320641282565202</v>
      </c>
      <c r="T81" s="25"/>
      <c r="U81" s="63">
        <f t="shared" si="50"/>
        <v>183.35</v>
      </c>
      <c r="V81" s="63">
        <f t="shared" si="50"/>
        <v>186.55</v>
      </c>
      <c r="W81" s="63">
        <f t="shared" si="50"/>
        <v>189.6</v>
      </c>
      <c r="X81" s="63">
        <f t="shared" si="50"/>
        <v>192.47499999999999</v>
      </c>
      <c r="Y81" s="63"/>
      <c r="Z81" s="133">
        <f t="shared" ca="1" si="57"/>
        <v>1.0933376492077853</v>
      </c>
      <c r="AA81" s="133">
        <f t="shared" ca="1" si="51"/>
        <v>1.1826249583552881</v>
      </c>
      <c r="AB81" s="133">
        <f t="shared" ca="1" si="51"/>
        <v>1.2779239179123025</v>
      </c>
      <c r="AC81" s="133">
        <f t="shared" ca="1" si="51"/>
        <v>1.3885998533970847</v>
      </c>
      <c r="AD81" s="2"/>
      <c r="AE81" s="127">
        <f t="shared" si="58"/>
        <v>-0.11394223861296049</v>
      </c>
      <c r="AF81" s="127">
        <f t="shared" si="52"/>
        <v>-8.999473154844595E-2</v>
      </c>
      <c r="AG81" s="127">
        <f t="shared" si="52"/>
        <v>-6.6047224483931299E-2</v>
      </c>
      <c r="AH81" s="127">
        <f t="shared" si="52"/>
        <v>-4.209971741941676E-2</v>
      </c>
      <c r="AJ81" s="125">
        <f t="shared" si="59"/>
        <v>298.50746268656769</v>
      </c>
      <c r="AK81" s="125">
        <f t="shared" si="53"/>
        <v>152.67175572519091</v>
      </c>
      <c r="AL81" s="125">
        <f t="shared" si="53"/>
        <v>104.16666666666673</v>
      </c>
      <c r="AM81" s="125">
        <f t="shared" si="53"/>
        <v>80.160320641282595</v>
      </c>
      <c r="AO81" s="63">
        <f t="shared" si="60"/>
        <v>492.5373134328384</v>
      </c>
      <c r="AP81" s="63">
        <f t="shared" si="54"/>
        <v>526.71755725190906</v>
      </c>
      <c r="AQ81" s="63">
        <f t="shared" si="54"/>
        <v>562.50000000000091</v>
      </c>
      <c r="AR81" s="63">
        <f t="shared" si="54"/>
        <v>603.20641282565202</v>
      </c>
    </row>
    <row r="82" spans="1:44" s="77" customFormat="1" x14ac:dyDescent="0.25">
      <c r="A82" s="116">
        <f ca="1">A77-TODAY()</f>
        <v>198</v>
      </c>
      <c r="B82" s="107">
        <f t="shared" si="61"/>
        <v>185</v>
      </c>
      <c r="C82" s="108">
        <f t="shared" si="55"/>
        <v>38.175000000000004</v>
      </c>
      <c r="D82" s="131">
        <f>_xll.xlqBid(CONCATENATE($A$79,B82&amp;""),tda)</f>
        <v>38.050000000000004</v>
      </c>
      <c r="E82" s="131">
        <f>_xll.xlqAsk(CONCATENATE($A$79,B82&amp;""),tda)</f>
        <v>38.300000000000004</v>
      </c>
      <c r="F82" s="109">
        <f>MAX($C82-AVERAGE(_xll.xlqBid(CONCATENATE($A$79,($B82+F$74)&amp;""),tda),_xll.xlqAsk(CONCATENATE($A$79,($B82+F$74)&amp;""),tda)),0)</f>
        <v>3.2000000000000028</v>
      </c>
      <c r="G82" s="109">
        <f>MAX($C82-AVERAGE(_xll.xlqBid(CONCATENATE($A$79,($B82+G$74)&amp;""),tda),_xll.xlqAsk(CONCATENATE($A$79,($B82+G$74)&amp;""),tda)),0)</f>
        <v>6.25</v>
      </c>
      <c r="H82" s="109">
        <f>MAX($C82-AVERAGE(_xll.xlqBid(CONCATENATE($A$79,($B82+H$74)&amp;""),tda),_xll.xlqAsk(CONCATENATE($A$79,($B82+H$74)&amp;""),tda)),0)</f>
        <v>9.125</v>
      </c>
      <c r="I82" s="109">
        <f>MAX($C82-AVERAGE(_xll.xlqBid(CONCATENATE($A$79,($B82+I$74)&amp;""),tda),_xll.xlqAsk(CONCATENATE($A$79,($B82+I$74)&amp;""),tda)),0)</f>
        <v>11.800000000000004</v>
      </c>
      <c r="J82" s="110"/>
      <c r="K82" s="76">
        <f t="shared" si="48"/>
        <v>1.7999999999999972</v>
      </c>
      <c r="L82" s="76">
        <f t="shared" si="48"/>
        <v>3.75</v>
      </c>
      <c r="M82" s="76">
        <f t="shared" si="48"/>
        <v>5.875</v>
      </c>
      <c r="N82" s="76">
        <f t="shared" si="48"/>
        <v>8.1999999999999957</v>
      </c>
      <c r="O82" s="110"/>
      <c r="P82" s="110">
        <f t="shared" si="56"/>
        <v>0.56249999999999867</v>
      </c>
      <c r="Q82" s="110">
        <f t="shared" si="49"/>
        <v>0.6</v>
      </c>
      <c r="R82" s="110">
        <f t="shared" si="49"/>
        <v>0.64383561643835618</v>
      </c>
      <c r="S82" s="110">
        <f t="shared" si="49"/>
        <v>0.69491525423728751</v>
      </c>
      <c r="T82" s="110"/>
      <c r="U82" s="76">
        <f t="shared" si="50"/>
        <v>188.2</v>
      </c>
      <c r="V82" s="76">
        <f t="shared" si="50"/>
        <v>191.25</v>
      </c>
      <c r="W82" s="76">
        <f t="shared" si="50"/>
        <v>194.125</v>
      </c>
      <c r="X82" s="76">
        <f t="shared" si="50"/>
        <v>196.8</v>
      </c>
      <c r="Y82" s="76"/>
      <c r="Z82" s="133">
        <f t="shared" ca="1" si="57"/>
        <v>1.2779239179122968</v>
      </c>
      <c r="AA82" s="133">
        <f t="shared" ca="1" si="51"/>
        <v>1.3797948122255428</v>
      </c>
      <c r="AB82" s="133">
        <f t="shared" ca="1" si="51"/>
        <v>1.5014585472840181</v>
      </c>
      <c r="AC82" s="133">
        <f t="shared" ca="1" si="51"/>
        <v>1.6467236601803337</v>
      </c>
      <c r="AD82" s="2"/>
      <c r="AE82" s="127">
        <f t="shared" si="58"/>
        <v>-8.999473154844595E-2</v>
      </c>
      <c r="AF82" s="127">
        <f t="shared" si="52"/>
        <v>-6.6047224483931299E-2</v>
      </c>
      <c r="AG82" s="127">
        <f t="shared" si="52"/>
        <v>-4.209971741941676E-2</v>
      </c>
      <c r="AH82" s="127">
        <f t="shared" si="52"/>
        <v>-1.815221035490211E-2</v>
      </c>
      <c r="AJ82" s="125">
        <f t="shared" si="59"/>
        <v>312.49999999999972</v>
      </c>
      <c r="AK82" s="125">
        <f t="shared" si="53"/>
        <v>160</v>
      </c>
      <c r="AL82" s="125">
        <f t="shared" si="53"/>
        <v>109.58904109589041</v>
      </c>
      <c r="AM82" s="125">
        <f t="shared" si="53"/>
        <v>84.745762711864373</v>
      </c>
      <c r="AO82" s="63">
        <f t="shared" si="60"/>
        <v>562.49999999999864</v>
      </c>
      <c r="AP82" s="63">
        <f t="shared" si="54"/>
        <v>600</v>
      </c>
      <c r="AQ82" s="63">
        <f t="shared" si="54"/>
        <v>643.83561643835617</v>
      </c>
      <c r="AR82" s="63">
        <f t="shared" si="54"/>
        <v>694.91525423728751</v>
      </c>
    </row>
    <row r="83" spans="1:44" x14ac:dyDescent="0.25">
      <c r="A83" s="32"/>
      <c r="B83" s="107">
        <f t="shared" si="61"/>
        <v>190</v>
      </c>
      <c r="C83" s="23">
        <f t="shared" si="55"/>
        <v>34.975000000000001</v>
      </c>
      <c r="D83" s="130">
        <f>_xll.xlqBid(CONCATENATE($A$79,B83&amp;""),tda)</f>
        <v>34.85</v>
      </c>
      <c r="E83" s="130">
        <f>_xll.xlqAsk(CONCATENATE($A$79,B83&amp;""),tda)</f>
        <v>35.1</v>
      </c>
      <c r="F83" s="55">
        <f>MAX($C83-AVERAGE(_xll.xlqBid(CONCATENATE($A$79,($B83+F$74)&amp;""),tda),_xll.xlqAsk(CONCATENATE($A$79,($B83+F$74)&amp;""),tda)),0)</f>
        <v>3.0499999999999972</v>
      </c>
      <c r="G83" s="55">
        <f>MAX($C83-AVERAGE(_xll.xlqBid(CONCATENATE($A$79,($B83+G$74)&amp;""),tda),_xll.xlqAsk(CONCATENATE($A$79,($B83+G$74)&amp;""),tda)),0)</f>
        <v>5.9249999999999972</v>
      </c>
      <c r="H83" s="55">
        <f>MAX($C83-AVERAGE(_xll.xlqBid(CONCATENATE($A$79,($B83+H$74)&amp;""),tda),_xll.xlqAsk(CONCATENATE($A$79,($B83+H$74)&amp;""),tda)),0)</f>
        <v>8.6000000000000014</v>
      </c>
      <c r="I83" s="55">
        <f>MAX($C83-AVERAGE(_xll.xlqBid(CONCATENATE($A$79,($B83+I$74)&amp;""),tda),_xll.xlqAsk(CONCATENATE($A$79,($B83+I$74)&amp;""),tda)),0)</f>
        <v>11.149999999999999</v>
      </c>
      <c r="J83" s="25"/>
      <c r="K83" s="63">
        <f t="shared" si="48"/>
        <v>1.9500000000000028</v>
      </c>
      <c r="L83" s="63">
        <f t="shared" si="48"/>
        <v>4.0750000000000028</v>
      </c>
      <c r="M83" s="63">
        <f t="shared" si="48"/>
        <v>6.3999999999999986</v>
      </c>
      <c r="N83" s="63">
        <f t="shared" si="48"/>
        <v>8.8500000000000014</v>
      </c>
      <c r="O83" s="25"/>
      <c r="P83" s="25">
        <f t="shared" si="56"/>
        <v>0.63934426229508345</v>
      </c>
      <c r="Q83" s="25">
        <f t="shared" si="49"/>
        <v>0.68776371308016959</v>
      </c>
      <c r="R83" s="25">
        <f t="shared" si="49"/>
        <v>0.74418604651162756</v>
      </c>
      <c r="S83" s="25">
        <f t="shared" si="49"/>
        <v>0.79372197309417059</v>
      </c>
      <c r="T83" s="25"/>
      <c r="U83" s="63">
        <f t="shared" si="50"/>
        <v>193.05</v>
      </c>
      <c r="V83" s="63">
        <f t="shared" si="50"/>
        <v>195.92500000000001</v>
      </c>
      <c r="W83" s="63">
        <f t="shared" si="50"/>
        <v>198.6</v>
      </c>
      <c r="X83" s="63">
        <f t="shared" si="50"/>
        <v>201.15</v>
      </c>
      <c r="Y83" s="63"/>
      <c r="Z83" s="133">
        <f t="shared" ca="1" si="57"/>
        <v>1.4888653576988538</v>
      </c>
      <c r="AA83" s="133">
        <f t="shared" ca="1" si="51"/>
        <v>1.6261595231677077</v>
      </c>
      <c r="AB83" s="133">
        <f t="shared" ca="1" si="51"/>
        <v>1.7903939425135795</v>
      </c>
      <c r="AC83" s="133">
        <f t="shared" ca="1" si="51"/>
        <v>1.9383350536449111</v>
      </c>
      <c r="AD83" s="2"/>
      <c r="AE83" s="127">
        <f t="shared" si="58"/>
        <v>-6.6047224483931299E-2</v>
      </c>
      <c r="AF83" s="127">
        <f t="shared" si="52"/>
        <v>-4.209971741941676E-2</v>
      </c>
      <c r="AG83" s="127">
        <f t="shared" si="52"/>
        <v>-1.815221035490211E-2</v>
      </c>
      <c r="AH83" s="127">
        <f t="shared" si="52"/>
        <v>5.7952967096124297E-3</v>
      </c>
      <c r="AJ83" s="125">
        <f t="shared" si="59"/>
        <v>327.86885245901669</v>
      </c>
      <c r="AK83" s="125">
        <f t="shared" si="53"/>
        <v>168.77637130801696</v>
      </c>
      <c r="AL83" s="125">
        <f t="shared" si="53"/>
        <v>116.27906976744184</v>
      </c>
      <c r="AM83" s="125">
        <f t="shared" si="53"/>
        <v>89.68609865470853</v>
      </c>
      <c r="AO83" s="63">
        <f t="shared" si="60"/>
        <v>639.34426229508347</v>
      </c>
      <c r="AP83" s="63">
        <f t="shared" si="54"/>
        <v>687.76371308016962</v>
      </c>
      <c r="AQ83" s="63">
        <f t="shared" si="54"/>
        <v>744.18604651162764</v>
      </c>
      <c r="AR83" s="63">
        <f t="shared" si="54"/>
        <v>793.72197309417061</v>
      </c>
    </row>
    <row r="84" spans="1:44" x14ac:dyDescent="0.25">
      <c r="A84" s="37"/>
      <c r="B84" s="107">
        <f t="shared" si="61"/>
        <v>195</v>
      </c>
      <c r="C84" s="23">
        <f t="shared" si="55"/>
        <v>31.925000000000004</v>
      </c>
      <c r="D84" s="130">
        <f>_xll.xlqBid(CONCATENATE($A$79,B84&amp;""),tda)</f>
        <v>31.8</v>
      </c>
      <c r="E84" s="130">
        <f>_xll.xlqAsk(CONCATENATE($A$79,B84&amp;""),tda)</f>
        <v>32.050000000000004</v>
      </c>
      <c r="F84" s="55">
        <f>MAX($C84-AVERAGE(_xll.xlqBid(CONCATENATE($A$79,($B84+F$74)&amp;""),tda),_xll.xlqAsk(CONCATENATE($A$79,($B84+F$74)&amp;""),tda)),0)</f>
        <v>2.875</v>
      </c>
      <c r="G84" s="55">
        <f>MAX($C84-AVERAGE(_xll.xlqBid(CONCATENATE($A$79,($B84+G$74)&amp;""),tda),_xll.xlqAsk(CONCATENATE($A$79,($B84+G$74)&amp;""),tda)),0)</f>
        <v>5.5500000000000043</v>
      </c>
      <c r="H84" s="55">
        <f>MAX($C84-AVERAGE(_xll.xlqBid(CONCATENATE($A$79,($B84+H$74)&amp;""),tda),_xll.xlqAsk(CONCATENATE($A$79,($B84+H$74)&amp;""),tda)),0)</f>
        <v>8.1000000000000014</v>
      </c>
      <c r="I84" s="55">
        <f>MAX($C84-AVERAGE(_xll.xlqBid(CONCATENATE($A$79,($B84+I$74)&amp;""),tda),_xll.xlqAsk(CONCATENATE($A$79,($B84+I$74)&amp;""),tda)),0)</f>
        <v>10.450000000000003</v>
      </c>
      <c r="J84" s="25"/>
      <c r="K84" s="63">
        <f t="shared" si="48"/>
        <v>2.125</v>
      </c>
      <c r="L84" s="63">
        <f t="shared" si="48"/>
        <v>4.4499999999999957</v>
      </c>
      <c r="M84" s="63">
        <f t="shared" si="48"/>
        <v>6.8999999999999986</v>
      </c>
      <c r="N84" s="63">
        <f t="shared" si="48"/>
        <v>9.5499999999999972</v>
      </c>
      <c r="O84" s="25"/>
      <c r="P84" s="25">
        <f t="shared" si="56"/>
        <v>0.73913043478260865</v>
      </c>
      <c r="Q84" s="25">
        <f t="shared" si="49"/>
        <v>0.80180180180180038</v>
      </c>
      <c r="R84" s="25">
        <f t="shared" si="49"/>
        <v>0.85185185185185153</v>
      </c>
      <c r="S84" s="25">
        <f t="shared" si="49"/>
        <v>0.91387559808612384</v>
      </c>
      <c r="T84" s="25"/>
      <c r="U84" s="63">
        <f t="shared" si="50"/>
        <v>197.875</v>
      </c>
      <c r="V84" s="63">
        <f t="shared" si="50"/>
        <v>200.55</v>
      </c>
      <c r="W84" s="63">
        <f t="shared" si="50"/>
        <v>203.1</v>
      </c>
      <c r="X84" s="63">
        <f t="shared" si="50"/>
        <v>205.45</v>
      </c>
      <c r="Y84" s="63"/>
      <c r="Z84" s="133">
        <f t="shared" ca="1" si="57"/>
        <v>1.7754921198294404</v>
      </c>
      <c r="AA84" s="133">
        <f t="shared" ca="1" si="51"/>
        <v>1.9627974293270163</v>
      </c>
      <c r="AB84" s="133">
        <f t="shared" ca="1" si="51"/>
        <v>2.1163944362643323</v>
      </c>
      <c r="AC84" s="133">
        <f t="shared" ca="1" si="51"/>
        <v>2.3116570663358775</v>
      </c>
      <c r="AD84" s="2"/>
      <c r="AE84" s="127">
        <f t="shared" si="58"/>
        <v>-4.209971741941676E-2</v>
      </c>
      <c r="AF84" s="127">
        <f t="shared" si="52"/>
        <v>-1.815221035490211E-2</v>
      </c>
      <c r="AG84" s="127">
        <f t="shared" si="52"/>
        <v>5.7952967096124297E-3</v>
      </c>
      <c r="AH84" s="127">
        <f t="shared" si="52"/>
        <v>2.9742803774126969E-2</v>
      </c>
      <c r="AJ84" s="125">
        <f t="shared" si="59"/>
        <v>347.82608695652175</v>
      </c>
      <c r="AK84" s="125">
        <f t="shared" si="53"/>
        <v>180.18018018018003</v>
      </c>
      <c r="AL84" s="125">
        <f t="shared" si="53"/>
        <v>123.45679012345677</v>
      </c>
      <c r="AM84" s="125">
        <f t="shared" si="53"/>
        <v>95.693779904306197</v>
      </c>
      <c r="AO84" s="63">
        <f t="shared" si="60"/>
        <v>739.13043478260875</v>
      </c>
      <c r="AP84" s="63">
        <f t="shared" si="54"/>
        <v>801.80180180180037</v>
      </c>
      <c r="AQ84" s="63">
        <f t="shared" si="54"/>
        <v>851.85185185185151</v>
      </c>
      <c r="AR84" s="63">
        <f t="shared" si="54"/>
        <v>913.87559808612389</v>
      </c>
    </row>
    <row r="85" spans="1:44" s="77" customFormat="1" x14ac:dyDescent="0.25">
      <c r="A85" s="111"/>
      <c r="B85" s="107">
        <f t="shared" si="61"/>
        <v>200</v>
      </c>
      <c r="C85" s="108">
        <f t="shared" si="55"/>
        <v>29.050000000000004</v>
      </c>
      <c r="D85" s="131">
        <f>_xll.xlqBid(CONCATENATE($A$79,B85&amp;""),tda)</f>
        <v>28.900000000000002</v>
      </c>
      <c r="E85" s="131">
        <f>_xll.xlqAsk(CONCATENATE($A$79,B85&amp;""),tda)</f>
        <v>29.200000000000003</v>
      </c>
      <c r="F85" s="109">
        <f>MAX($C85-AVERAGE(_xll.xlqBid(CONCATENATE($A$79,($B85+F$74)&amp;""),tda),_xll.xlqAsk(CONCATENATE($A$79,($B85+F$74)&amp;""),tda)),0)</f>
        <v>2.6750000000000043</v>
      </c>
      <c r="G85" s="109">
        <f>MAX($C85-AVERAGE(_xll.xlqBid(CONCATENATE($A$79,($B85+G$74)&amp;""),tda),_xll.xlqAsk(CONCATENATE($A$79,($B85+G$74)&amp;""),tda)),0)</f>
        <v>5.2250000000000014</v>
      </c>
      <c r="H85" s="109">
        <f>MAX($C85-AVERAGE(_xll.xlqBid(CONCATENATE($A$79,($B85+H$74)&amp;""),tda),_xll.xlqAsk(CONCATENATE($A$79,($B85+H$74)&amp;""),tda)),0)</f>
        <v>7.5750000000000028</v>
      </c>
      <c r="I85" s="109">
        <f>MAX($C85-AVERAGE(_xll.xlqBid(CONCATENATE($A$79,($B85+I$74)&amp;""),tda),_xll.xlqAsk(CONCATENATE($A$79,($B85+I$74)&amp;""),tda)),0)</f>
        <v>9.7500000000000036</v>
      </c>
      <c r="J85" s="110"/>
      <c r="K85" s="76">
        <f t="shared" si="48"/>
        <v>2.3249999999999957</v>
      </c>
      <c r="L85" s="76">
        <f t="shared" si="48"/>
        <v>4.7749999999999986</v>
      </c>
      <c r="M85" s="76">
        <f t="shared" si="48"/>
        <v>7.4249999999999972</v>
      </c>
      <c r="N85" s="76">
        <f t="shared" si="48"/>
        <v>10.249999999999996</v>
      </c>
      <c r="O85" s="110"/>
      <c r="P85" s="110">
        <f t="shared" si="56"/>
        <v>0.86915887850466989</v>
      </c>
      <c r="Q85" s="110">
        <f t="shared" si="49"/>
        <v>0.91387559808612384</v>
      </c>
      <c r="R85" s="110">
        <f t="shared" si="49"/>
        <v>0.9801980198019794</v>
      </c>
      <c r="S85" s="110">
        <f t="shared" si="49"/>
        <v>1.0512820512820504</v>
      </c>
      <c r="T85" s="110"/>
      <c r="U85" s="76">
        <f t="shared" si="50"/>
        <v>202.67500000000001</v>
      </c>
      <c r="V85" s="76">
        <f t="shared" si="50"/>
        <v>205.22499999999999</v>
      </c>
      <c r="W85" s="76">
        <f t="shared" si="50"/>
        <v>207.57499999999999</v>
      </c>
      <c r="X85" s="76">
        <f t="shared" si="50"/>
        <v>209.75</v>
      </c>
      <c r="Y85" s="76"/>
      <c r="Z85" s="133">
        <f t="shared" ca="1" si="57"/>
        <v>2.1703335390478662</v>
      </c>
      <c r="AA85" s="133">
        <f t="shared" ca="1" si="51"/>
        <v>2.3116570663358775</v>
      </c>
      <c r="AB85" s="133">
        <f t="shared" ca="1" si="51"/>
        <v>2.526448092751211</v>
      </c>
      <c r="AC85" s="133">
        <f t="shared" ca="1" si="51"/>
        <v>2.7635030548660593</v>
      </c>
      <c r="AD85" s="2"/>
      <c r="AE85" s="127">
        <f t="shared" si="58"/>
        <v>-1.815221035490211E-2</v>
      </c>
      <c r="AF85" s="127">
        <f t="shared" si="52"/>
        <v>5.7952967096124297E-3</v>
      </c>
      <c r="AG85" s="127">
        <f t="shared" si="52"/>
        <v>2.9742803774126969E-2</v>
      </c>
      <c r="AH85" s="127">
        <f t="shared" si="52"/>
        <v>5.3690310838641508E-2</v>
      </c>
      <c r="AJ85" s="125">
        <f t="shared" si="59"/>
        <v>373.83177570093397</v>
      </c>
      <c r="AK85" s="125">
        <f t="shared" si="53"/>
        <v>191.38755980861239</v>
      </c>
      <c r="AL85" s="125">
        <f t="shared" si="53"/>
        <v>132.01320132013197</v>
      </c>
      <c r="AM85" s="125">
        <f t="shared" si="53"/>
        <v>102.56410256410253</v>
      </c>
      <c r="AO85" s="63">
        <f t="shared" si="60"/>
        <v>869.15887850466993</v>
      </c>
      <c r="AP85" s="63">
        <f t="shared" si="54"/>
        <v>913.87559808612389</v>
      </c>
      <c r="AQ85" s="63">
        <f t="shared" si="54"/>
        <v>980.19801980197951</v>
      </c>
      <c r="AR85" s="63">
        <f t="shared" si="54"/>
        <v>1051.2820512820506</v>
      </c>
    </row>
    <row r="86" spans="1:44" x14ac:dyDescent="0.25">
      <c r="A86" s="103"/>
      <c r="B86" s="107">
        <f t="shared" si="61"/>
        <v>205</v>
      </c>
      <c r="C86" s="23">
        <f t="shared" si="55"/>
        <v>26.375</v>
      </c>
      <c r="D86" s="130">
        <f>_xll.xlqBid(CONCATENATE($A$79,B86&amp;""),tda)</f>
        <v>26.25</v>
      </c>
      <c r="E86" s="130">
        <f>_xll.xlqAsk(CONCATENATE($A$79,B86&amp;""),tda)</f>
        <v>26.5</v>
      </c>
      <c r="F86" s="55">
        <f>MAX($C86-AVERAGE(_xll.xlqBid(CONCATENATE($A$79,($B86+F$74)&amp;""),tda),_xll.xlqAsk(CONCATENATE($A$79,($B86+F$74)&amp;""),tda)),0)</f>
        <v>2.5499999999999972</v>
      </c>
      <c r="G86" s="55">
        <f>MAX($C86-AVERAGE(_xll.xlqBid(CONCATENATE($A$79,($B86+G$74)&amp;""),tda),_xll.xlqAsk(CONCATENATE($A$79,($B86+G$74)&amp;""),tda)),0)</f>
        <v>4.8999999999999986</v>
      </c>
      <c r="H86" s="55">
        <f>MAX($C86-AVERAGE(_xll.xlqBid(CONCATENATE($A$79,($B86+H$74)&amp;""),tda),_xll.xlqAsk(CONCATENATE($A$79,($B86+H$74)&amp;""),tda)),0)</f>
        <v>7.0749999999999993</v>
      </c>
      <c r="I86" s="55">
        <f>MAX($C86-AVERAGE(_xll.xlqBid(CONCATENATE($A$79,($B86+I$74)&amp;""),tda),_xll.xlqAsk(CONCATENATE($A$79,($B86+I$74)&amp;""),tda)),0)</f>
        <v>9.0999999999999979</v>
      </c>
      <c r="J86" s="25"/>
      <c r="K86" s="63">
        <f t="shared" si="48"/>
        <v>2.4500000000000028</v>
      </c>
      <c r="L86" s="63">
        <f t="shared" si="48"/>
        <v>5.1000000000000014</v>
      </c>
      <c r="M86" s="63">
        <f t="shared" si="48"/>
        <v>7.9250000000000007</v>
      </c>
      <c r="N86" s="63">
        <f t="shared" si="48"/>
        <v>10.900000000000002</v>
      </c>
      <c r="O86" s="25"/>
      <c r="P86" s="25">
        <f t="shared" si="56"/>
        <v>0.96078431372549233</v>
      </c>
      <c r="Q86" s="25">
        <f t="shared" si="49"/>
        <v>1.0408163265306127</v>
      </c>
      <c r="R86" s="25">
        <f t="shared" si="49"/>
        <v>1.1201413427561839</v>
      </c>
      <c r="S86" s="25">
        <f t="shared" si="49"/>
        <v>1.1978021978021982</v>
      </c>
      <c r="T86" s="25"/>
      <c r="U86" s="63">
        <f t="shared" si="50"/>
        <v>207.55</v>
      </c>
      <c r="V86" s="63">
        <f t="shared" si="50"/>
        <v>209.9</v>
      </c>
      <c r="W86" s="63">
        <f t="shared" si="50"/>
        <v>212.07499999999999</v>
      </c>
      <c r="X86" s="63">
        <f t="shared" si="50"/>
        <v>214.1</v>
      </c>
      <c r="Y86" s="63"/>
      <c r="Z86" s="133">
        <f t="shared" ca="1" si="57"/>
        <v>2.4629355595280269</v>
      </c>
      <c r="AA86" s="133">
        <f t="shared" ca="1" si="51"/>
        <v>2.7281583676028456</v>
      </c>
      <c r="AB86" s="133">
        <f t="shared" ca="1" si="51"/>
        <v>2.9998544208667313</v>
      </c>
      <c r="AC86" s="133">
        <f t="shared" ca="1" si="51"/>
        <v>3.2743033419577507</v>
      </c>
      <c r="AD86" s="2"/>
      <c r="AE86" s="127">
        <f t="shared" si="58"/>
        <v>5.7952967096124297E-3</v>
      </c>
      <c r="AF86" s="127">
        <f t="shared" si="52"/>
        <v>2.9742803774126969E-2</v>
      </c>
      <c r="AG86" s="127">
        <f t="shared" si="52"/>
        <v>5.3690310838641508E-2</v>
      </c>
      <c r="AH86" s="127">
        <f t="shared" si="52"/>
        <v>7.763781790315627E-2</v>
      </c>
      <c r="AJ86" s="125">
        <f t="shared" si="59"/>
        <v>392.15686274509846</v>
      </c>
      <c r="AK86" s="125">
        <f t="shared" si="53"/>
        <v>204.08163265306129</v>
      </c>
      <c r="AL86" s="125">
        <f t="shared" si="53"/>
        <v>141.34275618374559</v>
      </c>
      <c r="AM86" s="125">
        <f t="shared" si="53"/>
        <v>109.89010989010991</v>
      </c>
      <c r="AO86" s="63">
        <f t="shared" si="60"/>
        <v>960.78431372549232</v>
      </c>
      <c r="AP86" s="63">
        <f t="shared" si="54"/>
        <v>1040.816326530613</v>
      </c>
      <c r="AQ86" s="63">
        <f t="shared" si="54"/>
        <v>1120.141342756184</v>
      </c>
      <c r="AR86" s="63">
        <f t="shared" si="54"/>
        <v>1197.8021978021982</v>
      </c>
    </row>
    <row r="87" spans="1:44" x14ac:dyDescent="0.25">
      <c r="A87" s="104"/>
      <c r="B87" s="107">
        <f t="shared" si="61"/>
        <v>210</v>
      </c>
      <c r="C87" s="23">
        <f t="shared" si="55"/>
        <v>23.825000000000003</v>
      </c>
      <c r="D87" s="130">
        <f>_xll.xlqBid(CONCATENATE($A$79,B87&amp;""),tda)</f>
        <v>23.700000000000003</v>
      </c>
      <c r="E87" s="130">
        <f>_xll.xlqAsk(CONCATENATE($A$79,B87&amp;""),tda)</f>
        <v>23.950000000000003</v>
      </c>
      <c r="F87" s="55">
        <f>MAX($C87-AVERAGE(_xll.xlqBid(CONCATENATE($A$79,($B87+F$74)&amp;""),tda),_xll.xlqAsk(CONCATENATE($A$79,($B87+F$74)&amp;""),tda)),0)</f>
        <v>2.3500000000000014</v>
      </c>
      <c r="G87" s="55">
        <f>MAX($C87-AVERAGE(_xll.xlqBid(CONCATENATE($A$79,($B87+G$74)&amp;""),tda),_xll.xlqAsk(CONCATENATE($A$79,($B87+G$74)&amp;""),tda)),0)</f>
        <v>4.5250000000000021</v>
      </c>
      <c r="H87" s="55">
        <f>MAX($C87-AVERAGE(_xll.xlqBid(CONCATENATE($A$79,($B87+H$74)&amp;""),tda),_xll.xlqAsk(CONCATENATE($A$79,($B87+H$74)&amp;""),tda)),0)</f>
        <v>6.5500000000000007</v>
      </c>
      <c r="I87" s="55">
        <f>MAX($C87-AVERAGE(_xll.xlqBid(CONCATENATE($A$79,($B87+I$74)&amp;""),tda),_xll.xlqAsk(CONCATENATE($A$79,($B87+I$74)&amp;""),tda)),0)</f>
        <v>8.4250000000000025</v>
      </c>
      <c r="J87" s="25"/>
      <c r="K87" s="63">
        <f t="shared" si="48"/>
        <v>2.6499999999999986</v>
      </c>
      <c r="L87" s="63">
        <f t="shared" si="48"/>
        <v>5.4749999999999979</v>
      </c>
      <c r="M87" s="63">
        <f t="shared" si="48"/>
        <v>8.4499999999999993</v>
      </c>
      <c r="N87" s="63">
        <f t="shared" si="48"/>
        <v>11.574999999999998</v>
      </c>
      <c r="O87" s="25"/>
      <c r="P87" s="25">
        <f t="shared" si="56"/>
        <v>1.1276595744680837</v>
      </c>
      <c r="Q87" s="25">
        <f t="shared" si="49"/>
        <v>1.2099447513812145</v>
      </c>
      <c r="R87" s="25">
        <f t="shared" si="49"/>
        <v>1.2900763358778624</v>
      </c>
      <c r="S87" s="25">
        <f t="shared" si="49"/>
        <v>1.3738872403560825</v>
      </c>
      <c r="T87" s="25"/>
      <c r="U87" s="63">
        <f t="shared" si="50"/>
        <v>212.35</v>
      </c>
      <c r="V87" s="63">
        <f t="shared" si="50"/>
        <v>214.52500000000001</v>
      </c>
      <c r="W87" s="63">
        <f t="shared" si="50"/>
        <v>216.55</v>
      </c>
      <c r="X87" s="63">
        <f t="shared" si="50"/>
        <v>218.42500000000001</v>
      </c>
      <c r="Y87" s="63"/>
      <c r="Z87" s="133">
        <f t="shared" ca="1" si="57"/>
        <v>3.0260585628347467</v>
      </c>
      <c r="AA87" s="133">
        <f t="shared" ca="1" si="51"/>
        <v>3.3179673623024737</v>
      </c>
      <c r="AB87" s="133">
        <f t="shared" ca="1" si="51"/>
        <v>3.6112018039108698</v>
      </c>
      <c r="AC87" s="133">
        <f t="shared" ca="1" si="51"/>
        <v>3.9273122292610259</v>
      </c>
      <c r="AD87" s="2"/>
      <c r="AE87" s="127">
        <f t="shared" si="58"/>
        <v>2.9742803774126969E-2</v>
      </c>
      <c r="AF87" s="127">
        <f t="shared" si="52"/>
        <v>5.3690310838641508E-2</v>
      </c>
      <c r="AG87" s="127">
        <f t="shared" si="52"/>
        <v>7.763781790315627E-2</v>
      </c>
      <c r="AH87" s="127">
        <f t="shared" si="52"/>
        <v>0.10158532496767081</v>
      </c>
      <c r="AJ87" s="125">
        <f t="shared" si="59"/>
        <v>425.53191489361677</v>
      </c>
      <c r="AK87" s="125">
        <f t="shared" si="53"/>
        <v>220.99447513812143</v>
      </c>
      <c r="AL87" s="125">
        <f t="shared" si="53"/>
        <v>152.67175572519082</v>
      </c>
      <c r="AM87" s="125">
        <f t="shared" si="53"/>
        <v>118.69436201780412</v>
      </c>
      <c r="AO87" s="63">
        <f t="shared" si="60"/>
        <v>1127.6595744680837</v>
      </c>
      <c r="AP87" s="63">
        <f t="shared" si="54"/>
        <v>1209.9447513812142</v>
      </c>
      <c r="AQ87" s="63">
        <f t="shared" si="54"/>
        <v>1290.0763358778622</v>
      </c>
      <c r="AR87" s="63">
        <f t="shared" si="54"/>
        <v>1373.8872403560824</v>
      </c>
    </row>
    <row r="88" spans="1:44" s="77" customFormat="1" x14ac:dyDescent="0.25">
      <c r="A88" s="111"/>
      <c r="B88" s="107">
        <f t="shared" si="61"/>
        <v>215</v>
      </c>
      <c r="C88" s="108">
        <f t="shared" si="55"/>
        <v>21.475000000000001</v>
      </c>
      <c r="D88" s="131">
        <f>_xll.xlqBid(CONCATENATE($A$79,B88&amp;""),tda)</f>
        <v>21.35</v>
      </c>
      <c r="E88" s="131">
        <f>_xll.xlqAsk(CONCATENATE($A$79,B88&amp;""),tda)</f>
        <v>21.6</v>
      </c>
      <c r="F88" s="109">
        <f>MAX($C88-AVERAGE(_xll.xlqBid(CONCATENATE($A$79,($B88+F$74)&amp;""),tda),_xll.xlqAsk(CONCATENATE($A$79,($B88+F$74)&amp;""),tda)),0)</f>
        <v>2.1750000000000007</v>
      </c>
      <c r="G88" s="109">
        <f>MAX($C88-AVERAGE(_xll.xlqBid(CONCATENATE($A$79,($B88+G$74)&amp;""),tda),_xll.xlqAsk(CONCATENATE($A$79,($B88+G$74)&amp;""),tda)),0)</f>
        <v>4.1999999999999993</v>
      </c>
      <c r="H88" s="109">
        <f>MAX($C88-AVERAGE(_xll.xlqBid(CONCATENATE($A$79,($B88+H$74)&amp;""),tda),_xll.xlqAsk(CONCATENATE($A$79,($B88+H$74)&amp;""),tda)),0)</f>
        <v>6.0750000000000011</v>
      </c>
      <c r="I88" s="109">
        <f>MAX($C88-AVERAGE(_xll.xlqBid(CONCATENATE($A$79,($B88+I$74)&amp;""),tda),_xll.xlqAsk(CONCATENATE($A$79,($B88+I$74)&amp;""),tda)),0)</f>
        <v>7.75</v>
      </c>
      <c r="J88" s="110"/>
      <c r="K88" s="76">
        <f t="shared" si="48"/>
        <v>2.8249999999999993</v>
      </c>
      <c r="L88" s="76">
        <f t="shared" si="48"/>
        <v>5.8000000000000007</v>
      </c>
      <c r="M88" s="76">
        <f t="shared" si="48"/>
        <v>8.9249999999999989</v>
      </c>
      <c r="N88" s="76">
        <f t="shared" si="48"/>
        <v>12.25</v>
      </c>
      <c r="O88" s="110"/>
      <c r="P88" s="110">
        <f t="shared" si="56"/>
        <v>1.2988505747126429</v>
      </c>
      <c r="Q88" s="110">
        <f t="shared" si="49"/>
        <v>1.3809523809523814</v>
      </c>
      <c r="R88" s="110">
        <f t="shared" si="49"/>
        <v>1.4691358024691354</v>
      </c>
      <c r="S88" s="110">
        <f t="shared" si="49"/>
        <v>1.5806451612903225</v>
      </c>
      <c r="T88" s="110"/>
      <c r="U88" s="76">
        <f t="shared" si="50"/>
        <v>217.17500000000001</v>
      </c>
      <c r="V88" s="76">
        <f t="shared" si="50"/>
        <v>219.2</v>
      </c>
      <c r="W88" s="76">
        <f t="shared" si="50"/>
        <v>221.07499999999999</v>
      </c>
      <c r="X88" s="76">
        <f t="shared" si="50"/>
        <v>222.75</v>
      </c>
      <c r="Y88" s="76"/>
      <c r="Z88" s="133">
        <f t="shared" ca="1" si="57"/>
        <v>3.6438456048970744</v>
      </c>
      <c r="AA88" s="133">
        <f t="shared" ca="1" si="51"/>
        <v>3.9543980074080496</v>
      </c>
      <c r="AB88" s="133">
        <f t="shared" ca="1" si="51"/>
        <v>4.2981778070554491</v>
      </c>
      <c r="AC88" s="133">
        <f t="shared" ca="1" si="51"/>
        <v>4.747962614012307</v>
      </c>
      <c r="AD88" s="2"/>
      <c r="AE88" s="127">
        <f t="shared" si="58"/>
        <v>5.3690310838641508E-2</v>
      </c>
      <c r="AF88" s="127">
        <f t="shared" si="52"/>
        <v>7.763781790315627E-2</v>
      </c>
      <c r="AG88" s="127">
        <f t="shared" si="52"/>
        <v>0.10158532496767081</v>
      </c>
      <c r="AH88" s="127">
        <f t="shared" si="52"/>
        <v>0.12553283203218535</v>
      </c>
      <c r="AJ88" s="125">
        <f t="shared" si="59"/>
        <v>459.77011494252861</v>
      </c>
      <c r="AK88" s="125">
        <f t="shared" si="53"/>
        <v>238.09523809523813</v>
      </c>
      <c r="AL88" s="125">
        <f t="shared" si="53"/>
        <v>164.60905349794237</v>
      </c>
      <c r="AM88" s="125">
        <f t="shared" si="53"/>
        <v>129.03225806451613</v>
      </c>
      <c r="AO88" s="63">
        <f t="shared" si="60"/>
        <v>1298.850574712643</v>
      </c>
      <c r="AP88" s="63">
        <f t="shared" si="54"/>
        <v>1380.9523809523814</v>
      </c>
      <c r="AQ88" s="63">
        <f t="shared" si="54"/>
        <v>1469.1358024691356</v>
      </c>
      <c r="AR88" s="63">
        <f t="shared" si="54"/>
        <v>1580.6451612903227</v>
      </c>
    </row>
    <row r="89" spans="1:44" x14ac:dyDescent="0.25">
      <c r="A89" s="80"/>
      <c r="B89" s="107">
        <f t="shared" si="61"/>
        <v>220</v>
      </c>
      <c r="C89" s="23">
        <f t="shared" si="55"/>
        <v>19.3</v>
      </c>
      <c r="D89" s="130">
        <f>_xll.xlqBid(CONCATENATE($A$79,B89&amp;""),tda)</f>
        <v>19.2</v>
      </c>
      <c r="E89" s="130">
        <f>_xll.xlqAsk(CONCATENATE($A$79,B89&amp;""),tda)</f>
        <v>19.400000000000002</v>
      </c>
      <c r="F89" s="55">
        <f>MAX($C89-AVERAGE(_xll.xlqBid(CONCATENATE($A$79,($B89+F$74)&amp;""),tda),_xll.xlqAsk(CONCATENATE($A$79,($B89+F$74)&amp;""),tda)),0)</f>
        <v>2.0249999999999986</v>
      </c>
      <c r="G89" s="55">
        <f>MAX($C89-AVERAGE(_xll.xlqBid(CONCATENATE($A$79,($B89+G$74)&amp;""),tda),_xll.xlqAsk(CONCATENATE($A$79,($B89+G$74)&amp;""),tda)),0)</f>
        <v>3.9000000000000004</v>
      </c>
      <c r="H89" s="55">
        <f>MAX($C89-AVERAGE(_xll.xlqBid(CONCATENATE($A$79,($B89+H$74)&amp;""),tda),_xll.xlqAsk(CONCATENATE($A$79,($B89+H$74)&amp;""),tda)),0)</f>
        <v>5.5749999999999993</v>
      </c>
      <c r="I89" s="55">
        <f>MAX($C89-AVERAGE(_xll.xlqBid(CONCATENATE($A$79,($B89+I$74)&amp;""),tda),_xll.xlqAsk(CONCATENATE($A$79,($B89+I$74)&amp;""),tda)),0)</f>
        <v>7.1750000000000007</v>
      </c>
      <c r="J89" s="25"/>
      <c r="K89" s="63">
        <f t="shared" si="48"/>
        <v>2.9750000000000014</v>
      </c>
      <c r="L89" s="63">
        <f t="shared" si="48"/>
        <v>6.1</v>
      </c>
      <c r="M89" s="63">
        <f t="shared" si="48"/>
        <v>9.4250000000000007</v>
      </c>
      <c r="N89" s="63">
        <f t="shared" si="48"/>
        <v>12.824999999999999</v>
      </c>
      <c r="O89" s="25"/>
      <c r="P89" s="25">
        <f t="shared" si="56"/>
        <v>1.4691358024691374</v>
      </c>
      <c r="Q89" s="25">
        <f t="shared" si="49"/>
        <v>1.5641025641025639</v>
      </c>
      <c r="R89" s="25">
        <f t="shared" si="49"/>
        <v>1.690582959641256</v>
      </c>
      <c r="S89" s="25">
        <f t="shared" si="49"/>
        <v>1.7874564459930311</v>
      </c>
      <c r="T89" s="25"/>
      <c r="U89" s="63">
        <f t="shared" si="50"/>
        <v>222.02500000000001</v>
      </c>
      <c r="V89" s="63">
        <f t="shared" si="50"/>
        <v>223.9</v>
      </c>
      <c r="W89" s="63">
        <f t="shared" si="50"/>
        <v>225.57499999999999</v>
      </c>
      <c r="X89" s="63">
        <f t="shared" si="50"/>
        <v>227.17500000000001</v>
      </c>
      <c r="Y89" s="63"/>
      <c r="Z89" s="133">
        <f t="shared" ca="1" si="57"/>
        <v>4.2981778070554588</v>
      </c>
      <c r="AA89" s="133">
        <f t="shared" ca="1" si="51"/>
        <v>4.6801771471069005</v>
      </c>
      <c r="AB89" s="133">
        <f t="shared" ca="1" si="51"/>
        <v>5.2077801538895532</v>
      </c>
      <c r="AC89" s="133">
        <f t="shared" ca="1" si="51"/>
        <v>5.6263445628568345</v>
      </c>
      <c r="AD89" s="2"/>
      <c r="AE89" s="127">
        <f t="shared" si="58"/>
        <v>7.763781790315627E-2</v>
      </c>
      <c r="AF89" s="127">
        <f t="shared" si="52"/>
        <v>0.10158532496767081</v>
      </c>
      <c r="AG89" s="127">
        <f t="shared" si="52"/>
        <v>0.12553283203218535</v>
      </c>
      <c r="AH89" s="127">
        <f t="shared" si="52"/>
        <v>0.14948033909669989</v>
      </c>
      <c r="AJ89" s="125">
        <f t="shared" si="59"/>
        <v>493.82716049382753</v>
      </c>
      <c r="AK89" s="125">
        <f t="shared" si="53"/>
        <v>256.41025641025641</v>
      </c>
      <c r="AL89" s="125">
        <f t="shared" si="53"/>
        <v>179.37219730941706</v>
      </c>
      <c r="AM89" s="125">
        <f t="shared" si="53"/>
        <v>139.37282229965155</v>
      </c>
      <c r="AO89" s="63">
        <f t="shared" si="60"/>
        <v>1469.1358024691376</v>
      </c>
      <c r="AP89" s="63">
        <f t="shared" si="54"/>
        <v>1564.102564102564</v>
      </c>
      <c r="AQ89" s="63">
        <f t="shared" si="54"/>
        <v>1690.5829596412559</v>
      </c>
      <c r="AR89" s="63">
        <f t="shared" si="54"/>
        <v>1787.4564459930309</v>
      </c>
    </row>
    <row r="90" spans="1:44" x14ac:dyDescent="0.25">
      <c r="A90" s="102"/>
      <c r="B90" s="107">
        <f t="shared" si="61"/>
        <v>225</v>
      </c>
      <c r="C90" s="23">
        <f t="shared" si="55"/>
        <v>17.275000000000002</v>
      </c>
      <c r="D90" s="130">
        <f>_xll.xlqBid(CONCATENATE($A$79,B90&amp;""),tda)</f>
        <v>17.150000000000002</v>
      </c>
      <c r="E90" s="130">
        <f>_xll.xlqAsk(CONCATENATE($A$79,B90&amp;""),tda)</f>
        <v>17.400000000000002</v>
      </c>
      <c r="F90" s="55">
        <f>MAX($C90-AVERAGE(_xll.xlqBid(CONCATENATE($A$79,($B90+F$74)&amp;""),tda),_xll.xlqAsk(CONCATENATE($A$79,($B90+F$74)&amp;""),tda)),0)</f>
        <v>1.8750000000000018</v>
      </c>
      <c r="G90" s="55">
        <f>MAX($C90-AVERAGE(_xll.xlqBid(CONCATENATE($A$79,($B90+G$74)&amp;""),tda),_xll.xlqAsk(CONCATENATE($A$79,($B90+G$74)&amp;""),tda)),0)</f>
        <v>3.5500000000000007</v>
      </c>
      <c r="H90" s="55">
        <f>MAX($C90-AVERAGE(_xll.xlqBid(CONCATENATE($A$79,($B90+H$74)&amp;""),tda),_xll.xlqAsk(CONCATENATE($A$79,($B90+H$74)&amp;""),tda)),0)</f>
        <v>5.1500000000000021</v>
      </c>
      <c r="I90" s="55">
        <f>MAX($C90-AVERAGE(_xll.xlqBid(CONCATENATE($A$79,($B90+I$74)&amp;""),tda),_xll.xlqAsk(CONCATENATE($A$79,($B90+I$74)&amp;""),tda)),0)</f>
        <v>6.5500000000000025</v>
      </c>
      <c r="J90" s="25"/>
      <c r="K90" s="63">
        <f t="shared" si="48"/>
        <v>3.1249999999999982</v>
      </c>
      <c r="L90" s="63">
        <f t="shared" si="48"/>
        <v>6.4499999999999993</v>
      </c>
      <c r="M90" s="63">
        <f t="shared" si="48"/>
        <v>9.8499999999999979</v>
      </c>
      <c r="N90" s="63">
        <f t="shared" si="48"/>
        <v>13.449999999999998</v>
      </c>
      <c r="O90" s="25"/>
      <c r="P90" s="25">
        <f t="shared" si="56"/>
        <v>1.6666666666666641</v>
      </c>
      <c r="Q90" s="25">
        <f t="shared" si="49"/>
        <v>1.8169014084507036</v>
      </c>
      <c r="R90" s="25">
        <f t="shared" si="49"/>
        <v>1.9126213592232997</v>
      </c>
      <c r="S90" s="25">
        <f t="shared" si="49"/>
        <v>2.0534351145038157</v>
      </c>
      <c r="T90" s="25"/>
      <c r="U90" s="63">
        <f t="shared" si="50"/>
        <v>226.875</v>
      </c>
      <c r="V90" s="63">
        <f t="shared" si="50"/>
        <v>228.55</v>
      </c>
      <c r="W90" s="63">
        <f t="shared" si="50"/>
        <v>230.15</v>
      </c>
      <c r="X90" s="63">
        <f t="shared" si="50"/>
        <v>231.55</v>
      </c>
      <c r="Y90" s="63"/>
      <c r="Z90" s="133">
        <f t="shared" ca="1" si="57"/>
        <v>5.1063716011460434</v>
      </c>
      <c r="AA90" s="133">
        <f t="shared" ca="1" si="51"/>
        <v>5.756042830825165</v>
      </c>
      <c r="AB90" s="133">
        <f t="shared" ca="1" si="51"/>
        <v>6.1856050550981676</v>
      </c>
      <c r="AC90" s="133">
        <f t="shared" ca="1" si="51"/>
        <v>6.8394977147438309</v>
      </c>
      <c r="AD90" s="2"/>
      <c r="AE90" s="127">
        <f t="shared" si="58"/>
        <v>0.10158532496767081</v>
      </c>
      <c r="AF90" s="127">
        <f t="shared" si="52"/>
        <v>0.12553283203218535</v>
      </c>
      <c r="AG90" s="127">
        <f t="shared" si="52"/>
        <v>0.14948033909669989</v>
      </c>
      <c r="AH90" s="127">
        <f t="shared" si="52"/>
        <v>0.17342784616121443</v>
      </c>
      <c r="AJ90" s="125">
        <f t="shared" si="59"/>
        <v>533.3333333333328</v>
      </c>
      <c r="AK90" s="125">
        <f t="shared" si="53"/>
        <v>281.69014084507035</v>
      </c>
      <c r="AL90" s="125">
        <f t="shared" si="53"/>
        <v>194.17475728155333</v>
      </c>
      <c r="AM90" s="125">
        <f t="shared" si="53"/>
        <v>152.67175572519079</v>
      </c>
      <c r="AO90" s="63">
        <f t="shared" si="60"/>
        <v>1666.666666666664</v>
      </c>
      <c r="AP90" s="63">
        <f t="shared" si="54"/>
        <v>1816.9014084507035</v>
      </c>
      <c r="AQ90" s="63">
        <f t="shared" si="54"/>
        <v>1912.6213592232998</v>
      </c>
      <c r="AR90" s="63">
        <f t="shared" si="54"/>
        <v>2053.4351145038158</v>
      </c>
    </row>
    <row r="91" spans="1:44" s="77" customFormat="1" x14ac:dyDescent="0.25">
      <c r="A91" s="111"/>
      <c r="B91" s="107">
        <f t="shared" si="61"/>
        <v>230</v>
      </c>
      <c r="C91" s="108">
        <f t="shared" si="55"/>
        <v>15.4</v>
      </c>
      <c r="D91" s="131">
        <f>_xll.xlqBid(CONCATENATE($A$79,B91&amp;""),tda)</f>
        <v>15.3</v>
      </c>
      <c r="E91" s="131">
        <f>_xll.xlqAsk(CONCATENATE($A$79,B91&amp;""),tda)</f>
        <v>15.5</v>
      </c>
      <c r="F91" s="109">
        <f>MAX($C91-AVERAGE(_xll.xlqBid(CONCATENATE($A$79,($B91+F$74)&amp;""),tda),_xll.xlqAsk(CONCATENATE($A$79,($B91+F$74)&amp;""),tda)),0)</f>
        <v>1.6749999999999989</v>
      </c>
      <c r="G91" s="109">
        <f>MAX($C91-AVERAGE(_xll.xlqBid(CONCATENATE($A$79,($B91+G$74)&amp;""),tda),_xll.xlqAsk(CONCATENATE($A$79,($B91+G$74)&amp;""),tda)),0)</f>
        <v>3.2750000000000004</v>
      </c>
      <c r="H91" s="109">
        <f>MAX($C91-AVERAGE(_xll.xlqBid(CONCATENATE($A$79,($B91+H$74)&amp;""),tda),_xll.xlqAsk(CONCATENATE($A$79,($B91+H$74)&amp;""),tda)),0)</f>
        <v>4.6750000000000007</v>
      </c>
      <c r="I91" s="109">
        <f>MAX($C91-AVERAGE(_xll.xlqBid(CONCATENATE($A$79,($B91+I$74)&amp;""),tda),_xll.xlqAsk(CONCATENATE($A$79,($B91+I$74)&amp;""),tda)),0)</f>
        <v>5.9250000000000007</v>
      </c>
      <c r="J91" s="110"/>
      <c r="K91" s="76">
        <f t="shared" si="48"/>
        <v>3.3250000000000011</v>
      </c>
      <c r="L91" s="76">
        <f t="shared" si="48"/>
        <v>6.7249999999999996</v>
      </c>
      <c r="M91" s="76">
        <f t="shared" si="48"/>
        <v>10.324999999999999</v>
      </c>
      <c r="N91" s="76">
        <f t="shared" si="48"/>
        <v>14.074999999999999</v>
      </c>
      <c r="O91" s="110"/>
      <c r="P91" s="110">
        <f t="shared" si="56"/>
        <v>1.9850746268656736</v>
      </c>
      <c r="Q91" s="110">
        <f t="shared" si="49"/>
        <v>2.0534351145038165</v>
      </c>
      <c r="R91" s="110">
        <f t="shared" si="49"/>
        <v>2.2085561497326198</v>
      </c>
      <c r="S91" s="110">
        <f t="shared" si="49"/>
        <v>2.3755274261603372</v>
      </c>
      <c r="T91" s="110"/>
      <c r="U91" s="76">
        <f t="shared" si="50"/>
        <v>231.67500000000001</v>
      </c>
      <c r="V91" s="76">
        <f t="shared" si="50"/>
        <v>233.27500000000001</v>
      </c>
      <c r="W91" s="76">
        <f t="shared" si="50"/>
        <v>234.67500000000001</v>
      </c>
      <c r="X91" s="76">
        <f t="shared" si="50"/>
        <v>235.92500000000001</v>
      </c>
      <c r="Y91" s="76"/>
      <c r="Z91" s="133">
        <f t="shared" ca="1" si="57"/>
        <v>6.518797791773582</v>
      </c>
      <c r="AA91" s="133">
        <f t="shared" ca="1" si="57"/>
        <v>6.8394977147438336</v>
      </c>
      <c r="AB91" s="133">
        <f t="shared" ca="1" si="57"/>
        <v>7.5898952084664746</v>
      </c>
      <c r="AC91" s="133">
        <f t="shared" ca="1" si="57"/>
        <v>8.4325740671177272</v>
      </c>
      <c r="AD91" s="2"/>
      <c r="AE91" s="127">
        <f t="shared" si="58"/>
        <v>0.12553283203218535</v>
      </c>
      <c r="AF91" s="127">
        <f t="shared" si="58"/>
        <v>0.14948033909669989</v>
      </c>
      <c r="AG91" s="127">
        <f t="shared" si="58"/>
        <v>0.17342784616121443</v>
      </c>
      <c r="AH91" s="127">
        <f t="shared" si="58"/>
        <v>0.19737535322572919</v>
      </c>
      <c r="AJ91" s="125">
        <f t="shared" si="59"/>
        <v>597.0149253731347</v>
      </c>
      <c r="AK91" s="125">
        <f t="shared" si="53"/>
        <v>305.34351145038164</v>
      </c>
      <c r="AL91" s="125">
        <f t="shared" si="53"/>
        <v>213.903743315508</v>
      </c>
      <c r="AM91" s="125">
        <f t="shared" si="53"/>
        <v>168.77637130801685</v>
      </c>
      <c r="AO91" s="63">
        <f t="shared" si="60"/>
        <v>1985.0746268656735</v>
      </c>
      <c r="AP91" s="63">
        <f t="shared" si="54"/>
        <v>2053.4351145038163</v>
      </c>
      <c r="AQ91" s="63">
        <f t="shared" si="54"/>
        <v>2208.5561497326198</v>
      </c>
      <c r="AR91" s="63">
        <f t="shared" si="54"/>
        <v>2375.5274261603372</v>
      </c>
    </row>
    <row r="92" spans="1:44" x14ac:dyDescent="0.25">
      <c r="A92" s="101"/>
      <c r="B92" s="107">
        <f t="shared" si="61"/>
        <v>235</v>
      </c>
      <c r="C92" s="23">
        <f t="shared" si="55"/>
        <v>13.725000000000001</v>
      </c>
      <c r="D92" s="130">
        <f>_xll.xlqBid(CONCATENATE($A$79,B92&amp;""),tda)</f>
        <v>13.600000000000001</v>
      </c>
      <c r="E92" s="130">
        <f>_xll.xlqAsk(CONCATENATE($A$79,B92&amp;""),tda)</f>
        <v>13.850000000000001</v>
      </c>
      <c r="F92" s="55">
        <f>MAX($C92-AVERAGE(_xll.xlqBid(CONCATENATE($A$79,($B92+F$74)&amp;""),tda),_xll.xlqAsk(CONCATENATE($A$79,($B92+F$74)&amp;""),tda)),0)</f>
        <v>1.6000000000000014</v>
      </c>
      <c r="G92" s="55">
        <f>MAX($C92-AVERAGE(_xll.xlqBid(CONCATENATE($A$79,($B92+G$74)&amp;""),tda),_xll.xlqAsk(CONCATENATE($A$79,($B92+G$74)&amp;""),tda)),0)</f>
        <v>3.0000000000000018</v>
      </c>
      <c r="H92" s="55">
        <f>MAX($C92-AVERAGE(_xll.xlqBid(CONCATENATE($A$79,($B92+H$74)&amp;""),tda),_xll.xlqAsk(CONCATENATE($A$79,($B92+H$74)&amp;""),tda)),0)</f>
        <v>4.2500000000000018</v>
      </c>
      <c r="I92" s="55">
        <f>MAX($C92-AVERAGE(_xll.xlqBid(CONCATENATE($A$79,($B92+I$74)&amp;""),tda),_xll.xlqAsk(CONCATENATE($A$79,($B92+I$74)&amp;""),tda)),0)</f>
        <v>5.375</v>
      </c>
      <c r="J92" s="25"/>
      <c r="K92" s="63">
        <f t="shared" si="48"/>
        <v>3.3999999999999986</v>
      </c>
      <c r="L92" s="63">
        <f t="shared" si="48"/>
        <v>6.9999999999999982</v>
      </c>
      <c r="M92" s="63">
        <f t="shared" si="48"/>
        <v>10.749999999999998</v>
      </c>
      <c r="N92" s="63">
        <f t="shared" si="48"/>
        <v>14.625</v>
      </c>
      <c r="O92" s="25"/>
      <c r="P92" s="25">
        <f t="shared" si="56"/>
        <v>2.1249999999999973</v>
      </c>
      <c r="Q92" s="25">
        <f t="shared" si="49"/>
        <v>2.3333333333333313</v>
      </c>
      <c r="R92" s="25">
        <f t="shared" si="49"/>
        <v>2.5294117647058809</v>
      </c>
      <c r="S92" s="25">
        <f t="shared" si="49"/>
        <v>2.7209302325581395</v>
      </c>
      <c r="T92" s="25"/>
      <c r="U92" s="63">
        <f t="shared" si="50"/>
        <v>236.6</v>
      </c>
      <c r="V92" s="63">
        <f t="shared" si="50"/>
        <v>238</v>
      </c>
      <c r="W92" s="63">
        <f t="shared" si="50"/>
        <v>239.25</v>
      </c>
      <c r="X92" s="63">
        <f t="shared" si="50"/>
        <v>240.375</v>
      </c>
      <c r="Y92" s="63"/>
      <c r="Z92" s="133">
        <f t="shared" ca="1" si="57"/>
        <v>7.1817901332396001</v>
      </c>
      <c r="AA92" s="133">
        <f t="shared" ca="1" si="57"/>
        <v>8.2162200787177895</v>
      </c>
      <c r="AB92" s="133">
        <f t="shared" ca="1" si="57"/>
        <v>9.2410580200127566</v>
      </c>
      <c r="AC92" s="133">
        <f t="shared" ca="1" si="57"/>
        <v>10.289615284471619</v>
      </c>
      <c r="AD92" s="2"/>
      <c r="AE92" s="127">
        <f t="shared" si="58"/>
        <v>0.14948033909669989</v>
      </c>
      <c r="AF92" s="127">
        <f t="shared" si="58"/>
        <v>0.17342784616121443</v>
      </c>
      <c r="AG92" s="127">
        <f t="shared" si="58"/>
        <v>0.19737535322572919</v>
      </c>
      <c r="AH92" s="127">
        <f t="shared" si="58"/>
        <v>0.22132286029024373</v>
      </c>
      <c r="AJ92" s="125">
        <f t="shared" si="59"/>
        <v>624.99999999999943</v>
      </c>
      <c r="AK92" s="125">
        <f t="shared" si="53"/>
        <v>333.33333333333314</v>
      </c>
      <c r="AL92" s="125">
        <f t="shared" si="53"/>
        <v>235.29411764705873</v>
      </c>
      <c r="AM92" s="125">
        <f t="shared" si="53"/>
        <v>186.04651162790697</v>
      </c>
      <c r="AO92" s="63">
        <f t="shared" si="60"/>
        <v>2124.9999999999973</v>
      </c>
      <c r="AP92" s="63">
        <f t="shared" si="54"/>
        <v>2333.3333333333312</v>
      </c>
      <c r="AQ92" s="63">
        <f t="shared" si="54"/>
        <v>2529.4117647058811</v>
      </c>
      <c r="AR92" s="63">
        <f t="shared" si="54"/>
        <v>2720.9302325581393</v>
      </c>
    </row>
    <row r="93" spans="1:44" x14ac:dyDescent="0.25">
      <c r="A93" s="102"/>
      <c r="B93" s="107">
        <f t="shared" si="61"/>
        <v>240</v>
      </c>
      <c r="C93" s="23">
        <f t="shared" si="55"/>
        <v>12.125</v>
      </c>
      <c r="D93" s="130">
        <f>_xll.xlqBid(CONCATENATE($A$79,B93&amp;""),tda)</f>
        <v>12</v>
      </c>
      <c r="E93" s="130">
        <f>_xll.xlqAsk(CONCATENATE($A$79,B93&amp;""),tda)</f>
        <v>12.25</v>
      </c>
      <c r="F93" s="55">
        <f>MAX($C93-AVERAGE(_xll.xlqBid(CONCATENATE($A$79,($B93+F$74)&amp;""),tda),_xll.xlqAsk(CONCATENATE($A$79,($B93+F$74)&amp;""),tda)),0)</f>
        <v>1.4000000000000004</v>
      </c>
      <c r="G93" s="55">
        <f>MAX($C93-AVERAGE(_xll.xlqBid(CONCATENATE($A$79,($B93+G$74)&amp;""),tda),_xll.xlqAsk(CONCATENATE($A$79,($B93+G$74)&amp;""),tda)),0)</f>
        <v>2.6500000000000004</v>
      </c>
      <c r="H93" s="55">
        <f>MAX($C93-AVERAGE(_xll.xlqBid(CONCATENATE($A$79,($B93+H$74)&amp;""),tda),_xll.xlqAsk(CONCATENATE($A$79,($B93+H$74)&amp;""),tda)),0)</f>
        <v>3.7749999999999986</v>
      </c>
      <c r="I93" s="55">
        <f>MAX($C93-AVERAGE(_xll.xlqBid(CONCATENATE($A$79,($B93+I$74)&amp;""),tda),_xll.xlqAsk(CONCATENATE($A$79,($B93+I$74)&amp;""),tda)),0)</f>
        <v>4.8</v>
      </c>
      <c r="J93" s="25"/>
      <c r="K93" s="63">
        <f t="shared" si="48"/>
        <v>3.5999999999999996</v>
      </c>
      <c r="L93" s="63">
        <f t="shared" si="48"/>
        <v>7.35</v>
      </c>
      <c r="M93" s="63">
        <f t="shared" si="48"/>
        <v>11.225000000000001</v>
      </c>
      <c r="N93" s="63">
        <f t="shared" si="48"/>
        <v>15.2</v>
      </c>
      <c r="O93" s="25"/>
      <c r="P93" s="25">
        <f t="shared" si="56"/>
        <v>2.5714285714285707</v>
      </c>
      <c r="Q93" s="25">
        <f t="shared" si="49"/>
        <v>2.773584905660377</v>
      </c>
      <c r="R93" s="25">
        <f t="shared" si="49"/>
        <v>2.9735099337748361</v>
      </c>
      <c r="S93" s="25">
        <f t="shared" si="49"/>
        <v>3.1666666666666665</v>
      </c>
      <c r="T93" s="25"/>
      <c r="U93" s="63">
        <f t="shared" si="50"/>
        <v>241.4</v>
      </c>
      <c r="V93" s="63">
        <f t="shared" si="50"/>
        <v>242.65</v>
      </c>
      <c r="W93" s="63">
        <f t="shared" si="50"/>
        <v>243.77500000000001</v>
      </c>
      <c r="X93" s="63">
        <f t="shared" si="50"/>
        <v>244.8</v>
      </c>
      <c r="Y93" s="63"/>
      <c r="Z93" s="133">
        <f t="shared" ca="1" si="57"/>
        <v>9.4670886959286733</v>
      </c>
      <c r="AA93" s="133">
        <f t="shared" ca="1" si="57"/>
        <v>10.586081752814259</v>
      </c>
      <c r="AB93" s="133">
        <f t="shared" ca="1" si="57"/>
        <v>11.743684801957647</v>
      </c>
      <c r="AC93" s="133">
        <f t="shared" ca="1" si="57"/>
        <v>12.909849921911018</v>
      </c>
      <c r="AD93" s="2"/>
      <c r="AE93" s="127">
        <f t="shared" si="58"/>
        <v>0.17342784616121443</v>
      </c>
      <c r="AF93" s="127">
        <f t="shared" si="58"/>
        <v>0.19737535322572919</v>
      </c>
      <c r="AG93" s="127">
        <f t="shared" si="58"/>
        <v>0.22132286029024373</v>
      </c>
      <c r="AH93" s="127">
        <f t="shared" si="58"/>
        <v>0.24527036735475827</v>
      </c>
      <c r="AJ93" s="125">
        <f t="shared" si="59"/>
        <v>714.28571428571411</v>
      </c>
      <c r="AK93" s="125">
        <f t="shared" si="53"/>
        <v>377.35849056603769</v>
      </c>
      <c r="AL93" s="125">
        <f t="shared" si="53"/>
        <v>264.90066225165572</v>
      </c>
      <c r="AM93" s="125">
        <f t="shared" si="53"/>
        <v>208.33333333333334</v>
      </c>
      <c r="AO93" s="63">
        <f t="shared" si="60"/>
        <v>2571.4285714285706</v>
      </c>
      <c r="AP93" s="63">
        <f t="shared" si="54"/>
        <v>2773.584905660377</v>
      </c>
      <c r="AQ93" s="63">
        <f t="shared" si="54"/>
        <v>2973.5099337748356</v>
      </c>
      <c r="AR93" s="63">
        <f t="shared" si="54"/>
        <v>3166.6666666666665</v>
      </c>
    </row>
    <row r="94" spans="1:44" s="77" customFormat="1" x14ac:dyDescent="0.25">
      <c r="A94" s="106"/>
      <c r="B94" s="107">
        <f t="shared" si="61"/>
        <v>245</v>
      </c>
      <c r="C94" s="108">
        <f t="shared" si="55"/>
        <v>10.725</v>
      </c>
      <c r="D94" s="131">
        <f>_xll.xlqBid(CONCATENATE($A$79,B94&amp;""),tda)</f>
        <v>10.6</v>
      </c>
      <c r="E94" s="131">
        <f>_xll.xlqAsk(CONCATENATE($A$79,B94&amp;""),tda)</f>
        <v>10.85</v>
      </c>
      <c r="F94" s="109">
        <f>MAX($C94-AVERAGE(_xll.xlqBid(CONCATENATE($A$79,($B94+F$74)&amp;""),tda),_xll.xlqAsk(CONCATENATE($A$79,($B94+F$74)&amp;""),tda)),0)</f>
        <v>1.25</v>
      </c>
      <c r="G94" s="109">
        <f>MAX($C94-AVERAGE(_xll.xlqBid(CONCATENATE($A$79,($B94+G$74)&amp;""),tda),_xll.xlqAsk(CONCATENATE($A$79,($B94+G$74)&amp;""),tda)),0)</f>
        <v>2.3749999999999982</v>
      </c>
      <c r="H94" s="109">
        <f>MAX($C94-AVERAGE(_xll.xlqBid(CONCATENATE($A$79,($B94+H$74)&amp;""),tda),_xll.xlqAsk(CONCATENATE($A$79,($B94+H$74)&amp;""),tda)),0)</f>
        <v>3.3999999999999995</v>
      </c>
      <c r="I94" s="109">
        <f>MAX($C94-AVERAGE(_xll.xlqBid(CONCATENATE($A$79,($B94+I$74)&amp;""),tda),_xll.xlqAsk(CONCATENATE($A$79,($B94+I$74)&amp;""),tda)),0)</f>
        <v>4.2999999999999989</v>
      </c>
      <c r="J94" s="110"/>
      <c r="K94" s="76">
        <f t="shared" si="48"/>
        <v>3.75</v>
      </c>
      <c r="L94" s="76">
        <f t="shared" si="48"/>
        <v>7.6250000000000018</v>
      </c>
      <c r="M94" s="76">
        <f t="shared" si="48"/>
        <v>11.600000000000001</v>
      </c>
      <c r="N94" s="76">
        <f t="shared" si="48"/>
        <v>15.700000000000001</v>
      </c>
      <c r="O94" s="110"/>
      <c r="P94" s="110">
        <f t="shared" si="56"/>
        <v>3</v>
      </c>
      <c r="Q94" s="110">
        <f t="shared" si="49"/>
        <v>3.210526315789477</v>
      </c>
      <c r="R94" s="110">
        <f t="shared" si="49"/>
        <v>3.4117647058823537</v>
      </c>
      <c r="S94" s="110">
        <f t="shared" si="49"/>
        <v>3.6511627906976756</v>
      </c>
      <c r="T94" s="110"/>
      <c r="U94" s="76">
        <f t="shared" si="50"/>
        <v>246.25</v>
      </c>
      <c r="V94" s="76">
        <f t="shared" si="50"/>
        <v>247.375</v>
      </c>
      <c r="W94" s="76">
        <f t="shared" si="50"/>
        <v>248.4</v>
      </c>
      <c r="X94" s="76">
        <f t="shared" si="50"/>
        <v>249.3</v>
      </c>
      <c r="Y94" s="76"/>
      <c r="Z94" s="133">
        <f t="shared" ca="1" si="57"/>
        <v>11.900847502345519</v>
      </c>
      <c r="AA94" s="133">
        <f t="shared" ca="1" si="57"/>
        <v>13.181149628904302</v>
      </c>
      <c r="AB94" s="133">
        <f t="shared" ca="1" si="57"/>
        <v>14.456616582856091</v>
      </c>
      <c r="AC94" s="133">
        <f t="shared" ca="1" si="57"/>
        <v>16.03918232657491</v>
      </c>
      <c r="AD94" s="2"/>
      <c r="AE94" s="127">
        <f t="shared" si="58"/>
        <v>0.19737535322572919</v>
      </c>
      <c r="AF94" s="127">
        <f t="shared" si="58"/>
        <v>0.22132286029024373</v>
      </c>
      <c r="AG94" s="127">
        <f t="shared" si="58"/>
        <v>0.24527036735475827</v>
      </c>
      <c r="AH94" s="127">
        <f t="shared" si="58"/>
        <v>0.26921787441927281</v>
      </c>
      <c r="AJ94" s="125">
        <f t="shared" si="59"/>
        <v>800</v>
      </c>
      <c r="AK94" s="125">
        <f t="shared" si="53"/>
        <v>421.05263157894768</v>
      </c>
      <c r="AL94" s="125">
        <f t="shared" si="53"/>
        <v>294.11764705882359</v>
      </c>
      <c r="AM94" s="125">
        <f t="shared" si="53"/>
        <v>232.55813953488376</v>
      </c>
      <c r="AO94" s="63">
        <f t="shared" si="60"/>
        <v>3000</v>
      </c>
      <c r="AP94" s="63">
        <f t="shared" si="54"/>
        <v>3210.5263157894769</v>
      </c>
      <c r="AQ94" s="63">
        <f t="shared" si="54"/>
        <v>3411.7647058823541</v>
      </c>
      <c r="AR94" s="63">
        <f t="shared" si="54"/>
        <v>3651.1627906976755</v>
      </c>
    </row>
    <row r="95" spans="1:44" x14ac:dyDescent="0.25">
      <c r="A95" s="37"/>
      <c r="B95" s="107">
        <f t="shared" si="61"/>
        <v>250</v>
      </c>
      <c r="C95" s="23">
        <f t="shared" si="55"/>
        <v>9.4749999999999996</v>
      </c>
      <c r="D95" s="130">
        <f>_xll.xlqBid(CONCATENATE($A$79,B95&amp;""),tda)</f>
        <v>9.35</v>
      </c>
      <c r="E95" s="130">
        <f>_xll.xlqAsk(CONCATENATE($A$79,B95&amp;""),tda)</f>
        <v>9.6</v>
      </c>
      <c r="F95" s="55">
        <f>MAX($C95-AVERAGE(_xll.xlqBid(CONCATENATE($A$79,($B95+F$74)&amp;""),tda),_xll.xlqAsk(CONCATENATE($A$79,($B95+F$74)&amp;""),tda)),0)</f>
        <v>1.1249999999999982</v>
      </c>
      <c r="G95" s="55">
        <f>MAX($C95-AVERAGE(_xll.xlqBid(CONCATENATE($A$79,($B95+G$74)&amp;""),tda),_xll.xlqAsk(CONCATENATE($A$79,($B95+G$74)&amp;""),tda)),0)</f>
        <v>2.1499999999999995</v>
      </c>
      <c r="H95" s="55">
        <f>MAX($C95-AVERAGE(_xll.xlqBid(CONCATENATE($A$79,($B95+H$74)&amp;""),tda),_xll.xlqAsk(CONCATENATE($A$79,($B95+H$74)&amp;""),tda)),0)</f>
        <v>3.0499999999999989</v>
      </c>
      <c r="I95" s="55">
        <f>MAX($C95-AVERAGE(_xll.xlqBid(CONCATENATE($A$79,($B95+I$74)&amp;""),tda),_xll.xlqAsk(CONCATENATE($A$79,($B95+I$74)&amp;""),tda)),0)</f>
        <v>3.8499999999999996</v>
      </c>
      <c r="J95" s="25"/>
      <c r="K95" s="63">
        <f t="shared" si="48"/>
        <v>3.8750000000000018</v>
      </c>
      <c r="L95" s="63">
        <f t="shared" si="48"/>
        <v>7.8500000000000005</v>
      </c>
      <c r="M95" s="63">
        <f t="shared" si="48"/>
        <v>11.950000000000001</v>
      </c>
      <c r="N95" s="63">
        <f t="shared" si="48"/>
        <v>16.149999999999999</v>
      </c>
      <c r="O95" s="25"/>
      <c r="P95" s="25">
        <f t="shared" si="56"/>
        <v>3.4444444444444513</v>
      </c>
      <c r="Q95" s="25">
        <f t="shared" si="49"/>
        <v>3.6511627906976756</v>
      </c>
      <c r="R95" s="25">
        <f t="shared" si="49"/>
        <v>3.9180327868852478</v>
      </c>
      <c r="S95" s="25">
        <f t="shared" si="49"/>
        <v>4.1948051948051948</v>
      </c>
      <c r="T95" s="25"/>
      <c r="U95" s="63">
        <f t="shared" si="50"/>
        <v>251.125</v>
      </c>
      <c r="V95" s="63">
        <f t="shared" si="50"/>
        <v>252.15</v>
      </c>
      <c r="W95" s="63">
        <f t="shared" si="50"/>
        <v>253.05</v>
      </c>
      <c r="X95" s="63">
        <f t="shared" si="50"/>
        <v>253.85</v>
      </c>
      <c r="Y95" s="63"/>
      <c r="Z95" s="133">
        <f t="shared" ca="1" si="57"/>
        <v>14.668482820337037</v>
      </c>
      <c r="AA95" s="133">
        <f t="shared" ca="1" si="57"/>
        <v>16.03918232657491</v>
      </c>
      <c r="AB95" s="133">
        <f t="shared" ca="1" si="57"/>
        <v>17.886241363132584</v>
      </c>
      <c r="AC95" s="133">
        <f t="shared" ca="1" si="57"/>
        <v>19.89336815482795</v>
      </c>
      <c r="AD95" s="2"/>
      <c r="AE95" s="127">
        <f t="shared" si="58"/>
        <v>0.22132286029024373</v>
      </c>
      <c r="AF95" s="127">
        <f t="shared" si="58"/>
        <v>0.24527036735475827</v>
      </c>
      <c r="AG95" s="127">
        <f t="shared" si="58"/>
        <v>0.26921787441927281</v>
      </c>
      <c r="AH95" s="127">
        <f t="shared" si="58"/>
        <v>0.29316538148378735</v>
      </c>
      <c r="AJ95" s="125">
        <f t="shared" si="59"/>
        <v>888.88888888889028</v>
      </c>
      <c r="AK95" s="125">
        <f t="shared" si="53"/>
        <v>465.11627906976753</v>
      </c>
      <c r="AL95" s="125">
        <f t="shared" si="53"/>
        <v>327.86885245901652</v>
      </c>
      <c r="AM95" s="125">
        <f t="shared" si="53"/>
        <v>259.74025974025977</v>
      </c>
      <c r="AO95" s="63">
        <f t="shared" si="60"/>
        <v>3444.4444444444516</v>
      </c>
      <c r="AP95" s="63">
        <f t="shared" si="54"/>
        <v>3651.1627906976755</v>
      </c>
      <c r="AQ95" s="63">
        <f t="shared" si="54"/>
        <v>3918.0327868852478</v>
      </c>
      <c r="AR95" s="63">
        <f t="shared" si="54"/>
        <v>4194.8051948051952</v>
      </c>
    </row>
    <row r="97" spans="1:44" x14ac:dyDescent="0.25">
      <c r="A97" s="176"/>
      <c r="B97" s="13"/>
      <c r="C97" s="13"/>
      <c r="D97" s="117"/>
      <c r="E97" s="117"/>
      <c r="F97" s="262" t="s">
        <v>100</v>
      </c>
      <c r="G97" s="262"/>
      <c r="H97" s="262"/>
      <c r="I97" s="262"/>
      <c r="J97" s="13"/>
      <c r="K97" s="262" t="s">
        <v>99</v>
      </c>
      <c r="L97" s="262"/>
      <c r="M97" s="262"/>
      <c r="N97" s="262"/>
      <c r="O97" s="13"/>
      <c r="P97" s="262" t="s">
        <v>98</v>
      </c>
      <c r="Q97" s="262"/>
      <c r="R97" s="262"/>
      <c r="S97" s="262"/>
      <c r="T97" s="13"/>
      <c r="U97" s="262" t="s">
        <v>97</v>
      </c>
      <c r="V97" s="262"/>
      <c r="W97" s="262"/>
      <c r="X97" s="262"/>
      <c r="Y97" s="176"/>
      <c r="Z97" s="263" t="s">
        <v>107</v>
      </c>
      <c r="AA97" s="262"/>
      <c r="AB97" s="262"/>
      <c r="AC97" s="262"/>
      <c r="AD97" s="176"/>
      <c r="AE97" s="176"/>
      <c r="AF97" s="176"/>
      <c r="AG97" s="176"/>
      <c r="AH97" s="176"/>
      <c r="AJ97" s="262" t="s">
        <v>104</v>
      </c>
      <c r="AK97" s="262"/>
      <c r="AL97" s="262"/>
      <c r="AM97" s="262"/>
      <c r="AN97" s="13"/>
      <c r="AO97" s="262" t="s">
        <v>105</v>
      </c>
      <c r="AP97" s="262"/>
      <c r="AQ97" s="262"/>
      <c r="AR97" s="262"/>
    </row>
    <row r="98" spans="1:44" x14ac:dyDescent="0.25">
      <c r="A98" s="99" t="str">
        <f>A26</f>
        <v>NVDA</v>
      </c>
      <c r="B98" s="13" t="s">
        <v>95</v>
      </c>
      <c r="C98" s="20" t="s">
        <v>96</v>
      </c>
      <c r="D98" s="129" t="s">
        <v>64</v>
      </c>
      <c r="E98" s="129" t="s">
        <v>65</v>
      </c>
      <c r="F98" s="21">
        <v>5</v>
      </c>
      <c r="G98" s="21">
        <v>10</v>
      </c>
      <c r="H98" s="21">
        <v>15</v>
      </c>
      <c r="I98" s="21">
        <v>20</v>
      </c>
      <c r="J98" s="21"/>
      <c r="K98" s="21">
        <f>F98</f>
        <v>5</v>
      </c>
      <c r="L98" s="21">
        <f t="shared" ref="L98:N98" si="62">G98</f>
        <v>10</v>
      </c>
      <c r="M98" s="21">
        <f t="shared" si="62"/>
        <v>15</v>
      </c>
      <c r="N98" s="21">
        <f t="shared" si="62"/>
        <v>20</v>
      </c>
      <c r="O98" s="21"/>
      <c r="P98" s="21">
        <f t="shared" ref="P98:S98" si="63">K98</f>
        <v>5</v>
      </c>
      <c r="Q98" s="21">
        <f t="shared" si="63"/>
        <v>10</v>
      </c>
      <c r="R98" s="21">
        <f t="shared" si="63"/>
        <v>15</v>
      </c>
      <c r="S98" s="21">
        <f t="shared" si="63"/>
        <v>20</v>
      </c>
      <c r="T98" s="21"/>
      <c r="U98" s="21">
        <f t="shared" ref="U98:X98" si="64">P98</f>
        <v>5</v>
      </c>
      <c r="V98" s="21">
        <f t="shared" si="64"/>
        <v>10</v>
      </c>
      <c r="W98" s="21">
        <f t="shared" si="64"/>
        <v>15</v>
      </c>
      <c r="X98" s="21">
        <f t="shared" si="64"/>
        <v>20</v>
      </c>
      <c r="Y98" s="21"/>
      <c r="Z98" s="132">
        <f>U98</f>
        <v>5</v>
      </c>
      <c r="AA98" s="132">
        <f>V98</f>
        <v>10</v>
      </c>
      <c r="AB98" s="132">
        <f>W98</f>
        <v>15</v>
      </c>
      <c r="AC98" s="132">
        <f>X98</f>
        <v>20</v>
      </c>
      <c r="AD98" s="132"/>
      <c r="AE98" s="132">
        <f>Z98</f>
        <v>5</v>
      </c>
      <c r="AF98" s="132">
        <f>AA98</f>
        <v>10</v>
      </c>
      <c r="AG98" s="132">
        <f>AB98</f>
        <v>15</v>
      </c>
      <c r="AH98" s="132">
        <f>AC98</f>
        <v>20</v>
      </c>
      <c r="AJ98" s="21">
        <f>U98</f>
        <v>5</v>
      </c>
      <c r="AK98" s="21">
        <f>V98</f>
        <v>10</v>
      </c>
      <c r="AL98" s="21">
        <f>W98</f>
        <v>15</v>
      </c>
      <c r="AM98" s="21">
        <f>X98</f>
        <v>20</v>
      </c>
      <c r="AO98" s="21">
        <f>AJ98</f>
        <v>5</v>
      </c>
      <c r="AP98" s="21">
        <f>AK98</f>
        <v>10</v>
      </c>
      <c r="AQ98" s="21">
        <f>AL98</f>
        <v>15</v>
      </c>
      <c r="AR98" s="21">
        <f>AM98</f>
        <v>20</v>
      </c>
    </row>
    <row r="99" spans="1:44" x14ac:dyDescent="0.25">
      <c r="A99" s="100">
        <f>_xll.xlqPrice(A98,"TDA")</f>
        <v>208.79000000000002</v>
      </c>
      <c r="B99" s="21">
        <f>B75</f>
        <v>150</v>
      </c>
      <c r="C99" s="23">
        <f>AVERAGE(D99,E99)</f>
        <v>61.35</v>
      </c>
      <c r="D99" s="130">
        <f>_xll.xlqBid(CONCATENATE($A$103,B99&amp;""),tda)</f>
        <v>61.1</v>
      </c>
      <c r="E99" s="130">
        <f>_xll.xlqAsk(CONCATENATE($A$103,B99&amp;""),tda)</f>
        <v>61.6</v>
      </c>
      <c r="F99" s="55">
        <f>MAX($C99-AVERAGE(_xll.xlqBid(CONCATENATE($A$103,($B99+F$98)&amp;""),tda),_xll.xlqAsk(CONCATENATE($A$103,($B99+F$98)&amp;""),tda)),0)</f>
        <v>4.5249999999999986</v>
      </c>
      <c r="G99" s="55">
        <f>MAX($C99-AVERAGE(_xll.xlqBid(CONCATENATE($A$103,($B99+G$98)&amp;""),tda),_xll.xlqAsk(CONCATENATE($A$103,($B99+G$98)&amp;""),tda)),0)</f>
        <v>8.9249999999999972</v>
      </c>
      <c r="H99" s="55">
        <f>MAX($C99-AVERAGE(_xll.xlqBid(CONCATENATE($A$103,($B99+H$98)&amp;""),tda),_xll.xlqAsk(CONCATENATE($A$103,($B99+H$98)&amp;""),tda)),0)</f>
        <v>13.25</v>
      </c>
      <c r="I99" s="55">
        <f>MAX($C99-AVERAGE(_xll.xlqBid(CONCATENATE($A$103,($B99+I$98)&amp;""),tda),_xll.xlqAsk(CONCATENATE($A$103,($B99+I$98)&amp;""),tda)),0)</f>
        <v>17.424999999999997</v>
      </c>
      <c r="J99" s="25"/>
      <c r="K99" s="63">
        <f t="shared" ref="K99:N119" si="65">K$74-F99</f>
        <v>0.47500000000000142</v>
      </c>
      <c r="L99" s="63">
        <f t="shared" si="65"/>
        <v>1.0750000000000028</v>
      </c>
      <c r="M99" s="63">
        <f t="shared" si="65"/>
        <v>1.75</v>
      </c>
      <c r="N99" s="63">
        <f t="shared" si="65"/>
        <v>2.5750000000000028</v>
      </c>
      <c r="O99" s="25"/>
      <c r="P99" s="25">
        <f>K99/F99</f>
        <v>0.10497237569060808</v>
      </c>
      <c r="Q99" s="25">
        <f t="shared" ref="Q99:S119" si="66">L99/G99</f>
        <v>0.12044817927170905</v>
      </c>
      <c r="R99" s="25">
        <f t="shared" si="66"/>
        <v>0.13207547169811321</v>
      </c>
      <c r="S99" s="25">
        <f t="shared" si="66"/>
        <v>0.14777618364418957</v>
      </c>
      <c r="T99" s="25"/>
      <c r="U99" s="63">
        <f t="shared" ref="U99:X119" si="67">$B99+F99</f>
        <v>154.52500000000001</v>
      </c>
      <c r="V99" s="63">
        <f t="shared" si="67"/>
        <v>158.92500000000001</v>
      </c>
      <c r="W99" s="63">
        <f t="shared" si="67"/>
        <v>163.25</v>
      </c>
      <c r="X99" s="63">
        <f t="shared" si="67"/>
        <v>167.42500000000001</v>
      </c>
      <c r="Y99" s="63"/>
      <c r="Z99" s="133">
        <f ca="1">(1+P99)^(365.25/$A$106)-1</f>
        <v>0.40599023121506717</v>
      </c>
      <c r="AA99" s="133">
        <f t="shared" ref="AA99:AC114" ca="1" si="68">(1+Q99)^(365.25/$A$106)-1</f>
        <v>0.47435261199144607</v>
      </c>
      <c r="AB99" s="133">
        <f t="shared" ca="1" si="68"/>
        <v>0.52723680496101299</v>
      </c>
      <c r="AC99" s="133">
        <f t="shared" ca="1" si="68"/>
        <v>0.60075792033363151</v>
      </c>
      <c r="AD99" s="2"/>
      <c r="AE99" s="127">
        <f>($B99+AE$2)/$A$3-1</f>
        <v>-0.25762728100004795</v>
      </c>
      <c r="AF99" s="127">
        <f t="shared" ref="AF99:AH114" si="69">($B99+AF$2)/$A$3-1</f>
        <v>-0.23367977393553341</v>
      </c>
      <c r="AG99" s="127">
        <f t="shared" si="69"/>
        <v>-0.20973226687101876</v>
      </c>
      <c r="AH99" s="127">
        <f t="shared" si="69"/>
        <v>-0.18578475980650422</v>
      </c>
      <c r="AJ99" s="125">
        <f>$A$17/F99</f>
        <v>220.99447513812163</v>
      </c>
      <c r="AK99" s="125">
        <f t="shared" ref="AK99:AM119" si="70">$A$17/G99</f>
        <v>112.04481792717091</v>
      </c>
      <c r="AL99" s="125">
        <f t="shared" si="70"/>
        <v>75.471698113207552</v>
      </c>
      <c r="AM99" s="125">
        <f t="shared" si="70"/>
        <v>57.388809182209478</v>
      </c>
      <c r="AO99" s="63">
        <f>AJ99*K99</f>
        <v>104.97237569060809</v>
      </c>
      <c r="AP99" s="63">
        <f t="shared" ref="AP99:AR119" si="71">AK99*L99</f>
        <v>120.44817927170905</v>
      </c>
      <c r="AQ99" s="63">
        <f t="shared" si="71"/>
        <v>132.0754716981132</v>
      </c>
      <c r="AR99" s="63">
        <f t="shared" si="71"/>
        <v>147.77618364418956</v>
      </c>
    </row>
    <row r="100" spans="1:44" s="77" customFormat="1" x14ac:dyDescent="0.25">
      <c r="A100" s="111"/>
      <c r="B100" s="107">
        <f>B99+5</f>
        <v>155</v>
      </c>
      <c r="C100" s="108">
        <f t="shared" ref="C100:C119" si="72">AVERAGE(D100,E100)</f>
        <v>56.825000000000003</v>
      </c>
      <c r="D100" s="131">
        <f>_xll.xlqBid(CONCATENATE($A$103,B100&amp;""),tda)</f>
        <v>56.550000000000004</v>
      </c>
      <c r="E100" s="131">
        <f>_xll.xlqAsk(CONCATENATE($A$103,B100&amp;""),tda)</f>
        <v>57.1</v>
      </c>
      <c r="F100" s="55">
        <f>MAX($C100-AVERAGE(_xll.xlqBid(CONCATENATE($A$103,($B100+F$98)&amp;""),tda),_xll.xlqAsk(CONCATENATE($A$103,($B100+F$98)&amp;""),tda)),0)</f>
        <v>4.3999999999999986</v>
      </c>
      <c r="G100" s="55">
        <f>MAX($C100-AVERAGE(_xll.xlqBid(CONCATENATE($A$103,($B100+G$98)&amp;""),tda),_xll.xlqAsk(CONCATENATE($A$103,($B100+G$98)&amp;""),tda)),0)</f>
        <v>8.7250000000000014</v>
      </c>
      <c r="H100" s="55">
        <f>MAX($C100-AVERAGE(_xll.xlqBid(CONCATENATE($A$103,($B100+H$98)&amp;""),tda),_xll.xlqAsk(CONCATENATE($A$103,($B100+H$98)&amp;""),tda)),0)</f>
        <v>12.899999999999999</v>
      </c>
      <c r="I100" s="55">
        <f>MAX($C100-AVERAGE(_xll.xlqBid(CONCATENATE($A$103,($B100+I$98)&amp;""),tda),_xll.xlqAsk(CONCATENATE($A$103,($B100+I$98)&amp;""),tda)),0)</f>
        <v>16.950000000000003</v>
      </c>
      <c r="J100" s="110"/>
      <c r="K100" s="76">
        <f t="shared" si="65"/>
        <v>0.60000000000000142</v>
      </c>
      <c r="L100" s="76">
        <f t="shared" si="65"/>
        <v>1.2749999999999986</v>
      </c>
      <c r="M100" s="76">
        <f t="shared" si="65"/>
        <v>2.1000000000000014</v>
      </c>
      <c r="N100" s="76">
        <f t="shared" si="65"/>
        <v>3.0499999999999972</v>
      </c>
      <c r="O100" s="110"/>
      <c r="P100" s="110">
        <f t="shared" ref="P100:P119" si="73">K100/F100</f>
        <v>0.13636363636363674</v>
      </c>
      <c r="Q100" s="110">
        <f t="shared" si="66"/>
        <v>0.14613180515759294</v>
      </c>
      <c r="R100" s="110">
        <f t="shared" si="66"/>
        <v>0.16279069767441873</v>
      </c>
      <c r="S100" s="110">
        <f t="shared" si="66"/>
        <v>0.1799410029498523</v>
      </c>
      <c r="T100" s="110"/>
      <c r="U100" s="76">
        <f t="shared" si="67"/>
        <v>159.4</v>
      </c>
      <c r="V100" s="76">
        <f t="shared" si="67"/>
        <v>163.72499999999999</v>
      </c>
      <c r="W100" s="76">
        <f t="shared" si="67"/>
        <v>167.9</v>
      </c>
      <c r="X100" s="76">
        <f t="shared" si="67"/>
        <v>171.95</v>
      </c>
      <c r="Y100" s="76"/>
      <c r="Z100" s="133">
        <f t="shared" ref="Z100:AC119" ca="1" si="74">(1+P100)^(365.25/$A$106)-1</f>
        <v>0.54707458720428837</v>
      </c>
      <c r="AA100" s="133">
        <f t="shared" ca="1" si="68"/>
        <v>0.59294297962226117</v>
      </c>
      <c r="AB100" s="133">
        <f t="shared" ca="1" si="68"/>
        <v>0.67337356351447353</v>
      </c>
      <c r="AC100" s="133">
        <f t="shared" ca="1" si="68"/>
        <v>0.75913352097025766</v>
      </c>
      <c r="AD100" s="2"/>
      <c r="AE100" s="127">
        <f t="shared" ref="AE100:AH119" si="75">($B100+AE$2)/$A$3-1</f>
        <v>-0.23367977393553341</v>
      </c>
      <c r="AF100" s="127">
        <f t="shared" si="69"/>
        <v>-0.20973226687101876</v>
      </c>
      <c r="AG100" s="127">
        <f t="shared" si="69"/>
        <v>-0.18578475980650422</v>
      </c>
      <c r="AH100" s="127">
        <f t="shared" si="69"/>
        <v>-0.16183725274198968</v>
      </c>
      <c r="AJ100" s="125">
        <f t="shared" ref="AJ100:AJ119" si="76">$A$17/F100</f>
        <v>227.27272727272734</v>
      </c>
      <c r="AK100" s="125">
        <f t="shared" si="70"/>
        <v>114.6131805157593</v>
      </c>
      <c r="AL100" s="125">
        <f t="shared" si="70"/>
        <v>77.51937984496125</v>
      </c>
      <c r="AM100" s="125">
        <f t="shared" si="70"/>
        <v>58.997050147492615</v>
      </c>
      <c r="AO100" s="63">
        <f t="shared" ref="AO100:AO119" si="77">AJ100*K100</f>
        <v>136.36363636363672</v>
      </c>
      <c r="AP100" s="63">
        <f t="shared" si="71"/>
        <v>146.13180515759294</v>
      </c>
      <c r="AQ100" s="63">
        <f t="shared" si="71"/>
        <v>162.79069767441874</v>
      </c>
      <c r="AR100" s="63">
        <f t="shared" si="71"/>
        <v>179.9410029498523</v>
      </c>
    </row>
    <row r="101" spans="1:44" x14ac:dyDescent="0.25">
      <c r="A101" s="235">
        <v>43910</v>
      </c>
      <c r="B101" s="107">
        <f t="shared" ref="B101:B119" si="78">B100+5</f>
        <v>160</v>
      </c>
      <c r="C101" s="23">
        <f t="shared" si="72"/>
        <v>52.425000000000004</v>
      </c>
      <c r="D101" s="130">
        <f>_xll.xlqBid(CONCATENATE($A$103,B101&amp;""),tda)</f>
        <v>52.300000000000004</v>
      </c>
      <c r="E101" s="130">
        <f>_xll.xlqAsk(CONCATENATE($A$103,B101&amp;""),tda)</f>
        <v>52.550000000000004</v>
      </c>
      <c r="F101" s="55">
        <f>MAX($C101-AVERAGE(_xll.xlqBid(CONCATENATE($A$103,($B101+F$98)&amp;""),tda),_xll.xlqAsk(CONCATENATE($A$103,($B101+F$98)&amp;""),tda)),0)</f>
        <v>4.3250000000000028</v>
      </c>
      <c r="G101" s="55">
        <f>MAX($C101-AVERAGE(_xll.xlqBid(CONCATENATE($A$103,($B101+G$98)&amp;""),tda),_xll.xlqAsk(CONCATENATE($A$103,($B101+G$98)&amp;""),tda)),0)</f>
        <v>8.5</v>
      </c>
      <c r="H101" s="55">
        <f>MAX($C101-AVERAGE(_xll.xlqBid(CONCATENATE($A$103,($B101+H$98)&amp;""),tda),_xll.xlqAsk(CONCATENATE($A$103,($B101+H$98)&amp;""),tda)),0)</f>
        <v>12.550000000000004</v>
      </c>
      <c r="I101" s="55">
        <f>MAX($C101-AVERAGE(_xll.xlqBid(CONCATENATE($A$103,($B101+I$98)&amp;""),tda),_xll.xlqAsk(CONCATENATE($A$103,($B101+I$98)&amp;""),tda)),0)</f>
        <v>16.425000000000004</v>
      </c>
      <c r="J101" s="25"/>
      <c r="K101" s="63">
        <f t="shared" si="65"/>
        <v>0.67499999999999716</v>
      </c>
      <c r="L101" s="63">
        <f t="shared" si="65"/>
        <v>1.5</v>
      </c>
      <c r="M101" s="63">
        <f t="shared" si="65"/>
        <v>2.4499999999999957</v>
      </c>
      <c r="N101" s="63">
        <f t="shared" si="65"/>
        <v>3.5749999999999957</v>
      </c>
      <c r="O101" s="25"/>
      <c r="P101" s="25">
        <f t="shared" si="73"/>
        <v>0.15606936416184894</v>
      </c>
      <c r="Q101" s="25">
        <f t="shared" si="66"/>
        <v>0.17647058823529413</v>
      </c>
      <c r="R101" s="25">
        <f t="shared" si="66"/>
        <v>0.1952191235059757</v>
      </c>
      <c r="S101" s="25">
        <f t="shared" si="66"/>
        <v>0.2176560121765598</v>
      </c>
      <c r="T101" s="25"/>
      <c r="U101" s="63">
        <f t="shared" si="67"/>
        <v>164.32499999999999</v>
      </c>
      <c r="V101" s="63">
        <f t="shared" si="67"/>
        <v>168.5</v>
      </c>
      <c r="W101" s="63">
        <f t="shared" si="67"/>
        <v>172.55</v>
      </c>
      <c r="X101" s="63">
        <f t="shared" si="67"/>
        <v>176.42500000000001</v>
      </c>
      <c r="Y101" s="63"/>
      <c r="Z101" s="133">
        <f t="shared" ca="1" si="74"/>
        <v>0.64058506880787824</v>
      </c>
      <c r="AA101" s="133">
        <f t="shared" ca="1" si="68"/>
        <v>0.74153467150898833</v>
      </c>
      <c r="AB101" s="133">
        <f t="shared" ca="1" si="68"/>
        <v>0.83810846734932687</v>
      </c>
      <c r="AC101" s="133">
        <f t="shared" ca="1" si="68"/>
        <v>0.9585861438256591</v>
      </c>
      <c r="AD101" s="2"/>
      <c r="AE101" s="127">
        <f t="shared" si="75"/>
        <v>-0.20973226687101876</v>
      </c>
      <c r="AF101" s="127">
        <f t="shared" si="69"/>
        <v>-0.18578475980650422</v>
      </c>
      <c r="AG101" s="127">
        <f t="shared" si="69"/>
        <v>-0.16183725274198968</v>
      </c>
      <c r="AH101" s="127">
        <f t="shared" si="69"/>
        <v>-0.13788974567747503</v>
      </c>
      <c r="AJ101" s="125">
        <f t="shared" si="76"/>
        <v>231.21387283236979</v>
      </c>
      <c r="AK101" s="125">
        <f t="shared" si="70"/>
        <v>117.64705882352941</v>
      </c>
      <c r="AL101" s="125">
        <f t="shared" si="70"/>
        <v>79.681274900398378</v>
      </c>
      <c r="AM101" s="125">
        <f t="shared" si="70"/>
        <v>60.882800608827992</v>
      </c>
      <c r="AO101" s="63">
        <f t="shared" si="77"/>
        <v>156.06936416184894</v>
      </c>
      <c r="AP101" s="63">
        <f t="shared" si="71"/>
        <v>176.47058823529412</v>
      </c>
      <c r="AQ101" s="63">
        <f t="shared" si="71"/>
        <v>195.21912350597569</v>
      </c>
      <c r="AR101" s="63">
        <f t="shared" si="71"/>
        <v>217.65601217655981</v>
      </c>
    </row>
    <row r="102" spans="1:44" x14ac:dyDescent="0.25">
      <c r="A102" s="101" t="str">
        <f>CONCATENATE(TEXT(MONTH(A101),"00"),TEXT(DAY(A101),"00"),TEXT(MOD(YEAR(A101),100),"00"))</f>
        <v>032020</v>
      </c>
      <c r="B102" s="107">
        <f t="shared" si="78"/>
        <v>165</v>
      </c>
      <c r="C102" s="23">
        <f t="shared" si="72"/>
        <v>48.1</v>
      </c>
      <c r="D102" s="130">
        <f>_xll.xlqBid(CONCATENATE($A$103,B102&amp;""),tda)</f>
        <v>47.95</v>
      </c>
      <c r="E102" s="130">
        <f>_xll.xlqAsk(CONCATENATE($A$103,B102&amp;""),tda)</f>
        <v>48.25</v>
      </c>
      <c r="F102" s="55">
        <f>MAX($C102-AVERAGE(_xll.xlqBid(CONCATENATE($A$103,($B102+F$98)&amp;""),tda),_xll.xlqAsk(CONCATENATE($A$103,($B102+F$98)&amp;""),tda)),0)</f>
        <v>4.1749999999999972</v>
      </c>
      <c r="G102" s="55">
        <f>MAX($C102-AVERAGE(_xll.xlqBid(CONCATENATE($A$103,($B102+G$98)&amp;""),tda),_xll.xlqAsk(CONCATENATE($A$103,($B102+G$98)&amp;""),tda)),0)</f>
        <v>8.2250000000000014</v>
      </c>
      <c r="H102" s="55">
        <f>MAX($C102-AVERAGE(_xll.xlqBid(CONCATENATE($A$103,($B102+H$98)&amp;""),tda),_xll.xlqAsk(CONCATENATE($A$103,($B102+H$98)&amp;""),tda)),0)</f>
        <v>12.100000000000001</v>
      </c>
      <c r="I102" s="55">
        <f>MAX($C102-AVERAGE(_xll.xlqBid(CONCATENATE($A$103,($B102+I$98)&amp;""),tda),_xll.xlqAsk(CONCATENATE($A$103,($B102+I$98)&amp;""),tda)),0)</f>
        <v>15.800000000000004</v>
      </c>
      <c r="J102" s="25"/>
      <c r="K102" s="63">
        <f t="shared" si="65"/>
        <v>0.82500000000000284</v>
      </c>
      <c r="L102" s="63">
        <f t="shared" si="65"/>
        <v>1.7749999999999986</v>
      </c>
      <c r="M102" s="63">
        <f t="shared" si="65"/>
        <v>2.8999999999999986</v>
      </c>
      <c r="N102" s="63">
        <f t="shared" si="65"/>
        <v>4.1999999999999957</v>
      </c>
      <c r="O102" s="25"/>
      <c r="P102" s="25">
        <f t="shared" si="73"/>
        <v>0.19760479041916248</v>
      </c>
      <c r="Q102" s="25">
        <f t="shared" si="66"/>
        <v>0.21580547112461984</v>
      </c>
      <c r="R102" s="25">
        <f t="shared" si="66"/>
        <v>0.23966942148760317</v>
      </c>
      <c r="S102" s="25">
        <f t="shared" si="66"/>
        <v>0.26582278481012622</v>
      </c>
      <c r="T102" s="25"/>
      <c r="U102" s="63">
        <f t="shared" si="67"/>
        <v>169.17500000000001</v>
      </c>
      <c r="V102" s="63">
        <f t="shared" si="67"/>
        <v>173.22499999999999</v>
      </c>
      <c r="W102" s="63">
        <f t="shared" si="67"/>
        <v>177.1</v>
      </c>
      <c r="X102" s="63">
        <f t="shared" si="67"/>
        <v>180.8</v>
      </c>
      <c r="Y102" s="63"/>
      <c r="Z102" s="133">
        <f t="shared" ca="1" si="74"/>
        <v>0.85066257014368296</v>
      </c>
      <c r="AA102" s="133">
        <f t="shared" ca="1" si="68"/>
        <v>0.94844407455313373</v>
      </c>
      <c r="AB102" s="133">
        <f t="shared" ca="1" si="68"/>
        <v>1.0821137265929286</v>
      </c>
      <c r="AC102" s="133">
        <f t="shared" ca="1" si="68"/>
        <v>1.2359144673686564</v>
      </c>
      <c r="AD102" s="2"/>
      <c r="AE102" s="127">
        <f t="shared" si="75"/>
        <v>-0.18578475980650422</v>
      </c>
      <c r="AF102" s="127">
        <f t="shared" si="69"/>
        <v>-0.16183725274198968</v>
      </c>
      <c r="AG102" s="127">
        <f t="shared" si="69"/>
        <v>-0.13788974567747503</v>
      </c>
      <c r="AH102" s="127">
        <f t="shared" si="69"/>
        <v>-0.11394223861296049</v>
      </c>
      <c r="AJ102" s="125">
        <f t="shared" si="76"/>
        <v>239.52095808383251</v>
      </c>
      <c r="AK102" s="125">
        <f t="shared" si="70"/>
        <v>121.58054711246199</v>
      </c>
      <c r="AL102" s="125">
        <f t="shared" si="70"/>
        <v>82.644628099173545</v>
      </c>
      <c r="AM102" s="125">
        <f t="shared" si="70"/>
        <v>63.291139240506311</v>
      </c>
      <c r="AO102" s="63">
        <f t="shared" si="77"/>
        <v>197.6047904191625</v>
      </c>
      <c r="AP102" s="63">
        <f t="shared" si="71"/>
        <v>215.80547112461986</v>
      </c>
      <c r="AQ102" s="63">
        <f t="shared" si="71"/>
        <v>239.66942148760316</v>
      </c>
      <c r="AR102" s="63">
        <f t="shared" si="71"/>
        <v>265.82278481012622</v>
      </c>
    </row>
    <row r="103" spans="1:44" s="77" customFormat="1" x14ac:dyDescent="0.25">
      <c r="A103" s="111" t="str">
        <f>CONCATENATE(A98,"_",A102,"C")</f>
        <v>NVDA_032020C</v>
      </c>
      <c r="B103" s="107">
        <f t="shared" si="78"/>
        <v>170</v>
      </c>
      <c r="C103" s="108">
        <f t="shared" si="72"/>
        <v>43.925000000000004</v>
      </c>
      <c r="D103" s="131">
        <f>_xll.xlqBid(CONCATENATE($A$103,B103&amp;""),tda)</f>
        <v>43.800000000000004</v>
      </c>
      <c r="E103" s="131">
        <f>_xll.xlqAsk(CONCATENATE($A$103,B103&amp;""),tda)</f>
        <v>44.050000000000004</v>
      </c>
      <c r="F103" s="55">
        <f>MAX($C103-AVERAGE(_xll.xlqBid(CONCATENATE($A$103,($B103+F$98)&amp;""),tda),_xll.xlqAsk(CONCATENATE($A$103,($B103+F$98)&amp;""),tda)),0)</f>
        <v>4.0500000000000043</v>
      </c>
      <c r="G103" s="55">
        <f>MAX($C103-AVERAGE(_xll.xlqBid(CONCATENATE($A$103,($B103+G$98)&amp;""),tda),_xll.xlqAsk(CONCATENATE($A$103,($B103+G$98)&amp;""),tda)),0)</f>
        <v>7.9250000000000043</v>
      </c>
      <c r="H103" s="55">
        <f>MAX($C103-AVERAGE(_xll.xlqBid(CONCATENATE($A$103,($B103+H$98)&amp;""),tda),_xll.xlqAsk(CONCATENATE($A$103,($B103+H$98)&amp;""),tda)),0)</f>
        <v>11.625000000000007</v>
      </c>
      <c r="I103" s="55">
        <f>MAX($C103-AVERAGE(_xll.xlqBid(CONCATENATE($A$103,($B103+I$98)&amp;""),tda),_xll.xlqAsk(CONCATENATE($A$103,($B103+I$98)&amp;""),tda)),0)</f>
        <v>15.125</v>
      </c>
      <c r="J103" s="110"/>
      <c r="K103" s="76">
        <f t="shared" si="65"/>
        <v>0.94999999999999574</v>
      </c>
      <c r="L103" s="76">
        <f t="shared" si="65"/>
        <v>2.0749999999999957</v>
      </c>
      <c r="M103" s="76">
        <f t="shared" si="65"/>
        <v>3.3749999999999929</v>
      </c>
      <c r="N103" s="76">
        <f t="shared" si="65"/>
        <v>4.875</v>
      </c>
      <c r="O103" s="110"/>
      <c r="P103" s="110">
        <f t="shared" si="73"/>
        <v>0.23456790123456661</v>
      </c>
      <c r="Q103" s="110">
        <f t="shared" si="66"/>
        <v>0.26182965299684474</v>
      </c>
      <c r="R103" s="110">
        <f t="shared" si="66"/>
        <v>0.29032258064516048</v>
      </c>
      <c r="S103" s="110">
        <f t="shared" si="66"/>
        <v>0.32231404958677684</v>
      </c>
      <c r="T103" s="110"/>
      <c r="U103" s="76">
        <f t="shared" si="67"/>
        <v>174.05</v>
      </c>
      <c r="V103" s="76">
        <f t="shared" si="67"/>
        <v>177.92500000000001</v>
      </c>
      <c r="W103" s="76">
        <f t="shared" si="67"/>
        <v>181.625</v>
      </c>
      <c r="X103" s="76">
        <f t="shared" si="67"/>
        <v>185.125</v>
      </c>
      <c r="Y103" s="76"/>
      <c r="Z103" s="133">
        <f t="shared" ca="1" si="74"/>
        <v>1.0530101291452549</v>
      </c>
      <c r="AA103" s="133">
        <f t="shared" ca="1" si="68"/>
        <v>1.2119289891360587</v>
      </c>
      <c r="AB103" s="133">
        <f t="shared" ca="1" si="68"/>
        <v>1.3871204240588204</v>
      </c>
      <c r="AC103" s="133">
        <f t="shared" ca="1" si="68"/>
        <v>1.5952663517803258</v>
      </c>
      <c r="AD103" s="2"/>
      <c r="AE103" s="127">
        <f t="shared" si="75"/>
        <v>-0.16183725274198968</v>
      </c>
      <c r="AF103" s="127">
        <f t="shared" si="69"/>
        <v>-0.13788974567747503</v>
      </c>
      <c r="AG103" s="127">
        <f t="shared" si="69"/>
        <v>-0.11394223861296049</v>
      </c>
      <c r="AH103" s="127">
        <f t="shared" si="69"/>
        <v>-8.999473154844595E-2</v>
      </c>
      <c r="AJ103" s="125">
        <f t="shared" si="76"/>
        <v>246.91358024691331</v>
      </c>
      <c r="AK103" s="125">
        <f t="shared" si="70"/>
        <v>126.18296529968447</v>
      </c>
      <c r="AL103" s="125">
        <f t="shared" si="70"/>
        <v>86.021505376344038</v>
      </c>
      <c r="AM103" s="125">
        <f t="shared" si="70"/>
        <v>66.115702479338836</v>
      </c>
      <c r="AO103" s="63">
        <f t="shared" si="77"/>
        <v>234.56790123456659</v>
      </c>
      <c r="AP103" s="63">
        <f t="shared" si="71"/>
        <v>261.82965299684474</v>
      </c>
      <c r="AQ103" s="63">
        <f t="shared" si="71"/>
        <v>290.32258064516054</v>
      </c>
      <c r="AR103" s="63">
        <f t="shared" si="71"/>
        <v>322.31404958677683</v>
      </c>
    </row>
    <row r="104" spans="1:44" x14ac:dyDescent="0.25">
      <c r="A104" s="32"/>
      <c r="B104" s="107">
        <f t="shared" si="78"/>
        <v>175</v>
      </c>
      <c r="C104" s="23">
        <f t="shared" si="72"/>
        <v>39.875</v>
      </c>
      <c r="D104" s="130">
        <f>_xll.xlqBid(CONCATENATE($A$103,B104&amp;""),tda)</f>
        <v>39.75</v>
      </c>
      <c r="E104" s="130">
        <f>_xll.xlqAsk(CONCATENATE($A$103,B104&amp;""),tda)</f>
        <v>40</v>
      </c>
      <c r="F104" s="55">
        <f>MAX($C104-AVERAGE(_xll.xlqBid(CONCATENATE($A$103,($B104+F$98)&amp;""),tda),_xll.xlqAsk(CONCATENATE($A$103,($B104+F$98)&amp;""),tda)),0)</f>
        <v>3.875</v>
      </c>
      <c r="G104" s="55">
        <f>MAX($C104-AVERAGE(_xll.xlqBid(CONCATENATE($A$103,($B104+G$98)&amp;""),tda),_xll.xlqAsk(CONCATENATE($A$103,($B104+G$98)&amp;""),tda)),0)</f>
        <v>7.5750000000000028</v>
      </c>
      <c r="H104" s="55">
        <f>MAX($C104-AVERAGE(_xll.xlqBid(CONCATENATE($A$103,($B104+H$98)&amp;""),tda),_xll.xlqAsk(CONCATENATE($A$103,($B104+H$98)&amp;""),tda)),0)</f>
        <v>11.074999999999996</v>
      </c>
      <c r="I104" s="55">
        <f>MAX($C104-AVERAGE(_xll.xlqBid(CONCATENATE($A$103,($B104+I$98)&amp;""),tda),_xll.xlqAsk(CONCATENATE($A$103,($B104+I$98)&amp;""),tda)),0)</f>
        <v>14.399999999999999</v>
      </c>
      <c r="J104" s="25"/>
      <c r="K104" s="63">
        <f t="shared" si="65"/>
        <v>1.125</v>
      </c>
      <c r="L104" s="63">
        <f t="shared" si="65"/>
        <v>2.4249999999999972</v>
      </c>
      <c r="M104" s="63">
        <f t="shared" si="65"/>
        <v>3.9250000000000043</v>
      </c>
      <c r="N104" s="63">
        <f t="shared" si="65"/>
        <v>5.6000000000000014</v>
      </c>
      <c r="O104" s="25"/>
      <c r="P104" s="25">
        <f t="shared" si="73"/>
        <v>0.29032258064516131</v>
      </c>
      <c r="Q104" s="25">
        <f t="shared" si="66"/>
        <v>0.32013201320131962</v>
      </c>
      <c r="R104" s="25">
        <f t="shared" si="66"/>
        <v>0.35440180586907499</v>
      </c>
      <c r="S104" s="25">
        <f t="shared" si="66"/>
        <v>0.38888888888888901</v>
      </c>
      <c r="T104" s="25"/>
      <c r="U104" s="63">
        <f t="shared" si="67"/>
        <v>178.875</v>
      </c>
      <c r="V104" s="63">
        <f t="shared" si="67"/>
        <v>182.57499999999999</v>
      </c>
      <c r="W104" s="63">
        <f t="shared" si="67"/>
        <v>186.07499999999999</v>
      </c>
      <c r="X104" s="63">
        <f t="shared" si="67"/>
        <v>189.4</v>
      </c>
      <c r="Y104" s="63"/>
      <c r="Z104" s="133">
        <f t="shared" ca="1" si="74"/>
        <v>1.3871204240588244</v>
      </c>
      <c r="AA104" s="133">
        <f t="shared" ca="1" si="68"/>
        <v>1.5806765051936273</v>
      </c>
      <c r="AB104" s="133">
        <f t="shared" ca="1" si="68"/>
        <v>1.816611484750922</v>
      </c>
      <c r="AC104" s="133">
        <f t="shared" ca="1" si="68"/>
        <v>2.0690421766192757</v>
      </c>
      <c r="AD104" s="2"/>
      <c r="AE104" s="127">
        <f t="shared" si="75"/>
        <v>-0.13788974567747503</v>
      </c>
      <c r="AF104" s="127">
        <f t="shared" si="69"/>
        <v>-0.11394223861296049</v>
      </c>
      <c r="AG104" s="127">
        <f t="shared" si="69"/>
        <v>-8.999473154844595E-2</v>
      </c>
      <c r="AH104" s="127">
        <f t="shared" si="69"/>
        <v>-6.6047224483931299E-2</v>
      </c>
      <c r="AJ104" s="125">
        <f t="shared" si="76"/>
        <v>258.06451612903226</v>
      </c>
      <c r="AK104" s="125">
        <f t="shared" si="70"/>
        <v>132.01320132013197</v>
      </c>
      <c r="AL104" s="125">
        <f t="shared" si="70"/>
        <v>90.293453724605001</v>
      </c>
      <c r="AM104" s="125">
        <f t="shared" si="70"/>
        <v>69.444444444444457</v>
      </c>
      <c r="AO104" s="63">
        <f t="shared" si="77"/>
        <v>290.32258064516128</v>
      </c>
      <c r="AP104" s="63">
        <f t="shared" si="71"/>
        <v>320.13201320131964</v>
      </c>
      <c r="AQ104" s="63">
        <f t="shared" si="71"/>
        <v>354.40180586907502</v>
      </c>
      <c r="AR104" s="63">
        <f t="shared" si="71"/>
        <v>388.88888888888908</v>
      </c>
    </row>
    <row r="105" spans="1:44" x14ac:dyDescent="0.25">
      <c r="A105" s="32" t="s">
        <v>101</v>
      </c>
      <c r="B105" s="107">
        <f t="shared" si="78"/>
        <v>180</v>
      </c>
      <c r="C105" s="23">
        <f t="shared" si="72"/>
        <v>36</v>
      </c>
      <c r="D105" s="130">
        <f>_xll.xlqBid(CONCATENATE($A$103,B105&amp;""),tda)</f>
        <v>35.9</v>
      </c>
      <c r="E105" s="130">
        <f>_xll.xlqAsk(CONCATENATE($A$103,B105&amp;""),tda)</f>
        <v>36.1</v>
      </c>
      <c r="F105" s="55">
        <f>MAX($C105-AVERAGE(_xll.xlqBid(CONCATENATE($A$103,($B105+F$98)&amp;""),tda),_xll.xlqAsk(CONCATENATE($A$103,($B105+F$98)&amp;""),tda)),0)</f>
        <v>3.7000000000000028</v>
      </c>
      <c r="G105" s="55">
        <f>MAX($C105-AVERAGE(_xll.xlqBid(CONCATENATE($A$103,($B105+G$98)&amp;""),tda),_xll.xlqAsk(CONCATENATE($A$103,($B105+G$98)&amp;""),tda)),0)</f>
        <v>7.1999999999999957</v>
      </c>
      <c r="H105" s="55">
        <f>MAX($C105-AVERAGE(_xll.xlqBid(CONCATENATE($A$103,($B105+H$98)&amp;""),tda),_xll.xlqAsk(CONCATENATE($A$103,($B105+H$98)&amp;""),tda)),0)</f>
        <v>10.524999999999999</v>
      </c>
      <c r="I105" s="55">
        <f>MAX($C105-AVERAGE(_xll.xlqBid(CONCATENATE($A$103,($B105+I$98)&amp;""),tda),_xll.xlqAsk(CONCATENATE($A$103,($B105+I$98)&amp;""),tda)),0)</f>
        <v>13.600000000000001</v>
      </c>
      <c r="J105" s="25"/>
      <c r="K105" s="63">
        <f t="shared" si="65"/>
        <v>1.2999999999999972</v>
      </c>
      <c r="L105" s="63">
        <f t="shared" si="65"/>
        <v>2.8000000000000043</v>
      </c>
      <c r="M105" s="63">
        <f t="shared" si="65"/>
        <v>4.4750000000000014</v>
      </c>
      <c r="N105" s="63">
        <f t="shared" si="65"/>
        <v>6.3999999999999986</v>
      </c>
      <c r="O105" s="25"/>
      <c r="P105" s="25">
        <f t="shared" si="73"/>
        <v>0.35135135135135032</v>
      </c>
      <c r="Q105" s="25">
        <f t="shared" si="66"/>
        <v>0.38888888888888973</v>
      </c>
      <c r="R105" s="25">
        <f t="shared" si="66"/>
        <v>0.42517814726840875</v>
      </c>
      <c r="S105" s="25">
        <f t="shared" si="66"/>
        <v>0.47058823529411747</v>
      </c>
      <c r="T105" s="25"/>
      <c r="U105" s="63">
        <f t="shared" si="67"/>
        <v>183.7</v>
      </c>
      <c r="V105" s="63">
        <f t="shared" si="67"/>
        <v>187.2</v>
      </c>
      <c r="W105" s="63">
        <f t="shared" si="67"/>
        <v>190.52500000000001</v>
      </c>
      <c r="X105" s="63">
        <f t="shared" si="67"/>
        <v>193.6</v>
      </c>
      <c r="Y105" s="63"/>
      <c r="Z105" s="133">
        <f t="shared" ca="1" si="74"/>
        <v>1.7950156659502419</v>
      </c>
      <c r="AA105" s="133">
        <f t="shared" ca="1" si="68"/>
        <v>2.0690421766192815</v>
      </c>
      <c r="AB105" s="133">
        <f t="shared" ca="1" si="68"/>
        <v>2.3515080603956671</v>
      </c>
      <c r="AC105" s="133">
        <f t="shared" ca="1" si="68"/>
        <v>2.730262856275413</v>
      </c>
      <c r="AD105" s="2"/>
      <c r="AE105" s="127">
        <f t="shared" si="75"/>
        <v>-0.11394223861296049</v>
      </c>
      <c r="AF105" s="127">
        <f t="shared" si="69"/>
        <v>-8.999473154844595E-2</v>
      </c>
      <c r="AG105" s="127">
        <f t="shared" si="69"/>
        <v>-6.6047224483931299E-2</v>
      </c>
      <c r="AH105" s="127">
        <f t="shared" si="69"/>
        <v>-4.209971741941676E-2</v>
      </c>
      <c r="AJ105" s="125">
        <f t="shared" si="76"/>
        <v>270.27027027027009</v>
      </c>
      <c r="AK105" s="125">
        <f t="shared" si="70"/>
        <v>138.88888888888897</v>
      </c>
      <c r="AL105" s="125">
        <f t="shared" si="70"/>
        <v>95.011876484560588</v>
      </c>
      <c r="AM105" s="125">
        <f t="shared" si="70"/>
        <v>73.52941176470587</v>
      </c>
      <c r="AO105" s="63">
        <f t="shared" si="77"/>
        <v>351.35135135135033</v>
      </c>
      <c r="AP105" s="63">
        <f t="shared" si="71"/>
        <v>388.88888888888971</v>
      </c>
      <c r="AQ105" s="63">
        <f t="shared" si="71"/>
        <v>425.17814726840879</v>
      </c>
      <c r="AR105" s="63">
        <f t="shared" si="71"/>
        <v>470.58823529411745</v>
      </c>
    </row>
    <row r="106" spans="1:44" s="77" customFormat="1" x14ac:dyDescent="0.25">
      <c r="A106" s="116">
        <f ca="1">A101-TODAY()</f>
        <v>107</v>
      </c>
      <c r="B106" s="107">
        <f t="shared" si="78"/>
        <v>185</v>
      </c>
      <c r="C106" s="108">
        <f t="shared" si="72"/>
        <v>32.299999999999997</v>
      </c>
      <c r="D106" s="131">
        <f>_xll.xlqBid(CONCATENATE($A$103,B106&amp;""),tda)</f>
        <v>32.200000000000003</v>
      </c>
      <c r="E106" s="131">
        <f>_xll.xlqAsk(CONCATENATE($A$103,B106&amp;""),tda)</f>
        <v>32.4</v>
      </c>
      <c r="F106" s="55">
        <f>MAX($C106-AVERAGE(_xll.xlqBid(CONCATENATE($A$103,($B106+F$98)&amp;""),tda),_xll.xlqAsk(CONCATENATE($A$103,($B106+F$98)&amp;""),tda)),0)</f>
        <v>3.4999999999999929</v>
      </c>
      <c r="G106" s="55">
        <f>MAX($C106-AVERAGE(_xll.xlqBid(CONCATENATE($A$103,($B106+G$98)&amp;""),tda),_xll.xlqAsk(CONCATENATE($A$103,($B106+G$98)&amp;""),tda)),0)</f>
        <v>6.8249999999999957</v>
      </c>
      <c r="H106" s="55">
        <f>MAX($C106-AVERAGE(_xll.xlqBid(CONCATENATE($A$103,($B106+H$98)&amp;""),tda),_xll.xlqAsk(CONCATENATE($A$103,($B106+H$98)&amp;""),tda)),0)</f>
        <v>9.8999999999999986</v>
      </c>
      <c r="I106" s="55">
        <f>MAX($C106-AVERAGE(_xll.xlqBid(CONCATENATE($A$103,($B106+I$98)&amp;""),tda),_xll.xlqAsk(CONCATENATE($A$103,($B106+I$98)&amp;""),tda)),0)</f>
        <v>12.774999999999999</v>
      </c>
      <c r="J106" s="110"/>
      <c r="K106" s="76">
        <f t="shared" si="65"/>
        <v>1.5000000000000071</v>
      </c>
      <c r="L106" s="76">
        <f t="shared" si="65"/>
        <v>3.1750000000000043</v>
      </c>
      <c r="M106" s="76">
        <f t="shared" si="65"/>
        <v>5.1000000000000014</v>
      </c>
      <c r="N106" s="76">
        <f t="shared" si="65"/>
        <v>7.2250000000000014</v>
      </c>
      <c r="O106" s="110"/>
      <c r="P106" s="110">
        <f t="shared" si="73"/>
        <v>0.42857142857143149</v>
      </c>
      <c r="Q106" s="110">
        <f t="shared" si="66"/>
        <v>0.4652014652014661</v>
      </c>
      <c r="R106" s="110">
        <f t="shared" si="66"/>
        <v>0.51515151515151536</v>
      </c>
      <c r="S106" s="110">
        <f t="shared" si="66"/>
        <v>0.56555772994129172</v>
      </c>
      <c r="T106" s="110"/>
      <c r="U106" s="76">
        <f t="shared" si="67"/>
        <v>188.5</v>
      </c>
      <c r="V106" s="76">
        <f t="shared" si="67"/>
        <v>191.82499999999999</v>
      </c>
      <c r="W106" s="76">
        <f t="shared" si="67"/>
        <v>194.9</v>
      </c>
      <c r="X106" s="76">
        <f t="shared" si="67"/>
        <v>197.77500000000001</v>
      </c>
      <c r="Y106" s="76"/>
      <c r="Z106" s="133">
        <f t="shared" ca="1" si="74"/>
        <v>2.3788258074488668</v>
      </c>
      <c r="AA106" s="133">
        <f t="shared" ca="1" si="68"/>
        <v>2.6838260288201266</v>
      </c>
      <c r="AB106" s="133">
        <f t="shared" ca="1" si="68"/>
        <v>3.1304374697144723</v>
      </c>
      <c r="AC106" s="133">
        <f t="shared" ca="1" si="68"/>
        <v>3.6186274708224868</v>
      </c>
      <c r="AD106" s="2"/>
      <c r="AE106" s="127">
        <f t="shared" si="75"/>
        <v>-8.999473154844595E-2</v>
      </c>
      <c r="AF106" s="127">
        <f t="shared" si="69"/>
        <v>-6.6047224483931299E-2</v>
      </c>
      <c r="AG106" s="127">
        <f t="shared" si="69"/>
        <v>-4.209971741941676E-2</v>
      </c>
      <c r="AH106" s="127">
        <f t="shared" si="69"/>
        <v>-1.815221035490211E-2</v>
      </c>
      <c r="AJ106" s="125">
        <f t="shared" si="76"/>
        <v>285.71428571428629</v>
      </c>
      <c r="AK106" s="125">
        <f t="shared" si="70"/>
        <v>146.52014652014662</v>
      </c>
      <c r="AL106" s="125">
        <f t="shared" si="70"/>
        <v>101.01010101010102</v>
      </c>
      <c r="AM106" s="125">
        <f t="shared" si="70"/>
        <v>78.277886497064586</v>
      </c>
      <c r="AO106" s="63">
        <f t="shared" si="77"/>
        <v>428.57142857143145</v>
      </c>
      <c r="AP106" s="63">
        <f t="shared" si="71"/>
        <v>465.20146520146614</v>
      </c>
      <c r="AQ106" s="63">
        <f t="shared" si="71"/>
        <v>515.15151515151535</v>
      </c>
      <c r="AR106" s="63">
        <f t="shared" si="71"/>
        <v>565.55772994129177</v>
      </c>
    </row>
    <row r="107" spans="1:44" x14ac:dyDescent="0.25">
      <c r="A107" s="32"/>
      <c r="B107" s="107">
        <f t="shared" si="78"/>
        <v>190</v>
      </c>
      <c r="C107" s="23">
        <f t="shared" si="72"/>
        <v>28.800000000000004</v>
      </c>
      <c r="D107" s="130">
        <f>_xll.xlqBid(CONCATENATE($A$103,B107&amp;""),tda)</f>
        <v>28.700000000000003</v>
      </c>
      <c r="E107" s="130">
        <f>_xll.xlqAsk(CONCATENATE($A$103,B107&amp;""),tda)</f>
        <v>28.900000000000002</v>
      </c>
      <c r="F107" s="55">
        <f>MAX($C107-AVERAGE(_xll.xlqBid(CONCATENATE($A$103,($B107+F$98)&amp;""),tda),_xll.xlqAsk(CONCATENATE($A$103,($B107+F$98)&amp;""),tda)),0)</f>
        <v>3.3250000000000028</v>
      </c>
      <c r="G107" s="55">
        <f>MAX($C107-AVERAGE(_xll.xlqBid(CONCATENATE($A$103,($B107+G$98)&amp;""),tda),_xll.xlqAsk(CONCATENATE($A$103,($B107+G$98)&amp;""),tda)),0)</f>
        <v>6.4000000000000057</v>
      </c>
      <c r="H107" s="55">
        <f>MAX($C107-AVERAGE(_xll.xlqBid(CONCATENATE($A$103,($B107+H$98)&amp;""),tda),_xll.xlqAsk(CONCATENATE($A$103,($B107+H$98)&amp;""),tda)),0)</f>
        <v>9.2750000000000057</v>
      </c>
      <c r="I107" s="55">
        <f>MAX($C107-AVERAGE(_xll.xlqBid(CONCATENATE($A$103,($B107+I$98)&amp;""),tda),_xll.xlqAsk(CONCATENATE($A$103,($B107+I$98)&amp;""),tda)),0)</f>
        <v>11.875000000000004</v>
      </c>
      <c r="J107" s="25"/>
      <c r="K107" s="63">
        <f t="shared" si="65"/>
        <v>1.6749999999999972</v>
      </c>
      <c r="L107" s="63">
        <f t="shared" si="65"/>
        <v>3.5999999999999943</v>
      </c>
      <c r="M107" s="63">
        <f t="shared" si="65"/>
        <v>5.7249999999999943</v>
      </c>
      <c r="N107" s="63">
        <f t="shared" si="65"/>
        <v>8.1249999999999964</v>
      </c>
      <c r="O107" s="25"/>
      <c r="P107" s="25">
        <f t="shared" si="73"/>
        <v>0.5037593984962393</v>
      </c>
      <c r="Q107" s="25">
        <f t="shared" si="66"/>
        <v>0.56249999999999867</v>
      </c>
      <c r="R107" s="25">
        <f t="shared" si="66"/>
        <v>0.61725067385444643</v>
      </c>
      <c r="S107" s="25">
        <f t="shared" si="66"/>
        <v>0.68421052631578894</v>
      </c>
      <c r="T107" s="25"/>
      <c r="U107" s="63">
        <f t="shared" si="67"/>
        <v>193.32499999999999</v>
      </c>
      <c r="V107" s="63">
        <f t="shared" si="67"/>
        <v>196.4</v>
      </c>
      <c r="W107" s="63">
        <f t="shared" si="67"/>
        <v>199.27500000000001</v>
      </c>
      <c r="X107" s="63">
        <f t="shared" si="67"/>
        <v>201.875</v>
      </c>
      <c r="Y107" s="63"/>
      <c r="Z107" s="133">
        <f t="shared" ca="1" si="74"/>
        <v>3.025384973378956</v>
      </c>
      <c r="AA107" s="133">
        <f t="shared" ca="1" si="68"/>
        <v>3.5879071652653796</v>
      </c>
      <c r="AB107" s="133">
        <f t="shared" ca="1" si="68"/>
        <v>4.1602671306879753</v>
      </c>
      <c r="AC107" s="133">
        <f t="shared" ca="1" si="68"/>
        <v>4.9267372124418607</v>
      </c>
      <c r="AD107" s="2"/>
      <c r="AE107" s="127">
        <f t="shared" si="75"/>
        <v>-6.6047224483931299E-2</v>
      </c>
      <c r="AF107" s="127">
        <f t="shared" si="69"/>
        <v>-4.209971741941676E-2</v>
      </c>
      <c r="AG107" s="127">
        <f t="shared" si="69"/>
        <v>-1.815221035490211E-2</v>
      </c>
      <c r="AH107" s="127">
        <f t="shared" si="69"/>
        <v>5.7952967096124297E-3</v>
      </c>
      <c r="AJ107" s="125">
        <f t="shared" si="76"/>
        <v>300.75187969924787</v>
      </c>
      <c r="AK107" s="125">
        <f t="shared" si="70"/>
        <v>156.24999999999986</v>
      </c>
      <c r="AL107" s="125">
        <f t="shared" si="70"/>
        <v>107.81671159029644</v>
      </c>
      <c r="AM107" s="125">
        <f t="shared" si="70"/>
        <v>84.210526315789451</v>
      </c>
      <c r="AO107" s="63">
        <f t="shared" si="77"/>
        <v>503.75939849623933</v>
      </c>
      <c r="AP107" s="63">
        <f t="shared" si="71"/>
        <v>562.49999999999864</v>
      </c>
      <c r="AQ107" s="63">
        <f t="shared" si="71"/>
        <v>617.25067385444652</v>
      </c>
      <c r="AR107" s="63">
        <f t="shared" si="71"/>
        <v>684.21052631578902</v>
      </c>
    </row>
    <row r="108" spans="1:44" x14ac:dyDescent="0.25">
      <c r="A108" s="37"/>
      <c r="B108" s="107">
        <f t="shared" si="78"/>
        <v>195</v>
      </c>
      <c r="C108" s="23">
        <f t="shared" si="72"/>
        <v>25.475000000000001</v>
      </c>
      <c r="D108" s="130">
        <f>_xll.xlqBid(CONCATENATE($A$103,B108&amp;""),tda)</f>
        <v>25.400000000000002</v>
      </c>
      <c r="E108" s="130">
        <f>_xll.xlqAsk(CONCATENATE($A$103,B108&amp;""),tda)</f>
        <v>25.55</v>
      </c>
      <c r="F108" s="55">
        <f>MAX($C108-AVERAGE(_xll.xlqBid(CONCATENATE($A$103,($B108+F$98)&amp;""),tda),_xll.xlqAsk(CONCATENATE($A$103,($B108+F$98)&amp;""),tda)),0)</f>
        <v>3.0750000000000028</v>
      </c>
      <c r="G108" s="55">
        <f>MAX($C108-AVERAGE(_xll.xlqBid(CONCATENATE($A$103,($B108+G$98)&amp;""),tda),_xll.xlqAsk(CONCATENATE($A$103,($B108+G$98)&amp;""),tda)),0)</f>
        <v>5.9500000000000028</v>
      </c>
      <c r="H108" s="55">
        <f>MAX($C108-AVERAGE(_xll.xlqBid(CONCATENATE($A$103,($B108+H$98)&amp;""),tda),_xll.xlqAsk(CONCATENATE($A$103,($B108+H$98)&amp;""),tda)),0)</f>
        <v>8.5500000000000007</v>
      </c>
      <c r="I108" s="55">
        <f>MAX($C108-AVERAGE(_xll.xlqBid(CONCATENATE($A$103,($B108+I$98)&amp;""),tda),_xll.xlqAsk(CONCATENATE($A$103,($B108+I$98)&amp;""),tda)),0)</f>
        <v>10.95</v>
      </c>
      <c r="J108" s="25"/>
      <c r="K108" s="63">
        <f t="shared" si="65"/>
        <v>1.9249999999999972</v>
      </c>
      <c r="L108" s="63">
        <f t="shared" si="65"/>
        <v>4.0499999999999972</v>
      </c>
      <c r="M108" s="63">
        <f t="shared" si="65"/>
        <v>6.4499999999999993</v>
      </c>
      <c r="N108" s="63">
        <f t="shared" si="65"/>
        <v>9.0500000000000007</v>
      </c>
      <c r="O108" s="25"/>
      <c r="P108" s="25">
        <f t="shared" si="73"/>
        <v>0.62601626016260015</v>
      </c>
      <c r="Q108" s="25">
        <f t="shared" si="66"/>
        <v>0.68067226890756227</v>
      </c>
      <c r="R108" s="25">
        <f t="shared" si="66"/>
        <v>0.7543859649122806</v>
      </c>
      <c r="S108" s="25">
        <f t="shared" si="66"/>
        <v>0.8264840182648403</v>
      </c>
      <c r="T108" s="25"/>
      <c r="U108" s="63">
        <f t="shared" si="67"/>
        <v>198.07499999999999</v>
      </c>
      <c r="V108" s="63">
        <f t="shared" si="67"/>
        <v>200.95</v>
      </c>
      <c r="W108" s="63">
        <f t="shared" si="67"/>
        <v>203.55</v>
      </c>
      <c r="X108" s="63">
        <f t="shared" si="67"/>
        <v>205.95</v>
      </c>
      <c r="Y108" s="63"/>
      <c r="Z108" s="133">
        <f t="shared" ca="1" si="74"/>
        <v>4.2563665694341717</v>
      </c>
      <c r="AA108" s="133">
        <f t="shared" ca="1" si="68"/>
        <v>4.884342292661505</v>
      </c>
      <c r="AB108" s="133">
        <f t="shared" ca="1" si="68"/>
        <v>5.8129268920559216</v>
      </c>
      <c r="AC108" s="133">
        <f t="shared" ca="1" si="68"/>
        <v>6.8169843402434607</v>
      </c>
      <c r="AD108" s="2"/>
      <c r="AE108" s="127">
        <f t="shared" si="75"/>
        <v>-4.209971741941676E-2</v>
      </c>
      <c r="AF108" s="127">
        <f t="shared" si="69"/>
        <v>-1.815221035490211E-2</v>
      </c>
      <c r="AG108" s="127">
        <f t="shared" si="69"/>
        <v>5.7952967096124297E-3</v>
      </c>
      <c r="AH108" s="127">
        <f t="shared" si="69"/>
        <v>2.9742803774126969E-2</v>
      </c>
      <c r="AJ108" s="125">
        <f t="shared" si="76"/>
        <v>325.20325203252003</v>
      </c>
      <c r="AK108" s="125">
        <f t="shared" si="70"/>
        <v>168.06722689075622</v>
      </c>
      <c r="AL108" s="125">
        <f t="shared" si="70"/>
        <v>116.95906432748536</v>
      </c>
      <c r="AM108" s="125">
        <f t="shared" si="70"/>
        <v>91.324200913242009</v>
      </c>
      <c r="AO108" s="63">
        <f t="shared" si="77"/>
        <v>626.01626016260013</v>
      </c>
      <c r="AP108" s="63">
        <f t="shared" si="71"/>
        <v>680.67226890756217</v>
      </c>
      <c r="AQ108" s="63">
        <f t="shared" si="71"/>
        <v>754.38596491228054</v>
      </c>
      <c r="AR108" s="63">
        <f t="shared" si="71"/>
        <v>826.4840182648403</v>
      </c>
    </row>
    <row r="109" spans="1:44" s="77" customFormat="1" x14ac:dyDescent="0.25">
      <c r="A109" s="111"/>
      <c r="B109" s="107">
        <f t="shared" si="78"/>
        <v>200</v>
      </c>
      <c r="C109" s="108">
        <f t="shared" si="72"/>
        <v>22.4</v>
      </c>
      <c r="D109" s="131">
        <f>_xll.xlqBid(CONCATENATE($A$103,B109&amp;""),tda)</f>
        <v>22.3</v>
      </c>
      <c r="E109" s="131">
        <f>_xll.xlqAsk(CONCATENATE($A$103,B109&amp;""),tda)</f>
        <v>22.5</v>
      </c>
      <c r="F109" s="55">
        <f>MAX($C109-AVERAGE(_xll.xlqBid(CONCATENATE($A$103,($B109+F$98)&amp;""),tda),_xll.xlqAsk(CONCATENATE($A$103,($B109+F$98)&amp;""),tda)),0)</f>
        <v>2.875</v>
      </c>
      <c r="G109" s="55">
        <f>MAX($C109-AVERAGE(_xll.xlqBid(CONCATENATE($A$103,($B109+G$98)&amp;""),tda),_xll.xlqAsk(CONCATENATE($A$103,($B109+G$98)&amp;""),tda)),0)</f>
        <v>5.4749999999999979</v>
      </c>
      <c r="H109" s="55">
        <f>MAX($C109-AVERAGE(_xll.xlqBid(CONCATENATE($A$103,($B109+H$98)&amp;""),tda),_xll.xlqAsk(CONCATENATE($A$103,($B109+H$98)&amp;""),tda)),0)</f>
        <v>7.8749999999999964</v>
      </c>
      <c r="I109" s="55">
        <f>MAX($C109-AVERAGE(_xll.xlqBid(CONCATENATE($A$103,($B109+I$98)&amp;""),tda),_xll.xlqAsk(CONCATENATE($A$103,($B109+I$98)&amp;""),tda)),0)</f>
        <v>10.024999999999999</v>
      </c>
      <c r="J109" s="110"/>
      <c r="K109" s="76">
        <f t="shared" si="65"/>
        <v>2.125</v>
      </c>
      <c r="L109" s="76">
        <f t="shared" si="65"/>
        <v>4.5250000000000021</v>
      </c>
      <c r="M109" s="76">
        <f t="shared" si="65"/>
        <v>7.1250000000000036</v>
      </c>
      <c r="N109" s="76">
        <f t="shared" si="65"/>
        <v>9.9750000000000014</v>
      </c>
      <c r="O109" s="110"/>
      <c r="P109" s="110">
        <f t="shared" si="73"/>
        <v>0.73913043478260865</v>
      </c>
      <c r="Q109" s="110">
        <f t="shared" si="66"/>
        <v>0.82648401826484086</v>
      </c>
      <c r="R109" s="110">
        <f t="shared" si="66"/>
        <v>0.90476190476190566</v>
      </c>
      <c r="S109" s="110">
        <f t="shared" si="66"/>
        <v>0.99501246882793049</v>
      </c>
      <c r="T109" s="110"/>
      <c r="U109" s="76">
        <f t="shared" si="67"/>
        <v>202.875</v>
      </c>
      <c r="V109" s="76">
        <f t="shared" si="67"/>
        <v>205.47499999999999</v>
      </c>
      <c r="W109" s="76">
        <f t="shared" si="67"/>
        <v>207.875</v>
      </c>
      <c r="X109" s="76">
        <f t="shared" si="67"/>
        <v>210.02500000000001</v>
      </c>
      <c r="Y109" s="76"/>
      <c r="Z109" s="133">
        <f t="shared" ca="1" si="74"/>
        <v>5.6128118422395969</v>
      </c>
      <c r="AA109" s="133">
        <f t="shared" ca="1" si="68"/>
        <v>6.8169843402434713</v>
      </c>
      <c r="AB109" s="133">
        <f t="shared" ca="1" si="68"/>
        <v>8.0209152384468165</v>
      </c>
      <c r="AC109" s="133">
        <f t="shared" ca="1" si="68"/>
        <v>9.5652498644846204</v>
      </c>
      <c r="AD109" s="2"/>
      <c r="AE109" s="127">
        <f t="shared" si="75"/>
        <v>-1.815221035490211E-2</v>
      </c>
      <c r="AF109" s="127">
        <f t="shared" si="69"/>
        <v>5.7952967096124297E-3</v>
      </c>
      <c r="AG109" s="127">
        <f t="shared" si="69"/>
        <v>2.9742803774126969E-2</v>
      </c>
      <c r="AH109" s="127">
        <f t="shared" si="69"/>
        <v>5.3690310838641508E-2</v>
      </c>
      <c r="AJ109" s="125">
        <f t="shared" si="76"/>
        <v>347.82608695652175</v>
      </c>
      <c r="AK109" s="125">
        <f t="shared" si="70"/>
        <v>182.64840182648408</v>
      </c>
      <c r="AL109" s="125">
        <f t="shared" si="70"/>
        <v>126.98412698412704</v>
      </c>
      <c r="AM109" s="125">
        <f t="shared" si="70"/>
        <v>99.750623441396527</v>
      </c>
      <c r="AO109" s="63">
        <f t="shared" si="77"/>
        <v>739.13043478260875</v>
      </c>
      <c r="AP109" s="63">
        <f t="shared" si="71"/>
        <v>826.48401826484087</v>
      </c>
      <c r="AQ109" s="63">
        <f t="shared" si="71"/>
        <v>904.76190476190561</v>
      </c>
      <c r="AR109" s="63">
        <f t="shared" si="71"/>
        <v>995.01246882793055</v>
      </c>
    </row>
    <row r="110" spans="1:44" x14ac:dyDescent="0.25">
      <c r="A110" s="103"/>
      <c r="B110" s="107">
        <f t="shared" si="78"/>
        <v>205</v>
      </c>
      <c r="C110" s="23">
        <f t="shared" si="72"/>
        <v>19.524999999999999</v>
      </c>
      <c r="D110" s="130">
        <f>_xll.xlqBid(CONCATENATE($A$103,B110&amp;""),tda)</f>
        <v>19.45</v>
      </c>
      <c r="E110" s="130">
        <f>_xll.xlqAsk(CONCATENATE($A$103,B110&amp;""),tda)</f>
        <v>19.600000000000001</v>
      </c>
      <c r="F110" s="55">
        <f>MAX($C110-AVERAGE(_xll.xlqBid(CONCATENATE($A$103,($B110+F$98)&amp;""),tda),_xll.xlqAsk(CONCATENATE($A$103,($B110+F$98)&amp;""),tda)),0)</f>
        <v>2.5999999999999979</v>
      </c>
      <c r="G110" s="55">
        <f>MAX($C110-AVERAGE(_xll.xlqBid(CONCATENATE($A$103,($B110+G$98)&amp;""),tda),_xll.xlqAsk(CONCATENATE($A$103,($B110+G$98)&amp;""),tda)),0)</f>
        <v>4.9999999999999964</v>
      </c>
      <c r="H110" s="55">
        <f>MAX($C110-AVERAGE(_xll.xlqBid(CONCATENATE($A$103,($B110+H$98)&amp;""),tda),_xll.xlqAsk(CONCATENATE($A$103,($B110+H$98)&amp;""),tda)),0)</f>
        <v>7.1499999999999986</v>
      </c>
      <c r="I110" s="55">
        <f>MAX($C110-AVERAGE(_xll.xlqBid(CONCATENATE($A$103,($B110+I$98)&amp;""),tda),_xll.xlqAsk(CONCATENATE($A$103,($B110+I$98)&amp;""),tda)),0)</f>
        <v>9.0499999999999972</v>
      </c>
      <c r="J110" s="25"/>
      <c r="K110" s="63">
        <f t="shared" si="65"/>
        <v>2.4000000000000021</v>
      </c>
      <c r="L110" s="63">
        <f t="shared" si="65"/>
        <v>5.0000000000000036</v>
      </c>
      <c r="M110" s="63">
        <f t="shared" si="65"/>
        <v>7.8500000000000014</v>
      </c>
      <c r="N110" s="63">
        <f t="shared" si="65"/>
        <v>10.950000000000003</v>
      </c>
      <c r="O110" s="25"/>
      <c r="P110" s="25">
        <f t="shared" si="73"/>
        <v>0.92307692307692468</v>
      </c>
      <c r="Q110" s="25">
        <f t="shared" si="66"/>
        <v>1.0000000000000013</v>
      </c>
      <c r="R110" s="25">
        <f t="shared" si="66"/>
        <v>1.0979020979020984</v>
      </c>
      <c r="S110" s="25">
        <f t="shared" si="66"/>
        <v>1.2099447513812163</v>
      </c>
      <c r="T110" s="25"/>
      <c r="U110" s="63">
        <f t="shared" si="67"/>
        <v>207.6</v>
      </c>
      <c r="V110" s="63">
        <f t="shared" si="67"/>
        <v>210</v>
      </c>
      <c r="W110" s="63">
        <f t="shared" si="67"/>
        <v>212.15</v>
      </c>
      <c r="X110" s="63">
        <f t="shared" si="67"/>
        <v>214.05</v>
      </c>
      <c r="Y110" s="63"/>
      <c r="Z110" s="133">
        <f t="shared" ca="1" si="74"/>
        <v>8.3204565125890202</v>
      </c>
      <c r="AA110" s="133">
        <f t="shared" ca="1" si="68"/>
        <v>9.6556847586675474</v>
      </c>
      <c r="AB110" s="133">
        <f t="shared" ca="1" si="68"/>
        <v>11.543836349896347</v>
      </c>
      <c r="AC110" s="133">
        <f t="shared" ca="1" si="68"/>
        <v>13.981788677593823</v>
      </c>
      <c r="AD110" s="2"/>
      <c r="AE110" s="127">
        <f t="shared" si="75"/>
        <v>5.7952967096124297E-3</v>
      </c>
      <c r="AF110" s="127">
        <f t="shared" si="69"/>
        <v>2.9742803774126969E-2</v>
      </c>
      <c r="AG110" s="127">
        <f t="shared" si="69"/>
        <v>5.3690310838641508E-2</v>
      </c>
      <c r="AH110" s="127">
        <f t="shared" si="69"/>
        <v>7.763781790315627E-2</v>
      </c>
      <c r="AJ110" s="125">
        <f t="shared" si="76"/>
        <v>384.61538461538493</v>
      </c>
      <c r="AK110" s="125">
        <f t="shared" si="70"/>
        <v>200.00000000000014</v>
      </c>
      <c r="AL110" s="125">
        <f t="shared" si="70"/>
        <v>139.8601398601399</v>
      </c>
      <c r="AM110" s="125">
        <f t="shared" si="70"/>
        <v>110.49723756906081</v>
      </c>
      <c r="AO110" s="63">
        <f t="shared" si="77"/>
        <v>923.07692307692469</v>
      </c>
      <c r="AP110" s="63">
        <f t="shared" si="71"/>
        <v>1000.0000000000014</v>
      </c>
      <c r="AQ110" s="63">
        <f t="shared" si="71"/>
        <v>1097.9020979020984</v>
      </c>
      <c r="AR110" s="63">
        <f t="shared" si="71"/>
        <v>1209.9447513812163</v>
      </c>
    </row>
    <row r="111" spans="1:44" x14ac:dyDescent="0.25">
      <c r="A111" s="104"/>
      <c r="B111" s="107">
        <f t="shared" si="78"/>
        <v>210</v>
      </c>
      <c r="C111" s="23">
        <f t="shared" si="72"/>
        <v>16.925000000000001</v>
      </c>
      <c r="D111" s="130">
        <f>_xll.xlqBid(CONCATENATE($A$103,B111&amp;""),tda)</f>
        <v>16.850000000000001</v>
      </c>
      <c r="E111" s="130">
        <f>_xll.xlqAsk(CONCATENATE($A$103,B111&amp;""),tda)</f>
        <v>17</v>
      </c>
      <c r="F111" s="55">
        <f>MAX($C111-AVERAGE(_xll.xlqBid(CONCATENATE($A$103,($B111+F$98)&amp;""),tda),_xll.xlqAsk(CONCATENATE($A$103,($B111+F$98)&amp;""),tda)),0)</f>
        <v>2.3999999999999986</v>
      </c>
      <c r="G111" s="55">
        <f>MAX($C111-AVERAGE(_xll.xlqBid(CONCATENATE($A$103,($B111+G$98)&amp;""),tda),_xll.xlqAsk(CONCATENATE($A$103,($B111+G$98)&amp;""),tda)),0)</f>
        <v>4.5500000000000007</v>
      </c>
      <c r="H111" s="55">
        <f>MAX($C111-AVERAGE(_xll.xlqBid(CONCATENATE($A$103,($B111+H$98)&amp;""),tda),_xll.xlqAsk(CONCATENATE($A$103,($B111+H$98)&amp;""),tda)),0)</f>
        <v>6.4499999999999993</v>
      </c>
      <c r="I111" s="55">
        <f>MAX($C111-AVERAGE(_xll.xlqBid(CONCATENATE($A$103,($B111+I$98)&amp;""),tda),_xll.xlqAsk(CONCATENATE($A$103,($B111+I$98)&amp;""),tda)),0)</f>
        <v>8.125</v>
      </c>
      <c r="J111" s="25"/>
      <c r="K111" s="63">
        <f t="shared" si="65"/>
        <v>2.6000000000000014</v>
      </c>
      <c r="L111" s="63">
        <f t="shared" si="65"/>
        <v>5.4499999999999993</v>
      </c>
      <c r="M111" s="63">
        <f t="shared" si="65"/>
        <v>8.5500000000000007</v>
      </c>
      <c r="N111" s="63">
        <f t="shared" si="65"/>
        <v>11.875</v>
      </c>
      <c r="O111" s="25"/>
      <c r="P111" s="25">
        <f t="shared" si="73"/>
        <v>1.0833333333333346</v>
      </c>
      <c r="Q111" s="25">
        <f t="shared" si="66"/>
        <v>1.1978021978021975</v>
      </c>
      <c r="R111" s="25">
        <f t="shared" si="66"/>
        <v>1.3255813953488376</v>
      </c>
      <c r="S111" s="25">
        <f t="shared" si="66"/>
        <v>1.4615384615384615</v>
      </c>
      <c r="T111" s="25"/>
      <c r="U111" s="63">
        <f t="shared" si="67"/>
        <v>212.4</v>
      </c>
      <c r="V111" s="63">
        <f t="shared" si="67"/>
        <v>214.55</v>
      </c>
      <c r="W111" s="63">
        <f t="shared" si="67"/>
        <v>216.45</v>
      </c>
      <c r="X111" s="63">
        <f t="shared" si="67"/>
        <v>218.125</v>
      </c>
      <c r="Y111" s="63"/>
      <c r="Z111" s="133">
        <f t="shared" ca="1" si="74"/>
        <v>11.248965770440533</v>
      </c>
      <c r="AA111" s="133">
        <f t="shared" ca="1" si="68"/>
        <v>13.702651946276283</v>
      </c>
      <c r="AB111" s="133">
        <f t="shared" ca="1" si="68"/>
        <v>16.830941176298353</v>
      </c>
      <c r="AC111" s="133">
        <f t="shared" ca="1" si="68"/>
        <v>20.647309508991125</v>
      </c>
      <c r="AD111" s="2"/>
      <c r="AE111" s="127">
        <f t="shared" si="75"/>
        <v>2.9742803774126969E-2</v>
      </c>
      <c r="AF111" s="127">
        <f t="shared" si="69"/>
        <v>5.3690310838641508E-2</v>
      </c>
      <c r="AG111" s="127">
        <f t="shared" si="69"/>
        <v>7.763781790315627E-2</v>
      </c>
      <c r="AH111" s="127">
        <f t="shared" si="69"/>
        <v>0.10158532496767081</v>
      </c>
      <c r="AJ111" s="125">
        <f t="shared" si="76"/>
        <v>416.66666666666691</v>
      </c>
      <c r="AK111" s="125">
        <f t="shared" si="70"/>
        <v>219.78021978021974</v>
      </c>
      <c r="AL111" s="125">
        <f t="shared" si="70"/>
        <v>155.0387596899225</v>
      </c>
      <c r="AM111" s="125">
        <f t="shared" si="70"/>
        <v>123.07692307692308</v>
      </c>
      <c r="AO111" s="63">
        <f t="shared" si="77"/>
        <v>1083.3333333333346</v>
      </c>
      <c r="AP111" s="63">
        <f t="shared" si="71"/>
        <v>1197.8021978021975</v>
      </c>
      <c r="AQ111" s="63">
        <f t="shared" si="71"/>
        <v>1325.5813953488375</v>
      </c>
      <c r="AR111" s="63">
        <f t="shared" si="71"/>
        <v>1461.5384615384617</v>
      </c>
    </row>
    <row r="112" spans="1:44" s="77" customFormat="1" x14ac:dyDescent="0.25">
      <c r="A112" s="111"/>
      <c r="B112" s="107">
        <f t="shared" si="78"/>
        <v>215</v>
      </c>
      <c r="C112" s="108">
        <f t="shared" si="72"/>
        <v>14.525000000000002</v>
      </c>
      <c r="D112" s="131">
        <f>_xll.xlqBid(CONCATENATE($A$103,B112&amp;""),tda)</f>
        <v>14.450000000000001</v>
      </c>
      <c r="E112" s="131">
        <f>_xll.xlqAsk(CONCATENATE($A$103,B112&amp;""),tda)</f>
        <v>14.600000000000001</v>
      </c>
      <c r="F112" s="55">
        <f>MAX($C112-AVERAGE(_xll.xlqBid(CONCATENATE($A$103,($B112+F$98)&amp;""),tda),_xll.xlqAsk(CONCATENATE($A$103,($B112+F$98)&amp;""),tda)),0)</f>
        <v>2.1500000000000021</v>
      </c>
      <c r="G112" s="55">
        <f>MAX($C112-AVERAGE(_xll.xlqBid(CONCATENATE($A$103,($B112+G$98)&amp;""),tda),_xll.xlqAsk(CONCATENATE($A$103,($B112+G$98)&amp;""),tda)),0)</f>
        <v>4.0500000000000007</v>
      </c>
      <c r="H112" s="55">
        <f>MAX($C112-AVERAGE(_xll.xlqBid(CONCATENATE($A$103,($B112+H$98)&amp;""),tda),_xll.xlqAsk(CONCATENATE($A$103,($B112+H$98)&amp;""),tda)),0)</f>
        <v>5.7250000000000014</v>
      </c>
      <c r="I112" s="55">
        <f>MAX($C112-AVERAGE(_xll.xlqBid(CONCATENATE($A$103,($B112+I$98)&amp;""),tda),_xll.xlqAsk(CONCATENATE($A$103,($B112+I$98)&amp;""),tda)),0)</f>
        <v>7.1750000000000016</v>
      </c>
      <c r="J112" s="110"/>
      <c r="K112" s="76">
        <f t="shared" si="65"/>
        <v>2.8499999999999979</v>
      </c>
      <c r="L112" s="76">
        <f t="shared" si="65"/>
        <v>5.9499999999999993</v>
      </c>
      <c r="M112" s="76">
        <f t="shared" si="65"/>
        <v>9.2749999999999986</v>
      </c>
      <c r="N112" s="76">
        <f t="shared" si="65"/>
        <v>12.824999999999999</v>
      </c>
      <c r="O112" s="110"/>
      <c r="P112" s="110">
        <f t="shared" si="73"/>
        <v>1.3255813953488349</v>
      </c>
      <c r="Q112" s="110">
        <f t="shared" si="66"/>
        <v>1.4691358024691354</v>
      </c>
      <c r="R112" s="110">
        <f t="shared" si="66"/>
        <v>1.6200873362445409</v>
      </c>
      <c r="S112" s="110">
        <f t="shared" si="66"/>
        <v>1.7874564459930309</v>
      </c>
      <c r="T112" s="110"/>
      <c r="U112" s="76">
        <f t="shared" si="67"/>
        <v>217.15</v>
      </c>
      <c r="V112" s="76">
        <f t="shared" si="67"/>
        <v>219.05</v>
      </c>
      <c r="W112" s="76">
        <f t="shared" si="67"/>
        <v>220.72499999999999</v>
      </c>
      <c r="X112" s="76">
        <f t="shared" si="67"/>
        <v>222.17500000000001</v>
      </c>
      <c r="Y112" s="76"/>
      <c r="Z112" s="133">
        <f t="shared" ca="1" si="74"/>
        <v>16.830941176298282</v>
      </c>
      <c r="AA112" s="133">
        <f t="shared" ca="1" si="68"/>
        <v>20.876228742523196</v>
      </c>
      <c r="AB112" s="133">
        <f t="shared" ca="1" si="68"/>
        <v>25.788128678443947</v>
      </c>
      <c r="AC112" s="133">
        <f t="shared" ca="1" si="68"/>
        <v>32.093347571537961</v>
      </c>
      <c r="AD112" s="2"/>
      <c r="AE112" s="127">
        <f t="shared" si="75"/>
        <v>5.3690310838641508E-2</v>
      </c>
      <c r="AF112" s="127">
        <f t="shared" si="69"/>
        <v>7.763781790315627E-2</v>
      </c>
      <c r="AG112" s="127">
        <f t="shared" si="69"/>
        <v>0.10158532496767081</v>
      </c>
      <c r="AH112" s="127">
        <f t="shared" si="69"/>
        <v>0.12553283203218535</v>
      </c>
      <c r="AJ112" s="125">
        <f t="shared" si="76"/>
        <v>465.11627906976696</v>
      </c>
      <c r="AK112" s="125">
        <f t="shared" si="70"/>
        <v>246.91358024691354</v>
      </c>
      <c r="AL112" s="125">
        <f t="shared" si="70"/>
        <v>174.67248908296938</v>
      </c>
      <c r="AM112" s="125">
        <f t="shared" si="70"/>
        <v>139.37282229965155</v>
      </c>
      <c r="AO112" s="63">
        <f t="shared" si="77"/>
        <v>1325.5813953488348</v>
      </c>
      <c r="AP112" s="63">
        <f t="shared" si="71"/>
        <v>1469.1358024691353</v>
      </c>
      <c r="AQ112" s="63">
        <f t="shared" si="71"/>
        <v>1620.0873362445407</v>
      </c>
      <c r="AR112" s="63">
        <f t="shared" si="71"/>
        <v>1787.4564459930309</v>
      </c>
    </row>
    <row r="113" spans="1:44" x14ac:dyDescent="0.25">
      <c r="A113" s="80"/>
      <c r="B113" s="107">
        <f t="shared" si="78"/>
        <v>220</v>
      </c>
      <c r="C113" s="23">
        <f t="shared" si="72"/>
        <v>12.375</v>
      </c>
      <c r="D113" s="130">
        <f>_xll.xlqBid(CONCATENATE($A$103,B113&amp;""),tda)</f>
        <v>12.3</v>
      </c>
      <c r="E113" s="130">
        <f>_xll.xlqAsk(CONCATENATE($A$103,B113&amp;""),tda)</f>
        <v>12.450000000000001</v>
      </c>
      <c r="F113" s="55">
        <f>MAX($C113-AVERAGE(_xll.xlqBid(CONCATENATE($A$103,($B113+F$98)&amp;""),tda),_xll.xlqAsk(CONCATENATE($A$103,($B113+F$98)&amp;""),tda)),0)</f>
        <v>1.8999999999999986</v>
      </c>
      <c r="G113" s="55">
        <f>MAX($C113-AVERAGE(_xll.xlqBid(CONCATENATE($A$103,($B113+G$98)&amp;""),tda),_xll.xlqAsk(CONCATENATE($A$103,($B113+G$98)&amp;""),tda)),0)</f>
        <v>3.5749999999999993</v>
      </c>
      <c r="H113" s="55">
        <f>MAX($C113-AVERAGE(_xll.xlqBid(CONCATENATE($A$103,($B113+H$98)&amp;""),tda),_xll.xlqAsk(CONCATENATE($A$103,($B113+H$98)&amp;""),tda)),0)</f>
        <v>5.0249999999999995</v>
      </c>
      <c r="I113" s="55">
        <f>MAX($C113-AVERAGE(_xll.xlqBid(CONCATENATE($A$103,($B113+I$98)&amp;""),tda),_xll.xlqAsk(CONCATENATE($A$103,($B113+I$98)&amp;""),tda)),0)</f>
        <v>6.3</v>
      </c>
      <c r="J113" s="25"/>
      <c r="K113" s="63">
        <f t="shared" si="65"/>
        <v>3.1000000000000014</v>
      </c>
      <c r="L113" s="63">
        <f t="shared" si="65"/>
        <v>6.4250000000000007</v>
      </c>
      <c r="M113" s="63">
        <f t="shared" si="65"/>
        <v>9.9750000000000014</v>
      </c>
      <c r="N113" s="63">
        <f t="shared" si="65"/>
        <v>13.7</v>
      </c>
      <c r="O113" s="25"/>
      <c r="P113" s="25">
        <f t="shared" si="73"/>
        <v>1.631578947368423</v>
      </c>
      <c r="Q113" s="25">
        <f t="shared" si="66"/>
        <v>1.7972027972027977</v>
      </c>
      <c r="R113" s="25">
        <f t="shared" si="66"/>
        <v>1.985074626865672</v>
      </c>
      <c r="S113" s="25">
        <f t="shared" si="66"/>
        <v>2.1746031746031744</v>
      </c>
      <c r="T113" s="25"/>
      <c r="U113" s="63">
        <f t="shared" si="67"/>
        <v>221.9</v>
      </c>
      <c r="V113" s="63">
        <f t="shared" si="67"/>
        <v>223.57499999999999</v>
      </c>
      <c r="W113" s="63">
        <f t="shared" si="67"/>
        <v>225.02500000000001</v>
      </c>
      <c r="X113" s="63">
        <f t="shared" si="67"/>
        <v>226.3</v>
      </c>
      <c r="Y113" s="63"/>
      <c r="Z113" s="133">
        <f t="shared" ca="1" si="74"/>
        <v>26.191320123607159</v>
      </c>
      <c r="AA113" s="133">
        <f t="shared" ca="1" si="68"/>
        <v>32.490002422705871</v>
      </c>
      <c r="AB113" s="133">
        <f t="shared" ca="1" si="68"/>
        <v>40.810365563501243</v>
      </c>
      <c r="AC113" s="133">
        <f t="shared" ca="1" si="68"/>
        <v>50.587289814508061</v>
      </c>
      <c r="AD113" s="2"/>
      <c r="AE113" s="127">
        <f t="shared" si="75"/>
        <v>7.763781790315627E-2</v>
      </c>
      <c r="AF113" s="127">
        <f t="shared" si="69"/>
        <v>0.10158532496767081</v>
      </c>
      <c r="AG113" s="127">
        <f t="shared" si="69"/>
        <v>0.12553283203218535</v>
      </c>
      <c r="AH113" s="127">
        <f t="shared" si="69"/>
        <v>0.14948033909669989</v>
      </c>
      <c r="AJ113" s="125">
        <f t="shared" si="76"/>
        <v>526.31578947368462</v>
      </c>
      <c r="AK113" s="125">
        <f t="shared" si="70"/>
        <v>279.72027972027979</v>
      </c>
      <c r="AL113" s="125">
        <f t="shared" si="70"/>
        <v>199.00497512437812</v>
      </c>
      <c r="AM113" s="125">
        <f t="shared" si="70"/>
        <v>158.73015873015873</v>
      </c>
      <c r="AO113" s="63">
        <f t="shared" si="77"/>
        <v>1631.5789473684231</v>
      </c>
      <c r="AP113" s="63">
        <f t="shared" si="71"/>
        <v>1797.2027972027979</v>
      </c>
      <c r="AQ113" s="63">
        <f t="shared" si="71"/>
        <v>1985.0746268656721</v>
      </c>
      <c r="AR113" s="63">
        <f t="shared" si="71"/>
        <v>2174.6031746031745</v>
      </c>
    </row>
    <row r="114" spans="1:44" x14ac:dyDescent="0.25">
      <c r="A114" s="102"/>
      <c r="B114" s="107">
        <f t="shared" si="78"/>
        <v>225</v>
      </c>
      <c r="C114" s="23">
        <f t="shared" si="72"/>
        <v>10.475000000000001</v>
      </c>
      <c r="D114" s="130">
        <f>_xll.xlqBid(CONCATENATE($A$103,B114&amp;""),tda)</f>
        <v>10.4</v>
      </c>
      <c r="E114" s="130">
        <f>_xll.xlqAsk(CONCATENATE($A$103,B114&amp;""),tda)</f>
        <v>10.55</v>
      </c>
      <c r="F114" s="55">
        <f>MAX($C114-AVERAGE(_xll.xlqBid(CONCATENATE($A$103,($B114+F$98)&amp;""),tda),_xll.xlqAsk(CONCATENATE($A$103,($B114+F$98)&amp;""),tda)),0)</f>
        <v>1.6750000000000007</v>
      </c>
      <c r="G114" s="55">
        <f>MAX($C114-AVERAGE(_xll.xlqBid(CONCATENATE($A$103,($B114+G$98)&amp;""),tda),_xll.xlqAsk(CONCATENATE($A$103,($B114+G$98)&amp;""),tda)),0)</f>
        <v>3.1250000000000009</v>
      </c>
      <c r="H114" s="55">
        <f>MAX($C114-AVERAGE(_xll.xlqBid(CONCATENATE($A$103,($B114+H$98)&amp;""),tda),_xll.xlqAsk(CONCATENATE($A$103,($B114+H$98)&amp;""),tda)),0)</f>
        <v>4.4000000000000012</v>
      </c>
      <c r="I114" s="55">
        <f>MAX($C114-AVERAGE(_xll.xlqBid(CONCATENATE($A$103,($B114+I$98)&amp;""),tda),_xll.xlqAsk(CONCATENATE($A$103,($B114+I$98)&amp;""),tda)),0)</f>
        <v>5.4750000000000014</v>
      </c>
      <c r="J114" s="25"/>
      <c r="K114" s="63">
        <f t="shared" si="65"/>
        <v>3.3249999999999993</v>
      </c>
      <c r="L114" s="63">
        <f t="shared" si="65"/>
        <v>6.8749999999999991</v>
      </c>
      <c r="M114" s="63">
        <f t="shared" si="65"/>
        <v>10.599999999999998</v>
      </c>
      <c r="N114" s="63">
        <f t="shared" si="65"/>
        <v>14.524999999999999</v>
      </c>
      <c r="O114" s="25"/>
      <c r="P114" s="25">
        <f t="shared" si="73"/>
        <v>1.9850746268656703</v>
      </c>
      <c r="Q114" s="25">
        <f t="shared" si="66"/>
        <v>2.1999999999999993</v>
      </c>
      <c r="R114" s="25">
        <f t="shared" si="66"/>
        <v>2.4090909090909078</v>
      </c>
      <c r="S114" s="25">
        <f t="shared" si="66"/>
        <v>2.6529680365296793</v>
      </c>
      <c r="T114" s="25"/>
      <c r="U114" s="63">
        <f t="shared" si="67"/>
        <v>226.67500000000001</v>
      </c>
      <c r="V114" s="63">
        <f t="shared" si="67"/>
        <v>228.125</v>
      </c>
      <c r="W114" s="63">
        <f t="shared" si="67"/>
        <v>229.4</v>
      </c>
      <c r="X114" s="63">
        <f t="shared" si="67"/>
        <v>230.47499999999999</v>
      </c>
      <c r="Y114" s="63"/>
      <c r="Z114" s="133">
        <f t="shared" ca="1" si="74"/>
        <v>40.810365563501151</v>
      </c>
      <c r="AA114" s="133">
        <f t="shared" ca="1" si="68"/>
        <v>52.009708572903882</v>
      </c>
      <c r="AB114" s="133">
        <f t="shared" ca="1" si="68"/>
        <v>64.794437785103113</v>
      </c>
      <c r="AC114" s="133">
        <f t="shared" ca="1" si="68"/>
        <v>82.295320893074859</v>
      </c>
      <c r="AD114" s="2"/>
      <c r="AE114" s="127">
        <f t="shared" si="75"/>
        <v>0.10158532496767081</v>
      </c>
      <c r="AF114" s="127">
        <f t="shared" si="69"/>
        <v>0.12553283203218535</v>
      </c>
      <c r="AG114" s="127">
        <f t="shared" si="69"/>
        <v>0.14948033909669989</v>
      </c>
      <c r="AH114" s="127">
        <f t="shared" si="69"/>
        <v>0.17342784616121443</v>
      </c>
      <c r="AJ114" s="125">
        <f t="shared" si="76"/>
        <v>597.01492537313402</v>
      </c>
      <c r="AK114" s="125">
        <f t="shared" si="70"/>
        <v>319.99999999999989</v>
      </c>
      <c r="AL114" s="125">
        <f t="shared" si="70"/>
        <v>227.2727272727272</v>
      </c>
      <c r="AM114" s="125">
        <f t="shared" si="70"/>
        <v>182.64840182648396</v>
      </c>
      <c r="AO114" s="63">
        <f t="shared" si="77"/>
        <v>1985.0746268656701</v>
      </c>
      <c r="AP114" s="63">
        <f t="shared" si="71"/>
        <v>2199.9999999999991</v>
      </c>
      <c r="AQ114" s="63">
        <f t="shared" si="71"/>
        <v>2409.0909090909076</v>
      </c>
      <c r="AR114" s="63">
        <f t="shared" si="71"/>
        <v>2652.9680365296795</v>
      </c>
    </row>
    <row r="115" spans="1:44" s="77" customFormat="1" x14ac:dyDescent="0.25">
      <c r="A115" s="111"/>
      <c r="B115" s="107">
        <f t="shared" si="78"/>
        <v>230</v>
      </c>
      <c r="C115" s="108">
        <f t="shared" si="72"/>
        <v>8.8000000000000007</v>
      </c>
      <c r="D115" s="131">
        <f>_xll.xlqBid(CONCATENATE($A$103,B115&amp;""),tda)</f>
        <v>8.75</v>
      </c>
      <c r="E115" s="131">
        <f>_xll.xlqAsk(CONCATENATE($A$103,B115&amp;""),tda)</f>
        <v>8.85</v>
      </c>
      <c r="F115" s="55">
        <f>MAX($C115-AVERAGE(_xll.xlqBid(CONCATENATE($A$103,($B115+F$98)&amp;""),tda),_xll.xlqAsk(CONCATENATE($A$103,($B115+F$98)&amp;""),tda)),0)</f>
        <v>1.4500000000000002</v>
      </c>
      <c r="G115" s="55">
        <f>MAX($C115-AVERAGE(_xll.xlqBid(CONCATENATE($A$103,($B115+G$98)&amp;""),tda),_xll.xlqAsk(CONCATENATE($A$103,($B115+G$98)&amp;""),tda)),0)</f>
        <v>2.7250000000000005</v>
      </c>
      <c r="H115" s="55">
        <f>MAX($C115-AVERAGE(_xll.xlqBid(CONCATENATE($A$103,($B115+H$98)&amp;""),tda),_xll.xlqAsk(CONCATENATE($A$103,($B115+H$98)&amp;""),tda)),0)</f>
        <v>3.8000000000000007</v>
      </c>
      <c r="I115" s="55">
        <f>MAX($C115-AVERAGE(_xll.xlqBid(CONCATENATE($A$103,($B115+I$98)&amp;""),tda),_xll.xlqAsk(CONCATENATE($A$103,($B115+I$98)&amp;""),tda)),0)</f>
        <v>4.7250000000000005</v>
      </c>
      <c r="J115" s="110"/>
      <c r="K115" s="76">
        <f t="shared" si="65"/>
        <v>3.55</v>
      </c>
      <c r="L115" s="76">
        <f t="shared" si="65"/>
        <v>7.2749999999999995</v>
      </c>
      <c r="M115" s="76">
        <f t="shared" si="65"/>
        <v>11.2</v>
      </c>
      <c r="N115" s="76">
        <f t="shared" si="65"/>
        <v>15.274999999999999</v>
      </c>
      <c r="O115" s="110"/>
      <c r="P115" s="110">
        <f t="shared" si="73"/>
        <v>2.4482758620689653</v>
      </c>
      <c r="Q115" s="110">
        <f t="shared" si="66"/>
        <v>2.6697247706422012</v>
      </c>
      <c r="R115" s="110">
        <f t="shared" si="66"/>
        <v>2.947368421052631</v>
      </c>
      <c r="S115" s="110">
        <f t="shared" si="66"/>
        <v>3.2328042328042321</v>
      </c>
      <c r="T115" s="110"/>
      <c r="U115" s="76">
        <f t="shared" si="67"/>
        <v>231.45</v>
      </c>
      <c r="V115" s="76">
        <f t="shared" si="67"/>
        <v>232.72499999999999</v>
      </c>
      <c r="W115" s="76">
        <f t="shared" si="67"/>
        <v>233.8</v>
      </c>
      <c r="X115" s="76">
        <f t="shared" si="67"/>
        <v>234.72499999999999</v>
      </c>
      <c r="Y115" s="76"/>
      <c r="Z115" s="133">
        <f t="shared" ca="1" si="74"/>
        <v>67.411965481349313</v>
      </c>
      <c r="AA115" s="133">
        <f t="shared" ca="1" si="74"/>
        <v>83.606835734366612</v>
      </c>
      <c r="AB115" s="133">
        <f t="shared" ca="1" si="74"/>
        <v>107.52426596953573</v>
      </c>
      <c r="AC115" s="133">
        <f t="shared" ca="1" si="74"/>
        <v>136.72967158352489</v>
      </c>
      <c r="AD115" s="2"/>
      <c r="AE115" s="127">
        <f t="shared" si="75"/>
        <v>0.12553283203218535</v>
      </c>
      <c r="AF115" s="127">
        <f t="shared" si="75"/>
        <v>0.14948033909669989</v>
      </c>
      <c r="AG115" s="127">
        <f t="shared" si="75"/>
        <v>0.17342784616121443</v>
      </c>
      <c r="AH115" s="127">
        <f t="shared" si="75"/>
        <v>0.19737535322572919</v>
      </c>
      <c r="AJ115" s="125">
        <f t="shared" si="76"/>
        <v>689.65517241379303</v>
      </c>
      <c r="AK115" s="125">
        <f t="shared" si="70"/>
        <v>366.97247706422013</v>
      </c>
      <c r="AL115" s="125">
        <f t="shared" si="70"/>
        <v>263.15789473684208</v>
      </c>
      <c r="AM115" s="125">
        <f t="shared" si="70"/>
        <v>211.64021164021162</v>
      </c>
      <c r="AO115" s="63">
        <f t="shared" si="77"/>
        <v>2448.2758620689651</v>
      </c>
      <c r="AP115" s="63">
        <f t="shared" si="71"/>
        <v>2669.7247706422013</v>
      </c>
      <c r="AQ115" s="63">
        <f t="shared" si="71"/>
        <v>2947.3684210526312</v>
      </c>
      <c r="AR115" s="63">
        <f t="shared" si="71"/>
        <v>3232.804232804232</v>
      </c>
    </row>
    <row r="116" spans="1:44" x14ac:dyDescent="0.25">
      <c r="A116" s="101"/>
      <c r="B116" s="107">
        <f t="shared" si="78"/>
        <v>235</v>
      </c>
      <c r="C116" s="23">
        <f t="shared" si="72"/>
        <v>7.3500000000000005</v>
      </c>
      <c r="D116" s="130">
        <f>_xll.xlqBid(CONCATENATE($A$103,B116&amp;""),tda)</f>
        <v>7.3000000000000007</v>
      </c>
      <c r="E116" s="130">
        <f>_xll.xlqAsk(CONCATENATE($A$103,B116&amp;""),tda)</f>
        <v>7.4</v>
      </c>
      <c r="F116" s="55">
        <f>MAX($C116-AVERAGE(_xll.xlqBid(CONCATENATE($A$103,($B116+F$98)&amp;""),tda),_xll.xlqAsk(CONCATENATE($A$103,($B116+F$98)&amp;""),tda)),0)</f>
        <v>1.2750000000000004</v>
      </c>
      <c r="G116" s="55">
        <f>MAX($C116-AVERAGE(_xll.xlqBid(CONCATENATE($A$103,($B116+G$98)&amp;""),tda),_xll.xlqAsk(CONCATENATE($A$103,($B116+G$98)&amp;""),tda)),0)</f>
        <v>2.3500000000000005</v>
      </c>
      <c r="H116" s="55">
        <f>MAX($C116-AVERAGE(_xll.xlqBid(CONCATENATE($A$103,($B116+H$98)&amp;""),tda),_xll.xlqAsk(CONCATENATE($A$103,($B116+H$98)&amp;""),tda)),0)</f>
        <v>3.2750000000000004</v>
      </c>
      <c r="I116" s="55">
        <f>MAX($C116-AVERAGE(_xll.xlqBid(CONCATENATE($A$103,($B116+I$98)&amp;""),tda),_xll.xlqAsk(CONCATENATE($A$103,($B116+I$98)&amp;""),tda)),0)</f>
        <v>4.0250000000000004</v>
      </c>
      <c r="J116" s="25"/>
      <c r="K116" s="63">
        <f t="shared" si="65"/>
        <v>3.7249999999999996</v>
      </c>
      <c r="L116" s="63">
        <f t="shared" si="65"/>
        <v>7.6499999999999995</v>
      </c>
      <c r="M116" s="63">
        <f t="shared" si="65"/>
        <v>11.725</v>
      </c>
      <c r="N116" s="63">
        <f t="shared" si="65"/>
        <v>15.975</v>
      </c>
      <c r="O116" s="25"/>
      <c r="P116" s="25">
        <f t="shared" si="73"/>
        <v>2.9215686274509793</v>
      </c>
      <c r="Q116" s="25">
        <f t="shared" si="66"/>
        <v>3.2553191489361692</v>
      </c>
      <c r="R116" s="25">
        <f t="shared" si="66"/>
        <v>3.5801526717557248</v>
      </c>
      <c r="S116" s="25">
        <f t="shared" si="66"/>
        <v>3.9689440993788816</v>
      </c>
      <c r="T116" s="25"/>
      <c r="U116" s="63">
        <f t="shared" si="67"/>
        <v>236.27500000000001</v>
      </c>
      <c r="V116" s="63">
        <f t="shared" si="67"/>
        <v>237.35</v>
      </c>
      <c r="W116" s="63">
        <f t="shared" si="67"/>
        <v>238.27500000000001</v>
      </c>
      <c r="X116" s="63">
        <f t="shared" si="67"/>
        <v>239.02500000000001</v>
      </c>
      <c r="Y116" s="63"/>
      <c r="Z116" s="133">
        <f t="shared" ca="1" si="74"/>
        <v>105.1220422318773</v>
      </c>
      <c r="AA116" s="133">
        <f t="shared" ca="1" si="74"/>
        <v>139.24654799972572</v>
      </c>
      <c r="AB116" s="133">
        <f t="shared" ca="1" si="74"/>
        <v>179.28006082593458</v>
      </c>
      <c r="AC116" s="133">
        <f t="shared" ca="1" si="74"/>
        <v>237.08571130542944</v>
      </c>
      <c r="AD116" s="2"/>
      <c r="AE116" s="127">
        <f t="shared" si="75"/>
        <v>0.14948033909669989</v>
      </c>
      <c r="AF116" s="127">
        <f t="shared" si="75"/>
        <v>0.17342784616121443</v>
      </c>
      <c r="AG116" s="127">
        <f t="shared" si="75"/>
        <v>0.19737535322572919</v>
      </c>
      <c r="AH116" s="127">
        <f t="shared" si="75"/>
        <v>0.22132286029024373</v>
      </c>
      <c r="AJ116" s="125">
        <f t="shared" si="76"/>
        <v>784.31372549019591</v>
      </c>
      <c r="AK116" s="125">
        <f t="shared" si="70"/>
        <v>425.53191489361694</v>
      </c>
      <c r="AL116" s="125">
        <f t="shared" si="70"/>
        <v>305.34351145038164</v>
      </c>
      <c r="AM116" s="125">
        <f t="shared" si="70"/>
        <v>248.44720496894408</v>
      </c>
      <c r="AO116" s="63">
        <f t="shared" si="77"/>
        <v>2921.5686274509794</v>
      </c>
      <c r="AP116" s="63">
        <f t="shared" si="71"/>
        <v>3255.3191489361693</v>
      </c>
      <c r="AQ116" s="63">
        <f t="shared" si="71"/>
        <v>3580.1526717557244</v>
      </c>
      <c r="AR116" s="63">
        <f t="shared" si="71"/>
        <v>3968.9440993788817</v>
      </c>
    </row>
    <row r="117" spans="1:44" x14ac:dyDescent="0.25">
      <c r="A117" s="102"/>
      <c r="B117" s="107">
        <f t="shared" si="78"/>
        <v>240</v>
      </c>
      <c r="C117" s="23">
        <f t="shared" si="72"/>
        <v>6.0750000000000002</v>
      </c>
      <c r="D117" s="130">
        <f>_xll.xlqBid(CONCATENATE($A$103,B117&amp;""),tda)</f>
        <v>6</v>
      </c>
      <c r="E117" s="130">
        <f>_xll.xlqAsk(CONCATENATE($A$103,B117&amp;""),tda)</f>
        <v>6.15</v>
      </c>
      <c r="F117" s="55">
        <f>MAX($C117-AVERAGE(_xll.xlqBid(CONCATENATE($A$103,($B117+F$98)&amp;""),tda),_xll.xlqAsk(CONCATENATE($A$103,($B117+F$98)&amp;""),tda)),0)</f>
        <v>1.0750000000000002</v>
      </c>
      <c r="G117" s="55">
        <f>MAX($C117-AVERAGE(_xll.xlqBid(CONCATENATE($A$103,($B117+G$98)&amp;""),tda),_xll.xlqAsk(CONCATENATE($A$103,($B117+G$98)&amp;""),tda)),0)</f>
        <v>2</v>
      </c>
      <c r="H117" s="55">
        <f>MAX($C117-AVERAGE(_xll.xlqBid(CONCATENATE($A$103,($B117+H$98)&amp;""),tda),_xll.xlqAsk(CONCATENATE($A$103,($B117+H$98)&amp;""),tda)),0)</f>
        <v>2.75</v>
      </c>
      <c r="I117" s="55">
        <f>MAX($C117-AVERAGE(_xll.xlqBid(CONCATENATE($A$103,($B117+I$98)&amp;""),tda),_xll.xlqAsk(CONCATENATE($A$103,($B117+I$98)&amp;""),tda)),0)</f>
        <v>3.355</v>
      </c>
      <c r="J117" s="25"/>
      <c r="K117" s="63">
        <f t="shared" si="65"/>
        <v>3.9249999999999998</v>
      </c>
      <c r="L117" s="63">
        <f t="shared" si="65"/>
        <v>8</v>
      </c>
      <c r="M117" s="63">
        <f t="shared" si="65"/>
        <v>12.25</v>
      </c>
      <c r="N117" s="63">
        <f t="shared" si="65"/>
        <v>16.645</v>
      </c>
      <c r="O117" s="25"/>
      <c r="P117" s="25">
        <f t="shared" si="73"/>
        <v>3.6511627906976738</v>
      </c>
      <c r="Q117" s="25">
        <f t="shared" si="66"/>
        <v>4</v>
      </c>
      <c r="R117" s="25">
        <f t="shared" si="66"/>
        <v>4.4545454545454541</v>
      </c>
      <c r="S117" s="25">
        <f t="shared" si="66"/>
        <v>4.9612518628912072</v>
      </c>
      <c r="T117" s="25"/>
      <c r="U117" s="63">
        <f t="shared" si="67"/>
        <v>241.07499999999999</v>
      </c>
      <c r="V117" s="63">
        <f t="shared" si="67"/>
        <v>242</v>
      </c>
      <c r="W117" s="63">
        <f t="shared" si="67"/>
        <v>242.75</v>
      </c>
      <c r="X117" s="63">
        <f t="shared" si="67"/>
        <v>243.35499999999999</v>
      </c>
      <c r="Y117" s="63"/>
      <c r="Z117" s="133">
        <f t="shared" ca="1" si="74"/>
        <v>189.0008881249793</v>
      </c>
      <c r="AA117" s="133">
        <f t="shared" ca="1" si="74"/>
        <v>242.20362179025619</v>
      </c>
      <c r="AB117" s="133">
        <f t="shared" ca="1" si="74"/>
        <v>326.31298379199706</v>
      </c>
      <c r="AC117" s="133">
        <f t="shared" ca="1" si="74"/>
        <v>442.25568216275627</v>
      </c>
      <c r="AD117" s="2"/>
      <c r="AE117" s="127">
        <f t="shared" si="75"/>
        <v>0.17342784616121443</v>
      </c>
      <c r="AF117" s="127">
        <f t="shared" si="75"/>
        <v>0.19737535322572919</v>
      </c>
      <c r="AG117" s="127">
        <f t="shared" si="75"/>
        <v>0.22132286029024373</v>
      </c>
      <c r="AH117" s="127">
        <f t="shared" si="75"/>
        <v>0.24527036735475827</v>
      </c>
      <c r="AJ117" s="125">
        <f t="shared" si="76"/>
        <v>930.23255813953472</v>
      </c>
      <c r="AK117" s="125">
        <f t="shared" si="70"/>
        <v>500</v>
      </c>
      <c r="AL117" s="125">
        <f t="shared" si="70"/>
        <v>363.63636363636363</v>
      </c>
      <c r="AM117" s="125">
        <f t="shared" si="70"/>
        <v>298.06259314456037</v>
      </c>
      <c r="AO117" s="63">
        <f t="shared" si="77"/>
        <v>3651.1627906976737</v>
      </c>
      <c r="AP117" s="63">
        <f t="shared" si="71"/>
        <v>4000</v>
      </c>
      <c r="AQ117" s="63">
        <f t="shared" si="71"/>
        <v>4454.545454545454</v>
      </c>
      <c r="AR117" s="63">
        <f t="shared" si="71"/>
        <v>4961.2518628912076</v>
      </c>
    </row>
    <row r="118" spans="1:44" s="77" customFormat="1" x14ac:dyDescent="0.25">
      <c r="A118" s="106"/>
      <c r="B118" s="107">
        <f t="shared" si="78"/>
        <v>245</v>
      </c>
      <c r="C118" s="108">
        <f t="shared" si="72"/>
        <v>5</v>
      </c>
      <c r="D118" s="131">
        <f>_xll.xlqBid(CONCATENATE($A$103,B118&amp;""),tda)</f>
        <v>4.95</v>
      </c>
      <c r="E118" s="131">
        <f>_xll.xlqAsk(CONCATENATE($A$103,B118&amp;""),tda)</f>
        <v>5.05</v>
      </c>
      <c r="F118" s="55">
        <f>MAX($C118-AVERAGE(_xll.xlqBid(CONCATENATE($A$103,($B118+F$98)&amp;""),tda),_xll.xlqAsk(CONCATENATE($A$103,($B118+F$98)&amp;""),tda)),0)</f>
        <v>0.92499999999999982</v>
      </c>
      <c r="G118" s="55">
        <f>MAX($C118-AVERAGE(_xll.xlqBid(CONCATENATE($A$103,($B118+G$98)&amp;""),tda),_xll.xlqAsk(CONCATENATE($A$103,($B118+G$98)&amp;""),tda)),0)</f>
        <v>1.6749999999999998</v>
      </c>
      <c r="H118" s="55">
        <f>MAX($C118-AVERAGE(_xll.xlqBid(CONCATENATE($A$103,($B118+H$98)&amp;""),tda),_xll.xlqAsk(CONCATENATE($A$103,($B118+H$98)&amp;""),tda)),0)</f>
        <v>2.2799999999999998</v>
      </c>
      <c r="I118" s="55">
        <f>MAX($C118-AVERAGE(_xll.xlqBid(CONCATENATE($A$103,($B118+I$98)&amp;""),tda),_xll.xlqAsk(CONCATENATE($A$103,($B118+I$98)&amp;""),tda)),0)</f>
        <v>2.7949999999999999</v>
      </c>
      <c r="J118" s="110"/>
      <c r="K118" s="76">
        <f t="shared" si="65"/>
        <v>4.0750000000000002</v>
      </c>
      <c r="L118" s="76">
        <f t="shared" si="65"/>
        <v>8.3249999999999993</v>
      </c>
      <c r="M118" s="76">
        <f t="shared" si="65"/>
        <v>12.72</v>
      </c>
      <c r="N118" s="76">
        <f t="shared" si="65"/>
        <v>17.204999999999998</v>
      </c>
      <c r="O118" s="110"/>
      <c r="P118" s="110">
        <f t="shared" si="73"/>
        <v>4.4054054054054061</v>
      </c>
      <c r="Q118" s="110">
        <f t="shared" si="66"/>
        <v>4.9701492537313436</v>
      </c>
      <c r="R118" s="110">
        <f t="shared" si="66"/>
        <v>5.5789473684210531</v>
      </c>
      <c r="S118" s="110">
        <f t="shared" si="66"/>
        <v>6.1556350626118066</v>
      </c>
      <c r="T118" s="110"/>
      <c r="U118" s="76">
        <f t="shared" si="67"/>
        <v>245.92500000000001</v>
      </c>
      <c r="V118" s="76">
        <f t="shared" si="67"/>
        <v>246.67500000000001</v>
      </c>
      <c r="W118" s="76">
        <f t="shared" si="67"/>
        <v>247.28</v>
      </c>
      <c r="X118" s="76">
        <f t="shared" si="67"/>
        <v>247.79499999999999</v>
      </c>
      <c r="Y118" s="76"/>
      <c r="Z118" s="133">
        <f t="shared" ca="1" si="74"/>
        <v>316.35619017336347</v>
      </c>
      <c r="AA118" s="133">
        <f t="shared" ca="1" si="74"/>
        <v>444.51807508931734</v>
      </c>
      <c r="AB118" s="133">
        <f t="shared" ca="1" si="74"/>
        <v>619.6102831580456</v>
      </c>
      <c r="AC118" s="133">
        <f t="shared" ca="1" si="74"/>
        <v>825.77151376861707</v>
      </c>
      <c r="AD118" s="2"/>
      <c r="AE118" s="127">
        <f t="shared" si="75"/>
        <v>0.19737535322572919</v>
      </c>
      <c r="AF118" s="127">
        <f t="shared" si="75"/>
        <v>0.22132286029024373</v>
      </c>
      <c r="AG118" s="127">
        <f t="shared" si="75"/>
        <v>0.24527036735475827</v>
      </c>
      <c r="AH118" s="127">
        <f t="shared" si="75"/>
        <v>0.26921787441927281</v>
      </c>
      <c r="AJ118" s="125">
        <f t="shared" si="76"/>
        <v>1081.0810810810813</v>
      </c>
      <c r="AK118" s="125">
        <f t="shared" si="70"/>
        <v>597.01492537313436</v>
      </c>
      <c r="AL118" s="125">
        <f t="shared" si="70"/>
        <v>438.59649122807019</v>
      </c>
      <c r="AM118" s="125">
        <f t="shared" si="70"/>
        <v>357.78175313059035</v>
      </c>
      <c r="AO118" s="63">
        <f t="shared" si="77"/>
        <v>4405.4054054054068</v>
      </c>
      <c r="AP118" s="63">
        <f t="shared" si="71"/>
        <v>4970.1492537313434</v>
      </c>
      <c r="AQ118" s="63">
        <f t="shared" si="71"/>
        <v>5578.9473684210534</v>
      </c>
      <c r="AR118" s="63">
        <f t="shared" si="71"/>
        <v>6155.6350626118065</v>
      </c>
    </row>
    <row r="119" spans="1:44" x14ac:dyDescent="0.25">
      <c r="A119" s="37"/>
      <c r="B119" s="107">
        <f t="shared" si="78"/>
        <v>250</v>
      </c>
      <c r="C119" s="23">
        <f t="shared" si="72"/>
        <v>4.0750000000000002</v>
      </c>
      <c r="D119" s="130">
        <f>_xll.xlqBid(CONCATENATE($A$103,B119&amp;""),tda)</f>
        <v>4</v>
      </c>
      <c r="E119" s="130">
        <f>_xll.xlqAsk(CONCATENATE($A$103,B119&amp;""),tda)</f>
        <v>4.1500000000000004</v>
      </c>
      <c r="F119" s="55">
        <f>MAX($C119-AVERAGE(_xll.xlqBid(CONCATENATE($A$103,($B119+F$98)&amp;""),tda),_xll.xlqAsk(CONCATENATE($A$103,($B119+F$98)&amp;""),tda)),0)</f>
        <v>0.75</v>
      </c>
      <c r="G119" s="55">
        <f>MAX($C119-AVERAGE(_xll.xlqBid(CONCATENATE($A$103,($B119+G$98)&amp;""),tda),_xll.xlqAsk(CONCATENATE($A$103,($B119+G$98)&amp;""),tda)),0)</f>
        <v>1.355</v>
      </c>
      <c r="H119" s="55">
        <f>MAX($C119-AVERAGE(_xll.xlqBid(CONCATENATE($A$103,($B119+H$98)&amp;""),tda),_xll.xlqAsk(CONCATENATE($A$103,($B119+H$98)&amp;""),tda)),0)</f>
        <v>1.87</v>
      </c>
      <c r="I119" s="55">
        <f>MAX($C119-AVERAGE(_xll.xlqBid(CONCATENATE($A$103,($B119+I$98)&amp;""),tda),_xll.xlqAsk(CONCATENATE($A$103,($B119+I$98)&amp;""),tda)),0)</f>
        <v>2.2949999999999999</v>
      </c>
      <c r="J119" s="25"/>
      <c r="K119" s="63">
        <f t="shared" si="65"/>
        <v>4.25</v>
      </c>
      <c r="L119" s="63">
        <f t="shared" si="65"/>
        <v>8.6449999999999996</v>
      </c>
      <c r="M119" s="63">
        <f t="shared" si="65"/>
        <v>13.129999999999999</v>
      </c>
      <c r="N119" s="63">
        <f t="shared" si="65"/>
        <v>17.704999999999998</v>
      </c>
      <c r="O119" s="25"/>
      <c r="P119" s="25">
        <f t="shared" si="73"/>
        <v>5.666666666666667</v>
      </c>
      <c r="Q119" s="25">
        <f t="shared" si="66"/>
        <v>6.3800738007380069</v>
      </c>
      <c r="R119" s="25">
        <f t="shared" si="66"/>
        <v>7.02139037433155</v>
      </c>
      <c r="S119" s="25">
        <f t="shared" si="66"/>
        <v>7.7145969498910674</v>
      </c>
      <c r="T119" s="25"/>
      <c r="U119" s="63">
        <f t="shared" si="67"/>
        <v>250.75</v>
      </c>
      <c r="V119" s="63">
        <f t="shared" si="67"/>
        <v>251.35499999999999</v>
      </c>
      <c r="W119" s="63">
        <f t="shared" si="67"/>
        <v>251.87</v>
      </c>
      <c r="X119" s="63">
        <f t="shared" si="67"/>
        <v>252.29499999999999</v>
      </c>
      <c r="Y119" s="63"/>
      <c r="Z119" s="133">
        <f t="shared" ca="1" si="74"/>
        <v>648.31410581052648</v>
      </c>
      <c r="AA119" s="133">
        <f t="shared" ca="1" si="74"/>
        <v>917.69179100356473</v>
      </c>
      <c r="AB119" s="133">
        <f t="shared" ca="1" si="74"/>
        <v>1219.9634658159632</v>
      </c>
      <c r="AC119" s="133">
        <f t="shared" ca="1" si="74"/>
        <v>1619.251785769578</v>
      </c>
      <c r="AD119" s="2"/>
      <c r="AE119" s="127">
        <f t="shared" si="75"/>
        <v>0.22132286029024373</v>
      </c>
      <c r="AF119" s="127">
        <f t="shared" si="75"/>
        <v>0.24527036735475827</v>
      </c>
      <c r="AG119" s="127">
        <f t="shared" si="75"/>
        <v>0.26921787441927281</v>
      </c>
      <c r="AH119" s="127">
        <f t="shared" si="75"/>
        <v>0.29316538148378735</v>
      </c>
      <c r="AJ119" s="125">
        <f t="shared" si="76"/>
        <v>1333.3333333333333</v>
      </c>
      <c r="AK119" s="125">
        <f t="shared" si="70"/>
        <v>738.00738007380073</v>
      </c>
      <c r="AL119" s="125">
        <f t="shared" si="70"/>
        <v>534.75935828877004</v>
      </c>
      <c r="AM119" s="125">
        <f t="shared" si="70"/>
        <v>435.72984749455338</v>
      </c>
      <c r="AO119" s="63">
        <f t="shared" si="77"/>
        <v>5666.6666666666661</v>
      </c>
      <c r="AP119" s="63">
        <f t="shared" si="71"/>
        <v>6380.0738007380069</v>
      </c>
      <c r="AQ119" s="63">
        <f t="shared" si="71"/>
        <v>7021.3903743315504</v>
      </c>
      <c r="AR119" s="63">
        <f t="shared" si="71"/>
        <v>7714.5969498910672</v>
      </c>
    </row>
  </sheetData>
  <mergeCells count="36">
    <mergeCell ref="AJ1:AM1"/>
    <mergeCell ref="AO1:AR1"/>
    <mergeCell ref="F25:I25"/>
    <mergeCell ref="K25:N25"/>
    <mergeCell ref="P25:S25"/>
    <mergeCell ref="U25:X25"/>
    <mergeCell ref="Z25:AC25"/>
    <mergeCell ref="AJ25:AM25"/>
    <mergeCell ref="AO25:AR25"/>
    <mergeCell ref="F1:I1"/>
    <mergeCell ref="K1:N1"/>
    <mergeCell ref="P1:S1"/>
    <mergeCell ref="U1:X1"/>
    <mergeCell ref="Z1:AC1"/>
    <mergeCell ref="AE1:AH1"/>
    <mergeCell ref="AO49:AR49"/>
    <mergeCell ref="F73:I73"/>
    <mergeCell ref="K73:N73"/>
    <mergeCell ref="P73:S73"/>
    <mergeCell ref="U73:X73"/>
    <mergeCell ref="Z73:AC73"/>
    <mergeCell ref="AJ73:AM73"/>
    <mergeCell ref="AO73:AR73"/>
    <mergeCell ref="F49:I49"/>
    <mergeCell ref="K49:N49"/>
    <mergeCell ref="P49:S49"/>
    <mergeCell ref="U49:X49"/>
    <mergeCell ref="Z49:AC49"/>
    <mergeCell ref="AJ49:AM49"/>
    <mergeCell ref="AO97:AR97"/>
    <mergeCell ref="F97:I97"/>
    <mergeCell ref="K97:N97"/>
    <mergeCell ref="P97:S97"/>
    <mergeCell ref="U97:X97"/>
    <mergeCell ref="Z97:AC97"/>
    <mergeCell ref="AJ97:AM97"/>
  </mergeCells>
  <conditionalFormatting sqref="U3:Y23">
    <cfRule type="colorScale" priority="67">
      <colorScale>
        <cfvo type="min"/>
        <cfvo type="percentile" val="50"/>
        <cfvo type="max"/>
        <color rgb="FFF8696B"/>
        <color rgb="FFFFEB84"/>
        <color rgb="FF63BE7B"/>
      </colorScale>
    </cfRule>
  </conditionalFormatting>
  <conditionalFormatting sqref="P3:S23">
    <cfRule type="colorScale" priority="66">
      <colorScale>
        <cfvo type="min"/>
        <cfvo type="percentile" val="50"/>
        <cfvo type="max"/>
        <color rgb="FFF8696B"/>
        <color rgb="FFFFEB84"/>
        <color rgb="FF63BE7B"/>
      </colorScale>
    </cfRule>
  </conditionalFormatting>
  <conditionalFormatting sqref="K3:N23">
    <cfRule type="colorScale" priority="65">
      <colorScale>
        <cfvo type="min"/>
        <cfvo type="percentile" val="50"/>
        <cfvo type="max"/>
        <color rgb="FFF8696B"/>
        <color rgb="FFFFEB84"/>
        <color rgb="FF63BE7B"/>
      </colorScale>
    </cfRule>
  </conditionalFormatting>
  <conditionalFormatting sqref="F3:I23">
    <cfRule type="colorScale" priority="64">
      <colorScale>
        <cfvo type="min"/>
        <cfvo type="percentile" val="50"/>
        <cfvo type="max"/>
        <color rgb="FF63BE7B"/>
        <color rgb="FFFFEB84"/>
        <color rgb="FFF8696B"/>
      </colorScale>
    </cfRule>
  </conditionalFormatting>
  <conditionalFormatting sqref="U27:Y47">
    <cfRule type="colorScale" priority="63">
      <colorScale>
        <cfvo type="min"/>
        <cfvo type="percentile" val="50"/>
        <cfvo type="max"/>
        <color rgb="FFF8696B"/>
        <color rgb="FFFFEB84"/>
        <color rgb="FF63BE7B"/>
      </colorScale>
    </cfRule>
  </conditionalFormatting>
  <conditionalFormatting sqref="P27:S47">
    <cfRule type="colorScale" priority="62">
      <colorScale>
        <cfvo type="min"/>
        <cfvo type="percentile" val="50"/>
        <cfvo type="max"/>
        <color rgb="FFF8696B"/>
        <color rgb="FFFFEB84"/>
        <color rgb="FF63BE7B"/>
      </colorScale>
    </cfRule>
  </conditionalFormatting>
  <conditionalFormatting sqref="K27:N47">
    <cfRule type="colorScale" priority="61">
      <colorScale>
        <cfvo type="min"/>
        <cfvo type="percentile" val="50"/>
        <cfvo type="max"/>
        <color rgb="FFF8696B"/>
        <color rgb="FFFFEB84"/>
        <color rgb="FF63BE7B"/>
      </colorScale>
    </cfRule>
  </conditionalFormatting>
  <conditionalFormatting sqref="F27:I47">
    <cfRule type="colorScale" priority="60">
      <colorScale>
        <cfvo type="min"/>
        <cfvo type="percentile" val="50"/>
        <cfvo type="max"/>
        <color rgb="FF63BE7B"/>
        <color rgb="FFFFEB84"/>
        <color rgb="FFF8696B"/>
      </colorScale>
    </cfRule>
  </conditionalFormatting>
  <conditionalFormatting sqref="U51:Y71">
    <cfRule type="colorScale" priority="59">
      <colorScale>
        <cfvo type="min"/>
        <cfvo type="percentile" val="50"/>
        <cfvo type="max"/>
        <color rgb="FFF8696B"/>
        <color rgb="FFFFEB84"/>
        <color rgb="FF63BE7B"/>
      </colorScale>
    </cfRule>
  </conditionalFormatting>
  <conditionalFormatting sqref="P51:S71">
    <cfRule type="colorScale" priority="58">
      <colorScale>
        <cfvo type="min"/>
        <cfvo type="percentile" val="50"/>
        <cfvo type="max"/>
        <color rgb="FFF8696B"/>
        <color rgb="FFFFEB84"/>
        <color rgb="FF63BE7B"/>
      </colorScale>
    </cfRule>
  </conditionalFormatting>
  <conditionalFormatting sqref="K51:N71">
    <cfRule type="colorScale" priority="57">
      <colorScale>
        <cfvo type="min"/>
        <cfvo type="percentile" val="50"/>
        <cfvo type="max"/>
        <color rgb="FFF8696B"/>
        <color rgb="FFFFEB84"/>
        <color rgb="FF63BE7B"/>
      </colorScale>
    </cfRule>
  </conditionalFormatting>
  <conditionalFormatting sqref="F51:I71">
    <cfRule type="colorScale" priority="56">
      <colorScale>
        <cfvo type="min"/>
        <cfvo type="percentile" val="50"/>
        <cfvo type="max"/>
        <color rgb="FF63BE7B"/>
        <color rgb="FFFFEB84"/>
        <color rgb="FFF8696B"/>
      </colorScale>
    </cfRule>
  </conditionalFormatting>
  <conditionalFormatting sqref="B1:B96">
    <cfRule type="cellIs" dxfId="3" priority="51" operator="lessThanOrEqual">
      <formula>$A$3</formula>
    </cfRule>
  </conditionalFormatting>
  <conditionalFormatting sqref="U75:Y95">
    <cfRule type="colorScale" priority="55">
      <colorScale>
        <cfvo type="min"/>
        <cfvo type="percentile" val="50"/>
        <cfvo type="max"/>
        <color rgb="FFF8696B"/>
        <color rgb="FFFFEB84"/>
        <color rgb="FF63BE7B"/>
      </colorScale>
    </cfRule>
  </conditionalFormatting>
  <conditionalFormatting sqref="P75:S95">
    <cfRule type="colorScale" priority="54">
      <colorScale>
        <cfvo type="min"/>
        <cfvo type="percentile" val="50"/>
        <cfvo type="max"/>
        <color rgb="FFF8696B"/>
        <color rgb="FFFFEB84"/>
        <color rgb="FF63BE7B"/>
      </colorScale>
    </cfRule>
  </conditionalFormatting>
  <conditionalFormatting sqref="K75:N95">
    <cfRule type="colorScale" priority="53">
      <colorScale>
        <cfvo type="min"/>
        <cfvo type="percentile" val="50"/>
        <cfvo type="max"/>
        <color rgb="FFF8696B"/>
        <color rgb="FFFFEB84"/>
        <color rgb="FF63BE7B"/>
      </colorScale>
    </cfRule>
  </conditionalFormatting>
  <conditionalFormatting sqref="F75:I95">
    <cfRule type="colorScale" priority="52">
      <colorScale>
        <cfvo type="min"/>
        <cfvo type="percentile" val="50"/>
        <cfvo type="max"/>
        <color rgb="FF63BE7B"/>
        <color rgb="FFFFEB84"/>
        <color rgb="FFF8696B"/>
      </colorScale>
    </cfRule>
  </conditionalFormatting>
  <conditionalFormatting sqref="AO3:AR23">
    <cfRule type="colorScale" priority="50">
      <colorScale>
        <cfvo type="min"/>
        <cfvo type="percentile" val="50"/>
        <cfvo type="max"/>
        <color rgb="FFF8696B"/>
        <color rgb="FFFFEB84"/>
        <color rgb="FF63BE7B"/>
      </colorScale>
    </cfRule>
  </conditionalFormatting>
  <conditionalFormatting sqref="Z3:AD23">
    <cfRule type="colorScale" priority="49">
      <colorScale>
        <cfvo type="min"/>
        <cfvo type="percentile" val="50"/>
        <cfvo type="max"/>
        <color rgb="FFF8696B"/>
        <color rgb="FFFFEB84"/>
        <color rgb="FF63BE7B"/>
      </colorScale>
    </cfRule>
  </conditionalFormatting>
  <conditionalFormatting sqref="Z27:AD47">
    <cfRule type="colorScale" priority="48">
      <colorScale>
        <cfvo type="min"/>
        <cfvo type="percentile" val="50"/>
        <cfvo type="max"/>
        <color rgb="FFF8696B"/>
        <color rgb="FFFFEB84"/>
        <color rgb="FF63BE7B"/>
      </colorScale>
    </cfRule>
  </conditionalFormatting>
  <conditionalFormatting sqref="Z51:AD71">
    <cfRule type="colorScale" priority="47">
      <colorScale>
        <cfvo type="min"/>
        <cfvo type="percentile" val="50"/>
        <cfvo type="max"/>
        <color rgb="FFF8696B"/>
        <color rgb="FFFFEB84"/>
        <color rgb="FF63BE7B"/>
      </colorScale>
    </cfRule>
  </conditionalFormatting>
  <conditionalFormatting sqref="Z75:AD95">
    <cfRule type="colorScale" priority="46">
      <colorScale>
        <cfvo type="min"/>
        <cfvo type="percentile" val="50"/>
        <cfvo type="max"/>
        <color rgb="FFF8696B"/>
        <color rgb="FFFFEB84"/>
        <color rgb="FF63BE7B"/>
      </colorScale>
    </cfRule>
  </conditionalFormatting>
  <conditionalFormatting sqref="D3:D23">
    <cfRule type="dataBar" priority="45">
      <dataBar>
        <cfvo type="min"/>
        <cfvo type="max"/>
        <color rgb="FF63C384"/>
      </dataBar>
      <extLst>
        <ext xmlns:x14="http://schemas.microsoft.com/office/spreadsheetml/2009/9/main" uri="{B025F937-C7B1-47D3-B67F-A62EFF666E3E}">
          <x14:id>{3C652BDC-9B3B-45D7-BBAD-D8038213D445}</x14:id>
        </ext>
      </extLst>
    </cfRule>
  </conditionalFormatting>
  <conditionalFormatting sqref="D27:D47">
    <cfRule type="dataBar" priority="44">
      <dataBar>
        <cfvo type="min"/>
        <cfvo type="max"/>
        <color rgb="FF63C384"/>
      </dataBar>
      <extLst>
        <ext xmlns:x14="http://schemas.microsoft.com/office/spreadsheetml/2009/9/main" uri="{B025F937-C7B1-47D3-B67F-A62EFF666E3E}">
          <x14:id>{A237F64E-C5FF-4FF4-B849-F2BEDA12A69C}</x14:id>
        </ext>
      </extLst>
    </cfRule>
  </conditionalFormatting>
  <conditionalFormatting sqref="D51:D71">
    <cfRule type="dataBar" priority="43">
      <dataBar>
        <cfvo type="min"/>
        <cfvo type="max"/>
        <color rgb="FF63C384"/>
      </dataBar>
      <extLst>
        <ext xmlns:x14="http://schemas.microsoft.com/office/spreadsheetml/2009/9/main" uri="{B025F937-C7B1-47D3-B67F-A62EFF666E3E}">
          <x14:id>{DDA3AFC6-1D32-4D26-9C77-25256C369FE8}</x14:id>
        </ext>
      </extLst>
    </cfRule>
  </conditionalFormatting>
  <conditionalFormatting sqref="D75:D95">
    <cfRule type="dataBar" priority="42">
      <dataBar>
        <cfvo type="min"/>
        <cfvo type="max"/>
        <color rgb="FF63C384"/>
      </dataBar>
      <extLst>
        <ext xmlns:x14="http://schemas.microsoft.com/office/spreadsheetml/2009/9/main" uri="{B025F937-C7B1-47D3-B67F-A62EFF666E3E}">
          <x14:id>{03DE155B-217F-411F-AA48-3F44722ACA7F}</x14:id>
        </ext>
      </extLst>
    </cfRule>
  </conditionalFormatting>
  <conditionalFormatting sqref="E75:E95">
    <cfRule type="dataBar" priority="41">
      <dataBar>
        <cfvo type="min"/>
        <cfvo type="max"/>
        <color rgb="FFFF555A"/>
      </dataBar>
      <extLst>
        <ext xmlns:x14="http://schemas.microsoft.com/office/spreadsheetml/2009/9/main" uri="{B025F937-C7B1-47D3-B67F-A62EFF666E3E}">
          <x14:id>{F31C059A-DC32-42DE-BFC6-7D228F2C3867}</x14:id>
        </ext>
      </extLst>
    </cfRule>
  </conditionalFormatting>
  <conditionalFormatting sqref="E51:E71">
    <cfRule type="dataBar" priority="40">
      <dataBar>
        <cfvo type="min"/>
        <cfvo type="max"/>
        <color rgb="FFFF555A"/>
      </dataBar>
      <extLst>
        <ext xmlns:x14="http://schemas.microsoft.com/office/spreadsheetml/2009/9/main" uri="{B025F937-C7B1-47D3-B67F-A62EFF666E3E}">
          <x14:id>{7088400E-DB1B-4CE1-9808-21BE826D6921}</x14:id>
        </ext>
      </extLst>
    </cfRule>
  </conditionalFormatting>
  <conditionalFormatting sqref="E27:E47">
    <cfRule type="dataBar" priority="39">
      <dataBar>
        <cfvo type="min"/>
        <cfvo type="max"/>
        <color rgb="FFFF555A"/>
      </dataBar>
      <extLst>
        <ext xmlns:x14="http://schemas.microsoft.com/office/spreadsheetml/2009/9/main" uri="{B025F937-C7B1-47D3-B67F-A62EFF666E3E}">
          <x14:id>{46778D5C-BD2D-46DB-AFF4-6D1251EB3121}</x14:id>
        </ext>
      </extLst>
    </cfRule>
  </conditionalFormatting>
  <conditionalFormatting sqref="E3:E23">
    <cfRule type="dataBar" priority="38">
      <dataBar>
        <cfvo type="min"/>
        <cfvo type="max"/>
        <color rgb="FFFF555A"/>
      </dataBar>
      <extLst>
        <ext xmlns:x14="http://schemas.microsoft.com/office/spreadsheetml/2009/9/main" uri="{B025F937-C7B1-47D3-B67F-A62EFF666E3E}">
          <x14:id>{B2EEA2FC-E511-4016-95DA-FD2E19D18E86}</x14:id>
        </ext>
      </extLst>
    </cfRule>
  </conditionalFormatting>
  <conditionalFormatting sqref="B97:B119">
    <cfRule type="cellIs" dxfId="2" priority="33" operator="lessThanOrEqual">
      <formula>$A$3</formula>
    </cfRule>
  </conditionalFormatting>
  <conditionalFormatting sqref="U99:Y119">
    <cfRule type="colorScale" priority="37">
      <colorScale>
        <cfvo type="min"/>
        <cfvo type="percentile" val="50"/>
        <cfvo type="max"/>
        <color rgb="FFF8696B"/>
        <color rgb="FFFFEB84"/>
        <color rgb="FF63BE7B"/>
      </colorScale>
    </cfRule>
  </conditionalFormatting>
  <conditionalFormatting sqref="P99:S119">
    <cfRule type="colorScale" priority="36">
      <colorScale>
        <cfvo type="min"/>
        <cfvo type="percentile" val="50"/>
        <cfvo type="max"/>
        <color rgb="FFF8696B"/>
        <color rgb="FFFFEB84"/>
        <color rgb="FF63BE7B"/>
      </colorScale>
    </cfRule>
  </conditionalFormatting>
  <conditionalFormatting sqref="K99:N119">
    <cfRule type="colorScale" priority="35">
      <colorScale>
        <cfvo type="min"/>
        <cfvo type="percentile" val="50"/>
        <cfvo type="max"/>
        <color rgb="FFF8696B"/>
        <color rgb="FFFFEB84"/>
        <color rgb="FF63BE7B"/>
      </colorScale>
    </cfRule>
  </conditionalFormatting>
  <conditionalFormatting sqref="F99:I119">
    <cfRule type="colorScale" priority="34">
      <colorScale>
        <cfvo type="min"/>
        <cfvo type="percentile" val="50"/>
        <cfvo type="max"/>
        <color rgb="FF63BE7B"/>
        <color rgb="FFFFEB84"/>
        <color rgb="FFF8696B"/>
      </colorScale>
    </cfRule>
  </conditionalFormatting>
  <conditionalFormatting sqref="Z99:AD119">
    <cfRule type="colorScale" priority="32">
      <colorScale>
        <cfvo type="min"/>
        <cfvo type="percentile" val="50"/>
        <cfvo type="max"/>
        <color rgb="FFF8696B"/>
        <color rgb="FFFFEB84"/>
        <color rgb="FF63BE7B"/>
      </colorScale>
    </cfRule>
  </conditionalFormatting>
  <conditionalFormatting sqref="D99:D119">
    <cfRule type="dataBar" priority="31">
      <dataBar>
        <cfvo type="min"/>
        <cfvo type="max"/>
        <color rgb="FF63C384"/>
      </dataBar>
      <extLst>
        <ext xmlns:x14="http://schemas.microsoft.com/office/spreadsheetml/2009/9/main" uri="{B025F937-C7B1-47D3-B67F-A62EFF666E3E}">
          <x14:id>{71276D51-3B44-4F06-A4F0-31CF44CD4252}</x14:id>
        </ext>
      </extLst>
    </cfRule>
  </conditionalFormatting>
  <conditionalFormatting sqref="E99:E119">
    <cfRule type="dataBar" priority="30">
      <dataBar>
        <cfvo type="min"/>
        <cfvo type="max"/>
        <color rgb="FFFF555A"/>
      </dataBar>
      <extLst>
        <ext xmlns:x14="http://schemas.microsoft.com/office/spreadsheetml/2009/9/main" uri="{B025F937-C7B1-47D3-B67F-A62EFF666E3E}">
          <x14:id>{C03C5924-BFE8-4A07-B994-88B808388A97}</x14:id>
        </ext>
      </extLst>
    </cfRule>
  </conditionalFormatting>
  <conditionalFormatting sqref="AO27:AR47">
    <cfRule type="colorScale" priority="13">
      <colorScale>
        <cfvo type="min"/>
        <cfvo type="percentile" val="50"/>
        <cfvo type="max"/>
        <color rgb="FFF8696B"/>
        <color rgb="FFFFEB84"/>
        <color rgb="FF63BE7B"/>
      </colorScale>
    </cfRule>
  </conditionalFormatting>
  <conditionalFormatting sqref="AO51:AR71">
    <cfRule type="colorScale" priority="12">
      <colorScale>
        <cfvo type="min"/>
        <cfvo type="percentile" val="50"/>
        <cfvo type="max"/>
        <color rgb="FFF8696B"/>
        <color rgb="FFFFEB84"/>
        <color rgb="FF63BE7B"/>
      </colorScale>
    </cfRule>
  </conditionalFormatting>
  <conditionalFormatting sqref="AO75:AR95">
    <cfRule type="colorScale" priority="11">
      <colorScale>
        <cfvo type="min"/>
        <cfvo type="percentile" val="50"/>
        <cfvo type="max"/>
        <color rgb="FFF8696B"/>
        <color rgb="FFFFEB84"/>
        <color rgb="FF63BE7B"/>
      </colorScale>
    </cfRule>
  </conditionalFormatting>
  <conditionalFormatting sqref="AO99:AR119">
    <cfRule type="colorScale" priority="10">
      <colorScale>
        <cfvo type="min"/>
        <cfvo type="percentile" val="50"/>
        <cfvo type="max"/>
        <color rgb="FFF8696B"/>
        <color rgb="FFFFEB84"/>
        <color rgb="FF63BE7B"/>
      </colorScale>
    </cfRule>
  </conditionalFormatting>
  <conditionalFormatting sqref="AE3:AH23">
    <cfRule type="colorScale" priority="7">
      <colorScale>
        <cfvo type="min"/>
        <cfvo type="percentile" val="50"/>
        <cfvo type="max"/>
        <color rgb="FF63BE7B"/>
        <color rgb="FFFFEB84"/>
        <color rgb="FFF8696B"/>
      </colorScale>
    </cfRule>
  </conditionalFormatting>
  <conditionalFormatting sqref="AE27:AH47">
    <cfRule type="colorScale" priority="6">
      <colorScale>
        <cfvo type="min"/>
        <cfvo type="percentile" val="50"/>
        <cfvo type="max"/>
        <color rgb="FF63BE7B"/>
        <color rgb="FFFFEB84"/>
        <color rgb="FFF8696B"/>
      </colorScale>
    </cfRule>
  </conditionalFormatting>
  <conditionalFormatting sqref="AE51:AH71">
    <cfRule type="colorScale" priority="5">
      <colorScale>
        <cfvo type="min"/>
        <cfvo type="percentile" val="50"/>
        <cfvo type="max"/>
        <color rgb="FF63BE7B"/>
        <color rgb="FFFFEB84"/>
        <color rgb="FFF8696B"/>
      </colorScale>
    </cfRule>
  </conditionalFormatting>
  <conditionalFormatting sqref="AE75:AH95">
    <cfRule type="colorScale" priority="4">
      <colorScale>
        <cfvo type="min"/>
        <cfvo type="percentile" val="50"/>
        <cfvo type="max"/>
        <color rgb="FF63BE7B"/>
        <color rgb="FFFFEB84"/>
        <color rgb="FFF8696B"/>
      </colorScale>
    </cfRule>
  </conditionalFormatting>
  <conditionalFormatting sqref="AE99:AH119">
    <cfRule type="colorScale" priority="3">
      <colorScale>
        <cfvo type="min"/>
        <cfvo type="percentile" val="50"/>
        <cfvo type="max"/>
        <color rgb="FF63BE7B"/>
        <color rgb="FFFFEB84"/>
        <color rgb="FFF8696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C652BDC-9B3B-45D7-BBAD-D8038213D445}">
            <x14:dataBar minLength="0" maxLength="100" border="1" negativeBarBorderColorSameAsPositive="0">
              <x14:cfvo type="autoMin"/>
              <x14:cfvo type="autoMax"/>
              <x14:borderColor rgb="FF63C384"/>
              <x14:negativeFillColor rgb="FFFF0000"/>
              <x14:negativeBorderColor rgb="FFFF0000"/>
              <x14:axisColor rgb="FF000000"/>
            </x14:dataBar>
          </x14:cfRule>
          <xm:sqref>D3:D23</xm:sqref>
        </x14:conditionalFormatting>
        <x14:conditionalFormatting xmlns:xm="http://schemas.microsoft.com/office/excel/2006/main">
          <x14:cfRule type="dataBar" id="{A237F64E-C5FF-4FF4-B849-F2BEDA12A69C}">
            <x14:dataBar minLength="0" maxLength="100" border="1" negativeBarBorderColorSameAsPositive="0">
              <x14:cfvo type="autoMin"/>
              <x14:cfvo type="autoMax"/>
              <x14:borderColor rgb="FF63C384"/>
              <x14:negativeFillColor rgb="FFFF0000"/>
              <x14:negativeBorderColor rgb="FFFF0000"/>
              <x14:axisColor rgb="FF000000"/>
            </x14:dataBar>
          </x14:cfRule>
          <xm:sqref>D27:D47</xm:sqref>
        </x14:conditionalFormatting>
        <x14:conditionalFormatting xmlns:xm="http://schemas.microsoft.com/office/excel/2006/main">
          <x14:cfRule type="dataBar" id="{DDA3AFC6-1D32-4D26-9C77-25256C369FE8}">
            <x14:dataBar minLength="0" maxLength="100" border="1" negativeBarBorderColorSameAsPositive="0">
              <x14:cfvo type="autoMin"/>
              <x14:cfvo type="autoMax"/>
              <x14:borderColor rgb="FF63C384"/>
              <x14:negativeFillColor rgb="FFFF0000"/>
              <x14:negativeBorderColor rgb="FFFF0000"/>
              <x14:axisColor rgb="FF000000"/>
            </x14:dataBar>
          </x14:cfRule>
          <xm:sqref>D51:D71</xm:sqref>
        </x14:conditionalFormatting>
        <x14:conditionalFormatting xmlns:xm="http://schemas.microsoft.com/office/excel/2006/main">
          <x14:cfRule type="dataBar" id="{03DE155B-217F-411F-AA48-3F44722ACA7F}">
            <x14:dataBar minLength="0" maxLength="100" border="1" negativeBarBorderColorSameAsPositive="0">
              <x14:cfvo type="autoMin"/>
              <x14:cfvo type="autoMax"/>
              <x14:borderColor rgb="FF63C384"/>
              <x14:negativeFillColor rgb="FFFF0000"/>
              <x14:negativeBorderColor rgb="FFFF0000"/>
              <x14:axisColor rgb="FF000000"/>
            </x14:dataBar>
          </x14:cfRule>
          <xm:sqref>D75:D95</xm:sqref>
        </x14:conditionalFormatting>
        <x14:conditionalFormatting xmlns:xm="http://schemas.microsoft.com/office/excel/2006/main">
          <x14:cfRule type="dataBar" id="{F31C059A-DC32-42DE-BFC6-7D228F2C3867}">
            <x14:dataBar minLength="0" maxLength="100" border="1" negativeBarBorderColorSameAsPositive="0">
              <x14:cfvo type="autoMin"/>
              <x14:cfvo type="autoMax"/>
              <x14:borderColor rgb="FFFF555A"/>
              <x14:negativeFillColor rgb="FFFF0000"/>
              <x14:negativeBorderColor rgb="FFFF0000"/>
              <x14:axisColor rgb="FF000000"/>
            </x14:dataBar>
          </x14:cfRule>
          <xm:sqref>E75:E95</xm:sqref>
        </x14:conditionalFormatting>
        <x14:conditionalFormatting xmlns:xm="http://schemas.microsoft.com/office/excel/2006/main">
          <x14:cfRule type="dataBar" id="{7088400E-DB1B-4CE1-9808-21BE826D6921}">
            <x14:dataBar minLength="0" maxLength="100" border="1" negativeBarBorderColorSameAsPositive="0">
              <x14:cfvo type="autoMin"/>
              <x14:cfvo type="autoMax"/>
              <x14:borderColor rgb="FFFF555A"/>
              <x14:negativeFillColor rgb="FFFF0000"/>
              <x14:negativeBorderColor rgb="FFFF0000"/>
              <x14:axisColor rgb="FF000000"/>
            </x14:dataBar>
          </x14:cfRule>
          <xm:sqref>E51:E71</xm:sqref>
        </x14:conditionalFormatting>
        <x14:conditionalFormatting xmlns:xm="http://schemas.microsoft.com/office/excel/2006/main">
          <x14:cfRule type="dataBar" id="{46778D5C-BD2D-46DB-AFF4-6D1251EB3121}">
            <x14:dataBar minLength="0" maxLength="100" border="1" negativeBarBorderColorSameAsPositive="0">
              <x14:cfvo type="autoMin"/>
              <x14:cfvo type="autoMax"/>
              <x14:borderColor rgb="FFFF555A"/>
              <x14:negativeFillColor rgb="FFFF0000"/>
              <x14:negativeBorderColor rgb="FFFF0000"/>
              <x14:axisColor rgb="FF000000"/>
            </x14:dataBar>
          </x14:cfRule>
          <xm:sqref>E27:E47</xm:sqref>
        </x14:conditionalFormatting>
        <x14:conditionalFormatting xmlns:xm="http://schemas.microsoft.com/office/excel/2006/main">
          <x14:cfRule type="dataBar" id="{B2EEA2FC-E511-4016-95DA-FD2E19D18E86}">
            <x14:dataBar minLength="0" maxLength="100" border="1" negativeBarBorderColorSameAsPositive="0">
              <x14:cfvo type="autoMin"/>
              <x14:cfvo type="autoMax"/>
              <x14:borderColor rgb="FFFF555A"/>
              <x14:negativeFillColor rgb="FFFF0000"/>
              <x14:negativeBorderColor rgb="FFFF0000"/>
              <x14:axisColor rgb="FF000000"/>
            </x14:dataBar>
          </x14:cfRule>
          <xm:sqref>E3:E23</xm:sqref>
        </x14:conditionalFormatting>
        <x14:conditionalFormatting xmlns:xm="http://schemas.microsoft.com/office/excel/2006/main">
          <x14:cfRule type="dataBar" id="{71276D51-3B44-4F06-A4F0-31CF44CD4252}">
            <x14:dataBar minLength="0" maxLength="100" border="1" negativeBarBorderColorSameAsPositive="0">
              <x14:cfvo type="autoMin"/>
              <x14:cfvo type="autoMax"/>
              <x14:borderColor rgb="FF63C384"/>
              <x14:negativeFillColor rgb="FFFF0000"/>
              <x14:negativeBorderColor rgb="FFFF0000"/>
              <x14:axisColor rgb="FF000000"/>
            </x14:dataBar>
          </x14:cfRule>
          <xm:sqref>D99:D119</xm:sqref>
        </x14:conditionalFormatting>
        <x14:conditionalFormatting xmlns:xm="http://schemas.microsoft.com/office/excel/2006/main">
          <x14:cfRule type="dataBar" id="{C03C5924-BFE8-4A07-B994-88B808388A97}">
            <x14:dataBar minLength="0" maxLength="100" border="1" negativeBarBorderColorSameAsPositive="0">
              <x14:cfvo type="autoMin"/>
              <x14:cfvo type="autoMax"/>
              <x14:borderColor rgb="FFFF555A"/>
              <x14:negativeFillColor rgb="FFFF0000"/>
              <x14:negativeBorderColor rgb="FFFF0000"/>
              <x14:axisColor rgb="FF000000"/>
            </x14:dataBar>
          </x14:cfRule>
          <xm:sqref>E99:E119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2323-AF38-4D01-A676-0B086589F750}">
  <dimension ref="A1:CC43"/>
  <sheetViews>
    <sheetView zoomScale="105" workbookViewId="0">
      <selection activeCell="B4" sqref="B4"/>
    </sheetView>
  </sheetViews>
  <sheetFormatPr defaultRowHeight="15" x14ac:dyDescent="0.25"/>
  <cols>
    <col min="1" max="1" width="10.42578125" customWidth="1"/>
    <col min="2" max="3" width="7.7109375" customWidth="1"/>
    <col min="4" max="5" width="9" customWidth="1"/>
    <col min="6" max="41" width="6.7109375" customWidth="1"/>
    <col min="42" max="42" width="3.140625" customWidth="1"/>
    <col min="43" max="43" width="17.85546875" customWidth="1"/>
    <col min="44" max="44" width="29.85546875" customWidth="1"/>
    <col min="45" max="45" width="3.42578125" customWidth="1"/>
    <col min="46" max="59" width="5.140625" customWidth="1"/>
    <col min="60" max="66" width="6" customWidth="1"/>
    <col min="67" max="81" width="5.140625" customWidth="1"/>
  </cols>
  <sheetData>
    <row r="1" spans="1:81" x14ac:dyDescent="0.25">
      <c r="A1" s="240" t="s">
        <v>28</v>
      </c>
      <c r="B1" s="20" t="s">
        <v>10</v>
      </c>
      <c r="C1" s="121" t="s">
        <v>39</v>
      </c>
      <c r="D1" s="20" t="s">
        <v>14</v>
      </c>
      <c r="E1" s="20" t="s">
        <v>19</v>
      </c>
      <c r="F1" s="246">
        <v>200</v>
      </c>
      <c r="G1" s="246">
        <v>203</v>
      </c>
      <c r="H1" s="123">
        <f>G1+G1-F1</f>
        <v>206</v>
      </c>
      <c r="I1" s="123">
        <f t="shared" ref="I1:AO1" si="0">H1+H1-G1</f>
        <v>209</v>
      </c>
      <c r="J1" s="123">
        <f t="shared" si="0"/>
        <v>212</v>
      </c>
      <c r="K1" s="123">
        <f t="shared" si="0"/>
        <v>215</v>
      </c>
      <c r="L1" s="123">
        <f t="shared" si="0"/>
        <v>218</v>
      </c>
      <c r="M1" s="123">
        <f t="shared" si="0"/>
        <v>221</v>
      </c>
      <c r="N1" s="123">
        <f t="shared" si="0"/>
        <v>224</v>
      </c>
      <c r="O1" s="123">
        <f t="shared" si="0"/>
        <v>227</v>
      </c>
      <c r="P1" s="123">
        <f t="shared" si="0"/>
        <v>230</v>
      </c>
      <c r="Q1" s="123">
        <f t="shared" si="0"/>
        <v>233</v>
      </c>
      <c r="R1" s="123">
        <f t="shared" si="0"/>
        <v>236</v>
      </c>
      <c r="S1" s="123">
        <f t="shared" si="0"/>
        <v>239</v>
      </c>
      <c r="T1" s="123">
        <f t="shared" si="0"/>
        <v>242</v>
      </c>
      <c r="U1" s="123">
        <f t="shared" si="0"/>
        <v>245</v>
      </c>
      <c r="V1" s="123">
        <f t="shared" si="0"/>
        <v>248</v>
      </c>
      <c r="W1" s="123">
        <f t="shared" si="0"/>
        <v>251</v>
      </c>
      <c r="X1" s="123">
        <f t="shared" si="0"/>
        <v>254</v>
      </c>
      <c r="Y1" s="123">
        <f t="shared" si="0"/>
        <v>257</v>
      </c>
      <c r="Z1" s="123">
        <f t="shared" si="0"/>
        <v>260</v>
      </c>
      <c r="AA1" s="123">
        <f t="shared" si="0"/>
        <v>263</v>
      </c>
      <c r="AB1" s="123">
        <f t="shared" si="0"/>
        <v>266</v>
      </c>
      <c r="AC1" s="123">
        <f t="shared" si="0"/>
        <v>269</v>
      </c>
      <c r="AD1" s="123">
        <f t="shared" si="0"/>
        <v>272</v>
      </c>
      <c r="AE1" s="123">
        <f t="shared" si="0"/>
        <v>275</v>
      </c>
      <c r="AF1" s="123">
        <f t="shared" si="0"/>
        <v>278</v>
      </c>
      <c r="AG1" s="123">
        <f t="shared" si="0"/>
        <v>281</v>
      </c>
      <c r="AH1" s="123">
        <f t="shared" si="0"/>
        <v>284</v>
      </c>
      <c r="AI1" s="123">
        <f t="shared" si="0"/>
        <v>287</v>
      </c>
      <c r="AJ1" s="123">
        <f t="shared" si="0"/>
        <v>290</v>
      </c>
      <c r="AK1" s="123">
        <f t="shared" si="0"/>
        <v>293</v>
      </c>
      <c r="AL1" s="123">
        <f t="shared" si="0"/>
        <v>296</v>
      </c>
      <c r="AM1" s="123">
        <f t="shared" si="0"/>
        <v>299</v>
      </c>
      <c r="AN1" s="123">
        <f t="shared" si="0"/>
        <v>302</v>
      </c>
      <c r="AO1" s="123">
        <f t="shared" si="0"/>
        <v>305</v>
      </c>
    </row>
    <row r="2" spans="1:81" x14ac:dyDescent="0.25">
      <c r="A2" s="22">
        <f>_xll.xlqPrice(A1,"TDA")</f>
        <v>208.79000000000002</v>
      </c>
      <c r="B2" s="21">
        <v>200</v>
      </c>
      <c r="C2" s="122">
        <f t="shared" ref="C2:C22" si="1">SUM(AT2:CC2)</f>
        <v>318.97930398298689</v>
      </c>
      <c r="D2" s="23">
        <f>AVERAGE(_xll.xlqBid(CONCATENATE($A$6,B2&amp;""),"TDA"),_xll.xlqAsk(CONCATENATE($A$6,B2&amp;""),"TDA"))</f>
        <v>15.675000000000001</v>
      </c>
      <c r="E2" s="23">
        <f t="shared" ref="E2:E7" si="2">D2-MAX($A$2-B2,0)</f>
        <v>6.8849999999999802</v>
      </c>
      <c r="F2" s="174">
        <f t="shared" ref="F2:U17" si="3">(MAX(0,F$1-$B2)-$D2)/$D2</f>
        <v>-1</v>
      </c>
      <c r="G2" s="174">
        <f t="shared" si="3"/>
        <v>-0.80861244019138756</v>
      </c>
      <c r="H2" s="174">
        <f t="shared" si="3"/>
        <v>-0.61722488038277512</v>
      </c>
      <c r="I2" s="174">
        <f t="shared" si="3"/>
        <v>-0.42583732057416268</v>
      </c>
      <c r="J2" s="174">
        <f t="shared" si="3"/>
        <v>-0.23444976076555027</v>
      </c>
      <c r="K2" s="174">
        <f t="shared" si="3"/>
        <v>-4.3062200956937843E-2</v>
      </c>
      <c r="L2" s="174">
        <f t="shared" si="3"/>
        <v>0.14832535885167458</v>
      </c>
      <c r="M2" s="174">
        <f t="shared" si="3"/>
        <v>0.33971291866028702</v>
      </c>
      <c r="N2" s="174">
        <f t="shared" si="3"/>
        <v>0.53110047846889941</v>
      </c>
      <c r="O2" s="174">
        <f t="shared" si="3"/>
        <v>0.72248803827751185</v>
      </c>
      <c r="P2" s="174">
        <f t="shared" si="3"/>
        <v>0.91387559808612429</v>
      </c>
      <c r="Q2" s="174">
        <f t="shared" si="3"/>
        <v>1.1052631578947367</v>
      </c>
      <c r="R2" s="174">
        <f t="shared" si="3"/>
        <v>1.2966507177033493</v>
      </c>
      <c r="S2" s="174">
        <f t="shared" si="3"/>
        <v>1.4880382775119616</v>
      </c>
      <c r="T2" s="174">
        <f t="shared" si="3"/>
        <v>1.6794258373205739</v>
      </c>
      <c r="U2" s="174">
        <f t="shared" si="3"/>
        <v>1.8708133971291865</v>
      </c>
      <c r="V2" s="174">
        <f t="shared" ref="V2:AK17" si="4">(MAX(0,V$1-$B2)-$D2)/$D2</f>
        <v>2.062200956937799</v>
      </c>
      <c r="W2" s="174">
        <f t="shared" si="4"/>
        <v>2.2535885167464116</v>
      </c>
      <c r="X2" s="174">
        <f t="shared" si="4"/>
        <v>2.4449760765550241</v>
      </c>
      <c r="Y2" s="174">
        <f t="shared" si="4"/>
        <v>2.6363636363636362</v>
      </c>
      <c r="Z2" s="174">
        <f t="shared" si="4"/>
        <v>2.8277511961722488</v>
      </c>
      <c r="AA2" s="174">
        <f t="shared" si="4"/>
        <v>3.0191387559808613</v>
      </c>
      <c r="AB2" s="174">
        <f t="shared" si="4"/>
        <v>3.2105263157894739</v>
      </c>
      <c r="AC2" s="174">
        <f t="shared" si="4"/>
        <v>3.401913875598086</v>
      </c>
      <c r="AD2" s="174">
        <f t="shared" si="4"/>
        <v>3.5933014354066986</v>
      </c>
      <c r="AE2" s="174">
        <f t="shared" si="4"/>
        <v>3.7846889952153111</v>
      </c>
      <c r="AF2" s="174">
        <f t="shared" si="4"/>
        <v>3.9760765550239237</v>
      </c>
      <c r="AG2" s="174">
        <f t="shared" si="4"/>
        <v>4.1674641148325362</v>
      </c>
      <c r="AH2" s="174">
        <f t="shared" si="4"/>
        <v>4.3588516746411479</v>
      </c>
      <c r="AI2" s="174">
        <f t="shared" si="4"/>
        <v>4.5502392344497604</v>
      </c>
      <c r="AJ2" s="174">
        <f t="shared" si="4"/>
        <v>4.741626794258373</v>
      </c>
      <c r="AK2" s="174">
        <f t="shared" si="4"/>
        <v>4.9330143540669855</v>
      </c>
      <c r="AL2" s="174">
        <f t="shared" ref="AJ2:AO17" si="5">(MAX(0,AL$1-$B2)-$D2)/$D2</f>
        <v>5.1244019138755981</v>
      </c>
      <c r="AM2" s="174">
        <f t="shared" si="5"/>
        <v>5.3157894736842106</v>
      </c>
      <c r="AN2" s="174">
        <f t="shared" si="5"/>
        <v>5.5071770334928232</v>
      </c>
      <c r="AO2" s="174">
        <f t="shared" si="5"/>
        <v>5.6985645933014357</v>
      </c>
      <c r="AQ2" t="str">
        <f>CONCATENATE($A$6,B2&amp;"")</f>
        <v>NVDA_011720C200</v>
      </c>
      <c r="AR2" t="str">
        <f>_xll.xlqName(AQ2,"TDA")</f>
        <v>NVDA Jan 17 2020 200 Call</v>
      </c>
      <c r="AT2" s="26">
        <f t="shared" ref="AT2:BI17" si="6">(1+F2)*$A$14*F$24</f>
        <v>0</v>
      </c>
      <c r="AU2" s="26">
        <f t="shared" si="6"/>
        <v>3.6573163483428628E-5</v>
      </c>
      <c r="AV2" s="26">
        <f t="shared" si="6"/>
        <v>2.8642075867271993E-4</v>
      </c>
      <c r="AW2" s="26">
        <f t="shared" si="6"/>
        <v>1.5375215594166437E-3</v>
      </c>
      <c r="AX2" s="26">
        <f t="shared" si="6"/>
        <v>6.7050020028050598E-3</v>
      </c>
      <c r="AY2" s="26">
        <f t="shared" si="6"/>
        <v>2.5053094848628374E-2</v>
      </c>
      <c r="AZ2" s="26">
        <f t="shared" si="6"/>
        <v>8.2131278428518667E-2</v>
      </c>
      <c r="BA2" s="26">
        <f t="shared" si="6"/>
        <v>0.23924056728557458</v>
      </c>
      <c r="BB2" s="26">
        <f t="shared" si="6"/>
        <v>0.62390679860048415</v>
      </c>
      <c r="BC2" s="26">
        <f t="shared" si="6"/>
        <v>1.4637896926681182</v>
      </c>
      <c r="BD2" s="26">
        <f t="shared" si="6"/>
        <v>3.0999601864526292</v>
      </c>
      <c r="BE2" s="26">
        <f t="shared" si="6"/>
        <v>5.9399424699446914</v>
      </c>
      <c r="BF2" s="26">
        <f t="shared" si="6"/>
        <v>10.316152029081863</v>
      </c>
      <c r="BG2" s="26">
        <f t="shared" si="6"/>
        <v>16.260738687061103</v>
      </c>
      <c r="BH2" s="26">
        <f t="shared" si="6"/>
        <v>23.286213844125815</v>
      </c>
      <c r="BI2" s="26">
        <f t="shared" si="6"/>
        <v>30.321419484123609</v>
      </c>
      <c r="BJ2" s="26">
        <f t="shared" ref="BJ2:BY17" si="7">(1+V2)*$A$14*V$24</f>
        <v>35.923543831533124</v>
      </c>
      <c r="BK2" s="26">
        <f t="shared" si="7"/>
        <v>38.745612337602495</v>
      </c>
      <c r="BL2" s="26">
        <f t="shared" si="7"/>
        <v>38.060459438846749</v>
      </c>
      <c r="BM2" s="26">
        <f t="shared" si="7"/>
        <v>34.064069706941183</v>
      </c>
      <c r="BN2" s="26">
        <f t="shared" si="7"/>
        <v>27.786115372215797</v>
      </c>
      <c r="BO2" s="26">
        <f t="shared" si="7"/>
        <v>20.662627072928128</v>
      </c>
      <c r="BP2" s="26">
        <f t="shared" si="7"/>
        <v>14.011054549188621</v>
      </c>
      <c r="BQ2" s="26">
        <f t="shared" si="7"/>
        <v>8.6650560462362609</v>
      </c>
      <c r="BR2" s="26">
        <f t="shared" si="7"/>
        <v>4.8883655569487745</v>
      </c>
      <c r="BS2" s="26">
        <f t="shared" si="7"/>
        <v>2.5160243081112399</v>
      </c>
      <c r="BT2" s="26">
        <f t="shared" si="7"/>
        <v>1.1816369387182208</v>
      </c>
      <c r="BU2" s="26">
        <f t="shared" si="7"/>
        <v>0.50643517044365671</v>
      </c>
      <c r="BV2" s="26">
        <f t="shared" si="7"/>
        <v>0.19809841734334985</v>
      </c>
      <c r="BW2" s="26">
        <f t="shared" si="7"/>
        <v>7.0728972530824191E-2</v>
      </c>
      <c r="BX2" s="26">
        <f t="shared" si="7"/>
        <v>2.305209917924551E-2</v>
      </c>
      <c r="BY2" s="26">
        <f t="shared" si="7"/>
        <v>6.8588971177256279E-3</v>
      </c>
      <c r="BZ2" s="26">
        <f t="shared" ref="BZ2:CC22" si="8">(1+AL2)*$A$14*AL$24</f>
        <v>1.8631998463393984E-3</v>
      </c>
      <c r="CA2" s="26">
        <f t="shared" si="8"/>
        <v>4.6211893580851539E-4</v>
      </c>
      <c r="CB2" s="26">
        <f t="shared" si="8"/>
        <v>1.0465563126578406E-4</v>
      </c>
      <c r="CC2" s="26">
        <f t="shared" si="8"/>
        <v>2.1642582689239599E-5</v>
      </c>
    </row>
    <row r="3" spans="1:81" x14ac:dyDescent="0.25">
      <c r="A3" s="173"/>
      <c r="B3" s="21">
        <v>205</v>
      </c>
      <c r="C3" s="122">
        <f t="shared" si="1"/>
        <v>358.56583228134127</v>
      </c>
      <c r="D3" s="23">
        <f>AVERAGE(_xll.xlqBid(CONCATENATE($A$6,B3&amp;""),"TDA"),_xll.xlqAsk(CONCATENATE($A$6,B3&amp;""),"TDA"))</f>
        <v>12.55</v>
      </c>
      <c r="E3" s="23">
        <f t="shared" si="2"/>
        <v>8.7599999999999802</v>
      </c>
      <c r="F3" s="174">
        <f t="shared" si="3"/>
        <v>-1</v>
      </c>
      <c r="G3" s="174">
        <f t="shared" si="3"/>
        <v>-1</v>
      </c>
      <c r="H3" s="174">
        <f t="shared" si="3"/>
        <v>-0.92031872509960155</v>
      </c>
      <c r="I3" s="174">
        <f t="shared" si="3"/>
        <v>-0.68127490039840644</v>
      </c>
      <c r="J3" s="174">
        <f t="shared" si="3"/>
        <v>-0.44223107569721121</v>
      </c>
      <c r="K3" s="174">
        <f t="shared" si="3"/>
        <v>-0.20318725099601598</v>
      </c>
      <c r="L3" s="174">
        <f t="shared" si="3"/>
        <v>3.5856573705179223E-2</v>
      </c>
      <c r="M3" s="174">
        <f t="shared" si="3"/>
        <v>0.27490039840637442</v>
      </c>
      <c r="N3" s="174">
        <f t="shared" si="3"/>
        <v>0.5139442231075696</v>
      </c>
      <c r="O3" s="174">
        <f t="shared" si="3"/>
        <v>0.75298804780876483</v>
      </c>
      <c r="P3" s="174">
        <f t="shared" si="3"/>
        <v>0.99203187250996006</v>
      </c>
      <c r="Q3" s="174">
        <f t="shared" si="3"/>
        <v>1.2310756972111552</v>
      </c>
      <c r="R3" s="174">
        <f t="shared" si="3"/>
        <v>1.4701195219123504</v>
      </c>
      <c r="S3" s="174">
        <f t="shared" si="3"/>
        <v>1.7091633466135456</v>
      </c>
      <c r="T3" s="174">
        <f t="shared" si="3"/>
        <v>1.9482071713147409</v>
      </c>
      <c r="U3" s="174">
        <f t="shared" si="3"/>
        <v>2.1872509960159361</v>
      </c>
      <c r="V3" s="174">
        <f t="shared" si="4"/>
        <v>2.4262948207171311</v>
      </c>
      <c r="W3" s="174">
        <f t="shared" si="4"/>
        <v>2.665338645418327</v>
      </c>
      <c r="X3" s="174">
        <f t="shared" si="4"/>
        <v>2.904382470119522</v>
      </c>
      <c r="Y3" s="174">
        <f t="shared" si="4"/>
        <v>3.143426294820717</v>
      </c>
      <c r="Z3" s="174">
        <f t="shared" si="4"/>
        <v>3.3824701195219125</v>
      </c>
      <c r="AA3" s="174">
        <f t="shared" si="4"/>
        <v>3.6215139442231075</v>
      </c>
      <c r="AB3" s="174">
        <f t="shared" si="4"/>
        <v>3.8605577689243029</v>
      </c>
      <c r="AC3" s="174">
        <f t="shared" si="4"/>
        <v>4.0996015936254979</v>
      </c>
      <c r="AD3" s="174">
        <f t="shared" si="4"/>
        <v>4.3386454183266929</v>
      </c>
      <c r="AE3" s="174">
        <f t="shared" si="4"/>
        <v>4.5776892430278888</v>
      </c>
      <c r="AF3" s="174">
        <f t="shared" si="4"/>
        <v>4.8167330677290838</v>
      </c>
      <c r="AG3" s="174">
        <f t="shared" si="4"/>
        <v>5.0557768924302788</v>
      </c>
      <c r="AH3" s="174">
        <f t="shared" si="4"/>
        <v>5.2948207171314738</v>
      </c>
      <c r="AI3" s="174">
        <f t="shared" si="4"/>
        <v>5.5338645418326688</v>
      </c>
      <c r="AJ3" s="174">
        <f t="shared" si="5"/>
        <v>5.7729083665338647</v>
      </c>
      <c r="AK3" s="174">
        <f t="shared" si="5"/>
        <v>6.0119521912350598</v>
      </c>
      <c r="AL3" s="174">
        <f t="shared" si="5"/>
        <v>6.2509960159362548</v>
      </c>
      <c r="AM3" s="174">
        <f t="shared" si="5"/>
        <v>6.4900398406374498</v>
      </c>
      <c r="AN3" s="174">
        <f t="shared" si="5"/>
        <v>6.7290836653386457</v>
      </c>
      <c r="AO3" s="174">
        <f t="shared" si="5"/>
        <v>6.9681274900398407</v>
      </c>
      <c r="AQ3" t="str">
        <f t="shared" ref="AQ3:AQ22" si="9">CONCATENATE($A$6,B3&amp;"")</f>
        <v>NVDA_011720C205</v>
      </c>
      <c r="AR3" t="str">
        <f>_xll.xlqName(AQ3,"TDA")</f>
        <v>NVDA Jan 17 2020 205 Call</v>
      </c>
      <c r="AT3" s="26">
        <f t="shared" si="6"/>
        <v>0</v>
      </c>
      <c r="AU3" s="26">
        <f t="shared" si="6"/>
        <v>0</v>
      </c>
      <c r="AV3" s="26">
        <f t="shared" si="6"/>
        <v>5.9623444783464632E-5</v>
      </c>
      <c r="AW3" s="26">
        <f t="shared" si="6"/>
        <v>8.5349802368679542E-4</v>
      </c>
      <c r="AX3" s="26">
        <f t="shared" si="6"/>
        <v>4.8851682918843635E-3</v>
      </c>
      <c r="AY3" s="26">
        <f t="shared" si="6"/>
        <v>2.0860943519375817E-2</v>
      </c>
      <c r="AZ3" s="26">
        <f t="shared" si="6"/>
        <v>7.4087212314171716E-2</v>
      </c>
      <c r="BA3" s="26">
        <f t="shared" si="6"/>
        <v>0.22766660700141192</v>
      </c>
      <c r="BB3" s="26">
        <f t="shared" si="6"/>
        <v>0.61691581106636506</v>
      </c>
      <c r="BC3" s="26">
        <f t="shared" si="6"/>
        <v>1.4897089435343089</v>
      </c>
      <c r="BD3" s="26">
        <f t="shared" si="6"/>
        <v>3.2265521860986035</v>
      </c>
      <c r="BE3" s="26">
        <f t="shared" si="6"/>
        <v>6.2949191115748517</v>
      </c>
      <c r="BF3" s="26">
        <f t="shared" si="6"/>
        <v>11.095343458901292</v>
      </c>
      <c r="BG3" s="26">
        <f t="shared" si="6"/>
        <v>17.705916198323045</v>
      </c>
      <c r="BH3" s="26">
        <f t="shared" si="6"/>
        <v>25.622124595421873</v>
      </c>
      <c r="BI3" s="26">
        <f t="shared" si="6"/>
        <v>33.663621100567518</v>
      </c>
      <c r="BJ3" s="26">
        <f t="shared" si="7"/>
        <v>40.194831724849124</v>
      </c>
      <c r="BK3" s="26">
        <f t="shared" si="7"/>
        <v>43.64897082419855</v>
      </c>
      <c r="BL3" s="26">
        <f t="shared" si="7"/>
        <v>43.136029782340579</v>
      </c>
      <c r="BM3" s="26">
        <f t="shared" si="7"/>
        <v>38.814039586395133</v>
      </c>
      <c r="BN3" s="26">
        <f t="shared" si="7"/>
        <v>31.812888068089695</v>
      </c>
      <c r="BO3" s="26">
        <f t="shared" si="7"/>
        <v>23.759473096000256</v>
      </c>
      <c r="BP3" s="26">
        <f t="shared" si="7"/>
        <v>16.174115759471722</v>
      </c>
      <c r="BQ3" s="26">
        <f t="shared" si="7"/>
        <v>10.038436659835114</v>
      </c>
      <c r="BR3" s="26">
        <f t="shared" si="7"/>
        <v>5.681588885620326</v>
      </c>
      <c r="BS3" s="26">
        <f t="shared" si="7"/>
        <v>2.9330227591766884</v>
      </c>
      <c r="BT3" s="26">
        <f t="shared" si="7"/>
        <v>1.3812622413441538</v>
      </c>
      <c r="BU3" s="26">
        <f t="shared" si="7"/>
        <v>0.5934938945939976</v>
      </c>
      <c r="BV3" s="26">
        <f t="shared" si="7"/>
        <v>0.23269799151650891</v>
      </c>
      <c r="BW3" s="26">
        <f t="shared" si="7"/>
        <v>8.3263712819979727E-2</v>
      </c>
      <c r="BX3" s="26">
        <f t="shared" si="7"/>
        <v>2.7192599065026329E-2</v>
      </c>
      <c r="BY3" s="26">
        <f t="shared" si="7"/>
        <v>8.1062097281332565E-3</v>
      </c>
      <c r="BZ3" s="26">
        <f t="shared" si="8"/>
        <v>2.2059386128939875E-3</v>
      </c>
      <c r="CA3" s="26">
        <f t="shared" si="8"/>
        <v>5.4803746305047039E-4</v>
      </c>
      <c r="CB3" s="26">
        <f t="shared" si="8"/>
        <v>1.2430768764068668E-4</v>
      </c>
      <c r="CC3" s="26">
        <f t="shared" si="8"/>
        <v>2.5744449527894569E-5</v>
      </c>
    </row>
    <row r="4" spans="1:81" x14ac:dyDescent="0.25">
      <c r="A4" s="241">
        <v>43847</v>
      </c>
      <c r="B4" s="21">
        <f>B3+(B3-B2)</f>
        <v>210</v>
      </c>
      <c r="C4" s="122">
        <f t="shared" si="1"/>
        <v>409.20798409817513</v>
      </c>
      <c r="D4" s="23">
        <f>AVERAGE(_xll.xlqBid(CONCATENATE($A$6,B4&amp;""),"TDA"),_xll.xlqAsk(CONCATENATE($A$6,B4&amp;""),"TDA"))</f>
        <v>9.7750000000000004</v>
      </c>
      <c r="E4" s="23">
        <f t="shared" si="2"/>
        <v>9.7750000000000004</v>
      </c>
      <c r="F4" s="174">
        <f t="shared" si="3"/>
        <v>-1</v>
      </c>
      <c r="G4" s="174">
        <f t="shared" si="3"/>
        <v>-1</v>
      </c>
      <c r="H4" s="174">
        <f t="shared" si="3"/>
        <v>-1</v>
      </c>
      <c r="I4" s="174">
        <f t="shared" si="3"/>
        <v>-1</v>
      </c>
      <c r="J4" s="174">
        <f t="shared" si="3"/>
        <v>-0.79539641943734019</v>
      </c>
      <c r="K4" s="174">
        <f t="shared" si="3"/>
        <v>-0.48849104859335041</v>
      </c>
      <c r="L4" s="174">
        <f t="shared" si="3"/>
        <v>-0.18158567774936063</v>
      </c>
      <c r="M4" s="174">
        <f t="shared" si="3"/>
        <v>0.12531969309462912</v>
      </c>
      <c r="N4" s="174">
        <f t="shared" si="3"/>
        <v>0.43222506393861887</v>
      </c>
      <c r="O4" s="174">
        <f t="shared" si="3"/>
        <v>0.73913043478260865</v>
      </c>
      <c r="P4" s="174">
        <f t="shared" si="3"/>
        <v>1.0460358056265984</v>
      </c>
      <c r="Q4" s="174">
        <f t="shared" si="3"/>
        <v>1.3529411764705881</v>
      </c>
      <c r="R4" s="174">
        <f t="shared" si="3"/>
        <v>1.659846547314578</v>
      </c>
      <c r="S4" s="174">
        <f t="shared" si="3"/>
        <v>1.9667519181585678</v>
      </c>
      <c r="T4" s="174">
        <f t="shared" si="3"/>
        <v>2.2736572890025575</v>
      </c>
      <c r="U4" s="174">
        <f t="shared" si="3"/>
        <v>2.5805626598465472</v>
      </c>
      <c r="V4" s="174">
        <f t="shared" si="4"/>
        <v>2.8874680306905369</v>
      </c>
      <c r="W4" s="174">
        <f t="shared" si="4"/>
        <v>3.1943734015345271</v>
      </c>
      <c r="X4" s="174">
        <f t="shared" si="4"/>
        <v>3.5012787723785168</v>
      </c>
      <c r="Y4" s="174">
        <f t="shared" si="4"/>
        <v>3.8081841432225065</v>
      </c>
      <c r="Z4" s="174">
        <f t="shared" si="4"/>
        <v>4.1150895140664963</v>
      </c>
      <c r="AA4" s="174">
        <f t="shared" si="4"/>
        <v>4.421994884910486</v>
      </c>
      <c r="AB4" s="174">
        <f t="shared" si="4"/>
        <v>4.7289002557544757</v>
      </c>
      <c r="AC4" s="174">
        <f t="shared" si="4"/>
        <v>5.0358056265984654</v>
      </c>
      <c r="AD4" s="174">
        <f t="shared" si="4"/>
        <v>5.3427109974424551</v>
      </c>
      <c r="AE4" s="174">
        <f t="shared" si="4"/>
        <v>5.6496163682864449</v>
      </c>
      <c r="AF4" s="174">
        <f t="shared" si="4"/>
        <v>5.9565217391304346</v>
      </c>
      <c r="AG4" s="174">
        <f t="shared" si="4"/>
        <v>6.2634271099744243</v>
      </c>
      <c r="AH4" s="174">
        <f t="shared" si="4"/>
        <v>6.5703324808184131</v>
      </c>
      <c r="AI4" s="174">
        <f t="shared" si="4"/>
        <v>6.8772378516624029</v>
      </c>
      <c r="AJ4" s="174">
        <f t="shared" si="5"/>
        <v>7.1841432225063926</v>
      </c>
      <c r="AK4" s="174">
        <f t="shared" si="5"/>
        <v>7.4910485933503832</v>
      </c>
      <c r="AL4" s="174">
        <f t="shared" si="5"/>
        <v>7.7979539641943729</v>
      </c>
      <c r="AM4" s="174">
        <f t="shared" si="5"/>
        <v>8.1048593350383626</v>
      </c>
      <c r="AN4" s="174">
        <f t="shared" si="5"/>
        <v>8.4117647058823515</v>
      </c>
      <c r="AO4" s="174">
        <f t="shared" si="5"/>
        <v>8.7186700767263421</v>
      </c>
      <c r="AQ4" t="str">
        <f t="shared" si="9"/>
        <v>NVDA_011720C210</v>
      </c>
      <c r="AR4" t="str">
        <f>_xll.xlqName(AQ4,"TDA")</f>
        <v>NVDA Jan 17 2020 210 Call</v>
      </c>
      <c r="AT4" s="26">
        <f t="shared" si="6"/>
        <v>0</v>
      </c>
      <c r="AU4" s="26">
        <f t="shared" si="6"/>
        <v>0</v>
      </c>
      <c r="AV4" s="26">
        <f t="shared" si="6"/>
        <v>0</v>
      </c>
      <c r="AW4" s="26">
        <f t="shared" si="6"/>
        <v>0</v>
      </c>
      <c r="AX4" s="26">
        <f t="shared" si="6"/>
        <v>1.7920018140489223E-3</v>
      </c>
      <c r="AY4" s="26">
        <f t="shared" si="6"/>
        <v>1.339155197791133E-2</v>
      </c>
      <c r="AZ4" s="26">
        <f t="shared" si="6"/>
        <v>5.8535165188611772E-2</v>
      </c>
      <c r="BA4" s="26">
        <f t="shared" si="6"/>
        <v>0.20095508373749946</v>
      </c>
      <c r="BB4" s="26">
        <f t="shared" si="6"/>
        <v>0.58361614216912294</v>
      </c>
      <c r="BC4" s="26">
        <f t="shared" si="6"/>
        <v>1.4779325882494529</v>
      </c>
      <c r="BD4" s="26">
        <f t="shared" si="6"/>
        <v>3.3140239333432198</v>
      </c>
      <c r="BE4" s="26">
        <f t="shared" si="6"/>
        <v>6.6387592311146548</v>
      </c>
      <c r="BF4" s="26">
        <f t="shared" si="6"/>
        <v>11.94756396547972</v>
      </c>
      <c r="BG4" s="26">
        <f t="shared" si="6"/>
        <v>19.389403340994953</v>
      </c>
      <c r="BH4" s="26">
        <f t="shared" si="6"/>
        <v>28.450529446385357</v>
      </c>
      <c r="BI4" s="26">
        <f t="shared" si="6"/>
        <v>37.817763602108137</v>
      </c>
      <c r="BJ4" s="26">
        <f t="shared" si="7"/>
        <v>45.604984832166892</v>
      </c>
      <c r="BK4" s="26">
        <f t="shared" si="7"/>
        <v>49.949022434318614</v>
      </c>
      <c r="BL4" s="26">
        <f t="shared" si="7"/>
        <v>49.730603154253295</v>
      </c>
      <c r="BM4" s="26">
        <f t="shared" si="7"/>
        <v>45.041237950098697</v>
      </c>
      <c r="BN4" s="26">
        <f t="shared" si="7"/>
        <v>37.13106210225768</v>
      </c>
      <c r="BO4" s="26">
        <f t="shared" si="7"/>
        <v>27.874792362297505</v>
      </c>
      <c r="BP4" s="26">
        <f t="shared" si="7"/>
        <v>19.063634322681189</v>
      </c>
      <c r="BQ4" s="26">
        <f t="shared" si="7"/>
        <v>11.881330602261686</v>
      </c>
      <c r="BR4" s="26">
        <f t="shared" si="7"/>
        <v>6.7501535472018563</v>
      </c>
      <c r="BS4" s="26">
        <f t="shared" si="7"/>
        <v>3.4966946522446234</v>
      </c>
      <c r="BT4" s="26">
        <f t="shared" si="7"/>
        <v>1.651920536402061</v>
      </c>
      <c r="BU4" s="26">
        <f t="shared" si="7"/>
        <v>0.71184915167314777</v>
      </c>
      <c r="BV4" s="26">
        <f t="shared" si="7"/>
        <v>0.27984929874244135</v>
      </c>
      <c r="BW4" s="26">
        <f t="shared" si="7"/>
        <v>0.10038286929522476</v>
      </c>
      <c r="BX4" s="26">
        <f t="shared" si="7"/>
        <v>3.2858576153195644E-2</v>
      </c>
      <c r="BY4" s="26">
        <f t="shared" si="7"/>
        <v>9.8161280670890569E-3</v>
      </c>
      <c r="BZ4" s="26">
        <f t="shared" si="8"/>
        <v>2.6765628227385188E-3</v>
      </c>
      <c r="CA4" s="26">
        <f t="shared" si="8"/>
        <v>6.6619191854407457E-4</v>
      </c>
      <c r="CB4" s="26">
        <f t="shared" si="8"/>
        <v>1.513704286127949E-4</v>
      </c>
      <c r="CC4" s="26">
        <f t="shared" si="8"/>
        <v>3.1400327314201836E-5</v>
      </c>
    </row>
    <row r="5" spans="1:81" x14ac:dyDescent="0.25">
      <c r="A5" s="24" t="str">
        <f>CONCATENATE(TEXT(MONTH(A4),"00"),TEXT(DAY(A4),"00"),TEXT(MOD(YEAR(A4),100),"00"))</f>
        <v>011720</v>
      </c>
      <c r="B5" s="21">
        <f t="shared" ref="B5:B22" si="10">B4+(B4-B3)</f>
        <v>215</v>
      </c>
      <c r="C5" s="122">
        <f t="shared" si="1"/>
        <v>469.80572199859313</v>
      </c>
      <c r="D5" s="23">
        <f>AVERAGE(_xll.xlqBid(CONCATENATE($A$6,B5&amp;""),"TDA"),_xll.xlqAsk(CONCATENATE($A$6,B5&amp;""),"TDA"))</f>
        <v>7.45</v>
      </c>
      <c r="E5" s="23">
        <f t="shared" si="2"/>
        <v>7.45</v>
      </c>
      <c r="F5" s="174">
        <f t="shared" si="3"/>
        <v>-1</v>
      </c>
      <c r="G5" s="174">
        <f t="shared" si="3"/>
        <v>-1</v>
      </c>
      <c r="H5" s="174">
        <f t="shared" si="3"/>
        <v>-1</v>
      </c>
      <c r="I5" s="174">
        <f t="shared" si="3"/>
        <v>-1</v>
      </c>
      <c r="J5" s="174">
        <f t="shared" si="3"/>
        <v>-1</v>
      </c>
      <c r="K5" s="174">
        <f t="shared" si="3"/>
        <v>-1</v>
      </c>
      <c r="L5" s="174">
        <f t="shared" si="3"/>
        <v>-0.59731543624161076</v>
      </c>
      <c r="M5" s="174">
        <f t="shared" si="3"/>
        <v>-0.1946308724832215</v>
      </c>
      <c r="N5" s="174">
        <f t="shared" si="3"/>
        <v>0.20805369127516776</v>
      </c>
      <c r="O5" s="174">
        <f t="shared" si="3"/>
        <v>0.61073825503355705</v>
      </c>
      <c r="P5" s="174">
        <f t="shared" si="3"/>
        <v>1.0134228187919463</v>
      </c>
      <c r="Q5" s="174">
        <f t="shared" si="3"/>
        <v>1.4161073825503356</v>
      </c>
      <c r="R5" s="174">
        <f t="shared" si="3"/>
        <v>1.818791946308725</v>
      </c>
      <c r="S5" s="174">
        <f t="shared" si="3"/>
        <v>2.2214765100671143</v>
      </c>
      <c r="T5" s="174">
        <f t="shared" si="3"/>
        <v>2.6241610738255035</v>
      </c>
      <c r="U5" s="174">
        <f t="shared" si="3"/>
        <v>3.0268456375838926</v>
      </c>
      <c r="V5" s="174">
        <f t="shared" si="4"/>
        <v>3.4295302013422817</v>
      </c>
      <c r="W5" s="174">
        <f t="shared" si="4"/>
        <v>3.8322147651006713</v>
      </c>
      <c r="X5" s="174">
        <f t="shared" si="4"/>
        <v>4.2348993288590604</v>
      </c>
      <c r="Y5" s="174">
        <f t="shared" si="4"/>
        <v>4.6375838926174495</v>
      </c>
      <c r="Z5" s="174">
        <f t="shared" si="4"/>
        <v>5.0402684563758386</v>
      </c>
      <c r="AA5" s="174">
        <f t="shared" si="4"/>
        <v>5.4429530201342278</v>
      </c>
      <c r="AB5" s="174">
        <f t="shared" si="4"/>
        <v>5.8456375838926169</v>
      </c>
      <c r="AC5" s="174">
        <f t="shared" si="4"/>
        <v>6.248322147651006</v>
      </c>
      <c r="AD5" s="174">
        <f t="shared" si="4"/>
        <v>6.6510067114093951</v>
      </c>
      <c r="AE5" s="174">
        <f t="shared" si="4"/>
        <v>7.0536912751677843</v>
      </c>
      <c r="AF5" s="174">
        <f t="shared" si="4"/>
        <v>7.4563758389261743</v>
      </c>
      <c r="AG5" s="174">
        <f t="shared" si="4"/>
        <v>7.8590604026845634</v>
      </c>
      <c r="AH5" s="174">
        <f t="shared" si="4"/>
        <v>8.2617449664429525</v>
      </c>
      <c r="AI5" s="174">
        <f t="shared" si="4"/>
        <v>8.6644295302013425</v>
      </c>
      <c r="AJ5" s="174">
        <f t="shared" si="5"/>
        <v>9.0671140939597308</v>
      </c>
      <c r="AK5" s="174">
        <f t="shared" si="5"/>
        <v>9.4697986577181208</v>
      </c>
      <c r="AL5" s="174">
        <f t="shared" si="5"/>
        <v>9.872483221476509</v>
      </c>
      <c r="AM5" s="174">
        <f t="shared" si="5"/>
        <v>10.275167785234899</v>
      </c>
      <c r="AN5" s="174">
        <f t="shared" si="5"/>
        <v>10.677852348993287</v>
      </c>
      <c r="AO5" s="174">
        <f t="shared" si="5"/>
        <v>11.080536912751677</v>
      </c>
      <c r="AQ5" t="str">
        <f t="shared" si="9"/>
        <v>NVDA_011720C215</v>
      </c>
      <c r="AR5" t="str">
        <f>_xll.xlqName(AQ5,"TDA")</f>
        <v>NVDA Jan 17 2020 215 Call</v>
      </c>
      <c r="AT5" s="26">
        <f t="shared" si="6"/>
        <v>0</v>
      </c>
      <c r="AU5" s="26">
        <f t="shared" si="6"/>
        <v>0</v>
      </c>
      <c r="AV5" s="26">
        <f t="shared" si="6"/>
        <v>0</v>
      </c>
      <c r="AW5" s="26">
        <f t="shared" si="6"/>
        <v>0</v>
      </c>
      <c r="AX5" s="26">
        <f t="shared" si="6"/>
        <v>0</v>
      </c>
      <c r="AY5" s="26">
        <f t="shared" si="6"/>
        <v>0</v>
      </c>
      <c r="AZ5" s="26">
        <f t="shared" si="6"/>
        <v>2.8801069113356375E-2</v>
      </c>
      <c r="BA5" s="26">
        <f t="shared" si="6"/>
        <v>0.14381959318126103</v>
      </c>
      <c r="BB5" s="26">
        <f t="shared" si="6"/>
        <v>0.49226874503670748</v>
      </c>
      <c r="BC5" s="26">
        <f t="shared" si="6"/>
        <v>1.3688234709961373</v>
      </c>
      <c r="BD5" s="26">
        <f t="shared" si="6"/>
        <v>3.2611997263520114</v>
      </c>
      <c r="BE5" s="26">
        <f t="shared" si="6"/>
        <v>6.8169809554398819</v>
      </c>
      <c r="BF5" s="26">
        <f t="shared" si="6"/>
        <v>12.661518807505676</v>
      </c>
      <c r="BG5" s="26">
        <f t="shared" si="6"/>
        <v>21.054172755368743</v>
      </c>
      <c r="BH5" s="26">
        <f t="shared" si="6"/>
        <v>31.496669396548892</v>
      </c>
      <c r="BI5" s="26">
        <f t="shared" si="6"/>
        <v>42.531387061623057</v>
      </c>
      <c r="BJ5" s="26">
        <f t="shared" si="7"/>
        <v>51.964069170739087</v>
      </c>
      <c r="BK5" s="26">
        <f t="shared" si="7"/>
        <v>57.544806006340536</v>
      </c>
      <c r="BL5" s="26">
        <f t="shared" si="7"/>
        <v>57.835720523124493</v>
      </c>
      <c r="BM5" s="26">
        <f t="shared" si="7"/>
        <v>52.810738941633637</v>
      </c>
      <c r="BN5" s="26">
        <f t="shared" si="7"/>
        <v>43.847049509343883</v>
      </c>
      <c r="BO5" s="26">
        <f t="shared" si="7"/>
        <v>33.123597762162824</v>
      </c>
      <c r="BP5" s="26">
        <f t="shared" si="7"/>
        <v>22.779717882825118</v>
      </c>
      <c r="BQ5" s="26">
        <f t="shared" si="7"/>
        <v>14.26813868366245</v>
      </c>
      <c r="BR5" s="26">
        <f t="shared" si="7"/>
        <v>8.1424914541290203</v>
      </c>
      <c r="BS5" s="26">
        <f t="shared" si="7"/>
        <v>4.2350261508342211</v>
      </c>
      <c r="BT5" s="26">
        <f t="shared" si="7"/>
        <v>2.0080812560793508</v>
      </c>
      <c r="BU5" s="26">
        <f t="shared" si="7"/>
        <v>0.86822852859803634</v>
      </c>
      <c r="BV5" s="26">
        <f t="shared" si="7"/>
        <v>0.34237503313859635</v>
      </c>
      <c r="BW5" s="26">
        <f t="shared" si="7"/>
        <v>0.12315778507797297</v>
      </c>
      <c r="BX5" s="26">
        <f t="shared" si="7"/>
        <v>4.0418529601193888E-2</v>
      </c>
      <c r="BY5" s="26">
        <f t="shared" si="7"/>
        <v>1.2103674043425326E-2</v>
      </c>
      <c r="BZ5" s="26">
        <f t="shared" si="8"/>
        <v>3.3076877305662404E-3</v>
      </c>
      <c r="CA5" s="26">
        <f t="shared" si="8"/>
        <v>8.2499085184607442E-4</v>
      </c>
      <c r="CB5" s="26">
        <f t="shared" si="8"/>
        <v>1.8781616100530508E-4</v>
      </c>
      <c r="CC5" s="26">
        <f t="shared" si="8"/>
        <v>3.9031349988935449E-5</v>
      </c>
    </row>
    <row r="6" spans="1:81" x14ac:dyDescent="0.25">
      <c r="A6" s="222" t="str">
        <f>CONCATENATE(A1,"_",A5,"C")</f>
        <v>NVDA_011720C</v>
      </c>
      <c r="B6" s="21">
        <f t="shared" si="10"/>
        <v>220</v>
      </c>
      <c r="C6" s="122">
        <f t="shared" si="1"/>
        <v>545.52521413956708</v>
      </c>
      <c r="D6" s="23">
        <f>AVERAGE(_xll.xlqBid(CONCATENATE($A$6,B6&amp;""),"TDA"),_xll.xlqAsk(CONCATENATE($A$6,B6&amp;""),"TDA"))</f>
        <v>5.5</v>
      </c>
      <c r="E6" s="23">
        <f t="shared" si="2"/>
        <v>5.5</v>
      </c>
      <c r="F6" s="174">
        <f t="shared" si="3"/>
        <v>-1</v>
      </c>
      <c r="G6" s="174">
        <f t="shared" si="3"/>
        <v>-1</v>
      </c>
      <c r="H6" s="174">
        <f t="shared" si="3"/>
        <v>-1</v>
      </c>
      <c r="I6" s="174">
        <f t="shared" si="3"/>
        <v>-1</v>
      </c>
      <c r="J6" s="174">
        <f t="shared" si="3"/>
        <v>-1</v>
      </c>
      <c r="K6" s="175">
        <f t="shared" si="3"/>
        <v>-1</v>
      </c>
      <c r="L6" s="174">
        <f t="shared" si="3"/>
        <v>-1</v>
      </c>
      <c r="M6" s="174">
        <f t="shared" si="3"/>
        <v>-0.81818181818181823</v>
      </c>
      <c r="N6" s="174">
        <f t="shared" si="3"/>
        <v>-0.27272727272727271</v>
      </c>
      <c r="O6" s="174">
        <f t="shared" si="3"/>
        <v>0.27272727272727271</v>
      </c>
      <c r="P6" s="174">
        <f t="shared" si="3"/>
        <v>0.81818181818181823</v>
      </c>
      <c r="Q6" s="174">
        <f t="shared" si="3"/>
        <v>1.3636363636363635</v>
      </c>
      <c r="R6" s="174">
        <f t="shared" si="3"/>
        <v>1.9090909090909092</v>
      </c>
      <c r="S6" s="174">
        <f t="shared" si="3"/>
        <v>2.4545454545454546</v>
      </c>
      <c r="T6" s="174">
        <f t="shared" si="3"/>
        <v>3</v>
      </c>
      <c r="U6" s="174">
        <f t="shared" si="3"/>
        <v>3.5454545454545454</v>
      </c>
      <c r="V6" s="174">
        <f t="shared" si="4"/>
        <v>4.0909090909090908</v>
      </c>
      <c r="W6" s="174">
        <f t="shared" si="4"/>
        <v>4.6363636363636367</v>
      </c>
      <c r="X6" s="174">
        <f t="shared" si="4"/>
        <v>5.1818181818181817</v>
      </c>
      <c r="Y6" s="174">
        <f t="shared" si="4"/>
        <v>5.7272727272727275</v>
      </c>
      <c r="Z6" s="174">
        <f t="shared" si="4"/>
        <v>6.2727272727272725</v>
      </c>
      <c r="AA6" s="174">
        <f t="shared" si="4"/>
        <v>6.8181818181818183</v>
      </c>
      <c r="AB6" s="174">
        <f t="shared" si="4"/>
        <v>7.3636363636363633</v>
      </c>
      <c r="AC6" s="174">
        <f t="shared" si="4"/>
        <v>7.9090909090909092</v>
      </c>
      <c r="AD6" s="174">
        <f t="shared" si="4"/>
        <v>8.454545454545455</v>
      </c>
      <c r="AE6" s="174">
        <f t="shared" si="4"/>
        <v>9</v>
      </c>
      <c r="AF6" s="174">
        <f t="shared" si="4"/>
        <v>9.545454545454545</v>
      </c>
      <c r="AG6" s="174">
        <f t="shared" si="4"/>
        <v>10.090909090909092</v>
      </c>
      <c r="AH6" s="174">
        <f t="shared" si="4"/>
        <v>10.636363636363637</v>
      </c>
      <c r="AI6" s="174">
        <f t="shared" si="4"/>
        <v>11.181818181818182</v>
      </c>
      <c r="AJ6" s="174">
        <f t="shared" si="5"/>
        <v>11.727272727272727</v>
      </c>
      <c r="AK6" s="174">
        <f t="shared" si="5"/>
        <v>12.272727272727273</v>
      </c>
      <c r="AL6" s="174">
        <f t="shared" si="5"/>
        <v>12.818181818181818</v>
      </c>
      <c r="AM6" s="174">
        <f t="shared" si="5"/>
        <v>13.363636363636363</v>
      </c>
      <c r="AN6" s="174">
        <f t="shared" si="5"/>
        <v>13.909090909090908</v>
      </c>
      <c r="AO6" s="174">
        <f t="shared" si="5"/>
        <v>14.454545454545455</v>
      </c>
      <c r="AQ6" t="str">
        <f t="shared" si="9"/>
        <v>NVDA_011720C220</v>
      </c>
      <c r="AR6" t="str">
        <f>_xll.xlqName(AQ6,"TDA")</f>
        <v>NVDA Jan 17 2020 220 Call</v>
      </c>
      <c r="AT6" s="26">
        <f t="shared" si="6"/>
        <v>0</v>
      </c>
      <c r="AU6" s="26">
        <f t="shared" si="6"/>
        <v>0</v>
      </c>
      <c r="AV6" s="26">
        <f t="shared" si="6"/>
        <v>0</v>
      </c>
      <c r="AW6" s="26">
        <f t="shared" si="6"/>
        <v>0</v>
      </c>
      <c r="AX6" s="26">
        <f t="shared" si="6"/>
        <v>0</v>
      </c>
      <c r="AY6" s="26">
        <f t="shared" si="6"/>
        <v>0</v>
      </c>
      <c r="AZ6" s="26">
        <f t="shared" si="6"/>
        <v>0</v>
      </c>
      <c r="BA6" s="26">
        <f t="shared" si="6"/>
        <v>3.2468362703042257E-2</v>
      </c>
      <c r="BB6" s="26">
        <f t="shared" si="6"/>
        <v>0.29635572933522997</v>
      </c>
      <c r="BC6" s="26">
        <f t="shared" si="6"/>
        <v>1.081577939582554</v>
      </c>
      <c r="BD6" s="26">
        <f t="shared" si="6"/>
        <v>2.9449621771299985</v>
      </c>
      <c r="BE6" s="26">
        <f t="shared" si="6"/>
        <v>6.6689354094379025</v>
      </c>
      <c r="BF6" s="26">
        <f t="shared" si="6"/>
        <v>13.067125903503696</v>
      </c>
      <c r="BG6" s="26">
        <f t="shared" si="6"/>
        <v>22.577410253957915</v>
      </c>
      <c r="BH6" s="26">
        <f t="shared" si="6"/>
        <v>34.762990667302105</v>
      </c>
      <c r="BI6" s="26">
        <f t="shared" si="6"/>
        <v>48.008914183195714</v>
      </c>
      <c r="BJ6" s="26">
        <f t="shared" si="7"/>
        <v>59.722891619923821</v>
      </c>
      <c r="BK6" s="26">
        <f t="shared" si="7"/>
        <v>67.121075490729027</v>
      </c>
      <c r="BL6" s="26">
        <f t="shared" si="7"/>
        <v>68.297379993041659</v>
      </c>
      <c r="BM6" s="26">
        <f t="shared" si="7"/>
        <v>63.018528957841191</v>
      </c>
      <c r="BN6" s="26">
        <f t="shared" si="7"/>
        <v>52.793619207210007</v>
      </c>
      <c r="BO6" s="26">
        <f t="shared" si="7"/>
        <v>40.193729329957804</v>
      </c>
      <c r="BP6" s="26">
        <f t="shared" si="7"/>
        <v>27.831049263615572</v>
      </c>
      <c r="BQ6" s="26">
        <f t="shared" si="7"/>
        <v>17.537319954447739</v>
      </c>
      <c r="BR6" s="26">
        <f t="shared" si="7"/>
        <v>10.06188577138623</v>
      </c>
      <c r="BS6" s="26">
        <f t="shared" si="7"/>
        <v>5.2584908039524914</v>
      </c>
      <c r="BT6" s="26">
        <f t="shared" si="7"/>
        <v>2.5041613585913058</v>
      </c>
      <c r="BU6" s="26">
        <f t="shared" si="7"/>
        <v>1.086959930637404</v>
      </c>
      <c r="BV6" s="26">
        <f t="shared" si="7"/>
        <v>0.43015656337413111</v>
      </c>
      <c r="BW6" s="26">
        <f t="shared" si="7"/>
        <v>0.15523790005472277</v>
      </c>
      <c r="BX6" s="26">
        <f t="shared" si="7"/>
        <v>5.1098819847327552E-2</v>
      </c>
      <c r="BY6" s="26">
        <f t="shared" si="7"/>
        <v>1.5344016616589427E-2</v>
      </c>
      <c r="BZ6" s="26">
        <f t="shared" si="8"/>
        <v>4.2038446533032674E-3</v>
      </c>
      <c r="CA6" s="26">
        <f t="shared" si="8"/>
        <v>1.0509704888614871E-3</v>
      </c>
      <c r="CB6" s="26">
        <f t="shared" si="8"/>
        <v>2.3978451987072285E-4</v>
      </c>
      <c r="CC6" s="26">
        <f t="shared" si="8"/>
        <v>4.9932530061602781E-5</v>
      </c>
    </row>
    <row r="7" spans="1:81" x14ac:dyDescent="0.25">
      <c r="A7" s="242"/>
      <c r="B7" s="21">
        <f t="shared" si="10"/>
        <v>225</v>
      </c>
      <c r="C7" s="122">
        <f t="shared" si="1"/>
        <v>633.43318676403055</v>
      </c>
      <c r="D7" s="23">
        <f>AVERAGE(_xll.xlqBid(CONCATENATE($A$6,B7&amp;""),"TDA"),_xll.xlqAsk(CONCATENATE($A$6,B7&amp;""),"TDA"))</f>
        <v>3.95</v>
      </c>
      <c r="E7" s="23">
        <f t="shared" si="2"/>
        <v>3.95</v>
      </c>
      <c r="F7" s="174">
        <f t="shared" si="3"/>
        <v>-1</v>
      </c>
      <c r="G7" s="174">
        <f t="shared" si="3"/>
        <v>-1</v>
      </c>
      <c r="H7" s="174">
        <f t="shared" si="3"/>
        <v>-1</v>
      </c>
      <c r="I7" s="174">
        <f t="shared" si="3"/>
        <v>-1</v>
      </c>
      <c r="J7" s="174">
        <f t="shared" si="3"/>
        <v>-1</v>
      </c>
      <c r="K7" s="175">
        <f t="shared" si="3"/>
        <v>-1</v>
      </c>
      <c r="L7" s="174">
        <f t="shared" si="3"/>
        <v>-1</v>
      </c>
      <c r="M7" s="174">
        <f t="shared" si="3"/>
        <v>-1</v>
      </c>
      <c r="N7" s="174">
        <f t="shared" si="3"/>
        <v>-1</v>
      </c>
      <c r="O7" s="174">
        <f t="shared" si="3"/>
        <v>-0.49367088607594939</v>
      </c>
      <c r="P7" s="174">
        <f t="shared" si="3"/>
        <v>0.2658227848101265</v>
      </c>
      <c r="Q7" s="174">
        <f t="shared" si="3"/>
        <v>1.0253164556962024</v>
      </c>
      <c r="R7" s="174">
        <f t="shared" si="3"/>
        <v>1.7848101265822784</v>
      </c>
      <c r="S7" s="174">
        <f t="shared" si="3"/>
        <v>2.5443037974683547</v>
      </c>
      <c r="T7" s="174">
        <f t="shared" si="3"/>
        <v>3.3037974683544302</v>
      </c>
      <c r="U7" s="174">
        <f t="shared" si="3"/>
        <v>4.0632911392405067</v>
      </c>
      <c r="V7" s="174">
        <f t="shared" si="4"/>
        <v>4.8227848101265822</v>
      </c>
      <c r="W7" s="174">
        <f t="shared" si="4"/>
        <v>5.5822784810126578</v>
      </c>
      <c r="X7" s="174">
        <f t="shared" si="4"/>
        <v>6.3417721518987342</v>
      </c>
      <c r="Y7" s="174">
        <f t="shared" si="4"/>
        <v>7.1012658227848098</v>
      </c>
      <c r="Z7" s="174">
        <f t="shared" si="4"/>
        <v>7.8607594936708862</v>
      </c>
      <c r="AA7" s="174">
        <f t="shared" si="4"/>
        <v>8.6202531645569618</v>
      </c>
      <c r="AB7" s="174">
        <f t="shared" si="4"/>
        <v>9.3797468354430364</v>
      </c>
      <c r="AC7" s="174">
        <f t="shared" si="4"/>
        <v>10.139240506329113</v>
      </c>
      <c r="AD7" s="174">
        <f t="shared" si="4"/>
        <v>10.898734177215189</v>
      </c>
      <c r="AE7" s="174">
        <f t="shared" si="4"/>
        <v>11.658227848101264</v>
      </c>
      <c r="AF7" s="174">
        <f t="shared" si="4"/>
        <v>12.41772151898734</v>
      </c>
      <c r="AG7" s="174">
        <f t="shared" si="4"/>
        <v>13.177215189873417</v>
      </c>
      <c r="AH7" s="174">
        <f t="shared" si="4"/>
        <v>13.936708860759492</v>
      </c>
      <c r="AI7" s="174">
        <f t="shared" si="4"/>
        <v>14.696202531645568</v>
      </c>
      <c r="AJ7" s="174">
        <f t="shared" si="5"/>
        <v>15.455696202531644</v>
      </c>
      <c r="AK7" s="174">
        <f t="shared" si="5"/>
        <v>16.215189873417721</v>
      </c>
      <c r="AL7" s="174">
        <f t="shared" si="5"/>
        <v>16.974683544303797</v>
      </c>
      <c r="AM7" s="174">
        <f t="shared" si="5"/>
        <v>17.73417721518987</v>
      </c>
      <c r="AN7" s="174">
        <f t="shared" si="5"/>
        <v>18.493670886075947</v>
      </c>
      <c r="AO7" s="174">
        <f t="shared" si="5"/>
        <v>19.253164556962023</v>
      </c>
      <c r="AQ7" t="str">
        <f t="shared" si="9"/>
        <v>NVDA_011720C225</v>
      </c>
      <c r="AR7" t="str">
        <f>_xll.xlqName(AQ7,"TDA")</f>
        <v>NVDA Jan 17 2020 225 Call</v>
      </c>
      <c r="AT7" s="26">
        <f t="shared" si="6"/>
        <v>0</v>
      </c>
      <c r="AU7" s="26">
        <f t="shared" si="6"/>
        <v>0</v>
      </c>
      <c r="AV7" s="26">
        <f t="shared" si="6"/>
        <v>0</v>
      </c>
      <c r="AW7" s="26">
        <f t="shared" si="6"/>
        <v>0</v>
      </c>
      <c r="AX7" s="26">
        <f t="shared" si="6"/>
        <v>0</v>
      </c>
      <c r="AY7" s="26">
        <f t="shared" si="6"/>
        <v>0</v>
      </c>
      <c r="AZ7" s="26">
        <f t="shared" si="6"/>
        <v>0</v>
      </c>
      <c r="BA7" s="26">
        <f t="shared" si="6"/>
        <v>0</v>
      </c>
      <c r="BB7" s="26">
        <f t="shared" si="6"/>
        <v>0</v>
      </c>
      <c r="BC7" s="26">
        <f t="shared" si="6"/>
        <v>0.4302841712624989</v>
      </c>
      <c r="BD7" s="26">
        <f t="shared" si="6"/>
        <v>2.0502901233183528</v>
      </c>
      <c r="BE7" s="26">
        <f t="shared" si="6"/>
        <v>5.7143750343771718</v>
      </c>
      <c r="BF7" s="26">
        <f t="shared" si="6"/>
        <v>12.508878436107175</v>
      </c>
      <c r="BG7" s="26">
        <f t="shared" si="6"/>
        <v>23.164031839503792</v>
      </c>
      <c r="BH7" s="26">
        <f t="shared" si="6"/>
        <v>37.403217806590874</v>
      </c>
      <c r="BI7" s="26">
        <f t="shared" si="6"/>
        <v>53.478284153433208</v>
      </c>
      <c r="BJ7" s="26">
        <f t="shared" si="7"/>
        <v>68.308732277760967</v>
      </c>
      <c r="BK7" s="26">
        <f t="shared" si="7"/>
        <v>78.385576114122088</v>
      </c>
      <c r="BL7" s="26">
        <f t="shared" si="7"/>
        <v>81.112673930678667</v>
      </c>
      <c r="BM7" s="26">
        <f t="shared" si="7"/>
        <v>75.889573017995545</v>
      </c>
      <c r="BN7" s="26">
        <f t="shared" si="7"/>
        <v>64.321339856885615</v>
      </c>
      <c r="BO7" s="26">
        <f t="shared" si="7"/>
        <v>49.458283367448814</v>
      </c>
      <c r="BP7" s="26">
        <f t="shared" si="7"/>
        <v>34.539909790563073</v>
      </c>
      <c r="BQ7" s="26">
        <f t="shared" si="7"/>
        <v>21.927312988769579</v>
      </c>
      <c r="BR7" s="26">
        <f t="shared" si="7"/>
        <v>12.663084089110711</v>
      </c>
      <c r="BS7" s="26">
        <f t="shared" si="7"/>
        <v>6.6563174733575838</v>
      </c>
      <c r="BT7" s="26">
        <f t="shared" si="7"/>
        <v>3.1862201485349879</v>
      </c>
      <c r="BU7" s="26">
        <f t="shared" si="7"/>
        <v>1.3894320756850815</v>
      </c>
      <c r="BV7" s="26">
        <f t="shared" si="7"/>
        <v>0.55215903803364519</v>
      </c>
      <c r="BW7" s="26">
        <f t="shared" si="7"/>
        <v>0.20002313968887378</v>
      </c>
      <c r="BX7" s="26">
        <f t="shared" si="7"/>
        <v>6.606809437764774E-2</v>
      </c>
      <c r="BY7" s="26">
        <f t="shared" si="7"/>
        <v>1.9901724344041773E-2</v>
      </c>
      <c r="BZ7" s="26">
        <f t="shared" si="8"/>
        <v>5.4683588844601132E-3</v>
      </c>
      <c r="CA7" s="26">
        <f t="shared" si="8"/>
        <v>1.3707578560058493E-3</v>
      </c>
      <c r="CB7" s="26">
        <f t="shared" si="8"/>
        <v>3.135188149590958E-4</v>
      </c>
      <c r="CC7" s="26">
        <f t="shared" si="8"/>
        <v>6.5436524875964918E-5</v>
      </c>
    </row>
    <row r="8" spans="1:81" x14ac:dyDescent="0.25">
      <c r="A8" s="243"/>
      <c r="B8" s="21">
        <f t="shared" si="10"/>
        <v>230</v>
      </c>
      <c r="C8" s="122">
        <f t="shared" si="1"/>
        <v>726.25369399246301</v>
      </c>
      <c r="D8" s="23">
        <f>AVERAGE(_xll.xlqBid(CONCATENATE($A$6,B8&amp;""),"TDA"),_xll.xlqAsk(CONCATENATE($A$6,B8&amp;""),"TDA"))</f>
        <v>2.7650000000000001</v>
      </c>
      <c r="E8" s="23">
        <f>D8-MAX($A$2-B8,0)</f>
        <v>2.7650000000000001</v>
      </c>
      <c r="F8" s="174">
        <f t="shared" si="3"/>
        <v>-1</v>
      </c>
      <c r="G8" s="174">
        <f t="shared" si="3"/>
        <v>-1</v>
      </c>
      <c r="H8" s="174">
        <f t="shared" si="3"/>
        <v>-1</v>
      </c>
      <c r="I8" s="174">
        <f t="shared" si="3"/>
        <v>-1</v>
      </c>
      <c r="J8" s="174">
        <f t="shared" si="3"/>
        <v>-1</v>
      </c>
      <c r="K8" s="175">
        <f t="shared" si="3"/>
        <v>-1</v>
      </c>
      <c r="L8" s="174">
        <f t="shared" si="3"/>
        <v>-1</v>
      </c>
      <c r="M8" s="174">
        <f t="shared" si="3"/>
        <v>-1</v>
      </c>
      <c r="N8" s="174">
        <f t="shared" si="3"/>
        <v>-1</v>
      </c>
      <c r="O8" s="174">
        <f t="shared" si="3"/>
        <v>-1</v>
      </c>
      <c r="P8" s="174">
        <f t="shared" si="3"/>
        <v>-1</v>
      </c>
      <c r="Q8" s="174">
        <f t="shared" si="3"/>
        <v>8.4990958408679873E-2</v>
      </c>
      <c r="R8" s="174">
        <f t="shared" si="3"/>
        <v>1.1699819168173597</v>
      </c>
      <c r="S8" s="174">
        <f t="shared" si="3"/>
        <v>2.2549728752260396</v>
      </c>
      <c r="T8" s="174">
        <f t="shared" si="3"/>
        <v>3.3399638336347195</v>
      </c>
      <c r="U8" s="174">
        <f t="shared" si="3"/>
        <v>4.4249547920433994</v>
      </c>
      <c r="V8" s="174">
        <f t="shared" si="4"/>
        <v>5.5099457504520792</v>
      </c>
      <c r="W8" s="174">
        <f t="shared" si="4"/>
        <v>6.5949367088607591</v>
      </c>
      <c r="X8" s="174">
        <f t="shared" si="4"/>
        <v>7.679927667269439</v>
      </c>
      <c r="Y8" s="174">
        <f t="shared" si="4"/>
        <v>8.7649186256781189</v>
      </c>
      <c r="Z8" s="174">
        <f t="shared" si="4"/>
        <v>9.8499095840867987</v>
      </c>
      <c r="AA8" s="174">
        <f t="shared" si="4"/>
        <v>10.934900542495479</v>
      </c>
      <c r="AB8" s="174">
        <f t="shared" si="4"/>
        <v>12.019891500904158</v>
      </c>
      <c r="AC8" s="174">
        <f t="shared" si="4"/>
        <v>13.104882459312838</v>
      </c>
      <c r="AD8" s="174">
        <f t="shared" si="4"/>
        <v>14.189873417721518</v>
      </c>
      <c r="AE8" s="174">
        <f t="shared" si="4"/>
        <v>15.274864376130198</v>
      </c>
      <c r="AF8" s="174">
        <f t="shared" si="4"/>
        <v>16.359855334538878</v>
      </c>
      <c r="AG8" s="174">
        <f t="shared" si="4"/>
        <v>17.444846292947556</v>
      </c>
      <c r="AH8" s="174">
        <f t="shared" si="4"/>
        <v>18.529837251356238</v>
      </c>
      <c r="AI8" s="174">
        <f t="shared" si="4"/>
        <v>19.614828209764916</v>
      </c>
      <c r="AJ8" s="174">
        <f t="shared" si="5"/>
        <v>20.699819168173597</v>
      </c>
      <c r="AK8" s="174">
        <f t="shared" si="5"/>
        <v>21.784810126582276</v>
      </c>
      <c r="AL8" s="174">
        <f t="shared" si="5"/>
        <v>22.869801084990957</v>
      </c>
      <c r="AM8" s="174">
        <f t="shared" si="5"/>
        <v>23.954792043399635</v>
      </c>
      <c r="AN8" s="174">
        <f t="shared" si="5"/>
        <v>25.039783001808317</v>
      </c>
      <c r="AO8" s="174">
        <f t="shared" si="5"/>
        <v>26.124773960216995</v>
      </c>
      <c r="AQ8" t="str">
        <f t="shared" si="9"/>
        <v>NVDA_011720C230</v>
      </c>
      <c r="AR8" t="str">
        <f>_xll.xlqName(AQ8,"TDA")</f>
        <v>NVDA Jan 17 2020 230 Call</v>
      </c>
      <c r="AT8" s="26">
        <f t="shared" si="6"/>
        <v>0</v>
      </c>
      <c r="AU8" s="26">
        <f t="shared" si="6"/>
        <v>0</v>
      </c>
      <c r="AV8" s="26">
        <f t="shared" si="6"/>
        <v>0</v>
      </c>
      <c r="AW8" s="26">
        <f t="shared" si="6"/>
        <v>0</v>
      </c>
      <c r="AX8" s="26">
        <f t="shared" si="6"/>
        <v>0</v>
      </c>
      <c r="AY8" s="26">
        <f t="shared" si="6"/>
        <v>0</v>
      </c>
      <c r="AZ8" s="26">
        <f t="shared" si="6"/>
        <v>0</v>
      </c>
      <c r="BA8" s="26">
        <f t="shared" si="6"/>
        <v>0</v>
      </c>
      <c r="BB8" s="26">
        <f t="shared" si="6"/>
        <v>0</v>
      </c>
      <c r="BC8" s="26">
        <f t="shared" si="6"/>
        <v>0</v>
      </c>
      <c r="BD8" s="26">
        <f t="shared" si="6"/>
        <v>0</v>
      </c>
      <c r="BE8" s="26">
        <f t="shared" si="6"/>
        <v>3.0612723398449138</v>
      </c>
      <c r="BF8" s="26">
        <f t="shared" si="6"/>
        <v>9.7471780021614354</v>
      </c>
      <c r="BG8" s="26">
        <f t="shared" si="6"/>
        <v>21.273090464850423</v>
      </c>
      <c r="BH8" s="26">
        <f t="shared" si="6"/>
        <v>37.717530561268113</v>
      </c>
      <c r="BI8" s="26">
        <f t="shared" si="6"/>
        <v>57.298161592964149</v>
      </c>
      <c r="BJ8" s="26">
        <f t="shared" si="7"/>
        <v>76.370011242217231</v>
      </c>
      <c r="BK8" s="26">
        <f t="shared" si="7"/>
        <v>90.444895516294721</v>
      </c>
      <c r="BL8" s="26">
        <f t="shared" si="7"/>
        <v>95.89675735646739</v>
      </c>
      <c r="BM8" s="26">
        <f t="shared" si="7"/>
        <v>91.474038905619622</v>
      </c>
      <c r="BN8" s="26">
        <f t="shared" si="7"/>
        <v>78.760824314553815</v>
      </c>
      <c r="BO8" s="26">
        <f t="shared" si="7"/>
        <v>61.35802071901545</v>
      </c>
      <c r="BP8" s="26">
        <f t="shared" si="7"/>
        <v>43.325322385375294</v>
      </c>
      <c r="BQ8" s="26">
        <f t="shared" si="7"/>
        <v>27.765104109156287</v>
      </c>
      <c r="BR8" s="26">
        <f t="shared" si="7"/>
        <v>16.165639262694526</v>
      </c>
      <c r="BS8" s="26">
        <f t="shared" si="7"/>
        <v>8.5581224657454644</v>
      </c>
      <c r="BT8" s="26">
        <f t="shared" si="7"/>
        <v>4.1223333458134617</v>
      </c>
      <c r="BU8" s="26">
        <f t="shared" si="7"/>
        <v>1.8076794862229377</v>
      </c>
      <c r="BV8" s="26">
        <f t="shared" si="7"/>
        <v>0.72195128459604951</v>
      </c>
      <c r="BW8" s="26">
        <f t="shared" si="7"/>
        <v>0.26270320189552548</v>
      </c>
      <c r="BX8" s="26">
        <f t="shared" si="7"/>
        <v>8.7122761816678343E-2</v>
      </c>
      <c r="BY8" s="26">
        <f t="shared" si="7"/>
        <v>2.6340517514172931E-2</v>
      </c>
      <c r="BZ8" s="26">
        <f t="shared" si="8"/>
        <v>7.2618045548162469E-3</v>
      </c>
      <c r="CA8" s="26">
        <f t="shared" si="8"/>
        <v>1.8259129742162856E-3</v>
      </c>
      <c r="CB8" s="26">
        <f t="shared" si="8"/>
        <v>4.1880064335908903E-4</v>
      </c>
      <c r="CC8" s="26">
        <f t="shared" si="8"/>
        <v>8.7638202958881584E-5</v>
      </c>
    </row>
    <row r="9" spans="1:81" x14ac:dyDescent="0.25">
      <c r="A9" s="244"/>
      <c r="B9" s="21">
        <f t="shared" si="10"/>
        <v>235</v>
      </c>
      <c r="C9" s="122">
        <f t="shared" si="1"/>
        <v>809.29262109547221</v>
      </c>
      <c r="D9" s="23">
        <f>AVERAGE(_xll.xlqBid(CONCATENATE($A$6,B9&amp;""),"TDA"),_xll.xlqAsk(CONCATENATE($A$6,B9&amp;""),"TDA"))</f>
        <v>1.8900000000000001</v>
      </c>
      <c r="E9" s="23">
        <f t="shared" ref="E9:E22" si="11">D9-MAX($A$2-B9,0)</f>
        <v>1.8900000000000001</v>
      </c>
      <c r="F9" s="174">
        <f t="shared" si="3"/>
        <v>-1</v>
      </c>
      <c r="G9" s="174">
        <f t="shared" si="3"/>
        <v>-1</v>
      </c>
      <c r="H9" s="174">
        <f t="shared" si="3"/>
        <v>-1</v>
      </c>
      <c r="I9" s="174">
        <f t="shared" si="3"/>
        <v>-1</v>
      </c>
      <c r="J9" s="174">
        <f t="shared" si="3"/>
        <v>-1</v>
      </c>
      <c r="K9" s="175">
        <f t="shared" si="3"/>
        <v>-1</v>
      </c>
      <c r="L9" s="174">
        <f t="shared" si="3"/>
        <v>-1</v>
      </c>
      <c r="M9" s="174">
        <f t="shared" si="3"/>
        <v>-1</v>
      </c>
      <c r="N9" s="174">
        <f t="shared" si="3"/>
        <v>-1</v>
      </c>
      <c r="O9" s="174">
        <f t="shared" si="3"/>
        <v>-1</v>
      </c>
      <c r="P9" s="174">
        <f t="shared" si="3"/>
        <v>-1</v>
      </c>
      <c r="Q9" s="174">
        <f t="shared" si="3"/>
        <v>-1</v>
      </c>
      <c r="R9" s="174">
        <f t="shared" si="3"/>
        <v>-0.47089947089947093</v>
      </c>
      <c r="S9" s="174">
        <f t="shared" si="3"/>
        <v>1.1164021164021163</v>
      </c>
      <c r="T9" s="174">
        <f t="shared" si="3"/>
        <v>2.7037037037037033</v>
      </c>
      <c r="U9" s="174">
        <f t="shared" si="3"/>
        <v>4.2910052910052903</v>
      </c>
      <c r="V9" s="174">
        <f t="shared" si="4"/>
        <v>5.8783068783068773</v>
      </c>
      <c r="W9" s="174">
        <f t="shared" si="4"/>
        <v>7.4656084656084651</v>
      </c>
      <c r="X9" s="174">
        <f t="shared" si="4"/>
        <v>9.0529100529100521</v>
      </c>
      <c r="Y9" s="174">
        <f t="shared" si="4"/>
        <v>10.640211640211639</v>
      </c>
      <c r="Z9" s="174">
        <f t="shared" si="4"/>
        <v>12.227513227513226</v>
      </c>
      <c r="AA9" s="174">
        <f t="shared" si="4"/>
        <v>13.814814814814813</v>
      </c>
      <c r="AB9" s="174">
        <f t="shared" si="4"/>
        <v>15.4021164021164</v>
      </c>
      <c r="AC9" s="174">
        <f t="shared" si="4"/>
        <v>16.989417989417987</v>
      </c>
      <c r="AD9" s="174">
        <f t="shared" si="4"/>
        <v>18.576719576719576</v>
      </c>
      <c r="AE9" s="174">
        <f t="shared" si="4"/>
        <v>20.164021164021161</v>
      </c>
      <c r="AF9" s="174">
        <f t="shared" si="4"/>
        <v>21.75132275132275</v>
      </c>
      <c r="AG9" s="174">
        <f t="shared" si="4"/>
        <v>23.338624338624335</v>
      </c>
      <c r="AH9" s="174">
        <f t="shared" si="4"/>
        <v>24.925925925925924</v>
      </c>
      <c r="AI9" s="174">
        <f t="shared" si="4"/>
        <v>26.513227513227513</v>
      </c>
      <c r="AJ9" s="174">
        <f t="shared" si="5"/>
        <v>28.100529100529098</v>
      </c>
      <c r="AK9" s="174">
        <f t="shared" si="5"/>
        <v>29.687830687830687</v>
      </c>
      <c r="AL9" s="174">
        <f t="shared" si="5"/>
        <v>31.275132275132272</v>
      </c>
      <c r="AM9" s="174">
        <f t="shared" si="5"/>
        <v>32.862433862433861</v>
      </c>
      <c r="AN9" s="174">
        <f t="shared" si="5"/>
        <v>34.449735449735449</v>
      </c>
      <c r="AO9" s="174">
        <f t="shared" si="5"/>
        <v>36.037037037037031</v>
      </c>
      <c r="AQ9" t="str">
        <f t="shared" si="9"/>
        <v>NVDA_011720C235</v>
      </c>
      <c r="AR9" t="str">
        <f>_xll.xlqName(AQ9,"TDA")</f>
        <v>NVDA Jan 17 2020 235 Call</v>
      </c>
      <c r="AT9" s="26">
        <f t="shared" si="6"/>
        <v>0</v>
      </c>
      <c r="AU9" s="26">
        <f t="shared" si="6"/>
        <v>0</v>
      </c>
      <c r="AV9" s="26">
        <f t="shared" si="6"/>
        <v>0</v>
      </c>
      <c r="AW9" s="26">
        <f t="shared" si="6"/>
        <v>0</v>
      </c>
      <c r="AX9" s="26">
        <f t="shared" si="6"/>
        <v>0</v>
      </c>
      <c r="AY9" s="26">
        <f t="shared" si="6"/>
        <v>0</v>
      </c>
      <c r="AZ9" s="26">
        <f t="shared" si="6"/>
        <v>0</v>
      </c>
      <c r="BA9" s="26">
        <f t="shared" si="6"/>
        <v>0</v>
      </c>
      <c r="BB9" s="26">
        <f t="shared" si="6"/>
        <v>0</v>
      </c>
      <c r="BC9" s="26">
        <f t="shared" si="6"/>
        <v>0</v>
      </c>
      <c r="BD9" s="26">
        <f t="shared" si="6"/>
        <v>0</v>
      </c>
      <c r="BE9" s="26">
        <f t="shared" si="6"/>
        <v>0</v>
      </c>
      <c r="BF9" s="26">
        <f t="shared" si="6"/>
        <v>2.3766267350949177</v>
      </c>
      <c r="BG9" s="26">
        <f t="shared" si="6"/>
        <v>13.831885981260767</v>
      </c>
      <c r="BH9" s="26">
        <f t="shared" si="6"/>
        <v>32.187954321576022</v>
      </c>
      <c r="BI9" s="26">
        <f t="shared" si="6"/>
        <v>55.883392170915641</v>
      </c>
      <c r="BJ9" s="26">
        <f t="shared" si="7"/>
        <v>80.69135961497642</v>
      </c>
      <c r="BK9" s="26">
        <f t="shared" si="7"/>
        <v>100.81335796525266</v>
      </c>
      <c r="BL9" s="26">
        <f t="shared" si="7"/>
        <v>111.06561172226662</v>
      </c>
      <c r="BM9" s="26">
        <f t="shared" si="7"/>
        <v>109.04106969682229</v>
      </c>
      <c r="BN9" s="26">
        <f t="shared" si="7"/>
        <v>96.020140753854164</v>
      </c>
      <c r="BO9" s="26">
        <f t="shared" si="7"/>
        <v>76.163828187689191</v>
      </c>
      <c r="BP9" s="26">
        <f t="shared" si="7"/>
        <v>54.580100062646125</v>
      </c>
      <c r="BQ9" s="26">
        <f t="shared" si="7"/>
        <v>35.411713977774824</v>
      </c>
      <c r="BR9" s="26">
        <f t="shared" si="7"/>
        <v>20.834287286091755</v>
      </c>
      <c r="BS9" s="26">
        <f t="shared" si="7"/>
        <v>11.129081066566117</v>
      </c>
      <c r="BT9" s="26">
        <f t="shared" si="7"/>
        <v>5.4026104844630893</v>
      </c>
      <c r="BU9" s="26">
        <f t="shared" si="7"/>
        <v>2.3852967512469698</v>
      </c>
      <c r="BV9" s="26">
        <f t="shared" si="7"/>
        <v>0.95839280612870625</v>
      </c>
      <c r="BW9" s="26">
        <f t="shared" si="7"/>
        <v>0.35061233053502883</v>
      </c>
      <c r="BX9" s="26">
        <f t="shared" si="7"/>
        <v>0.11683592595477388</v>
      </c>
      <c r="BY9" s="26">
        <f t="shared" si="7"/>
        <v>3.5476852219265255E-2</v>
      </c>
      <c r="BZ9" s="26">
        <f t="shared" si="8"/>
        <v>9.8189214785801039E-3</v>
      </c>
      <c r="CA9" s="26">
        <f t="shared" si="8"/>
        <v>2.4776747175624106E-3</v>
      </c>
      <c r="CB9" s="26">
        <f t="shared" si="8"/>
        <v>5.7014192523139359E-4</v>
      </c>
      <c r="CC9" s="26">
        <f t="shared" si="8"/>
        <v>1.1966401539817657E-4</v>
      </c>
    </row>
    <row r="10" spans="1:81" x14ac:dyDescent="0.25">
      <c r="A10" s="245"/>
      <c r="B10" s="21">
        <f t="shared" si="10"/>
        <v>240</v>
      </c>
      <c r="C10" s="122">
        <f t="shared" si="1"/>
        <v>853.54482371248776</v>
      </c>
      <c r="D10" s="23">
        <f>AVERAGE(_xll.xlqBid(CONCATENATE($A$6,B10&amp;""),"TDA"),_xll.xlqAsk(CONCATENATE($A$6,B10&amp;""),"TDA"))</f>
        <v>1.27</v>
      </c>
      <c r="E10" s="23">
        <f t="shared" si="11"/>
        <v>1.27</v>
      </c>
      <c r="F10" s="174">
        <f t="shared" si="3"/>
        <v>-1</v>
      </c>
      <c r="G10" s="174">
        <f t="shared" si="3"/>
        <v>-1</v>
      </c>
      <c r="H10" s="174">
        <f t="shared" si="3"/>
        <v>-1</v>
      </c>
      <c r="I10" s="174">
        <f t="shared" si="3"/>
        <v>-1</v>
      </c>
      <c r="J10" s="174">
        <f t="shared" si="3"/>
        <v>-1</v>
      </c>
      <c r="K10" s="174">
        <f t="shared" si="3"/>
        <v>-1</v>
      </c>
      <c r="L10" s="174">
        <f t="shared" si="3"/>
        <v>-1</v>
      </c>
      <c r="M10" s="174">
        <f t="shared" si="3"/>
        <v>-1</v>
      </c>
      <c r="N10" s="174">
        <f t="shared" si="3"/>
        <v>-1</v>
      </c>
      <c r="O10" s="174">
        <f t="shared" si="3"/>
        <v>-1</v>
      </c>
      <c r="P10" s="174">
        <f t="shared" si="3"/>
        <v>-1</v>
      </c>
      <c r="Q10" s="174">
        <f t="shared" si="3"/>
        <v>-1</v>
      </c>
      <c r="R10" s="174">
        <f t="shared" si="3"/>
        <v>-1</v>
      </c>
      <c r="S10" s="174">
        <f t="shared" si="3"/>
        <v>-1</v>
      </c>
      <c r="T10" s="174">
        <f t="shared" si="3"/>
        <v>0.57480314960629919</v>
      </c>
      <c r="U10" s="174">
        <f t="shared" si="3"/>
        <v>2.9370078740157481</v>
      </c>
      <c r="V10" s="174">
        <f t="shared" si="4"/>
        <v>5.2992125984251972</v>
      </c>
      <c r="W10" s="174">
        <f t="shared" si="4"/>
        <v>7.6614173228346463</v>
      </c>
      <c r="X10" s="174">
        <f t="shared" si="4"/>
        <v>10.023622047244094</v>
      </c>
      <c r="Y10" s="174">
        <f t="shared" si="4"/>
        <v>12.385826771653543</v>
      </c>
      <c r="Z10" s="174">
        <f t="shared" si="4"/>
        <v>14.748031496062993</v>
      </c>
      <c r="AA10" s="174">
        <f t="shared" si="4"/>
        <v>17.110236220472441</v>
      </c>
      <c r="AB10" s="174">
        <f t="shared" si="4"/>
        <v>19.472440944881889</v>
      </c>
      <c r="AC10" s="174">
        <f t="shared" si="4"/>
        <v>21.834645669291337</v>
      </c>
      <c r="AD10" s="174">
        <f t="shared" si="4"/>
        <v>24.196850393700789</v>
      </c>
      <c r="AE10" s="174">
        <f t="shared" si="4"/>
        <v>26.559055118110233</v>
      </c>
      <c r="AF10" s="174">
        <f t="shared" si="4"/>
        <v>28.921259842519682</v>
      </c>
      <c r="AG10" s="174">
        <f t="shared" si="4"/>
        <v>31.28346456692913</v>
      </c>
      <c r="AH10" s="174">
        <f t="shared" si="4"/>
        <v>33.645669291338578</v>
      </c>
      <c r="AI10" s="174">
        <f t="shared" si="4"/>
        <v>36.00787401574803</v>
      </c>
      <c r="AJ10" s="174">
        <f t="shared" si="5"/>
        <v>38.370078740157474</v>
      </c>
      <c r="AK10" s="174">
        <f t="shared" si="5"/>
        <v>40.732283464566926</v>
      </c>
      <c r="AL10" s="174">
        <f t="shared" si="5"/>
        <v>43.094488188976378</v>
      </c>
      <c r="AM10" s="174">
        <f t="shared" si="5"/>
        <v>45.456692913385822</v>
      </c>
      <c r="AN10" s="174">
        <f t="shared" si="5"/>
        <v>47.818897637795274</v>
      </c>
      <c r="AO10" s="174">
        <f t="shared" si="5"/>
        <v>50.181102362204719</v>
      </c>
      <c r="AQ10" t="str">
        <f t="shared" si="9"/>
        <v>NVDA_011720C240</v>
      </c>
      <c r="AR10" t="str">
        <f>_xll.xlqName(AQ10,"TDA")</f>
        <v>NVDA Jan 17 2020 240 Call</v>
      </c>
      <c r="AT10" s="26">
        <f t="shared" si="6"/>
        <v>0</v>
      </c>
      <c r="AU10" s="26">
        <f t="shared" si="6"/>
        <v>0</v>
      </c>
      <c r="AV10" s="26">
        <f t="shared" si="6"/>
        <v>0</v>
      </c>
      <c r="AW10" s="26">
        <f t="shared" si="6"/>
        <v>0</v>
      </c>
      <c r="AX10" s="26">
        <f t="shared" si="6"/>
        <v>0</v>
      </c>
      <c r="AY10" s="26">
        <f t="shared" si="6"/>
        <v>0</v>
      </c>
      <c r="AZ10" s="26">
        <f t="shared" si="6"/>
        <v>0</v>
      </c>
      <c r="BA10" s="26">
        <f t="shared" si="6"/>
        <v>0</v>
      </c>
      <c r="BB10" s="26">
        <f t="shared" si="6"/>
        <v>0</v>
      </c>
      <c r="BC10" s="26">
        <f t="shared" si="6"/>
        <v>0</v>
      </c>
      <c r="BD10" s="26">
        <f t="shared" si="6"/>
        <v>0</v>
      </c>
      <c r="BE10" s="26">
        <f t="shared" si="6"/>
        <v>0</v>
      </c>
      <c r="BF10" s="26">
        <f t="shared" si="6"/>
        <v>0</v>
      </c>
      <c r="BG10" s="26">
        <f t="shared" si="6"/>
        <v>0</v>
      </c>
      <c r="BH10" s="26">
        <f t="shared" si="6"/>
        <v>13.686216798150435</v>
      </c>
      <c r="BI10" s="26">
        <f t="shared" si="6"/>
        <v>41.582524095681329</v>
      </c>
      <c r="BJ10" s="26">
        <f t="shared" si="7"/>
        <v>73.897841149512047</v>
      </c>
      <c r="BK10" s="26">
        <f t="shared" si="7"/>
        <v>103.1451629969293</v>
      </c>
      <c r="BL10" s="26">
        <f t="shared" si="7"/>
        <v>121.79014033034292</v>
      </c>
      <c r="BM10" s="26">
        <f t="shared" si="7"/>
        <v>125.39332746452757</v>
      </c>
      <c r="BN10" s="26">
        <f t="shared" si="7"/>
        <v>114.31689198411617</v>
      </c>
      <c r="BO10" s="26">
        <f t="shared" si="7"/>
        <v>93.105782095580707</v>
      </c>
      <c r="BP10" s="26">
        <f t="shared" si="7"/>
        <v>68.124615623023402</v>
      </c>
      <c r="BQ10" s="26">
        <f t="shared" si="7"/>
        <v>44.949422026906852</v>
      </c>
      <c r="BR10" s="26">
        <f t="shared" si="7"/>
        <v>26.815443606359423</v>
      </c>
      <c r="BS10" s="26">
        <f t="shared" si="7"/>
        <v>14.491903790420251</v>
      </c>
      <c r="BT10" s="26">
        <f t="shared" si="7"/>
        <v>7.1052093937765806</v>
      </c>
      <c r="BU10" s="26">
        <f t="shared" si="7"/>
        <v>3.1639275120528527</v>
      </c>
      <c r="BV10" s="26">
        <f t="shared" si="7"/>
        <v>1.280731893904278</v>
      </c>
      <c r="BW10" s="26">
        <f t="shared" si="7"/>
        <v>0.4716065009301425</v>
      </c>
      <c r="BX10" s="26">
        <f t="shared" si="7"/>
        <v>0.15806721550073199</v>
      </c>
      <c r="BY10" s="26">
        <f t="shared" si="7"/>
        <v>4.824485863160196E-2</v>
      </c>
      <c r="BZ10" s="26">
        <f t="shared" si="8"/>
        <v>1.3414672122020372E-2</v>
      </c>
      <c r="CA10" s="26">
        <f t="shared" si="8"/>
        <v>3.3991819359668355E-3</v>
      </c>
      <c r="CB10" s="26">
        <f t="shared" si="8"/>
        <v>7.8515960510770592E-4</v>
      </c>
      <c r="CC10" s="26">
        <f t="shared" si="8"/>
        <v>1.6536247797149599E-4</v>
      </c>
    </row>
    <row r="11" spans="1:81" x14ac:dyDescent="0.25">
      <c r="A11" s="244"/>
      <c r="B11" s="21">
        <f t="shared" si="10"/>
        <v>245</v>
      </c>
      <c r="C11" s="122">
        <f t="shared" si="1"/>
        <v>822.6593259096627</v>
      </c>
      <c r="D11" s="23">
        <f>AVERAGE(_xll.xlqBid(CONCATENATE($A$6,B11&amp;""),"TDA"),_xll.xlqAsk(CONCATENATE($A$6,B11&amp;""),"TDA"))</f>
        <v>0.84499999999999997</v>
      </c>
      <c r="E11" s="23">
        <f t="shared" si="11"/>
        <v>0.84499999999999997</v>
      </c>
      <c r="F11" s="174">
        <f t="shared" si="3"/>
        <v>-1</v>
      </c>
      <c r="G11" s="174">
        <f t="shared" si="3"/>
        <v>-1</v>
      </c>
      <c r="H11" s="174">
        <f t="shared" si="3"/>
        <v>-1</v>
      </c>
      <c r="I11" s="174">
        <f t="shared" si="3"/>
        <v>-1</v>
      </c>
      <c r="J11" s="174">
        <f t="shared" si="3"/>
        <v>-1</v>
      </c>
      <c r="K11" s="174">
        <f t="shared" si="3"/>
        <v>-1</v>
      </c>
      <c r="L11" s="174">
        <f t="shared" si="3"/>
        <v>-1</v>
      </c>
      <c r="M11" s="174">
        <f t="shared" si="3"/>
        <v>-1</v>
      </c>
      <c r="N11" s="174">
        <f t="shared" si="3"/>
        <v>-1</v>
      </c>
      <c r="O11" s="174">
        <f t="shared" si="3"/>
        <v>-1</v>
      </c>
      <c r="P11" s="174">
        <f t="shared" si="3"/>
        <v>-1</v>
      </c>
      <c r="Q11" s="174">
        <f t="shared" si="3"/>
        <v>-1</v>
      </c>
      <c r="R11" s="174">
        <f t="shared" si="3"/>
        <v>-1</v>
      </c>
      <c r="S11" s="174">
        <f t="shared" si="3"/>
        <v>-1</v>
      </c>
      <c r="T11" s="174">
        <f t="shared" si="3"/>
        <v>-1</v>
      </c>
      <c r="U11" s="174">
        <f t="shared" si="3"/>
        <v>-1</v>
      </c>
      <c r="V11" s="174">
        <f t="shared" si="4"/>
        <v>2.550295857988166</v>
      </c>
      <c r="W11" s="174">
        <f t="shared" si="4"/>
        <v>6.1005917159763321</v>
      </c>
      <c r="X11" s="174">
        <f t="shared" si="4"/>
        <v>9.6508875739644964</v>
      </c>
      <c r="Y11" s="174">
        <f t="shared" si="4"/>
        <v>13.201183431952662</v>
      </c>
      <c r="Z11" s="174">
        <f t="shared" si="4"/>
        <v>16.751479289940828</v>
      </c>
      <c r="AA11" s="174">
        <f t="shared" si="4"/>
        <v>20.301775147928996</v>
      </c>
      <c r="AB11" s="174">
        <f t="shared" si="4"/>
        <v>23.852071005917161</v>
      </c>
      <c r="AC11" s="174">
        <f t="shared" si="4"/>
        <v>27.402366863905328</v>
      </c>
      <c r="AD11" s="174">
        <f t="shared" si="4"/>
        <v>30.952662721893493</v>
      </c>
      <c r="AE11" s="174">
        <f t="shared" si="4"/>
        <v>34.502958579881657</v>
      </c>
      <c r="AF11" s="174">
        <f t="shared" si="4"/>
        <v>38.053254437869825</v>
      </c>
      <c r="AG11" s="174">
        <f t="shared" si="4"/>
        <v>41.603550295857993</v>
      </c>
      <c r="AH11" s="174">
        <f t="shared" si="4"/>
        <v>45.153846153846153</v>
      </c>
      <c r="AI11" s="174">
        <f t="shared" si="4"/>
        <v>48.704142011834321</v>
      </c>
      <c r="AJ11" s="174">
        <f t="shared" si="5"/>
        <v>52.254437869822489</v>
      </c>
      <c r="AK11" s="174">
        <f t="shared" si="5"/>
        <v>55.804733727810657</v>
      </c>
      <c r="AL11" s="174">
        <f t="shared" si="5"/>
        <v>59.355029585798817</v>
      </c>
      <c r="AM11" s="174">
        <f t="shared" si="5"/>
        <v>62.905325443786985</v>
      </c>
      <c r="AN11" s="174">
        <f t="shared" si="5"/>
        <v>66.455621301775153</v>
      </c>
      <c r="AO11" s="174">
        <f t="shared" si="5"/>
        <v>70.005917159763314</v>
      </c>
      <c r="AQ11" t="str">
        <f t="shared" si="9"/>
        <v>NVDA_011720C245</v>
      </c>
      <c r="AR11" t="str">
        <f>_xll.xlqName(AQ11,"TDA")</f>
        <v>NVDA Jan 17 2020 245 Call</v>
      </c>
      <c r="AT11" s="26">
        <f t="shared" si="6"/>
        <v>0</v>
      </c>
      <c r="AU11" s="26">
        <f t="shared" si="6"/>
        <v>0</v>
      </c>
      <c r="AV11" s="26">
        <f t="shared" si="6"/>
        <v>0</v>
      </c>
      <c r="AW11" s="26">
        <f t="shared" si="6"/>
        <v>0</v>
      </c>
      <c r="AX11" s="26">
        <f t="shared" si="6"/>
        <v>0</v>
      </c>
      <c r="AY11" s="26">
        <f t="shared" si="6"/>
        <v>0</v>
      </c>
      <c r="AZ11" s="26">
        <f t="shared" si="6"/>
        <v>0</v>
      </c>
      <c r="BA11" s="26">
        <f t="shared" si="6"/>
        <v>0</v>
      </c>
      <c r="BB11" s="26">
        <f t="shared" si="6"/>
        <v>0</v>
      </c>
      <c r="BC11" s="26">
        <f t="shared" si="6"/>
        <v>0</v>
      </c>
      <c r="BD11" s="26">
        <f t="shared" si="6"/>
        <v>0</v>
      </c>
      <c r="BE11" s="26">
        <f t="shared" si="6"/>
        <v>0</v>
      </c>
      <c r="BF11" s="26">
        <f t="shared" si="6"/>
        <v>0</v>
      </c>
      <c r="BG11" s="26">
        <f t="shared" si="6"/>
        <v>0</v>
      </c>
      <c r="BH11" s="26">
        <f t="shared" si="6"/>
        <v>0</v>
      </c>
      <c r="BI11" s="26">
        <f t="shared" si="6"/>
        <v>0</v>
      </c>
      <c r="BJ11" s="26">
        <f t="shared" si="7"/>
        <v>41.649522896396583</v>
      </c>
      <c r="BK11" s="26">
        <f t="shared" si="7"/>
        <v>84.557949654287384</v>
      </c>
      <c r="BL11" s="26">
        <f t="shared" si="7"/>
        <v>117.67213051359421</v>
      </c>
      <c r="BM11" s="26">
        <f t="shared" si="7"/>
        <v>133.03127814545078</v>
      </c>
      <c r="BN11" s="26">
        <f t="shared" si="7"/>
        <v>128.86016522469899</v>
      </c>
      <c r="BO11" s="26">
        <f t="shared" si="7"/>
        <v>109.5136701160265</v>
      </c>
      <c r="BP11" s="26">
        <f t="shared" si="7"/>
        <v>82.698384099500871</v>
      </c>
      <c r="BQ11" s="26">
        <f t="shared" si="7"/>
        <v>55.909340272602371</v>
      </c>
      <c r="BR11" s="26">
        <f t="shared" si="7"/>
        <v>34.005235253774579</v>
      </c>
      <c r="BS11" s="26">
        <f t="shared" si="7"/>
        <v>18.669198120541388</v>
      </c>
      <c r="BT11" s="26">
        <f t="shared" si="7"/>
        <v>9.2737254965174873</v>
      </c>
      <c r="BU11" s="26">
        <f t="shared" si="7"/>
        <v>4.1753432198313325</v>
      </c>
      <c r="BV11" s="26">
        <f t="shared" si="7"/>
        <v>1.7061498306906642</v>
      </c>
      <c r="BW11" s="26">
        <f t="shared" si="7"/>
        <v>0.63340024574125153</v>
      </c>
      <c r="BX11" s="26">
        <f t="shared" si="7"/>
        <v>0.21381162996134523</v>
      </c>
      <c r="BY11" s="26">
        <f t="shared" si="7"/>
        <v>6.5669455893322667E-2</v>
      </c>
      <c r="BZ11" s="26">
        <f t="shared" si="8"/>
        <v>1.8361545083331775E-2</v>
      </c>
      <c r="CA11" s="26">
        <f t="shared" si="8"/>
        <v>4.6758779895417837E-3</v>
      </c>
      <c r="CB11" s="26">
        <f t="shared" si="8"/>
        <v>1.0848960453091589E-3</v>
      </c>
      <c r="CC11" s="26">
        <f t="shared" si="8"/>
        <v>2.2941503543792436E-4</v>
      </c>
    </row>
    <row r="12" spans="1:81" x14ac:dyDescent="0.25">
      <c r="A12" s="242"/>
      <c r="B12" s="21">
        <f t="shared" si="10"/>
        <v>250</v>
      </c>
      <c r="C12" s="122">
        <f t="shared" si="1"/>
        <v>714.18964316536938</v>
      </c>
      <c r="D12" s="23">
        <f>AVERAGE(_xll.xlqBid(CONCATENATE($A$6,B12&amp;""),"TDA"),_xll.xlqAsk(CONCATENATE($A$6,B12&amp;""),"TDA"))</f>
        <v>0.56000000000000005</v>
      </c>
      <c r="E12" s="23">
        <f t="shared" si="11"/>
        <v>0.56000000000000005</v>
      </c>
      <c r="F12" s="174">
        <f t="shared" si="3"/>
        <v>-1</v>
      </c>
      <c r="G12" s="174">
        <f t="shared" si="3"/>
        <v>-1</v>
      </c>
      <c r="H12" s="174">
        <f t="shared" si="3"/>
        <v>-1</v>
      </c>
      <c r="I12" s="174">
        <f t="shared" si="3"/>
        <v>-1</v>
      </c>
      <c r="J12" s="174">
        <f t="shared" si="3"/>
        <v>-1</v>
      </c>
      <c r="K12" s="174">
        <f t="shared" si="3"/>
        <v>-1</v>
      </c>
      <c r="L12" s="174">
        <f t="shared" si="3"/>
        <v>-1</v>
      </c>
      <c r="M12" s="174">
        <f t="shared" si="3"/>
        <v>-1</v>
      </c>
      <c r="N12" s="174">
        <f t="shared" si="3"/>
        <v>-1</v>
      </c>
      <c r="O12" s="174">
        <f t="shared" si="3"/>
        <v>-1</v>
      </c>
      <c r="P12" s="174">
        <f t="shared" si="3"/>
        <v>-1</v>
      </c>
      <c r="Q12" s="174">
        <f t="shared" si="3"/>
        <v>-1</v>
      </c>
      <c r="R12" s="174">
        <f t="shared" si="3"/>
        <v>-1</v>
      </c>
      <c r="S12" s="174">
        <f t="shared" si="3"/>
        <v>-1</v>
      </c>
      <c r="T12" s="174">
        <f t="shared" si="3"/>
        <v>-1</v>
      </c>
      <c r="U12" s="174">
        <f t="shared" si="3"/>
        <v>-1</v>
      </c>
      <c r="V12" s="174">
        <f t="shared" si="4"/>
        <v>-1</v>
      </c>
      <c r="W12" s="174">
        <f t="shared" si="4"/>
        <v>0.78571428571428559</v>
      </c>
      <c r="X12" s="174">
        <f t="shared" si="4"/>
        <v>6.1428571428571423</v>
      </c>
      <c r="Y12" s="174">
        <f t="shared" si="4"/>
        <v>11.499999999999998</v>
      </c>
      <c r="Z12" s="174">
        <f t="shared" si="4"/>
        <v>16.857142857142854</v>
      </c>
      <c r="AA12" s="174">
        <f t="shared" si="4"/>
        <v>22.214285714285712</v>
      </c>
      <c r="AB12" s="174">
        <f t="shared" si="4"/>
        <v>27.571428571428569</v>
      </c>
      <c r="AC12" s="174">
        <f t="shared" si="4"/>
        <v>32.928571428571431</v>
      </c>
      <c r="AD12" s="174">
        <f t="shared" si="4"/>
        <v>38.285714285714285</v>
      </c>
      <c r="AE12" s="174">
        <f t="shared" si="4"/>
        <v>43.642857142857139</v>
      </c>
      <c r="AF12" s="174">
        <f t="shared" si="4"/>
        <v>49</v>
      </c>
      <c r="AG12" s="174">
        <f t="shared" si="4"/>
        <v>54.357142857142854</v>
      </c>
      <c r="AH12" s="174">
        <f t="shared" si="4"/>
        <v>59.714285714285701</v>
      </c>
      <c r="AI12" s="174">
        <f t="shared" si="4"/>
        <v>65.071428571428555</v>
      </c>
      <c r="AJ12" s="174">
        <f t="shared" si="5"/>
        <v>70.428571428571416</v>
      </c>
      <c r="AK12" s="174">
        <f t="shared" si="5"/>
        <v>75.785714285714278</v>
      </c>
      <c r="AL12" s="174">
        <f t="shared" si="5"/>
        <v>81.142857142857125</v>
      </c>
      <c r="AM12" s="174">
        <f t="shared" si="5"/>
        <v>86.499999999999986</v>
      </c>
      <c r="AN12" s="174">
        <f t="shared" si="5"/>
        <v>91.857142857142847</v>
      </c>
      <c r="AO12" s="174">
        <f t="shared" si="5"/>
        <v>97.214285714285694</v>
      </c>
      <c r="AQ12" t="str">
        <f t="shared" si="9"/>
        <v>NVDA_011720C250</v>
      </c>
      <c r="AR12" t="str">
        <f>_xll.xlqName(AQ12,"TDA")</f>
        <v>NVDA Jan 17 2020 250 Call</v>
      </c>
      <c r="AT12" s="26">
        <f t="shared" si="6"/>
        <v>0</v>
      </c>
      <c r="AU12" s="26">
        <f t="shared" si="6"/>
        <v>0</v>
      </c>
      <c r="AV12" s="26">
        <f t="shared" si="6"/>
        <v>0</v>
      </c>
      <c r="AW12" s="26">
        <f t="shared" si="6"/>
        <v>0</v>
      </c>
      <c r="AX12" s="26">
        <f t="shared" si="6"/>
        <v>0</v>
      </c>
      <c r="AY12" s="26">
        <f t="shared" si="6"/>
        <v>0</v>
      </c>
      <c r="AZ12" s="26">
        <f t="shared" si="6"/>
        <v>0</v>
      </c>
      <c r="BA12" s="26">
        <f t="shared" si="6"/>
        <v>0</v>
      </c>
      <c r="BB12" s="26">
        <f t="shared" si="6"/>
        <v>0</v>
      </c>
      <c r="BC12" s="26">
        <f t="shared" si="6"/>
        <v>0</v>
      </c>
      <c r="BD12" s="26">
        <f t="shared" si="6"/>
        <v>0</v>
      </c>
      <c r="BE12" s="26">
        <f t="shared" si="6"/>
        <v>0</v>
      </c>
      <c r="BF12" s="26">
        <f t="shared" si="6"/>
        <v>0</v>
      </c>
      <c r="BG12" s="26">
        <f t="shared" si="6"/>
        <v>0</v>
      </c>
      <c r="BH12" s="26">
        <f t="shared" si="6"/>
        <v>0</v>
      </c>
      <c r="BI12" s="26">
        <f t="shared" si="6"/>
        <v>0</v>
      </c>
      <c r="BJ12" s="26">
        <f t="shared" si="7"/>
        <v>0</v>
      </c>
      <c r="BK12" s="26">
        <f t="shared" si="7"/>
        <v>21.265317695795485</v>
      </c>
      <c r="BL12" s="26">
        <f t="shared" si="7"/>
        <v>78.915039907926285</v>
      </c>
      <c r="BM12" s="26">
        <f t="shared" si="7"/>
        <v>117.09523961761029</v>
      </c>
      <c r="BN12" s="26">
        <f t="shared" si="7"/>
        <v>129.62719001770313</v>
      </c>
      <c r="BO12" s="26">
        <f t="shared" si="7"/>
        <v>119.34599863338798</v>
      </c>
      <c r="BP12" s="26">
        <f t="shared" si="7"/>
        <v>95.075013012351334</v>
      </c>
      <c r="BQ12" s="26">
        <f t="shared" si="7"/>
        <v>66.787534083082676</v>
      </c>
      <c r="BR12" s="26">
        <f t="shared" si="7"/>
        <v>41.809346783576018</v>
      </c>
      <c r="BS12" s="26">
        <f t="shared" si="7"/>
        <v>23.475405374787908</v>
      </c>
      <c r="BT12" s="26">
        <f t="shared" si="7"/>
        <v>11.873178855389813</v>
      </c>
      <c r="BU12" s="26">
        <f t="shared" si="7"/>
        <v>5.4252537521568316</v>
      </c>
      <c r="BV12" s="26">
        <f t="shared" si="7"/>
        <v>2.2443994796585516</v>
      </c>
      <c r="BW12" s="26">
        <f t="shared" si="7"/>
        <v>0.84197528414541767</v>
      </c>
      <c r="BX12" s="26">
        <f t="shared" si="7"/>
        <v>0.28677909097989945</v>
      </c>
      <c r="BY12" s="26">
        <f t="shared" si="7"/>
        <v>8.8768589281394306E-2</v>
      </c>
      <c r="BZ12" s="26">
        <f t="shared" si="8"/>
        <v>2.4989959992615749E-2</v>
      </c>
      <c r="CA12" s="26">
        <f t="shared" si="8"/>
        <v>6.4022727565138061E-3</v>
      </c>
      <c r="CB12" s="26">
        <f t="shared" si="8"/>
        <v>1.4934314608673069E-3</v>
      </c>
      <c r="CC12" s="26">
        <f t="shared" si="8"/>
        <v>3.1732332654695034E-4</v>
      </c>
    </row>
    <row r="13" spans="1:81" x14ac:dyDescent="0.25">
      <c r="A13" s="29" t="s">
        <v>38</v>
      </c>
      <c r="B13" s="21">
        <f t="shared" si="10"/>
        <v>255</v>
      </c>
      <c r="C13" s="122">
        <f t="shared" si="1"/>
        <v>536.81495682350203</v>
      </c>
      <c r="D13" s="23">
        <f>AVERAGE(_xll.xlqBid(CONCATENATE($A$6,B13&amp;""),"TDA"),_xll.xlqAsk(CONCATENATE($A$6,B13&amp;""),"TDA"))</f>
        <v>0.37</v>
      </c>
      <c r="E13" s="23">
        <f t="shared" si="11"/>
        <v>0.37</v>
      </c>
      <c r="F13" s="174">
        <f t="shared" si="3"/>
        <v>-1</v>
      </c>
      <c r="G13" s="174">
        <f t="shared" si="3"/>
        <v>-1</v>
      </c>
      <c r="H13" s="174">
        <f t="shared" si="3"/>
        <v>-1</v>
      </c>
      <c r="I13" s="174">
        <f t="shared" si="3"/>
        <v>-1</v>
      </c>
      <c r="J13" s="174">
        <f t="shared" si="3"/>
        <v>-1</v>
      </c>
      <c r="K13" s="174">
        <f t="shared" si="3"/>
        <v>-1</v>
      </c>
      <c r="L13" s="174">
        <f t="shared" si="3"/>
        <v>-1</v>
      </c>
      <c r="M13" s="174">
        <f t="shared" si="3"/>
        <v>-1</v>
      </c>
      <c r="N13" s="174">
        <f t="shared" si="3"/>
        <v>-1</v>
      </c>
      <c r="O13" s="174">
        <f t="shared" si="3"/>
        <v>-1</v>
      </c>
      <c r="P13" s="174">
        <f t="shared" si="3"/>
        <v>-1</v>
      </c>
      <c r="Q13" s="174">
        <f t="shared" si="3"/>
        <v>-1</v>
      </c>
      <c r="R13" s="174">
        <f t="shared" si="3"/>
        <v>-1</v>
      </c>
      <c r="S13" s="174">
        <f t="shared" si="3"/>
        <v>-1</v>
      </c>
      <c r="T13" s="174">
        <f t="shared" si="3"/>
        <v>-1</v>
      </c>
      <c r="U13" s="174">
        <f t="shared" si="3"/>
        <v>-1</v>
      </c>
      <c r="V13" s="174">
        <f t="shared" si="4"/>
        <v>-1</v>
      </c>
      <c r="W13" s="174">
        <f t="shared" si="4"/>
        <v>-1</v>
      </c>
      <c r="X13" s="174">
        <f t="shared" si="4"/>
        <v>-1</v>
      </c>
      <c r="Y13" s="174">
        <f t="shared" si="4"/>
        <v>4.4054054054054053</v>
      </c>
      <c r="Z13" s="174">
        <f t="shared" si="4"/>
        <v>12.513513513513514</v>
      </c>
      <c r="AA13" s="174">
        <f t="shared" si="4"/>
        <v>20.621621621621621</v>
      </c>
      <c r="AB13" s="174">
        <f t="shared" si="4"/>
        <v>28.729729729729733</v>
      </c>
      <c r="AC13" s="174">
        <f t="shared" si="4"/>
        <v>36.837837837837839</v>
      </c>
      <c r="AD13" s="174">
        <f t="shared" si="4"/>
        <v>44.945945945945944</v>
      </c>
      <c r="AE13" s="174">
        <f t="shared" si="4"/>
        <v>53.054054054054049</v>
      </c>
      <c r="AF13" s="174">
        <f t="shared" si="4"/>
        <v>61.162162162162161</v>
      </c>
      <c r="AG13" s="174">
        <f t="shared" si="4"/>
        <v>69.270270270270274</v>
      </c>
      <c r="AH13" s="174">
        <f t="shared" si="4"/>
        <v>77.378378378378372</v>
      </c>
      <c r="AI13" s="174">
        <f t="shared" si="4"/>
        <v>85.486486486486484</v>
      </c>
      <c r="AJ13" s="174">
        <f t="shared" si="5"/>
        <v>93.594594594594597</v>
      </c>
      <c r="AK13" s="174">
        <f t="shared" si="5"/>
        <v>101.70270270270271</v>
      </c>
      <c r="AL13" s="174">
        <f t="shared" si="5"/>
        <v>109.81081081081082</v>
      </c>
      <c r="AM13" s="174">
        <f t="shared" si="5"/>
        <v>117.91891891891893</v>
      </c>
      <c r="AN13" s="174">
        <f t="shared" si="5"/>
        <v>126.02702702702703</v>
      </c>
      <c r="AO13" s="174">
        <f t="shared" si="5"/>
        <v>134.13513513513513</v>
      </c>
      <c r="AQ13" t="str">
        <f t="shared" si="9"/>
        <v>NVDA_011720C255</v>
      </c>
      <c r="AR13" t="str">
        <f>_xll.xlqName(AQ13,"TDA")</f>
        <v>NVDA Jan 17 2020 255 Call</v>
      </c>
      <c r="AT13" s="26">
        <f t="shared" si="6"/>
        <v>0</v>
      </c>
      <c r="AU13" s="26">
        <f t="shared" si="6"/>
        <v>0</v>
      </c>
      <c r="AV13" s="26">
        <f t="shared" si="6"/>
        <v>0</v>
      </c>
      <c r="AW13" s="26">
        <f t="shared" si="6"/>
        <v>0</v>
      </c>
      <c r="AX13" s="26">
        <f t="shared" si="6"/>
        <v>0</v>
      </c>
      <c r="AY13" s="26">
        <f t="shared" si="6"/>
        <v>0</v>
      </c>
      <c r="AZ13" s="26">
        <f t="shared" si="6"/>
        <v>0</v>
      </c>
      <c r="BA13" s="26">
        <f t="shared" si="6"/>
        <v>0</v>
      </c>
      <c r="BB13" s="26">
        <f t="shared" si="6"/>
        <v>0</v>
      </c>
      <c r="BC13" s="26">
        <f t="shared" si="6"/>
        <v>0</v>
      </c>
      <c r="BD13" s="26">
        <f t="shared" si="6"/>
        <v>0</v>
      </c>
      <c r="BE13" s="26">
        <f t="shared" si="6"/>
        <v>0</v>
      </c>
      <c r="BF13" s="26">
        <f t="shared" si="6"/>
        <v>0</v>
      </c>
      <c r="BG13" s="26">
        <f t="shared" si="6"/>
        <v>0</v>
      </c>
      <c r="BH13" s="26">
        <f t="shared" si="6"/>
        <v>0</v>
      </c>
      <c r="BI13" s="26">
        <f t="shared" si="6"/>
        <v>0</v>
      </c>
      <c r="BJ13" s="26">
        <f t="shared" si="7"/>
        <v>0</v>
      </c>
      <c r="BK13" s="26">
        <f t="shared" si="7"/>
        <v>0</v>
      </c>
      <c r="BL13" s="26">
        <f t="shared" si="7"/>
        <v>0</v>
      </c>
      <c r="BM13" s="26">
        <f t="shared" si="7"/>
        <v>50.635779294101752</v>
      </c>
      <c r="BN13" s="26">
        <f t="shared" si="7"/>
        <v>98.096251905288881</v>
      </c>
      <c r="BO13" s="26">
        <f t="shared" si="7"/>
        <v>111.15801951716803</v>
      </c>
      <c r="BP13" s="26">
        <f t="shared" si="7"/>
        <v>98.929405431771002</v>
      </c>
      <c r="BQ13" s="26">
        <f t="shared" si="7"/>
        <v>74.482826061361038</v>
      </c>
      <c r="BR13" s="26">
        <f t="shared" si="7"/>
        <v>48.89741785990708</v>
      </c>
      <c r="BS13" s="26">
        <f t="shared" si="7"/>
        <v>28.424274615959412</v>
      </c>
      <c r="BT13" s="26">
        <f t="shared" si="7"/>
        <v>14.761249387781929</v>
      </c>
      <c r="BU13" s="26">
        <f t="shared" si="7"/>
        <v>6.8868085990761534</v>
      </c>
      <c r="BV13" s="26">
        <f t="shared" si="7"/>
        <v>2.8973805683350466</v>
      </c>
      <c r="BW13" s="26">
        <f t="shared" si="7"/>
        <v>1.1021327313284066</v>
      </c>
      <c r="BX13" s="26">
        <f t="shared" si="7"/>
        <v>0.37978852589229939</v>
      </c>
      <c r="BY13" s="26">
        <f t="shared" si="7"/>
        <v>0.1187300804467675</v>
      </c>
      <c r="BZ13" s="26">
        <f t="shared" si="8"/>
        <v>3.3711485395444059E-2</v>
      </c>
      <c r="CA13" s="26">
        <f t="shared" si="8"/>
        <v>8.7011583408990751E-3</v>
      </c>
      <c r="CB13" s="26">
        <f t="shared" si="8"/>
        <v>2.0429893996895803E-3</v>
      </c>
      <c r="CC13" s="26">
        <f t="shared" si="8"/>
        <v>4.3661194807442815E-4</v>
      </c>
    </row>
    <row r="14" spans="1:81" x14ac:dyDescent="0.25">
      <c r="A14" s="27">
        <v>100</v>
      </c>
      <c r="B14" s="21">
        <f t="shared" si="10"/>
        <v>260</v>
      </c>
      <c r="C14" s="122">
        <f t="shared" si="1"/>
        <v>319.61068879645131</v>
      </c>
      <c r="D14" s="23">
        <f>AVERAGE(_xll.xlqBid(CONCATENATE($A$6,B14&amp;""),"TDA"),_xll.xlqAsk(CONCATENATE($A$6,B14&amp;""),"TDA"))</f>
        <v>0.255</v>
      </c>
      <c r="E14" s="23">
        <f t="shared" si="11"/>
        <v>0.255</v>
      </c>
      <c r="F14" s="174">
        <f t="shared" si="3"/>
        <v>-1</v>
      </c>
      <c r="G14" s="174">
        <f t="shared" si="3"/>
        <v>-1</v>
      </c>
      <c r="H14" s="174">
        <f t="shared" si="3"/>
        <v>-1</v>
      </c>
      <c r="I14" s="174">
        <f t="shared" si="3"/>
        <v>-1</v>
      </c>
      <c r="J14" s="174">
        <f t="shared" si="3"/>
        <v>-1</v>
      </c>
      <c r="K14" s="174">
        <f t="shared" si="3"/>
        <v>-1</v>
      </c>
      <c r="L14" s="174">
        <f t="shared" si="3"/>
        <v>-1</v>
      </c>
      <c r="M14" s="174">
        <f t="shared" si="3"/>
        <v>-1</v>
      </c>
      <c r="N14" s="174">
        <f t="shared" si="3"/>
        <v>-1</v>
      </c>
      <c r="O14" s="174">
        <f t="shared" si="3"/>
        <v>-1</v>
      </c>
      <c r="P14" s="174">
        <f t="shared" si="3"/>
        <v>-1</v>
      </c>
      <c r="Q14" s="174">
        <f t="shared" si="3"/>
        <v>-1</v>
      </c>
      <c r="R14" s="174">
        <f t="shared" si="3"/>
        <v>-1</v>
      </c>
      <c r="S14" s="174">
        <f t="shared" si="3"/>
        <v>-1</v>
      </c>
      <c r="T14" s="174">
        <f t="shared" si="3"/>
        <v>-1</v>
      </c>
      <c r="U14" s="174">
        <f t="shared" si="3"/>
        <v>-1</v>
      </c>
      <c r="V14" s="174">
        <f t="shared" si="4"/>
        <v>-1</v>
      </c>
      <c r="W14" s="174">
        <f t="shared" si="4"/>
        <v>-1</v>
      </c>
      <c r="X14" s="174">
        <f t="shared" si="4"/>
        <v>-1</v>
      </c>
      <c r="Y14" s="174">
        <f t="shared" si="4"/>
        <v>-1</v>
      </c>
      <c r="Z14" s="174">
        <f t="shared" si="4"/>
        <v>-1</v>
      </c>
      <c r="AA14" s="174">
        <f t="shared" si="4"/>
        <v>10.764705882352942</v>
      </c>
      <c r="AB14" s="174">
        <f t="shared" si="4"/>
        <v>22.529411764705884</v>
      </c>
      <c r="AC14" s="174">
        <f t="shared" si="4"/>
        <v>34.294117647058819</v>
      </c>
      <c r="AD14" s="174">
        <f t="shared" si="4"/>
        <v>46.058823529411761</v>
      </c>
      <c r="AE14" s="174">
        <f t="shared" si="4"/>
        <v>57.823529411764703</v>
      </c>
      <c r="AF14" s="174">
        <f t="shared" si="4"/>
        <v>69.588235294117652</v>
      </c>
      <c r="AG14" s="174">
        <f t="shared" si="4"/>
        <v>81.352941176470594</v>
      </c>
      <c r="AH14" s="174">
        <f t="shared" si="4"/>
        <v>93.117647058823536</v>
      </c>
      <c r="AI14" s="174">
        <f t="shared" si="4"/>
        <v>104.88235294117648</v>
      </c>
      <c r="AJ14" s="174">
        <f t="shared" si="5"/>
        <v>116.64705882352942</v>
      </c>
      <c r="AK14" s="174">
        <f t="shared" si="5"/>
        <v>128.41176470588235</v>
      </c>
      <c r="AL14" s="174">
        <f t="shared" si="5"/>
        <v>140.17647058823528</v>
      </c>
      <c r="AM14" s="174">
        <f t="shared" si="5"/>
        <v>151.94117647058823</v>
      </c>
      <c r="AN14" s="174">
        <f t="shared" si="5"/>
        <v>163.70588235294116</v>
      </c>
      <c r="AO14" s="174">
        <f t="shared" si="5"/>
        <v>175.47058823529412</v>
      </c>
      <c r="AQ14" t="str">
        <f t="shared" si="9"/>
        <v>NVDA_011720C260</v>
      </c>
      <c r="AR14" t="str">
        <f>_xll.xlqName(AQ14,"TDA")</f>
        <v>NVDA Jan 17 2020 260 Call</v>
      </c>
      <c r="AT14" s="26">
        <f t="shared" si="6"/>
        <v>0</v>
      </c>
      <c r="AU14" s="26">
        <f t="shared" si="6"/>
        <v>0</v>
      </c>
      <c r="AV14" s="26">
        <f t="shared" si="6"/>
        <v>0</v>
      </c>
      <c r="AW14" s="26">
        <f t="shared" si="6"/>
        <v>0</v>
      </c>
      <c r="AX14" s="26">
        <f t="shared" si="6"/>
        <v>0</v>
      </c>
      <c r="AY14" s="26">
        <f t="shared" si="6"/>
        <v>0</v>
      </c>
      <c r="AZ14" s="26">
        <f t="shared" si="6"/>
        <v>0</v>
      </c>
      <c r="BA14" s="26">
        <f t="shared" si="6"/>
        <v>0</v>
      </c>
      <c r="BB14" s="26">
        <f t="shared" si="6"/>
        <v>0</v>
      </c>
      <c r="BC14" s="26">
        <f t="shared" si="6"/>
        <v>0</v>
      </c>
      <c r="BD14" s="26">
        <f t="shared" si="6"/>
        <v>0</v>
      </c>
      <c r="BE14" s="26">
        <f t="shared" si="6"/>
        <v>0</v>
      </c>
      <c r="BF14" s="26">
        <f t="shared" si="6"/>
        <v>0</v>
      </c>
      <c r="BG14" s="26">
        <f t="shared" si="6"/>
        <v>0</v>
      </c>
      <c r="BH14" s="26">
        <f t="shared" si="6"/>
        <v>0</v>
      </c>
      <c r="BI14" s="26">
        <f t="shared" si="6"/>
        <v>0</v>
      </c>
      <c r="BJ14" s="26">
        <f t="shared" si="7"/>
        <v>0</v>
      </c>
      <c r="BK14" s="26">
        <f t="shared" si="7"/>
        <v>0</v>
      </c>
      <c r="BL14" s="26">
        <f t="shared" si="7"/>
        <v>0</v>
      </c>
      <c r="BM14" s="26">
        <f t="shared" si="7"/>
        <v>0</v>
      </c>
      <c r="BN14" s="26">
        <f t="shared" si="7"/>
        <v>0</v>
      </c>
      <c r="BO14" s="26">
        <f t="shared" si="7"/>
        <v>60.483040031400257</v>
      </c>
      <c r="BP14" s="26">
        <f t="shared" si="7"/>
        <v>78.297069539583461</v>
      </c>
      <c r="BQ14" s="26">
        <f t="shared" si="7"/>
        <v>69.47557725051324</v>
      </c>
      <c r="BR14" s="26">
        <f t="shared" si="7"/>
        <v>50.081784382465379</v>
      </c>
      <c r="BS14" s="26">
        <f t="shared" si="7"/>
        <v>30.932298846779361</v>
      </c>
      <c r="BT14" s="26">
        <f t="shared" si="7"/>
        <v>16.762134854667973</v>
      </c>
      <c r="BU14" s="26">
        <f t="shared" si="7"/>
        <v>8.0709657337589302</v>
      </c>
      <c r="BV14" s="26">
        <f t="shared" si="7"/>
        <v>3.4792074978790017</v>
      </c>
      <c r="BW14" s="26">
        <f t="shared" si="7"/>
        <v>1.3493022041630864</v>
      </c>
      <c r="BX14" s="26">
        <f t="shared" si="7"/>
        <v>0.47234203220218751</v>
      </c>
      <c r="BY14" s="26">
        <f t="shared" si="7"/>
        <v>0.14960725307069464</v>
      </c>
      <c r="BZ14" s="26">
        <f t="shared" si="8"/>
        <v>4.2949496457897154E-2</v>
      </c>
      <c r="CA14" s="26">
        <f t="shared" si="8"/>
        <v>1.1190527171049344E-2</v>
      </c>
      <c r="CB14" s="26">
        <f t="shared" si="8"/>
        <v>2.6489825007239109E-3</v>
      </c>
      <c r="CC14" s="26">
        <f t="shared" si="8"/>
        <v>5.7016383807366499E-4</v>
      </c>
    </row>
    <row r="15" spans="1:81" x14ac:dyDescent="0.25">
      <c r="A15" s="173"/>
      <c r="B15" s="21">
        <f t="shared" si="10"/>
        <v>265</v>
      </c>
      <c r="C15" s="122">
        <f t="shared" si="1"/>
        <v>164.96047561448356</v>
      </c>
      <c r="D15" s="23">
        <f>AVERAGE(_xll.xlqBid(CONCATENATE($A$6,B15&amp;""),"TDA"),_xll.xlqAsk(CONCATENATE($A$6,B15&amp;""),"TDA"))</f>
        <v>0.18</v>
      </c>
      <c r="E15" s="23">
        <f t="shared" si="11"/>
        <v>0.18</v>
      </c>
      <c r="F15" s="174">
        <f t="shared" si="3"/>
        <v>-1</v>
      </c>
      <c r="G15" s="174">
        <f t="shared" si="3"/>
        <v>-1</v>
      </c>
      <c r="H15" s="174">
        <f t="shared" si="3"/>
        <v>-1</v>
      </c>
      <c r="I15" s="174">
        <f t="shared" si="3"/>
        <v>-1</v>
      </c>
      <c r="J15" s="174">
        <f t="shared" si="3"/>
        <v>-1</v>
      </c>
      <c r="K15" s="174">
        <f t="shared" si="3"/>
        <v>-1</v>
      </c>
      <c r="L15" s="174">
        <f t="shared" si="3"/>
        <v>-1</v>
      </c>
      <c r="M15" s="174">
        <f t="shared" si="3"/>
        <v>-1</v>
      </c>
      <c r="N15" s="174">
        <f t="shared" si="3"/>
        <v>-1</v>
      </c>
      <c r="O15" s="174">
        <f t="shared" si="3"/>
        <v>-1</v>
      </c>
      <c r="P15" s="174">
        <f t="shared" si="3"/>
        <v>-1</v>
      </c>
      <c r="Q15" s="174">
        <f t="shared" si="3"/>
        <v>-1</v>
      </c>
      <c r="R15" s="174">
        <f t="shared" si="3"/>
        <v>-1</v>
      </c>
      <c r="S15" s="174">
        <f t="shared" si="3"/>
        <v>-1</v>
      </c>
      <c r="T15" s="174">
        <f t="shared" si="3"/>
        <v>-1</v>
      </c>
      <c r="U15" s="174">
        <f t="shared" si="3"/>
        <v>-1</v>
      </c>
      <c r="V15" s="174">
        <f t="shared" si="4"/>
        <v>-1</v>
      </c>
      <c r="W15" s="174">
        <f t="shared" si="4"/>
        <v>-1</v>
      </c>
      <c r="X15" s="174">
        <f t="shared" si="4"/>
        <v>-1</v>
      </c>
      <c r="Y15" s="174">
        <f t="shared" si="4"/>
        <v>-1</v>
      </c>
      <c r="Z15" s="174">
        <f t="shared" si="4"/>
        <v>-1</v>
      </c>
      <c r="AA15" s="174">
        <f t="shared" si="4"/>
        <v>-1</v>
      </c>
      <c r="AB15" s="174">
        <f t="shared" si="4"/>
        <v>4.5555555555555562</v>
      </c>
      <c r="AC15" s="174">
        <f t="shared" si="4"/>
        <v>21.222222222222221</v>
      </c>
      <c r="AD15" s="174">
        <f t="shared" si="4"/>
        <v>37.888888888888893</v>
      </c>
      <c r="AE15" s="174">
        <f t="shared" si="4"/>
        <v>54.555555555555557</v>
      </c>
      <c r="AF15" s="174">
        <f t="shared" si="4"/>
        <v>71.222222222222229</v>
      </c>
      <c r="AG15" s="174">
        <f t="shared" si="4"/>
        <v>87.8888888888889</v>
      </c>
      <c r="AH15" s="174">
        <f t="shared" si="4"/>
        <v>104.55555555555556</v>
      </c>
      <c r="AI15" s="174">
        <f t="shared" si="4"/>
        <v>121.22222222222223</v>
      </c>
      <c r="AJ15" s="174">
        <f t="shared" si="5"/>
        <v>137.88888888888889</v>
      </c>
      <c r="AK15" s="174">
        <f t="shared" si="5"/>
        <v>154.55555555555557</v>
      </c>
      <c r="AL15" s="174">
        <f t="shared" si="5"/>
        <v>171.22222222222223</v>
      </c>
      <c r="AM15" s="174">
        <f t="shared" si="5"/>
        <v>187.88888888888889</v>
      </c>
      <c r="AN15" s="174">
        <f t="shared" si="5"/>
        <v>204.55555555555557</v>
      </c>
      <c r="AO15" s="174">
        <f t="shared" si="5"/>
        <v>221.22222222222223</v>
      </c>
      <c r="AQ15" t="str">
        <f t="shared" si="9"/>
        <v>NVDA_011720C265</v>
      </c>
      <c r="AR15" t="str">
        <f>_xll.xlqName(AQ15,"TDA")</f>
        <v>NVDA Jan 17 2020 265 Call</v>
      </c>
      <c r="AT15" s="26">
        <f t="shared" si="6"/>
        <v>0</v>
      </c>
      <c r="AU15" s="26">
        <f t="shared" si="6"/>
        <v>0</v>
      </c>
      <c r="AV15" s="26">
        <f t="shared" si="6"/>
        <v>0</v>
      </c>
      <c r="AW15" s="26">
        <f t="shared" si="6"/>
        <v>0</v>
      </c>
      <c r="AX15" s="26">
        <f t="shared" si="6"/>
        <v>0</v>
      </c>
      <c r="AY15" s="26">
        <f t="shared" si="6"/>
        <v>0</v>
      </c>
      <c r="AZ15" s="26">
        <f t="shared" si="6"/>
        <v>0</v>
      </c>
      <c r="BA15" s="26">
        <f t="shared" si="6"/>
        <v>0</v>
      </c>
      <c r="BB15" s="26">
        <f t="shared" si="6"/>
        <v>0</v>
      </c>
      <c r="BC15" s="26">
        <f t="shared" si="6"/>
        <v>0</v>
      </c>
      <c r="BD15" s="26">
        <f t="shared" si="6"/>
        <v>0</v>
      </c>
      <c r="BE15" s="26">
        <f t="shared" si="6"/>
        <v>0</v>
      </c>
      <c r="BF15" s="26">
        <f t="shared" si="6"/>
        <v>0</v>
      </c>
      <c r="BG15" s="26">
        <f t="shared" si="6"/>
        <v>0</v>
      </c>
      <c r="BH15" s="26">
        <f t="shared" si="6"/>
        <v>0</v>
      </c>
      <c r="BI15" s="26">
        <f t="shared" si="6"/>
        <v>0</v>
      </c>
      <c r="BJ15" s="26">
        <f t="shared" si="7"/>
        <v>0</v>
      </c>
      <c r="BK15" s="26">
        <f t="shared" si="7"/>
        <v>0</v>
      </c>
      <c r="BL15" s="26">
        <f t="shared" si="7"/>
        <v>0</v>
      </c>
      <c r="BM15" s="26">
        <f t="shared" si="7"/>
        <v>0</v>
      </c>
      <c r="BN15" s="26">
        <f t="shared" si="7"/>
        <v>0</v>
      </c>
      <c r="BO15" s="26">
        <f t="shared" si="7"/>
        <v>0</v>
      </c>
      <c r="BP15" s="26">
        <f t="shared" si="7"/>
        <v>18.486808085734985</v>
      </c>
      <c r="BQ15" s="26">
        <f t="shared" si="7"/>
        <v>43.743881972545374</v>
      </c>
      <c r="BR15" s="26">
        <f t="shared" si="7"/>
        <v>41.387030149398484</v>
      </c>
      <c r="BS15" s="26">
        <f t="shared" si="7"/>
        <v>29.213837799736066</v>
      </c>
      <c r="BT15" s="26">
        <f t="shared" si="7"/>
        <v>17.150147235563065</v>
      </c>
      <c r="BU15" s="26">
        <f t="shared" si="7"/>
        <v>8.7115185697715454</v>
      </c>
      <c r="BV15" s="26">
        <f t="shared" si="7"/>
        <v>3.9020278535240194</v>
      </c>
      <c r="BW15" s="26">
        <f t="shared" si="7"/>
        <v>1.557527852953686</v>
      </c>
      <c r="BX15" s="26">
        <f t="shared" si="7"/>
        <v>0.55762601023869351</v>
      </c>
      <c r="BY15" s="26">
        <f t="shared" si="7"/>
        <v>0.1798309405597239</v>
      </c>
      <c r="BZ15" s="26">
        <f t="shared" si="8"/>
        <v>5.2394408873406954E-2</v>
      </c>
      <c r="CA15" s="26">
        <f t="shared" si="8"/>
        <v>1.382077928390282E-2</v>
      </c>
      <c r="CB15" s="26">
        <f t="shared" si="8"/>
        <v>3.305972208244723E-3</v>
      </c>
      <c r="CC15" s="26">
        <f t="shared" si="8"/>
        <v>7.1798409238905958E-4</v>
      </c>
    </row>
    <row r="16" spans="1:81" x14ac:dyDescent="0.25">
      <c r="A16" s="28"/>
      <c r="B16" s="21">
        <f t="shared" si="10"/>
        <v>270</v>
      </c>
      <c r="C16" s="122">
        <f t="shared" si="1"/>
        <v>71.55997747183163</v>
      </c>
      <c r="D16" s="23">
        <f>AVERAGE(_xll.xlqBid(CONCATENATE($A$6,B16&amp;""),"TDA"),_xll.xlqAsk(CONCATENATE($A$6,B16&amp;""),"TDA"))</f>
        <v>0.12</v>
      </c>
      <c r="E16" s="23">
        <f t="shared" si="11"/>
        <v>0.12</v>
      </c>
      <c r="F16" s="174">
        <f t="shared" si="3"/>
        <v>-1</v>
      </c>
      <c r="G16" s="174">
        <f t="shared" si="3"/>
        <v>-1</v>
      </c>
      <c r="H16" s="174">
        <f t="shared" si="3"/>
        <v>-1</v>
      </c>
      <c r="I16" s="174">
        <f t="shared" si="3"/>
        <v>-1</v>
      </c>
      <c r="J16" s="174">
        <f t="shared" si="3"/>
        <v>-1</v>
      </c>
      <c r="K16" s="174">
        <f t="shared" si="3"/>
        <v>-1</v>
      </c>
      <c r="L16" s="174">
        <f t="shared" si="3"/>
        <v>-1</v>
      </c>
      <c r="M16" s="174">
        <f t="shared" si="3"/>
        <v>-1</v>
      </c>
      <c r="N16" s="174">
        <f t="shared" si="3"/>
        <v>-1</v>
      </c>
      <c r="O16" s="174">
        <f t="shared" si="3"/>
        <v>-1</v>
      </c>
      <c r="P16" s="174">
        <f t="shared" si="3"/>
        <v>-1</v>
      </c>
      <c r="Q16" s="174">
        <f t="shared" si="3"/>
        <v>-1</v>
      </c>
      <c r="R16" s="174">
        <f t="shared" si="3"/>
        <v>-1</v>
      </c>
      <c r="S16" s="174">
        <f t="shared" si="3"/>
        <v>-1</v>
      </c>
      <c r="T16" s="174">
        <f t="shared" si="3"/>
        <v>-1</v>
      </c>
      <c r="U16" s="174">
        <f t="shared" si="3"/>
        <v>-1</v>
      </c>
      <c r="V16" s="174">
        <f t="shared" si="4"/>
        <v>-1</v>
      </c>
      <c r="W16" s="174">
        <f t="shared" si="4"/>
        <v>-1</v>
      </c>
      <c r="X16" s="174">
        <f t="shared" si="4"/>
        <v>-1</v>
      </c>
      <c r="Y16" s="174">
        <f t="shared" si="4"/>
        <v>-1</v>
      </c>
      <c r="Z16" s="174">
        <f t="shared" si="4"/>
        <v>-1</v>
      </c>
      <c r="AA16" s="174">
        <f t="shared" si="4"/>
        <v>-1</v>
      </c>
      <c r="AB16" s="174">
        <f t="shared" si="4"/>
        <v>-1</v>
      </c>
      <c r="AC16" s="174">
        <f t="shared" si="4"/>
        <v>-1</v>
      </c>
      <c r="AD16" s="174">
        <f t="shared" si="4"/>
        <v>15.666666666666666</v>
      </c>
      <c r="AE16" s="174">
        <f t="shared" si="4"/>
        <v>40.666666666666664</v>
      </c>
      <c r="AF16" s="174">
        <f t="shared" si="4"/>
        <v>65.666666666666671</v>
      </c>
      <c r="AG16" s="174">
        <f t="shared" si="4"/>
        <v>90.666666666666671</v>
      </c>
      <c r="AH16" s="174">
        <f t="shared" si="4"/>
        <v>115.66666666666667</v>
      </c>
      <c r="AI16" s="174">
        <f t="shared" si="4"/>
        <v>140.66666666666666</v>
      </c>
      <c r="AJ16" s="174">
        <f t="shared" si="5"/>
        <v>165.66666666666666</v>
      </c>
      <c r="AK16" s="174">
        <f t="shared" si="5"/>
        <v>190.66666666666666</v>
      </c>
      <c r="AL16" s="174">
        <f t="shared" si="5"/>
        <v>215.66666666666666</v>
      </c>
      <c r="AM16" s="174">
        <f t="shared" si="5"/>
        <v>240.66666666666666</v>
      </c>
      <c r="AN16" s="174">
        <f t="shared" si="5"/>
        <v>265.66666666666669</v>
      </c>
      <c r="AO16" s="174">
        <f t="shared" si="5"/>
        <v>290.66666666666669</v>
      </c>
      <c r="AQ16" t="str">
        <f t="shared" si="9"/>
        <v>NVDA_011720C270</v>
      </c>
      <c r="AR16" t="str">
        <f>_xll.xlqName(AQ16,"TDA")</f>
        <v>NVDA Jan 17 2020 270 Call</v>
      </c>
      <c r="AT16" s="26">
        <f t="shared" si="6"/>
        <v>0</v>
      </c>
      <c r="AU16" s="26">
        <f t="shared" si="6"/>
        <v>0</v>
      </c>
      <c r="AV16" s="26">
        <f t="shared" si="6"/>
        <v>0</v>
      </c>
      <c r="AW16" s="26">
        <f t="shared" si="6"/>
        <v>0</v>
      </c>
      <c r="AX16" s="26">
        <f t="shared" si="6"/>
        <v>0</v>
      </c>
      <c r="AY16" s="26">
        <f t="shared" si="6"/>
        <v>0</v>
      </c>
      <c r="AZ16" s="26">
        <f t="shared" si="6"/>
        <v>0</v>
      </c>
      <c r="BA16" s="26">
        <f t="shared" si="6"/>
        <v>0</v>
      </c>
      <c r="BB16" s="26">
        <f t="shared" si="6"/>
        <v>0</v>
      </c>
      <c r="BC16" s="26">
        <f t="shared" si="6"/>
        <v>0</v>
      </c>
      <c r="BD16" s="26">
        <f t="shared" si="6"/>
        <v>0</v>
      </c>
      <c r="BE16" s="26">
        <f t="shared" si="6"/>
        <v>0</v>
      </c>
      <c r="BF16" s="26">
        <f t="shared" si="6"/>
        <v>0</v>
      </c>
      <c r="BG16" s="26">
        <f t="shared" si="6"/>
        <v>0</v>
      </c>
      <c r="BH16" s="26">
        <f t="shared" si="6"/>
        <v>0</v>
      </c>
      <c r="BI16" s="26">
        <f t="shared" si="6"/>
        <v>0</v>
      </c>
      <c r="BJ16" s="26">
        <f t="shared" si="7"/>
        <v>0</v>
      </c>
      <c r="BK16" s="26">
        <f t="shared" si="7"/>
        <v>0</v>
      </c>
      <c r="BL16" s="26">
        <f t="shared" si="7"/>
        <v>0</v>
      </c>
      <c r="BM16" s="26">
        <f t="shared" si="7"/>
        <v>0</v>
      </c>
      <c r="BN16" s="26">
        <f t="shared" si="7"/>
        <v>0</v>
      </c>
      <c r="BO16" s="26">
        <f t="shared" si="7"/>
        <v>0</v>
      </c>
      <c r="BP16" s="26">
        <f t="shared" si="7"/>
        <v>0</v>
      </c>
      <c r="BQ16" s="26">
        <f t="shared" si="7"/>
        <v>0</v>
      </c>
      <c r="BR16" s="26">
        <f t="shared" si="7"/>
        <v>17.73729863545649</v>
      </c>
      <c r="BS16" s="26">
        <f t="shared" si="7"/>
        <v>21.910378349802045</v>
      </c>
      <c r="BT16" s="26">
        <f t="shared" si="7"/>
        <v>15.830905140519752</v>
      </c>
      <c r="BU16" s="26">
        <f t="shared" si="7"/>
        <v>8.9837535250769047</v>
      </c>
      <c r="BV16" s="26">
        <f t="shared" si="7"/>
        <v>4.3127676275791798</v>
      </c>
      <c r="BW16" s="26">
        <f t="shared" si="7"/>
        <v>1.8053163750144996</v>
      </c>
      <c r="BX16" s="26">
        <f t="shared" si="7"/>
        <v>0.66915121228643215</v>
      </c>
      <c r="BY16" s="26">
        <f t="shared" si="7"/>
        <v>0.22157740890394548</v>
      </c>
      <c r="BZ16" s="26">
        <f t="shared" si="8"/>
        <v>6.5915546647189377E-2</v>
      </c>
      <c r="CA16" s="26">
        <f t="shared" si="8"/>
        <v>1.7682467613228607E-2</v>
      </c>
      <c r="CB16" s="26">
        <f t="shared" si="8"/>
        <v>4.2888288106958565E-3</v>
      </c>
      <c r="CC16" s="26">
        <f t="shared" si="8"/>
        <v>9.4235412126064081E-4</v>
      </c>
    </row>
    <row r="17" spans="1:81" x14ac:dyDescent="0.25">
      <c r="A17" s="173"/>
      <c r="B17" s="21">
        <f t="shared" si="10"/>
        <v>275</v>
      </c>
      <c r="C17" s="122">
        <f t="shared" si="1"/>
        <v>20.841632750057553</v>
      </c>
      <c r="D17" s="23">
        <f>AVERAGE(_xll.xlqBid(CONCATENATE($A$6,B17&amp;""),"TDA"),_xll.xlqAsk(CONCATENATE($A$6,B17&amp;""),"TDA"))</f>
        <v>0.09</v>
      </c>
      <c r="E17" s="23">
        <f t="shared" si="11"/>
        <v>0.09</v>
      </c>
      <c r="F17" s="174">
        <f t="shared" si="3"/>
        <v>-1</v>
      </c>
      <c r="G17" s="174">
        <f t="shared" si="3"/>
        <v>-1</v>
      </c>
      <c r="H17" s="174">
        <f t="shared" si="3"/>
        <v>-1</v>
      </c>
      <c r="I17" s="174">
        <f t="shared" si="3"/>
        <v>-1</v>
      </c>
      <c r="J17" s="174">
        <f t="shared" si="3"/>
        <v>-1</v>
      </c>
      <c r="K17" s="174">
        <f t="shared" si="3"/>
        <v>-1</v>
      </c>
      <c r="L17" s="174">
        <f t="shared" si="3"/>
        <v>-1</v>
      </c>
      <c r="M17" s="174">
        <f t="shared" si="3"/>
        <v>-1</v>
      </c>
      <c r="N17" s="174">
        <f t="shared" si="3"/>
        <v>-1</v>
      </c>
      <c r="O17" s="174">
        <f t="shared" si="3"/>
        <v>-1</v>
      </c>
      <c r="P17" s="174">
        <f t="shared" si="3"/>
        <v>-1</v>
      </c>
      <c r="Q17" s="174">
        <f t="shared" si="3"/>
        <v>-1</v>
      </c>
      <c r="R17" s="174">
        <f t="shared" si="3"/>
        <v>-1</v>
      </c>
      <c r="S17" s="174">
        <f t="shared" si="3"/>
        <v>-1</v>
      </c>
      <c r="T17" s="174">
        <f t="shared" si="3"/>
        <v>-1</v>
      </c>
      <c r="U17" s="174">
        <f t="shared" ref="P17:AE22" si="12">(MAX(0,U$1-$B17)-$D17)/$D17</f>
        <v>-1</v>
      </c>
      <c r="V17" s="174">
        <f t="shared" si="12"/>
        <v>-1</v>
      </c>
      <c r="W17" s="174">
        <f t="shared" si="12"/>
        <v>-1</v>
      </c>
      <c r="X17" s="174">
        <f t="shared" si="12"/>
        <v>-1</v>
      </c>
      <c r="Y17" s="174">
        <f t="shared" si="12"/>
        <v>-1</v>
      </c>
      <c r="Z17" s="174">
        <f t="shared" si="4"/>
        <v>-1</v>
      </c>
      <c r="AA17" s="174">
        <f t="shared" si="4"/>
        <v>-1</v>
      </c>
      <c r="AB17" s="174">
        <f t="shared" si="4"/>
        <v>-1</v>
      </c>
      <c r="AC17" s="174">
        <f t="shared" si="4"/>
        <v>-1</v>
      </c>
      <c r="AD17" s="174">
        <f t="shared" si="4"/>
        <v>-1</v>
      </c>
      <c r="AE17" s="174">
        <f t="shared" si="4"/>
        <v>-1</v>
      </c>
      <c r="AF17" s="174">
        <f t="shared" si="4"/>
        <v>32.333333333333336</v>
      </c>
      <c r="AG17" s="174">
        <f t="shared" si="4"/>
        <v>65.666666666666671</v>
      </c>
      <c r="AH17" s="174">
        <f t="shared" si="4"/>
        <v>99</v>
      </c>
      <c r="AI17" s="174">
        <f t="shared" si="4"/>
        <v>132.33333333333334</v>
      </c>
      <c r="AJ17" s="174">
        <f t="shared" si="5"/>
        <v>165.66666666666669</v>
      </c>
      <c r="AK17" s="174">
        <f t="shared" si="5"/>
        <v>199</v>
      </c>
      <c r="AL17" s="174">
        <f t="shared" si="5"/>
        <v>232.33333333333334</v>
      </c>
      <c r="AM17" s="174">
        <f t="shared" si="5"/>
        <v>265.66666666666669</v>
      </c>
      <c r="AN17" s="174">
        <f t="shared" si="5"/>
        <v>299</v>
      </c>
      <c r="AO17" s="174">
        <f t="shared" si="5"/>
        <v>332.33333333333337</v>
      </c>
      <c r="AQ17" t="str">
        <f t="shared" si="9"/>
        <v>NVDA_011720C275</v>
      </c>
      <c r="AR17" t="str">
        <f>_xll.xlqName(AQ17,"TDA")</f>
        <v>NVDA Jan 17 2020 275 Call</v>
      </c>
      <c r="AT17" s="26">
        <f t="shared" si="6"/>
        <v>0</v>
      </c>
      <c r="AU17" s="26">
        <f t="shared" si="6"/>
        <v>0</v>
      </c>
      <c r="AV17" s="26">
        <f t="shared" si="6"/>
        <v>0</v>
      </c>
      <c r="AW17" s="26">
        <f t="shared" si="6"/>
        <v>0</v>
      </c>
      <c r="AX17" s="26">
        <f t="shared" si="6"/>
        <v>0</v>
      </c>
      <c r="AY17" s="26">
        <f t="shared" si="6"/>
        <v>0</v>
      </c>
      <c r="AZ17" s="26">
        <f t="shared" si="6"/>
        <v>0</v>
      </c>
      <c r="BA17" s="26">
        <f t="shared" si="6"/>
        <v>0</v>
      </c>
      <c r="BB17" s="26">
        <f t="shared" si="6"/>
        <v>0</v>
      </c>
      <c r="BC17" s="26">
        <f t="shared" si="6"/>
        <v>0</v>
      </c>
      <c r="BD17" s="26">
        <f t="shared" si="6"/>
        <v>0</v>
      </c>
      <c r="BE17" s="26">
        <f t="shared" si="6"/>
        <v>0</v>
      </c>
      <c r="BF17" s="26">
        <f t="shared" si="6"/>
        <v>0</v>
      </c>
      <c r="BG17" s="26">
        <f t="shared" si="6"/>
        <v>0</v>
      </c>
      <c r="BH17" s="26">
        <f t="shared" si="6"/>
        <v>0</v>
      </c>
      <c r="BI17" s="26">
        <f t="shared" ref="BI17:BX22" si="13">(1+U17)*$A$14*U$24</f>
        <v>0</v>
      </c>
      <c r="BJ17" s="26">
        <f t="shared" si="7"/>
        <v>0</v>
      </c>
      <c r="BK17" s="26">
        <f t="shared" si="7"/>
        <v>0</v>
      </c>
      <c r="BL17" s="26">
        <f t="shared" si="7"/>
        <v>0</v>
      </c>
      <c r="BM17" s="26">
        <f t="shared" si="7"/>
        <v>0</v>
      </c>
      <c r="BN17" s="26">
        <f t="shared" si="7"/>
        <v>0</v>
      </c>
      <c r="BO17" s="26">
        <f t="shared" si="7"/>
        <v>0</v>
      </c>
      <c r="BP17" s="26">
        <f t="shared" si="7"/>
        <v>0</v>
      </c>
      <c r="BQ17" s="26">
        <f t="shared" si="7"/>
        <v>0</v>
      </c>
      <c r="BR17" s="26">
        <f t="shared" si="7"/>
        <v>0</v>
      </c>
      <c r="BS17" s="26">
        <f t="shared" si="7"/>
        <v>0</v>
      </c>
      <c r="BT17" s="26">
        <f t="shared" si="7"/>
        <v>7.9154525702598759</v>
      </c>
      <c r="BU17" s="26">
        <f t="shared" si="7"/>
        <v>6.5336389273286581</v>
      </c>
      <c r="BV17" s="26">
        <f t="shared" si="7"/>
        <v>3.696657966496439</v>
      </c>
      <c r="BW17" s="26">
        <f t="shared" si="7"/>
        <v>1.6991212941312939</v>
      </c>
      <c r="BX17" s="26">
        <f t="shared" si="7"/>
        <v>0.66915121228643226</v>
      </c>
      <c r="BY17" s="26">
        <f t="shared" ref="BY17:BY22" si="14">(1+AK17)*$A$14*AK$24</f>
        <v>0.23121120929107356</v>
      </c>
      <c r="BZ17" s="26">
        <f t="shared" si="8"/>
        <v>7.0985973312357814E-2</v>
      </c>
      <c r="CA17" s="26">
        <f t="shared" si="8"/>
        <v>1.9511688400803983E-2</v>
      </c>
      <c r="CB17" s="26">
        <f t="shared" si="8"/>
        <v>4.8249324120328381E-3</v>
      </c>
      <c r="CC17" s="26">
        <f t="shared" si="8"/>
        <v>1.0769761385835894E-3</v>
      </c>
    </row>
    <row r="18" spans="1:81" x14ac:dyDescent="0.25">
      <c r="A18" s="173"/>
      <c r="B18" s="21">
        <f t="shared" si="10"/>
        <v>280</v>
      </c>
      <c r="C18" s="122">
        <f t="shared" si="1"/>
        <v>6.1068460128797106</v>
      </c>
      <c r="D18" s="23">
        <f>AVERAGE(_xll.xlqBid(CONCATENATE($A$6,B18&amp;""),"TDA"),_xll.xlqAsk(CONCATENATE($A$6,B18&amp;""),"TDA"))</f>
        <v>6.5000000000000002E-2</v>
      </c>
      <c r="E18" s="23">
        <f t="shared" si="11"/>
        <v>6.5000000000000002E-2</v>
      </c>
      <c r="F18" s="174">
        <f t="shared" ref="F18:O22" si="15">(MAX(0,F$1-$B18)-$D18)/$D18</f>
        <v>-1</v>
      </c>
      <c r="G18" s="174">
        <f t="shared" si="15"/>
        <v>-1</v>
      </c>
      <c r="H18" s="174">
        <f t="shared" si="15"/>
        <v>-1</v>
      </c>
      <c r="I18" s="174">
        <f t="shared" si="15"/>
        <v>-1</v>
      </c>
      <c r="J18" s="174">
        <f t="shared" si="15"/>
        <v>-1</v>
      </c>
      <c r="K18" s="174">
        <f t="shared" si="15"/>
        <v>-1</v>
      </c>
      <c r="L18" s="174">
        <f t="shared" si="15"/>
        <v>-1</v>
      </c>
      <c r="M18" s="174">
        <f t="shared" si="15"/>
        <v>-1</v>
      </c>
      <c r="N18" s="174">
        <f t="shared" si="15"/>
        <v>-1</v>
      </c>
      <c r="O18" s="174">
        <f t="shared" si="15"/>
        <v>-1</v>
      </c>
      <c r="P18" s="174">
        <f t="shared" si="12"/>
        <v>-1</v>
      </c>
      <c r="Q18" s="174">
        <f t="shared" si="12"/>
        <v>-1</v>
      </c>
      <c r="R18" s="174">
        <f t="shared" si="12"/>
        <v>-1</v>
      </c>
      <c r="S18" s="174">
        <f t="shared" si="12"/>
        <v>-1</v>
      </c>
      <c r="T18" s="174">
        <f t="shared" si="12"/>
        <v>-1</v>
      </c>
      <c r="U18" s="174">
        <f t="shared" si="12"/>
        <v>-1</v>
      </c>
      <c r="V18" s="174">
        <f t="shared" si="12"/>
        <v>-1</v>
      </c>
      <c r="W18" s="174">
        <f t="shared" si="12"/>
        <v>-1</v>
      </c>
      <c r="X18" s="174">
        <f t="shared" si="12"/>
        <v>-1</v>
      </c>
      <c r="Y18" s="174">
        <f t="shared" si="12"/>
        <v>-1</v>
      </c>
      <c r="Z18" s="174">
        <f t="shared" si="12"/>
        <v>-1</v>
      </c>
      <c r="AA18" s="174">
        <f t="shared" si="12"/>
        <v>-1</v>
      </c>
      <c r="AB18" s="174">
        <f t="shared" si="12"/>
        <v>-1</v>
      </c>
      <c r="AC18" s="174">
        <f t="shared" si="12"/>
        <v>-1</v>
      </c>
      <c r="AD18" s="174">
        <f t="shared" si="12"/>
        <v>-1</v>
      </c>
      <c r="AE18" s="174">
        <f t="shared" si="12"/>
        <v>-1</v>
      </c>
      <c r="AF18" s="174">
        <f t="shared" ref="Z18:AO22" si="16">(MAX(0,AF$1-$B18)-$D18)/$D18</f>
        <v>-1</v>
      </c>
      <c r="AG18" s="174">
        <f t="shared" si="16"/>
        <v>14.384615384615385</v>
      </c>
      <c r="AH18" s="174">
        <f t="shared" si="16"/>
        <v>60.53846153846154</v>
      </c>
      <c r="AI18" s="174">
        <f t="shared" si="16"/>
        <v>106.69230769230768</v>
      </c>
      <c r="AJ18" s="174">
        <f t="shared" si="16"/>
        <v>152.84615384615384</v>
      </c>
      <c r="AK18" s="174">
        <f t="shared" si="16"/>
        <v>199</v>
      </c>
      <c r="AL18" s="174">
        <f t="shared" si="16"/>
        <v>245.15384615384616</v>
      </c>
      <c r="AM18" s="174">
        <f t="shared" si="16"/>
        <v>291.30769230769226</v>
      </c>
      <c r="AN18" s="174">
        <f t="shared" si="16"/>
        <v>337.46153846153845</v>
      </c>
      <c r="AO18" s="174">
        <f t="shared" si="16"/>
        <v>383.61538461538458</v>
      </c>
      <c r="AQ18" t="str">
        <f t="shared" si="9"/>
        <v>NVDA_011720C280</v>
      </c>
      <c r="AR18" t="str">
        <f>_xll.xlqName(AQ18,"TDA")</f>
        <v>NVDA Jan 17 2020 280 Call</v>
      </c>
      <c r="AT18" s="26">
        <f t="shared" ref="AT18:BH22" si="17">(1+F18)*$A$14*F$24</f>
        <v>0</v>
      </c>
      <c r="AU18" s="26">
        <f t="shared" si="17"/>
        <v>0</v>
      </c>
      <c r="AV18" s="26">
        <f t="shared" si="17"/>
        <v>0</v>
      </c>
      <c r="AW18" s="26">
        <f t="shared" si="17"/>
        <v>0</v>
      </c>
      <c r="AX18" s="26">
        <f t="shared" si="17"/>
        <v>0</v>
      </c>
      <c r="AY18" s="26">
        <f t="shared" si="17"/>
        <v>0</v>
      </c>
      <c r="AZ18" s="26">
        <f t="shared" si="17"/>
        <v>0</v>
      </c>
      <c r="BA18" s="26">
        <f t="shared" si="17"/>
        <v>0</v>
      </c>
      <c r="BB18" s="26">
        <f t="shared" si="17"/>
        <v>0</v>
      </c>
      <c r="BC18" s="26">
        <f t="shared" si="17"/>
        <v>0</v>
      </c>
      <c r="BD18" s="26">
        <f t="shared" si="17"/>
        <v>0</v>
      </c>
      <c r="BE18" s="26">
        <f t="shared" si="17"/>
        <v>0</v>
      </c>
      <c r="BF18" s="26">
        <f t="shared" si="17"/>
        <v>0</v>
      </c>
      <c r="BG18" s="26">
        <f t="shared" si="17"/>
        <v>0</v>
      </c>
      <c r="BH18" s="26">
        <f t="shared" si="17"/>
        <v>0</v>
      </c>
      <c r="BI18" s="26">
        <f t="shared" si="13"/>
        <v>0</v>
      </c>
      <c r="BJ18" s="26">
        <f t="shared" si="13"/>
        <v>0</v>
      </c>
      <c r="BK18" s="26">
        <f t="shared" si="13"/>
        <v>0</v>
      </c>
      <c r="BL18" s="26">
        <f t="shared" si="13"/>
        <v>0</v>
      </c>
      <c r="BM18" s="26">
        <f t="shared" si="13"/>
        <v>0</v>
      </c>
      <c r="BN18" s="26">
        <f t="shared" si="13"/>
        <v>0</v>
      </c>
      <c r="BO18" s="26">
        <f t="shared" si="13"/>
        <v>0</v>
      </c>
      <c r="BP18" s="26">
        <f t="shared" si="13"/>
        <v>0</v>
      </c>
      <c r="BQ18" s="26">
        <f t="shared" si="13"/>
        <v>0</v>
      </c>
      <c r="BR18" s="26">
        <f t="shared" si="13"/>
        <v>0</v>
      </c>
      <c r="BS18" s="26">
        <f t="shared" si="13"/>
        <v>0</v>
      </c>
      <c r="BT18" s="26">
        <f t="shared" si="13"/>
        <v>0</v>
      </c>
      <c r="BU18" s="26">
        <f t="shared" si="13"/>
        <v>1.5077628293835366</v>
      </c>
      <c r="BV18" s="26">
        <f t="shared" si="13"/>
        <v>2.2748664409208859</v>
      </c>
      <c r="BW18" s="26">
        <f t="shared" si="13"/>
        <v>1.3723671991060447</v>
      </c>
      <c r="BX18" s="26">
        <f t="shared" si="13"/>
        <v>0.61767804211055288</v>
      </c>
      <c r="BY18" s="26">
        <f t="shared" si="14"/>
        <v>0.23121120929107356</v>
      </c>
      <c r="BZ18" s="26">
        <f t="shared" si="8"/>
        <v>7.4886301516333506E-2</v>
      </c>
      <c r="CA18" s="26">
        <f t="shared" si="8"/>
        <v>2.1387812285496671E-2</v>
      </c>
      <c r="CB18" s="26">
        <f t="shared" si="8"/>
        <v>5.4435134904985858E-3</v>
      </c>
      <c r="CC18" s="26">
        <f t="shared" si="8"/>
        <v>1.2426647752887569E-3</v>
      </c>
    </row>
    <row r="19" spans="1:81" x14ac:dyDescent="0.25">
      <c r="A19" s="24"/>
      <c r="B19" s="21">
        <f t="shared" si="10"/>
        <v>285</v>
      </c>
      <c r="C19" s="122">
        <f t="shared" si="1"/>
        <v>1.190373615945111</v>
      </c>
      <c r="D19" s="23">
        <f>AVERAGE(_xll.xlqBid(CONCATENATE($A$6,B19&amp;""),"TDA"),_xll.xlqAsk(CONCATENATE($A$6,B19&amp;""),"TDA"))</f>
        <v>0.05</v>
      </c>
      <c r="E19" s="23">
        <f t="shared" si="11"/>
        <v>0.05</v>
      </c>
      <c r="F19" s="174">
        <f t="shared" si="15"/>
        <v>-1</v>
      </c>
      <c r="G19" s="174">
        <f t="shared" si="15"/>
        <v>-1</v>
      </c>
      <c r="H19" s="174">
        <f t="shared" si="15"/>
        <v>-1</v>
      </c>
      <c r="I19" s="174">
        <f t="shared" si="15"/>
        <v>-1</v>
      </c>
      <c r="J19" s="174">
        <f t="shared" si="15"/>
        <v>-1</v>
      </c>
      <c r="K19" s="174">
        <f t="shared" si="15"/>
        <v>-1</v>
      </c>
      <c r="L19" s="174">
        <f t="shared" si="15"/>
        <v>-1</v>
      </c>
      <c r="M19" s="174">
        <f t="shared" si="15"/>
        <v>-1</v>
      </c>
      <c r="N19" s="174">
        <f t="shared" si="15"/>
        <v>-1</v>
      </c>
      <c r="O19" s="174">
        <f t="shared" si="15"/>
        <v>-1</v>
      </c>
      <c r="P19" s="174">
        <f t="shared" si="12"/>
        <v>-1</v>
      </c>
      <c r="Q19" s="174">
        <f t="shared" si="12"/>
        <v>-1</v>
      </c>
      <c r="R19" s="174">
        <f t="shared" si="12"/>
        <v>-1</v>
      </c>
      <c r="S19" s="174">
        <f t="shared" si="12"/>
        <v>-1</v>
      </c>
      <c r="T19" s="174">
        <f t="shared" si="12"/>
        <v>-1</v>
      </c>
      <c r="U19" s="174">
        <f t="shared" si="12"/>
        <v>-1</v>
      </c>
      <c r="V19" s="174">
        <f t="shared" si="12"/>
        <v>-1</v>
      </c>
      <c r="W19" s="174">
        <f t="shared" si="12"/>
        <v>-1</v>
      </c>
      <c r="X19" s="174">
        <f t="shared" si="12"/>
        <v>-1</v>
      </c>
      <c r="Y19" s="174">
        <f t="shared" si="12"/>
        <v>-1</v>
      </c>
      <c r="Z19" s="174">
        <f t="shared" si="16"/>
        <v>-1</v>
      </c>
      <c r="AA19" s="174">
        <f t="shared" si="16"/>
        <v>-1</v>
      </c>
      <c r="AB19" s="174">
        <f t="shared" si="16"/>
        <v>-1</v>
      </c>
      <c r="AC19" s="174">
        <f t="shared" si="16"/>
        <v>-1</v>
      </c>
      <c r="AD19" s="174">
        <f t="shared" si="16"/>
        <v>-1</v>
      </c>
      <c r="AE19" s="174">
        <f t="shared" si="16"/>
        <v>-1</v>
      </c>
      <c r="AF19" s="174">
        <f t="shared" si="16"/>
        <v>-1</v>
      </c>
      <c r="AG19" s="174">
        <f t="shared" si="16"/>
        <v>-1</v>
      </c>
      <c r="AH19" s="174">
        <f t="shared" si="16"/>
        <v>-1</v>
      </c>
      <c r="AI19" s="174">
        <f t="shared" si="16"/>
        <v>39</v>
      </c>
      <c r="AJ19" s="174">
        <f t="shared" si="16"/>
        <v>99</v>
      </c>
      <c r="AK19" s="174">
        <f t="shared" si="16"/>
        <v>159</v>
      </c>
      <c r="AL19" s="174">
        <f t="shared" si="16"/>
        <v>218.99999999999997</v>
      </c>
      <c r="AM19" s="174">
        <f t="shared" si="16"/>
        <v>278.99999999999994</v>
      </c>
      <c r="AN19" s="174">
        <f t="shared" si="16"/>
        <v>338.99999999999994</v>
      </c>
      <c r="AO19" s="174">
        <f t="shared" si="16"/>
        <v>398.99999999999994</v>
      </c>
      <c r="AQ19" t="str">
        <f t="shared" si="9"/>
        <v>NVDA_011720C285</v>
      </c>
      <c r="AR19" t="str">
        <f>_xll.xlqName(AQ19,"TDA")</f>
        <v>NVDA Jan 17 2020 285 Call</v>
      </c>
      <c r="AT19" s="26">
        <f t="shared" si="17"/>
        <v>0</v>
      </c>
      <c r="AU19" s="26">
        <f t="shared" si="17"/>
        <v>0</v>
      </c>
      <c r="AV19" s="26">
        <f t="shared" si="17"/>
        <v>0</v>
      </c>
      <c r="AW19" s="26">
        <f t="shared" si="17"/>
        <v>0</v>
      </c>
      <c r="AX19" s="26">
        <f t="shared" si="17"/>
        <v>0</v>
      </c>
      <c r="AY19" s="26">
        <f t="shared" si="17"/>
        <v>0</v>
      </c>
      <c r="AZ19" s="26">
        <f t="shared" si="17"/>
        <v>0</v>
      </c>
      <c r="BA19" s="26">
        <f t="shared" si="17"/>
        <v>0</v>
      </c>
      <c r="BB19" s="26">
        <f t="shared" si="17"/>
        <v>0</v>
      </c>
      <c r="BC19" s="26">
        <f t="shared" si="17"/>
        <v>0</v>
      </c>
      <c r="BD19" s="26">
        <f t="shared" si="17"/>
        <v>0</v>
      </c>
      <c r="BE19" s="26">
        <f t="shared" si="17"/>
        <v>0</v>
      </c>
      <c r="BF19" s="26">
        <f t="shared" si="17"/>
        <v>0</v>
      </c>
      <c r="BG19" s="26">
        <f t="shared" si="17"/>
        <v>0</v>
      </c>
      <c r="BH19" s="26">
        <f t="shared" si="17"/>
        <v>0</v>
      </c>
      <c r="BI19" s="26">
        <f t="shared" si="13"/>
        <v>0</v>
      </c>
      <c r="BJ19" s="26">
        <f t="shared" si="13"/>
        <v>0</v>
      </c>
      <c r="BK19" s="26">
        <f t="shared" si="13"/>
        <v>0</v>
      </c>
      <c r="BL19" s="26">
        <f t="shared" si="13"/>
        <v>0</v>
      </c>
      <c r="BM19" s="26">
        <f t="shared" si="13"/>
        <v>0</v>
      </c>
      <c r="BN19" s="26">
        <f t="shared" si="13"/>
        <v>0</v>
      </c>
      <c r="BO19" s="26">
        <f t="shared" si="13"/>
        <v>0</v>
      </c>
      <c r="BP19" s="26">
        <f t="shared" si="13"/>
        <v>0</v>
      </c>
      <c r="BQ19" s="26">
        <f t="shared" si="13"/>
        <v>0</v>
      </c>
      <c r="BR19" s="26">
        <f t="shared" si="13"/>
        <v>0</v>
      </c>
      <c r="BS19" s="26">
        <f t="shared" si="13"/>
        <v>0</v>
      </c>
      <c r="BT19" s="26">
        <f t="shared" si="13"/>
        <v>0</v>
      </c>
      <c r="BU19" s="26">
        <f t="shared" si="13"/>
        <v>0</v>
      </c>
      <c r="BV19" s="26">
        <f t="shared" si="13"/>
        <v>0</v>
      </c>
      <c r="BW19" s="26">
        <f t="shared" si="13"/>
        <v>0.50973638823938816</v>
      </c>
      <c r="BX19" s="26">
        <f t="shared" si="13"/>
        <v>0.40149072737185937</v>
      </c>
      <c r="BY19" s="26">
        <f t="shared" si="14"/>
        <v>0.18496896743285884</v>
      </c>
      <c r="BZ19" s="26">
        <f t="shared" si="8"/>
        <v>6.6929631980223059E-2</v>
      </c>
      <c r="CA19" s="26">
        <f t="shared" si="8"/>
        <v>2.0487272820844178E-2</v>
      </c>
      <c r="CB19" s="26">
        <f t="shared" si="8"/>
        <v>5.4682567336372155E-3</v>
      </c>
      <c r="CC19" s="26">
        <f t="shared" si="8"/>
        <v>1.292371366300307E-3</v>
      </c>
    </row>
    <row r="20" spans="1:81" x14ac:dyDescent="0.25">
      <c r="A20" s="173"/>
      <c r="B20" s="21">
        <f t="shared" si="10"/>
        <v>290</v>
      </c>
      <c r="C20" s="122">
        <f t="shared" si="1"/>
        <v>0.17695721271632692</v>
      </c>
      <c r="D20" s="23">
        <f>AVERAGE(_xll.xlqBid(CONCATENATE($A$6,B20&amp;""),"TDA"),_xll.xlqAsk(CONCATENATE($A$6,B20&amp;""),"TDA"))</f>
        <v>3.5000000000000003E-2</v>
      </c>
      <c r="E20" s="23">
        <f t="shared" si="11"/>
        <v>3.5000000000000003E-2</v>
      </c>
      <c r="F20" s="174">
        <f t="shared" si="15"/>
        <v>-1</v>
      </c>
      <c r="G20" s="174">
        <f t="shared" si="15"/>
        <v>-1</v>
      </c>
      <c r="H20" s="174">
        <f t="shared" si="15"/>
        <v>-1</v>
      </c>
      <c r="I20" s="174">
        <f t="shared" si="15"/>
        <v>-1</v>
      </c>
      <c r="J20" s="174">
        <f t="shared" si="15"/>
        <v>-1</v>
      </c>
      <c r="K20" s="174">
        <f t="shared" si="15"/>
        <v>-1</v>
      </c>
      <c r="L20" s="174">
        <f t="shared" si="15"/>
        <v>-1</v>
      </c>
      <c r="M20" s="174">
        <f t="shared" si="15"/>
        <v>-1</v>
      </c>
      <c r="N20" s="174">
        <f t="shared" si="15"/>
        <v>-1</v>
      </c>
      <c r="O20" s="174">
        <f t="shared" si="15"/>
        <v>-1</v>
      </c>
      <c r="P20" s="174">
        <f t="shared" si="12"/>
        <v>-1</v>
      </c>
      <c r="Q20" s="174">
        <f t="shared" si="12"/>
        <v>-1</v>
      </c>
      <c r="R20" s="174">
        <f t="shared" si="12"/>
        <v>-1</v>
      </c>
      <c r="S20" s="174">
        <f t="shared" si="12"/>
        <v>-1</v>
      </c>
      <c r="T20" s="174">
        <f t="shared" si="12"/>
        <v>-1</v>
      </c>
      <c r="U20" s="174">
        <f t="shared" si="12"/>
        <v>-1</v>
      </c>
      <c r="V20" s="174">
        <f t="shared" si="12"/>
        <v>-1</v>
      </c>
      <c r="W20" s="174">
        <f t="shared" si="12"/>
        <v>-1</v>
      </c>
      <c r="X20" s="174">
        <f t="shared" si="12"/>
        <v>-1</v>
      </c>
      <c r="Y20" s="174">
        <f t="shared" si="12"/>
        <v>-1</v>
      </c>
      <c r="Z20" s="174">
        <f t="shared" si="16"/>
        <v>-1</v>
      </c>
      <c r="AA20" s="174">
        <f t="shared" si="16"/>
        <v>-1</v>
      </c>
      <c r="AB20" s="174">
        <f t="shared" si="16"/>
        <v>-1</v>
      </c>
      <c r="AC20" s="174">
        <f t="shared" si="16"/>
        <v>-1</v>
      </c>
      <c r="AD20" s="174">
        <f t="shared" si="16"/>
        <v>-1</v>
      </c>
      <c r="AE20" s="174">
        <f t="shared" si="16"/>
        <v>-1</v>
      </c>
      <c r="AF20" s="174">
        <f t="shared" si="16"/>
        <v>-1</v>
      </c>
      <c r="AG20" s="174">
        <f t="shared" si="16"/>
        <v>-1</v>
      </c>
      <c r="AH20" s="174">
        <f t="shared" si="16"/>
        <v>-1</v>
      </c>
      <c r="AI20" s="174">
        <f t="shared" si="16"/>
        <v>-1</v>
      </c>
      <c r="AJ20" s="174">
        <f t="shared" si="16"/>
        <v>-1</v>
      </c>
      <c r="AK20" s="174">
        <f t="shared" si="16"/>
        <v>84.714285714285708</v>
      </c>
      <c r="AL20" s="174">
        <f t="shared" si="16"/>
        <v>170.42857142857142</v>
      </c>
      <c r="AM20" s="174">
        <f t="shared" si="16"/>
        <v>256.14285714285711</v>
      </c>
      <c r="AN20" s="174">
        <f t="shared" si="16"/>
        <v>341.85714285714283</v>
      </c>
      <c r="AO20" s="174">
        <f t="shared" si="16"/>
        <v>427.5714285714285</v>
      </c>
      <c r="AQ20" t="str">
        <f t="shared" si="9"/>
        <v>NVDA_011720C290</v>
      </c>
      <c r="AR20" t="str">
        <f>_xll.xlqName(AQ20,"TDA")</f>
        <v>NVDA Jan 17 2020 290 Call</v>
      </c>
      <c r="AT20" s="26">
        <f t="shared" si="17"/>
        <v>0</v>
      </c>
      <c r="AU20" s="26">
        <f t="shared" si="17"/>
        <v>0</v>
      </c>
      <c r="AV20" s="26">
        <f t="shared" si="17"/>
        <v>0</v>
      </c>
      <c r="AW20" s="26">
        <f t="shared" si="17"/>
        <v>0</v>
      </c>
      <c r="AX20" s="26">
        <f t="shared" si="17"/>
        <v>0</v>
      </c>
      <c r="AY20" s="26">
        <f t="shared" si="17"/>
        <v>0</v>
      </c>
      <c r="AZ20" s="26">
        <f t="shared" si="17"/>
        <v>0</v>
      </c>
      <c r="BA20" s="26">
        <f t="shared" si="17"/>
        <v>0</v>
      </c>
      <c r="BB20" s="26">
        <f t="shared" si="17"/>
        <v>0</v>
      </c>
      <c r="BC20" s="26">
        <f t="shared" si="17"/>
        <v>0</v>
      </c>
      <c r="BD20" s="26">
        <f t="shared" si="17"/>
        <v>0</v>
      </c>
      <c r="BE20" s="26">
        <f t="shared" si="17"/>
        <v>0</v>
      </c>
      <c r="BF20" s="26">
        <f t="shared" si="17"/>
        <v>0</v>
      </c>
      <c r="BG20" s="26">
        <f t="shared" si="17"/>
        <v>0</v>
      </c>
      <c r="BH20" s="26">
        <f t="shared" si="17"/>
        <v>0</v>
      </c>
      <c r="BI20" s="26">
        <f t="shared" si="13"/>
        <v>0</v>
      </c>
      <c r="BJ20" s="26">
        <f t="shared" si="13"/>
        <v>0</v>
      </c>
      <c r="BK20" s="26">
        <f t="shared" si="13"/>
        <v>0</v>
      </c>
      <c r="BL20" s="26">
        <f t="shared" si="13"/>
        <v>0</v>
      </c>
      <c r="BM20" s="26">
        <f t="shared" si="13"/>
        <v>0</v>
      </c>
      <c r="BN20" s="26">
        <f t="shared" si="13"/>
        <v>0</v>
      </c>
      <c r="BO20" s="26">
        <f t="shared" si="13"/>
        <v>0</v>
      </c>
      <c r="BP20" s="26">
        <f t="shared" si="13"/>
        <v>0</v>
      </c>
      <c r="BQ20" s="26">
        <f t="shared" si="13"/>
        <v>0</v>
      </c>
      <c r="BR20" s="26">
        <f t="shared" si="13"/>
        <v>0</v>
      </c>
      <c r="BS20" s="26">
        <f t="shared" si="13"/>
        <v>0</v>
      </c>
      <c r="BT20" s="26">
        <f t="shared" si="13"/>
        <v>0</v>
      </c>
      <c r="BU20" s="26">
        <f t="shared" si="13"/>
        <v>0</v>
      </c>
      <c r="BV20" s="26">
        <f t="shared" si="13"/>
        <v>0</v>
      </c>
      <c r="BW20" s="26">
        <f t="shared" si="13"/>
        <v>0</v>
      </c>
      <c r="BX20" s="26">
        <f t="shared" si="13"/>
        <v>0</v>
      </c>
      <c r="BY20" s="26">
        <f t="shared" si="14"/>
        <v>9.9090518267602942E-2</v>
      </c>
      <c r="BZ20" s="26">
        <f t="shared" si="8"/>
        <v>5.2152959984589402E-2</v>
      </c>
      <c r="CA20" s="26">
        <f t="shared" si="8"/>
        <v>1.8814842386489554E-2</v>
      </c>
      <c r="CB20" s="26">
        <f t="shared" si="8"/>
        <v>5.5142084708946718E-3</v>
      </c>
      <c r="CC20" s="26">
        <f t="shared" si="8"/>
        <v>1.3846836067503289E-3</v>
      </c>
    </row>
    <row r="21" spans="1:81" x14ac:dyDescent="0.25">
      <c r="A21" s="40" t="s">
        <v>40</v>
      </c>
      <c r="B21" s="21">
        <f t="shared" si="10"/>
        <v>295</v>
      </c>
      <c r="C21" s="122">
        <f t="shared" si="1"/>
        <v>2.4726398878681284E-2</v>
      </c>
      <c r="D21" s="23">
        <f>AVERAGE(_xll.xlqBid(CONCATENATE($A$6,B21&amp;""),"TDA"),_xll.xlqAsk(CONCATENATE($A$6,B21&amp;""),"TDA"))</f>
        <v>0.03</v>
      </c>
      <c r="E21" s="23">
        <f t="shared" si="11"/>
        <v>0.03</v>
      </c>
      <c r="F21" s="174">
        <f t="shared" si="15"/>
        <v>-1</v>
      </c>
      <c r="G21" s="174">
        <f t="shared" si="15"/>
        <v>-1</v>
      </c>
      <c r="H21" s="174">
        <f t="shared" si="15"/>
        <v>-1</v>
      </c>
      <c r="I21" s="174">
        <f t="shared" si="15"/>
        <v>-1</v>
      </c>
      <c r="J21" s="174">
        <f t="shared" si="15"/>
        <v>-1</v>
      </c>
      <c r="K21" s="174">
        <f t="shared" si="15"/>
        <v>-1</v>
      </c>
      <c r="L21" s="174">
        <f t="shared" si="15"/>
        <v>-1</v>
      </c>
      <c r="M21" s="174">
        <f t="shared" si="15"/>
        <v>-1</v>
      </c>
      <c r="N21" s="174">
        <f t="shared" si="15"/>
        <v>-1</v>
      </c>
      <c r="O21" s="174">
        <f t="shared" si="15"/>
        <v>-1</v>
      </c>
      <c r="P21" s="174">
        <f t="shared" si="12"/>
        <v>-1</v>
      </c>
      <c r="Q21" s="174">
        <f t="shared" si="12"/>
        <v>-1</v>
      </c>
      <c r="R21" s="174">
        <f t="shared" si="12"/>
        <v>-1</v>
      </c>
      <c r="S21" s="174">
        <f t="shared" si="12"/>
        <v>-1</v>
      </c>
      <c r="T21" s="174">
        <f t="shared" si="12"/>
        <v>-1</v>
      </c>
      <c r="U21" s="174">
        <f t="shared" si="12"/>
        <v>-1</v>
      </c>
      <c r="V21" s="174">
        <f t="shared" si="12"/>
        <v>-1</v>
      </c>
      <c r="W21" s="174">
        <f t="shared" si="12"/>
        <v>-1</v>
      </c>
      <c r="X21" s="174">
        <f t="shared" si="12"/>
        <v>-1</v>
      </c>
      <c r="Y21" s="174">
        <f t="shared" si="12"/>
        <v>-1</v>
      </c>
      <c r="Z21" s="174">
        <f t="shared" si="16"/>
        <v>-1</v>
      </c>
      <c r="AA21" s="174">
        <f t="shared" si="16"/>
        <v>-1</v>
      </c>
      <c r="AB21" s="174">
        <f t="shared" si="16"/>
        <v>-1</v>
      </c>
      <c r="AC21" s="174">
        <f t="shared" si="16"/>
        <v>-1</v>
      </c>
      <c r="AD21" s="174">
        <f t="shared" si="16"/>
        <v>-1</v>
      </c>
      <c r="AE21" s="174">
        <f t="shared" si="16"/>
        <v>-1</v>
      </c>
      <c r="AF21" s="174">
        <f t="shared" si="16"/>
        <v>-1</v>
      </c>
      <c r="AG21" s="174">
        <f t="shared" si="16"/>
        <v>-1</v>
      </c>
      <c r="AH21" s="174">
        <f t="shared" si="16"/>
        <v>-1</v>
      </c>
      <c r="AI21" s="174">
        <f t="shared" si="16"/>
        <v>-1</v>
      </c>
      <c r="AJ21" s="174">
        <f t="shared" si="16"/>
        <v>-1</v>
      </c>
      <c r="AK21" s="174">
        <f t="shared" si="16"/>
        <v>-1</v>
      </c>
      <c r="AL21" s="174">
        <f t="shared" si="16"/>
        <v>32.333333333333336</v>
      </c>
      <c r="AM21" s="174">
        <f t="shared" si="16"/>
        <v>132.33333333333334</v>
      </c>
      <c r="AN21" s="174">
        <f t="shared" si="16"/>
        <v>232.33333333333334</v>
      </c>
      <c r="AO21" s="174">
        <f t="shared" si="16"/>
        <v>332.33333333333337</v>
      </c>
      <c r="AQ21" t="str">
        <f t="shared" si="9"/>
        <v>NVDA_011720C295</v>
      </c>
      <c r="AR21" t="str">
        <f>_xll.xlqName(AQ21,"TDA")</f>
        <v>NVDA Jan 17 2020 295 Call</v>
      </c>
      <c r="AT21" s="26">
        <f t="shared" si="17"/>
        <v>0</v>
      </c>
      <c r="AU21" s="26">
        <f t="shared" si="17"/>
        <v>0</v>
      </c>
      <c r="AV21" s="26">
        <f t="shared" si="17"/>
        <v>0</v>
      </c>
      <c r="AW21" s="26">
        <f t="shared" si="17"/>
        <v>0</v>
      </c>
      <c r="AX21" s="26">
        <f t="shared" si="17"/>
        <v>0</v>
      </c>
      <c r="AY21" s="26">
        <f t="shared" si="17"/>
        <v>0</v>
      </c>
      <c r="AZ21" s="26">
        <f t="shared" si="17"/>
        <v>0</v>
      </c>
      <c r="BA21" s="26">
        <f t="shared" si="17"/>
        <v>0</v>
      </c>
      <c r="BB21" s="26">
        <f t="shared" si="17"/>
        <v>0</v>
      </c>
      <c r="BC21" s="26">
        <f t="shared" si="17"/>
        <v>0</v>
      </c>
      <c r="BD21" s="26">
        <f t="shared" si="17"/>
        <v>0</v>
      </c>
      <c r="BE21" s="26">
        <f t="shared" si="17"/>
        <v>0</v>
      </c>
      <c r="BF21" s="26">
        <f t="shared" si="17"/>
        <v>0</v>
      </c>
      <c r="BG21" s="26">
        <f t="shared" si="17"/>
        <v>0</v>
      </c>
      <c r="BH21" s="26">
        <f t="shared" si="17"/>
        <v>0</v>
      </c>
      <c r="BI21" s="26">
        <f t="shared" si="13"/>
        <v>0</v>
      </c>
      <c r="BJ21" s="26">
        <f t="shared" si="13"/>
        <v>0</v>
      </c>
      <c r="BK21" s="26">
        <f t="shared" si="13"/>
        <v>0</v>
      </c>
      <c r="BL21" s="26">
        <f t="shared" si="13"/>
        <v>0</v>
      </c>
      <c r="BM21" s="26">
        <f t="shared" si="13"/>
        <v>0</v>
      </c>
      <c r="BN21" s="26">
        <f t="shared" si="13"/>
        <v>0</v>
      </c>
      <c r="BO21" s="26">
        <f t="shared" si="13"/>
        <v>0</v>
      </c>
      <c r="BP21" s="26">
        <f t="shared" si="13"/>
        <v>0</v>
      </c>
      <c r="BQ21" s="26">
        <f t="shared" si="13"/>
        <v>0</v>
      </c>
      <c r="BR21" s="26">
        <f t="shared" si="13"/>
        <v>0</v>
      </c>
      <c r="BS21" s="26">
        <f t="shared" si="13"/>
        <v>0</v>
      </c>
      <c r="BT21" s="26">
        <f t="shared" si="13"/>
        <v>0</v>
      </c>
      <c r="BU21" s="26">
        <f t="shared" si="13"/>
        <v>0</v>
      </c>
      <c r="BV21" s="26">
        <f t="shared" si="13"/>
        <v>0</v>
      </c>
      <c r="BW21" s="26">
        <f t="shared" si="13"/>
        <v>0</v>
      </c>
      <c r="BX21" s="26">
        <f t="shared" si="13"/>
        <v>0</v>
      </c>
      <c r="BY21" s="26">
        <f t="shared" si="14"/>
        <v>0</v>
      </c>
      <c r="BZ21" s="26">
        <f t="shared" si="8"/>
        <v>1.0140853330336829E-2</v>
      </c>
      <c r="CA21" s="26">
        <f t="shared" si="8"/>
        <v>9.7558442004019915E-3</v>
      </c>
      <c r="CB21" s="26">
        <f t="shared" si="8"/>
        <v>3.7527252093588746E-3</v>
      </c>
      <c r="CC21" s="26">
        <f t="shared" si="8"/>
        <v>1.0769761385835894E-3</v>
      </c>
    </row>
    <row r="22" spans="1:81" x14ac:dyDescent="0.25">
      <c r="A22" s="252">
        <v>250</v>
      </c>
      <c r="B22" s="21">
        <f t="shared" si="10"/>
        <v>300</v>
      </c>
      <c r="C22" s="122">
        <f t="shared" si="1"/>
        <v>1.9328343263589104E-3</v>
      </c>
      <c r="D22" s="23">
        <f>AVERAGE(_xll.xlqBid(CONCATENATE($A$6,B22&amp;""),"TDA"),_xll.xlqAsk(CONCATENATE($A$6,B22&amp;""),"TDA"))</f>
        <v>2.5000000000000001E-2</v>
      </c>
      <c r="E22" s="23">
        <f t="shared" si="11"/>
        <v>2.5000000000000001E-2</v>
      </c>
      <c r="F22" s="174">
        <f t="shared" si="15"/>
        <v>-1</v>
      </c>
      <c r="G22" s="174">
        <f t="shared" si="15"/>
        <v>-1</v>
      </c>
      <c r="H22" s="174">
        <f t="shared" si="15"/>
        <v>-1</v>
      </c>
      <c r="I22" s="174">
        <f t="shared" si="15"/>
        <v>-1</v>
      </c>
      <c r="J22" s="174">
        <f t="shared" si="15"/>
        <v>-1</v>
      </c>
      <c r="K22" s="174">
        <f t="shared" si="15"/>
        <v>-1</v>
      </c>
      <c r="L22" s="174">
        <f t="shared" si="15"/>
        <v>-1</v>
      </c>
      <c r="M22" s="174">
        <f t="shared" si="15"/>
        <v>-1</v>
      </c>
      <c r="N22" s="174">
        <f t="shared" si="15"/>
        <v>-1</v>
      </c>
      <c r="O22" s="174">
        <f t="shared" si="15"/>
        <v>-1</v>
      </c>
      <c r="P22" s="174">
        <f t="shared" si="12"/>
        <v>-1</v>
      </c>
      <c r="Q22" s="174">
        <f t="shared" si="12"/>
        <v>-1</v>
      </c>
      <c r="R22" s="174">
        <f t="shared" si="12"/>
        <v>-1</v>
      </c>
      <c r="S22" s="174">
        <f t="shared" si="12"/>
        <v>-1</v>
      </c>
      <c r="T22" s="174">
        <f t="shared" si="12"/>
        <v>-1</v>
      </c>
      <c r="U22" s="174">
        <f t="shared" si="12"/>
        <v>-1</v>
      </c>
      <c r="V22" s="174">
        <f t="shared" si="12"/>
        <v>-1</v>
      </c>
      <c r="W22" s="174">
        <f t="shared" si="12"/>
        <v>-1</v>
      </c>
      <c r="X22" s="174">
        <f t="shared" si="12"/>
        <v>-1</v>
      </c>
      <c r="Y22" s="174">
        <f t="shared" si="12"/>
        <v>-1</v>
      </c>
      <c r="Z22" s="174">
        <f t="shared" si="16"/>
        <v>-1</v>
      </c>
      <c r="AA22" s="174">
        <f t="shared" si="16"/>
        <v>-1</v>
      </c>
      <c r="AB22" s="174">
        <f t="shared" si="16"/>
        <v>-1</v>
      </c>
      <c r="AC22" s="174">
        <f t="shared" si="16"/>
        <v>-1</v>
      </c>
      <c r="AD22" s="174">
        <f t="shared" si="16"/>
        <v>-1</v>
      </c>
      <c r="AE22" s="174">
        <f t="shared" si="16"/>
        <v>-1</v>
      </c>
      <c r="AF22" s="174">
        <f t="shared" si="16"/>
        <v>-1</v>
      </c>
      <c r="AG22" s="174">
        <f t="shared" si="16"/>
        <v>-1</v>
      </c>
      <c r="AH22" s="174">
        <f t="shared" si="16"/>
        <v>-1</v>
      </c>
      <c r="AI22" s="174">
        <f t="shared" si="16"/>
        <v>-1</v>
      </c>
      <c r="AJ22" s="174">
        <f t="shared" si="16"/>
        <v>-1</v>
      </c>
      <c r="AK22" s="174">
        <f t="shared" si="16"/>
        <v>-1</v>
      </c>
      <c r="AL22" s="174">
        <f t="shared" si="16"/>
        <v>-1</v>
      </c>
      <c r="AM22" s="174">
        <f t="shared" si="16"/>
        <v>-1</v>
      </c>
      <c r="AN22" s="174">
        <f t="shared" si="16"/>
        <v>79</v>
      </c>
      <c r="AO22" s="174">
        <f t="shared" si="16"/>
        <v>198.99999999999997</v>
      </c>
      <c r="AQ22" t="str">
        <f t="shared" si="9"/>
        <v>NVDA_011720C300</v>
      </c>
      <c r="AR22" t="str">
        <f>_xll.xlqName(AQ22,"TDA")</f>
        <v>NVDA Jan 17 2020 300 Call</v>
      </c>
      <c r="AT22" s="26">
        <f t="shared" si="17"/>
        <v>0</v>
      </c>
      <c r="AU22" s="26">
        <f t="shared" si="17"/>
        <v>0</v>
      </c>
      <c r="AV22" s="26">
        <f t="shared" si="17"/>
        <v>0</v>
      </c>
      <c r="AW22" s="26">
        <f t="shared" si="17"/>
        <v>0</v>
      </c>
      <c r="AX22" s="26">
        <f t="shared" si="17"/>
        <v>0</v>
      </c>
      <c r="AY22" s="26">
        <f t="shared" si="17"/>
        <v>0</v>
      </c>
      <c r="AZ22" s="26">
        <f t="shared" si="17"/>
        <v>0</v>
      </c>
      <c r="BA22" s="26">
        <f t="shared" si="17"/>
        <v>0</v>
      </c>
      <c r="BB22" s="26">
        <f t="shared" si="17"/>
        <v>0</v>
      </c>
      <c r="BC22" s="26">
        <f t="shared" si="17"/>
        <v>0</v>
      </c>
      <c r="BD22" s="26">
        <f t="shared" si="17"/>
        <v>0</v>
      </c>
      <c r="BE22" s="26">
        <f t="shared" si="17"/>
        <v>0</v>
      </c>
      <c r="BF22" s="26">
        <f t="shared" si="17"/>
        <v>0</v>
      </c>
      <c r="BG22" s="26">
        <f t="shared" si="17"/>
        <v>0</v>
      </c>
      <c r="BH22" s="26">
        <f t="shared" si="17"/>
        <v>0</v>
      </c>
      <c r="BI22" s="26">
        <f t="shared" si="13"/>
        <v>0</v>
      </c>
      <c r="BJ22" s="26">
        <f t="shared" si="13"/>
        <v>0</v>
      </c>
      <c r="BK22" s="26">
        <f t="shared" si="13"/>
        <v>0</v>
      </c>
      <c r="BL22" s="26">
        <f t="shared" si="13"/>
        <v>0</v>
      </c>
      <c r="BM22" s="26">
        <f t="shared" si="13"/>
        <v>0</v>
      </c>
      <c r="BN22" s="26">
        <f t="shared" si="13"/>
        <v>0</v>
      </c>
      <c r="BO22" s="26">
        <f t="shared" si="13"/>
        <v>0</v>
      </c>
      <c r="BP22" s="26">
        <f t="shared" si="13"/>
        <v>0</v>
      </c>
      <c r="BQ22" s="26">
        <f t="shared" si="13"/>
        <v>0</v>
      </c>
      <c r="BR22" s="26">
        <f t="shared" si="13"/>
        <v>0</v>
      </c>
      <c r="BS22" s="26">
        <f t="shared" si="13"/>
        <v>0</v>
      </c>
      <c r="BT22" s="26">
        <f t="shared" si="13"/>
        <v>0</v>
      </c>
      <c r="BU22" s="26">
        <f t="shared" si="13"/>
        <v>0</v>
      </c>
      <c r="BV22" s="26">
        <f t="shared" si="13"/>
        <v>0</v>
      </c>
      <c r="BW22" s="26">
        <f t="shared" si="13"/>
        <v>0</v>
      </c>
      <c r="BX22" s="26">
        <f t="shared" si="13"/>
        <v>0</v>
      </c>
      <c r="BY22" s="26">
        <f t="shared" si="14"/>
        <v>0</v>
      </c>
      <c r="BZ22" s="26">
        <f t="shared" si="8"/>
        <v>0</v>
      </c>
      <c r="CA22" s="26">
        <f t="shared" si="8"/>
        <v>0</v>
      </c>
      <c r="CB22" s="26">
        <f t="shared" si="8"/>
        <v>1.2866486432087569E-3</v>
      </c>
      <c r="CC22" s="26">
        <f t="shared" si="8"/>
        <v>6.4618568315015349E-4</v>
      </c>
    </row>
    <row r="23" spans="1:81" s="36" customFormat="1" x14ac:dyDescent="0.25">
      <c r="A23" s="32" t="s">
        <v>41</v>
      </c>
      <c r="B23" s="41" t="s">
        <v>44</v>
      </c>
      <c r="C23" s="33"/>
      <c r="D23" s="34">
        <f>SUM(F23:AO23)</f>
        <v>0.33333329175727699</v>
      </c>
      <c r="E23" s="34"/>
      <c r="F23" s="35">
        <f>_xlfn.NORM.DIST(F1,$A$22,$A$24,0)</f>
        <v>1.4867195147342977E-7</v>
      </c>
      <c r="G23" s="35">
        <f t="shared" ref="G23:AO23" si="18">_xlfn.NORM.DIST(G1,$A$22,$A$24,0)</f>
        <v>6.3698251788670893E-7</v>
      </c>
      <c r="H23" s="35">
        <f t="shared" si="18"/>
        <v>2.4942471290053532E-6</v>
      </c>
      <c r="I23" s="35">
        <f t="shared" si="18"/>
        <v>8.9261657177132918E-6</v>
      </c>
      <c r="J23" s="35">
        <f t="shared" si="18"/>
        <v>2.9194692579146026E-5</v>
      </c>
      <c r="K23" s="35">
        <f t="shared" si="18"/>
        <v>8.726826950457601E-5</v>
      </c>
      <c r="L23" s="35">
        <f t="shared" si="18"/>
        <v>2.3840882014648405E-4</v>
      </c>
      <c r="M23" s="35">
        <f t="shared" si="18"/>
        <v>5.9525324197758534E-4</v>
      </c>
      <c r="N23" s="35">
        <f t="shared" si="18"/>
        <v>1.3582969233685612E-3</v>
      </c>
      <c r="O23" s="35">
        <f t="shared" si="18"/>
        <v>2.8327037741601186E-3</v>
      </c>
      <c r="P23" s="35">
        <f t="shared" si="18"/>
        <v>5.3990966513188061E-3</v>
      </c>
      <c r="Q23" s="35">
        <f t="shared" si="18"/>
        <v>9.4049077376886937E-3</v>
      </c>
      <c r="R23" s="35">
        <f t="shared" si="18"/>
        <v>1.4972746563574486E-2</v>
      </c>
      <c r="S23" s="35">
        <f t="shared" si="18"/>
        <v>2.1785217703255054E-2</v>
      </c>
      <c r="T23" s="35">
        <f t="shared" si="18"/>
        <v>2.8969155276148274E-2</v>
      </c>
      <c r="U23" s="35">
        <f t="shared" si="18"/>
        <v>3.5206532676429952E-2</v>
      </c>
      <c r="V23" s="35">
        <f t="shared" si="18"/>
        <v>3.9104269397545591E-2</v>
      </c>
      <c r="W23" s="35">
        <f t="shared" si="18"/>
        <v>3.9695254747701178E-2</v>
      </c>
      <c r="X23" s="35">
        <f t="shared" si="18"/>
        <v>3.6827014030332332E-2</v>
      </c>
      <c r="Y23" s="35">
        <f t="shared" si="18"/>
        <v>3.1225393336676129E-2</v>
      </c>
      <c r="Z23" s="35">
        <f t="shared" si="18"/>
        <v>2.4197072451914336E-2</v>
      </c>
      <c r="AA23" s="35">
        <f t="shared" si="18"/>
        <v>1.7136859204780735E-2</v>
      </c>
      <c r="AB23" s="35">
        <f t="shared" si="18"/>
        <v>1.1092083467945555E-2</v>
      </c>
      <c r="AC23" s="35">
        <f t="shared" si="18"/>
        <v>6.5615814774676604E-3</v>
      </c>
      <c r="AD23" s="35">
        <f t="shared" si="18"/>
        <v>3.5474592846231421E-3</v>
      </c>
      <c r="AE23" s="35">
        <f t="shared" si="18"/>
        <v>1.752830049356854E-3</v>
      </c>
      <c r="AF23" s="35">
        <f t="shared" si="18"/>
        <v>7.9154515829799694E-4</v>
      </c>
      <c r="AG23" s="35">
        <f t="shared" si="18"/>
        <v>3.2668190561999186E-4</v>
      </c>
      <c r="AH23" s="35">
        <f t="shared" si="18"/>
        <v>1.2322191684730198E-4</v>
      </c>
      <c r="AI23" s="35">
        <f t="shared" si="18"/>
        <v>4.2478027055075142E-5</v>
      </c>
      <c r="AJ23" s="35">
        <f t="shared" si="18"/>
        <v>1.3383022576488536E-5</v>
      </c>
      <c r="AK23" s="35">
        <f t="shared" si="18"/>
        <v>3.8535196742087128E-6</v>
      </c>
      <c r="AL23" s="35">
        <f t="shared" si="18"/>
        <v>1.014085206548676E-6</v>
      </c>
      <c r="AM23" s="35">
        <f t="shared" si="18"/>
        <v>2.438960745893352E-7</v>
      </c>
      <c r="AN23" s="35">
        <f t="shared" si="18"/>
        <v>5.3610353446976141E-8</v>
      </c>
      <c r="AO23" s="35">
        <f t="shared" si="18"/>
        <v>1.0769760042543275E-8</v>
      </c>
    </row>
    <row r="24" spans="1:81" s="36" customFormat="1" x14ac:dyDescent="0.25">
      <c r="A24" s="252">
        <v>10</v>
      </c>
      <c r="B24" s="41" t="s">
        <v>45</v>
      </c>
      <c r="C24" s="33"/>
      <c r="D24" s="38">
        <f>SUM(F24:AO24)</f>
        <v>1.0000000000000002</v>
      </c>
      <c r="E24" s="38"/>
      <c r="F24" s="39">
        <f>F23/$D$23</f>
        <v>4.4601591005103713E-7</v>
      </c>
      <c r="G24" s="39">
        <f t="shared" ref="G24:AO24" si="19">G23/$D$23</f>
        <v>1.9109477920091458E-6</v>
      </c>
      <c r="H24" s="39">
        <f t="shared" si="19"/>
        <v>7.4827423203248081E-6</v>
      </c>
      <c r="I24" s="39">
        <f t="shared" si="19"/>
        <v>2.6778500493173212E-5</v>
      </c>
      <c r="J24" s="39">
        <f t="shared" si="19"/>
        <v>8.7584088661641092E-5</v>
      </c>
      <c r="K24" s="39">
        <f t="shared" si="19"/>
        <v>2.6180484116816651E-4</v>
      </c>
      <c r="L24" s="39">
        <f t="shared" si="19"/>
        <v>7.1522654964835007E-4</v>
      </c>
      <c r="M24" s="39">
        <f t="shared" si="19"/>
        <v>1.7857599486673246E-3</v>
      </c>
      <c r="N24" s="39">
        <f t="shared" si="19"/>
        <v>4.0748912783594117E-3</v>
      </c>
      <c r="O24" s="39">
        <f t="shared" si="19"/>
        <v>8.4981123824343537E-3</v>
      </c>
      <c r="P24" s="39">
        <f t="shared" si="19"/>
        <v>1.6197291974214989E-2</v>
      </c>
      <c r="Q24" s="39">
        <f t="shared" si="19"/>
        <v>2.8214726732237287E-2</v>
      </c>
      <c r="R24" s="39">
        <f t="shared" si="19"/>
        <v>4.4918245293293947E-2</v>
      </c>
      <c r="S24" s="39">
        <f t="shared" si="19"/>
        <v>6.5355661261457129E-2</v>
      </c>
      <c r="T24" s="39">
        <f t="shared" si="19"/>
        <v>8.6907476668255268E-2</v>
      </c>
      <c r="U24" s="39">
        <f t="shared" si="19"/>
        <v>0.10561961120303058</v>
      </c>
      <c r="V24" s="39">
        <f t="shared" si="19"/>
        <v>0.11731282282485037</v>
      </c>
      <c r="W24" s="39">
        <f t="shared" si="19"/>
        <v>0.11908577909645472</v>
      </c>
      <c r="X24" s="39">
        <f t="shared" si="19"/>
        <v>0.1104810558710968</v>
      </c>
      <c r="Y24" s="39">
        <f t="shared" si="19"/>
        <v>9.3676191694088251E-2</v>
      </c>
      <c r="Z24" s="39">
        <f t="shared" si="19"/>
        <v>7.2591226409913764E-2</v>
      </c>
      <c r="AA24" s="39">
        <f t="shared" si="19"/>
        <v>5.1410584026690215E-2</v>
      </c>
      <c r="AB24" s="39">
        <f t="shared" si="19"/>
        <v>3.3276254554322968E-2</v>
      </c>
      <c r="AC24" s="39">
        <f t="shared" si="19"/>
        <v>1.9684746887645418E-2</v>
      </c>
      <c r="AD24" s="39">
        <f t="shared" si="19"/>
        <v>1.0642379181273896E-2</v>
      </c>
      <c r="AE24" s="39">
        <f t="shared" si="19"/>
        <v>5.2584908039524916E-3</v>
      </c>
      <c r="AF24" s="39">
        <f t="shared" si="19"/>
        <v>2.3746357710779627E-3</v>
      </c>
      <c r="AG24" s="39">
        <f t="shared" si="19"/>
        <v>9.8004583909929864E-4</v>
      </c>
      <c r="AH24" s="39">
        <f t="shared" si="19"/>
        <v>3.6966579664964391E-4</v>
      </c>
      <c r="AI24" s="39">
        <f t="shared" si="19"/>
        <v>1.2743409705984703E-4</v>
      </c>
      <c r="AJ24" s="39">
        <f t="shared" si="19"/>
        <v>4.0149072737185935E-5</v>
      </c>
      <c r="AK24" s="39">
        <f t="shared" si="19"/>
        <v>1.1560560464553678E-5</v>
      </c>
      <c r="AL24" s="39">
        <f t="shared" si="19"/>
        <v>3.0422559991010487E-6</v>
      </c>
      <c r="AM24" s="39">
        <f t="shared" si="19"/>
        <v>7.3168831503014938E-7</v>
      </c>
      <c r="AN24" s="39">
        <f t="shared" si="19"/>
        <v>1.608310804010946E-7</v>
      </c>
      <c r="AO24" s="39">
        <f t="shared" si="19"/>
        <v>3.2309284157507682E-8</v>
      </c>
    </row>
    <row r="25" spans="1:81" x14ac:dyDescent="0.25">
      <c r="A25" s="173"/>
      <c r="C25" s="21"/>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row>
    <row r="26" spans="1:81" x14ac:dyDescent="0.25">
      <c r="A26" s="198"/>
      <c r="B26" s="198"/>
      <c r="C26" s="198"/>
      <c r="D26" s="198"/>
      <c r="AQ26" s="264" t="s">
        <v>47</v>
      </c>
      <c r="AR26" s="264"/>
      <c r="AS26" s="264"/>
      <c r="AT26" s="264"/>
    </row>
    <row r="27" spans="1:81" x14ac:dyDescent="0.25">
      <c r="A27" s="247"/>
      <c r="B27" s="247"/>
      <c r="C27" s="247"/>
      <c r="D27" s="248"/>
      <c r="E27" s="30"/>
      <c r="AQ27" s="44" t="s">
        <v>42</v>
      </c>
      <c r="AR27" s="44" t="s">
        <v>43</v>
      </c>
      <c r="AS27" s="29" t="s">
        <v>46</v>
      </c>
      <c r="AT27" s="30" t="s">
        <v>39</v>
      </c>
    </row>
    <row r="28" spans="1:81" x14ac:dyDescent="0.25">
      <c r="A28" s="249"/>
      <c r="B28" s="250"/>
      <c r="C28" s="250"/>
      <c r="D28" s="251"/>
      <c r="E28" s="42"/>
      <c r="AQ28" s="45">
        <v>245</v>
      </c>
      <c r="AR28" s="45">
        <v>3</v>
      </c>
      <c r="AS28" s="31">
        <v>240</v>
      </c>
      <c r="AT28" s="42">
        <v>126</v>
      </c>
    </row>
    <row r="29" spans="1:81" x14ac:dyDescent="0.25">
      <c r="A29" s="249"/>
      <c r="B29" s="250"/>
      <c r="C29" s="250"/>
      <c r="D29" s="251"/>
      <c r="E29" s="43"/>
      <c r="AQ29" s="45">
        <f t="shared" ref="AQ29:AQ39" si="20">(H29-$A$28)*0.11+$B$28</f>
        <v>0</v>
      </c>
      <c r="AR29" s="45">
        <v>7</v>
      </c>
      <c r="AS29" s="31">
        <v>230</v>
      </c>
      <c r="AT29" s="43">
        <v>140</v>
      </c>
    </row>
    <row r="30" spans="1:81" x14ac:dyDescent="0.25">
      <c r="A30" s="249"/>
      <c r="B30" s="250"/>
      <c r="C30" s="250"/>
      <c r="D30" s="251"/>
      <c r="E30" s="43"/>
      <c r="AQ30" s="45">
        <f t="shared" si="20"/>
        <v>0</v>
      </c>
      <c r="AR30" s="45">
        <v>10</v>
      </c>
      <c r="AS30" s="31">
        <v>230</v>
      </c>
      <c r="AT30" s="43">
        <v>139</v>
      </c>
    </row>
    <row r="31" spans="1:81" x14ac:dyDescent="0.25">
      <c r="A31" s="249"/>
      <c r="B31" s="250"/>
      <c r="C31" s="250"/>
      <c r="D31" s="251"/>
      <c r="E31" s="43"/>
      <c r="AQ31" s="45">
        <f t="shared" si="20"/>
        <v>0</v>
      </c>
      <c r="AR31" s="45">
        <v>12</v>
      </c>
      <c r="AS31" s="31">
        <v>235</v>
      </c>
      <c r="AT31" s="43">
        <v>160</v>
      </c>
    </row>
    <row r="32" spans="1:81" x14ac:dyDescent="0.25">
      <c r="A32" s="249"/>
      <c r="B32" s="250"/>
      <c r="C32" s="250"/>
      <c r="D32" s="251"/>
      <c r="E32" s="43"/>
      <c r="AQ32" s="45">
        <f t="shared" si="20"/>
        <v>0</v>
      </c>
      <c r="AR32" s="45">
        <v>14</v>
      </c>
      <c r="AS32" s="31">
        <v>235</v>
      </c>
      <c r="AT32" s="43">
        <v>166</v>
      </c>
    </row>
    <row r="33" spans="1:46" x14ac:dyDescent="0.25">
      <c r="A33" s="249"/>
      <c r="B33" s="250"/>
      <c r="C33" s="250"/>
      <c r="D33" s="251"/>
      <c r="E33" s="43"/>
      <c r="AQ33" s="45">
        <f t="shared" si="20"/>
        <v>0</v>
      </c>
      <c r="AR33" s="45">
        <v>15</v>
      </c>
      <c r="AS33" s="31">
        <v>235</v>
      </c>
      <c r="AT33" s="43">
        <v>169</v>
      </c>
    </row>
    <row r="34" spans="1:46" x14ac:dyDescent="0.25">
      <c r="A34" s="249"/>
      <c r="B34" s="250"/>
      <c r="C34" s="250"/>
      <c r="D34" s="251"/>
      <c r="E34" s="43"/>
      <c r="AQ34" s="45">
        <f t="shared" si="20"/>
        <v>0</v>
      </c>
      <c r="AR34" s="45">
        <v>16</v>
      </c>
      <c r="AS34" s="31">
        <v>240</v>
      </c>
      <c r="AT34" s="43">
        <v>167</v>
      </c>
    </row>
    <row r="35" spans="1:46" x14ac:dyDescent="0.25">
      <c r="A35" s="249"/>
      <c r="B35" s="250"/>
      <c r="C35" s="250"/>
      <c r="D35" s="251"/>
      <c r="E35" s="43"/>
      <c r="AQ35" s="45">
        <f t="shared" si="20"/>
        <v>0</v>
      </c>
      <c r="AR35" s="45">
        <v>20</v>
      </c>
      <c r="AS35" s="31">
        <v>235</v>
      </c>
      <c r="AT35" s="43">
        <v>171</v>
      </c>
    </row>
    <row r="36" spans="1:46" x14ac:dyDescent="0.25">
      <c r="A36" s="249"/>
      <c r="B36" s="250"/>
      <c r="C36" s="250"/>
      <c r="D36" s="251"/>
      <c r="E36" s="43"/>
      <c r="AQ36" s="45">
        <f t="shared" si="20"/>
        <v>0</v>
      </c>
      <c r="AR36" s="45">
        <v>23</v>
      </c>
      <c r="AS36" s="31">
        <v>230</v>
      </c>
      <c r="AT36" s="43">
        <v>169</v>
      </c>
    </row>
    <row r="37" spans="1:46" x14ac:dyDescent="0.25">
      <c r="A37" s="249"/>
      <c r="B37" s="250"/>
      <c r="C37" s="250"/>
      <c r="D37" s="251"/>
      <c r="E37" s="43"/>
      <c r="AQ37" s="45">
        <f t="shared" si="20"/>
        <v>0</v>
      </c>
      <c r="AR37" s="45">
        <v>27</v>
      </c>
      <c r="AS37" s="31">
        <v>210</v>
      </c>
      <c r="AT37" s="43">
        <v>154</v>
      </c>
    </row>
    <row r="38" spans="1:46" x14ac:dyDescent="0.25">
      <c r="A38" s="249"/>
      <c r="B38" s="250"/>
      <c r="C38" s="250"/>
      <c r="D38" s="251"/>
      <c r="E38" s="43"/>
      <c r="AQ38" s="45">
        <f t="shared" si="20"/>
        <v>0</v>
      </c>
      <c r="AR38" s="45">
        <v>30</v>
      </c>
      <c r="AS38" s="31">
        <v>200</v>
      </c>
      <c r="AT38" s="43">
        <v>157</v>
      </c>
    </row>
    <row r="39" spans="1:46" x14ac:dyDescent="0.25">
      <c r="A39" s="249"/>
      <c r="B39" s="250"/>
      <c r="C39" s="250"/>
      <c r="D39" s="251"/>
      <c r="E39" s="43"/>
      <c r="AQ39" s="45">
        <f t="shared" si="20"/>
        <v>0</v>
      </c>
      <c r="AR39" s="45">
        <v>35</v>
      </c>
      <c r="AS39" s="31">
        <v>180</v>
      </c>
      <c r="AT39" s="43">
        <v>145</v>
      </c>
    </row>
    <row r="40" spans="1:46" x14ac:dyDescent="0.25">
      <c r="A40" s="198"/>
      <c r="B40" s="198"/>
      <c r="C40" s="198"/>
      <c r="D40" s="198"/>
    </row>
    <row r="41" spans="1:46" x14ac:dyDescent="0.25">
      <c r="A41" s="198"/>
      <c r="B41" s="198"/>
      <c r="C41" s="198"/>
      <c r="D41" s="198"/>
    </row>
    <row r="42" spans="1:46" x14ac:dyDescent="0.25">
      <c r="A42" s="198"/>
      <c r="B42" s="198"/>
      <c r="C42" s="198"/>
      <c r="D42" s="198"/>
    </row>
    <row r="43" spans="1:46" x14ac:dyDescent="0.25">
      <c r="A43" s="198"/>
      <c r="B43" s="198"/>
      <c r="C43" s="198"/>
      <c r="D43" s="198"/>
    </row>
  </sheetData>
  <mergeCells count="1">
    <mergeCell ref="AQ26:AT26"/>
  </mergeCells>
  <conditionalFormatting sqref="F2:AO22">
    <cfRule type="cellIs" dxfId="1" priority="4" operator="lessThan">
      <formula>0</formula>
    </cfRule>
    <cfRule type="colorScale" priority="6">
      <colorScale>
        <cfvo type="min"/>
        <cfvo type="percentile" val="50"/>
        <cfvo type="max"/>
        <color rgb="FFF8696B"/>
        <color rgb="FFFFEB84"/>
        <color rgb="FF63BE7B"/>
      </colorScale>
    </cfRule>
  </conditionalFormatting>
  <conditionalFormatting sqref="C2:C22">
    <cfRule type="colorScale" priority="5">
      <colorScale>
        <cfvo type="min"/>
        <cfvo type="percentile" val="50"/>
        <cfvo type="max"/>
        <color rgb="FFF8696B"/>
        <color rgb="FFFFEB84"/>
        <color rgb="FF63BE7B"/>
      </colorScale>
    </cfRule>
  </conditionalFormatting>
  <conditionalFormatting sqref="B2:B22">
    <cfRule type="cellIs" dxfId="0" priority="3" operator="lessThan">
      <formula>$A$2</formula>
    </cfRule>
  </conditionalFormatting>
  <conditionalFormatting sqref="F24:AO24">
    <cfRule type="colorScale" priority="2">
      <colorScale>
        <cfvo type="min"/>
        <cfvo type="percentile" val="50"/>
        <cfvo type="max"/>
        <color rgb="FFF8696B"/>
        <color rgb="FFFFEB84"/>
        <color rgb="FF63BE7B"/>
      </colorScale>
    </cfRule>
  </conditionalFormatting>
  <conditionalFormatting sqref="E2:E22">
    <cfRule type="dataBar" priority="1">
      <dataBar>
        <cfvo type="min"/>
        <cfvo type="max"/>
        <color rgb="FF638EC6"/>
      </dataBar>
      <extLst>
        <ext xmlns:x14="http://schemas.microsoft.com/office/spreadsheetml/2009/9/main" uri="{B025F937-C7B1-47D3-B67F-A62EFF666E3E}">
          <x14:id>{197945C3-70BB-4692-A6A5-8948A864233B}</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97945C3-70BB-4692-A6A5-8948A864233B}">
            <x14:dataBar minLength="0" maxLength="100" border="1" negativeBarBorderColorSameAsPositive="0">
              <x14:cfvo type="autoMin"/>
              <x14:cfvo type="autoMax"/>
              <x14:borderColor rgb="FF638EC6"/>
              <x14:negativeFillColor rgb="FFFF0000"/>
              <x14:negativeBorderColor rgb="FFFF0000"/>
              <x14:axisColor rgb="FF000000"/>
            </x14:dataBar>
          </x14:cfRule>
          <xm:sqref>E2:E22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Instructions</vt:lpstr>
      <vt:lpstr>Portfolio</vt:lpstr>
      <vt:lpstr>Exposure</vt:lpstr>
      <vt:lpstr>Generator</vt:lpstr>
      <vt:lpstr>Calls SSTK</vt:lpstr>
      <vt:lpstr>Puts TEAM</vt:lpstr>
      <vt:lpstr>Multileg MKTX</vt:lpstr>
      <vt:lpstr>BCS NVDA</vt:lpstr>
      <vt:lpstr>Buy Calls NVDA</vt:lpstr>
      <vt:lpstr>tda</vt:lpstr>
    </vt:vector>
  </TitlesOfParts>
  <Company>Samsung Research America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David McAllister</cp:lastModifiedBy>
  <cp:lastPrinted>2018-03-17T15:44:54Z</cp:lastPrinted>
  <dcterms:created xsi:type="dcterms:W3CDTF">2016-12-20T06:30:09Z</dcterms:created>
  <dcterms:modified xsi:type="dcterms:W3CDTF">2019-12-04T18:39:52Z</dcterms:modified>
</cp:coreProperties>
</file>