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c_000\Desktop\Università\Laboratorio di fisica\InterferometroMichelson\Data\"/>
    </mc:Choice>
  </mc:AlternateContent>
  <bookViews>
    <workbookView xWindow="0" yWindow="0" windowWidth="20520" windowHeight="10992" activeTab="1"/>
  </bookViews>
  <sheets>
    <sheet name="Lunghezza d'onda" sheetId="1" r:id="rId1"/>
    <sheet name="Indice di rifrazione" sheetId="2" r:id="rId2"/>
    <sheet name="Lunghezza pacchetti d'onda" sheetId="3" r:id="rId3"/>
    <sheet name="Doppietto del sodio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2" l="1"/>
  <c r="B29" i="2"/>
  <c r="B9" i="2"/>
  <c r="F14" i="2"/>
  <c r="E10" i="2"/>
  <c r="H21" i="2" s="1"/>
  <c r="E14" i="2"/>
  <c r="D14" i="2"/>
  <c r="D22" i="2"/>
  <c r="D11" i="2"/>
  <c r="D10" i="2"/>
  <c r="D28" i="2"/>
  <c r="E21" i="2" s="1"/>
  <c r="D21" i="2"/>
  <c r="D27" i="2"/>
  <c r="C26" i="2"/>
  <c r="C21" i="2"/>
  <c r="A9" i="2"/>
  <c r="L4" i="1"/>
  <c r="N4" i="1" s="1"/>
  <c r="O4" i="1" s="1"/>
  <c r="L5" i="1"/>
  <c r="N5" i="1" s="1"/>
  <c r="O5" i="1" s="1"/>
  <c r="L6" i="1"/>
  <c r="N6" i="1" s="1"/>
  <c r="O6" i="1" s="1"/>
  <c r="L3" i="1"/>
  <c r="N3" i="1" s="1"/>
  <c r="O3" i="1" s="1"/>
  <c r="L2" i="1"/>
  <c r="N2" i="1" s="1"/>
  <c r="M20" i="1"/>
  <c r="M21" i="1"/>
  <c r="N21" i="1"/>
  <c r="O21" i="1"/>
  <c r="P21" i="1"/>
  <c r="Q21" i="1"/>
  <c r="M22" i="1"/>
  <c r="N22" i="1"/>
  <c r="O22" i="1"/>
  <c r="P22" i="1"/>
  <c r="Q22" i="1"/>
  <c r="M23" i="1"/>
  <c r="N23" i="1"/>
  <c r="O23" i="1"/>
  <c r="P23" i="1"/>
  <c r="Q23" i="1"/>
  <c r="M24" i="1"/>
  <c r="N24" i="1"/>
  <c r="O24" i="1"/>
  <c r="P24" i="1"/>
  <c r="Q24" i="1"/>
  <c r="O20" i="1"/>
  <c r="N20" i="1"/>
  <c r="P20" i="1"/>
  <c r="Q20" i="1"/>
  <c r="G22" i="1"/>
  <c r="M18" i="1" a="1"/>
  <c r="M18" i="1" s="1"/>
  <c r="M19" i="1" a="1"/>
  <c r="O19" i="1" s="1"/>
  <c r="M19" i="1"/>
  <c r="N19" i="1"/>
  <c r="Q19" i="1"/>
  <c r="K3" i="1"/>
  <c r="K4" i="1"/>
  <c r="K5" i="1"/>
  <c r="K6" i="1"/>
  <c r="K2" i="1"/>
  <c r="N7" i="1" l="1"/>
  <c r="N9" i="1" s="1"/>
  <c r="O2" i="1"/>
  <c r="O7" i="1" s="1"/>
  <c r="Q18" i="1"/>
  <c r="O18" i="1"/>
  <c r="P18" i="1"/>
  <c r="N18" i="1"/>
  <c r="P19" i="1"/>
  <c r="D8" i="1"/>
  <c r="D7" i="1"/>
  <c r="O9" i="1" l="1"/>
  <c r="E7" i="4"/>
  <c r="C7" i="4"/>
  <c r="C3" i="4"/>
  <c r="C5" i="4"/>
  <c r="A4" i="4"/>
  <c r="C4" i="4" s="1"/>
  <c r="B3" i="4"/>
  <c r="A3" i="4"/>
  <c r="C2" i="4"/>
  <c r="C5" i="3" l="1"/>
  <c r="D5" i="3" s="1"/>
  <c r="E5" i="3" s="1"/>
  <c r="C3" i="3"/>
  <c r="D3" i="3" s="1"/>
  <c r="E3" i="3" s="1"/>
  <c r="C4" i="3"/>
  <c r="D4" i="3" s="1"/>
  <c r="E4" i="3" s="1"/>
  <c r="D2" i="3"/>
  <c r="E2" i="3" s="1"/>
  <c r="C2" i="3"/>
  <c r="B25" i="2"/>
  <c r="B5" i="2" l="1"/>
  <c r="B4" i="2"/>
  <c r="B3" i="2"/>
  <c r="B2" i="2"/>
  <c r="A4" i="1"/>
  <c r="A5" i="1" s="1"/>
  <c r="C5" i="1" s="1"/>
  <c r="D5" i="1" s="1"/>
  <c r="F5" i="1" s="1"/>
  <c r="A3" i="1"/>
  <c r="C3" i="1"/>
  <c r="D3" i="1" s="1"/>
  <c r="F3" i="1" s="1"/>
  <c r="H21" i="1" s="1"/>
  <c r="C2" i="1"/>
  <c r="D2" i="1" s="1"/>
  <c r="F2" i="1" s="1"/>
  <c r="G21" i="1" s="1"/>
  <c r="F23" i="1" l="1"/>
  <c r="C4" i="1"/>
  <c r="D4" i="1" s="1"/>
  <c r="F4" i="1" s="1"/>
  <c r="F24" i="1" s="1"/>
  <c r="I21" i="1" s="1"/>
  <c r="D6" i="2"/>
  <c r="C6" i="2"/>
  <c r="F22" i="1"/>
  <c r="A6" i="1"/>
  <c r="C6" i="1" s="1"/>
  <c r="D6" i="1" s="1"/>
  <c r="F6" i="1" s="1"/>
  <c r="B22" i="4"/>
  <c r="B23" i="4" s="1"/>
  <c r="B24" i="4" s="1"/>
  <c r="B21" i="4"/>
  <c r="B22" i="2"/>
  <c r="B22" i="1"/>
  <c r="E2" i="4" l="1"/>
  <c r="E4" i="4"/>
  <c r="E5" i="4"/>
  <c r="E3" i="4"/>
  <c r="G3" i="1"/>
  <c r="G5" i="1"/>
  <c r="H5" i="1" s="1"/>
  <c r="I5" i="1" s="1"/>
  <c r="G4" i="1"/>
  <c r="G6" i="1"/>
  <c r="H6" i="1" s="1"/>
  <c r="I6" i="1" s="1"/>
  <c r="G2" i="1"/>
  <c r="H4" i="1" l="1"/>
  <c r="I4" i="1" s="1"/>
  <c r="E24" i="1"/>
  <c r="I20" i="1" s="1"/>
  <c r="H3" i="1"/>
  <c r="I3" i="1" s="1"/>
  <c r="H20" i="1"/>
  <c r="E23" i="1" s="1"/>
  <c r="H2" i="1"/>
  <c r="G20" i="1"/>
  <c r="E22" i="1" l="1"/>
  <c r="H7" i="1"/>
  <c r="I2" i="1"/>
  <c r="I7" i="1" s="1"/>
  <c r="I8" i="1" s="1"/>
  <c r="G23" i="1" l="1"/>
  <c r="H23" i="1"/>
  <c r="H22" i="1"/>
  <c r="I22" i="1" s="1"/>
  <c r="G24" i="1" l="1"/>
  <c r="H24" i="1"/>
  <c r="I24" i="1"/>
  <c r="I23" i="1"/>
</calcChain>
</file>

<file path=xl/sharedStrings.xml><?xml version="1.0" encoding="utf-8"?>
<sst xmlns="http://schemas.openxmlformats.org/spreadsheetml/2006/main" count="41" uniqueCount="32">
  <si>
    <t>delta x</t>
  </si>
  <si>
    <t>n aria</t>
  </si>
  <si>
    <t>costanti</t>
  </si>
  <si>
    <t>lambda</t>
  </si>
  <si>
    <t>sigma lambda</t>
  </si>
  <si>
    <t>errore delta x</t>
  </si>
  <si>
    <t>N1</t>
  </si>
  <si>
    <t>N2</t>
  </si>
  <si>
    <t>d</t>
  </si>
  <si>
    <t>lambda 1</t>
  </si>
  <si>
    <t>lambda 2</t>
  </si>
  <si>
    <t>m</t>
  </si>
  <si>
    <t>labmda media</t>
  </si>
  <si>
    <t>delta lambda</t>
  </si>
  <si>
    <t>lambda media ^2</t>
  </si>
  <si>
    <t>inizio</t>
  </si>
  <si>
    <t>fine</t>
  </si>
  <si>
    <t>misura</t>
  </si>
  <si>
    <t>lambda nm</t>
  </si>
  <si>
    <t>errore</t>
  </si>
  <si>
    <t>derr</t>
  </si>
  <si>
    <t>delta metri</t>
  </si>
  <si>
    <t>delta</t>
  </si>
  <si>
    <t>deta x</t>
  </si>
  <si>
    <t>frange blu</t>
  </si>
  <si>
    <t>gradi celsius</t>
  </si>
  <si>
    <t>(delta x)/N1</t>
  </si>
  <si>
    <t>sigma</t>
  </si>
  <si>
    <t>temperatura</t>
  </si>
  <si>
    <t>ts</t>
  </si>
  <si>
    <t>na</t>
  </si>
  <si>
    <t>lamda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</si>
</sst>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E+00"/>
    <numFmt numFmtId="168" formatCode="0.00000"/>
    <numFmt numFmtId="171" formatCode="0.0000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0" xfId="0" applyFont="1"/>
    <xf numFmtId="168" fontId="0" fillId="0" borderId="0" xfId="0" applyNumberFormat="1"/>
    <xf numFmtId="17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zoomScaleNormal="100" workbookViewId="0">
      <selection activeCell="O9" sqref="N9:O9"/>
    </sheetView>
  </sheetViews>
  <sheetFormatPr defaultRowHeight="14.4" x14ac:dyDescent="0.3"/>
  <cols>
    <col min="1" max="1" width="12.109375" bestFit="1" customWidth="1"/>
    <col min="2" max="2" width="9.88671875" bestFit="1" customWidth="1"/>
    <col min="4" max="4" width="12.109375" bestFit="1" customWidth="1"/>
    <col min="6" max="6" width="11.77734375" bestFit="1" customWidth="1"/>
    <col min="7" max="7" width="13.109375" bestFit="1" customWidth="1"/>
    <col min="11" max="11" width="12.21875" customWidth="1"/>
    <col min="12" max="17" width="12.33203125" bestFit="1" customWidth="1"/>
  </cols>
  <sheetData>
    <row r="1" spans="1:15" x14ac:dyDescent="0.3">
      <c r="A1" t="s">
        <v>15</v>
      </c>
      <c r="B1" t="s">
        <v>16</v>
      </c>
      <c r="C1" t="s">
        <v>17</v>
      </c>
      <c r="D1" t="s">
        <v>0</v>
      </c>
      <c r="E1" t="s">
        <v>6</v>
      </c>
      <c r="F1" t="s">
        <v>18</v>
      </c>
      <c r="G1" t="s">
        <v>4</v>
      </c>
      <c r="K1" t="s">
        <v>26</v>
      </c>
      <c r="L1" t="s">
        <v>27</v>
      </c>
    </row>
    <row r="2" spans="1:15" x14ac:dyDescent="0.3">
      <c r="A2" s="5">
        <v>1.0500000000000001E-2</v>
      </c>
      <c r="B2" s="5">
        <v>1.021E-2</v>
      </c>
      <c r="C2">
        <f>ABS(B2-A2)</f>
        <v>2.9000000000000033E-4</v>
      </c>
      <c r="D2">
        <f>C2/5</f>
        <v>5.8000000000000068E-5</v>
      </c>
      <c r="E2">
        <v>184</v>
      </c>
      <c r="F2">
        <f>2*$B$21*D2/E2*1000000000</f>
        <v>630.61924782608787</v>
      </c>
      <c r="G2">
        <f>(2*$B$21*$B$22/E2)*1000000000</f>
        <v>10.872745652173913</v>
      </c>
      <c r="H2">
        <f>1/G2^2</f>
        <v>8.4590490402821732E-3</v>
      </c>
      <c r="I2">
        <f>H2*F2</f>
        <v>5.3344391431067342</v>
      </c>
      <c r="K2">
        <f>D2/E2</f>
        <v>3.152173913043482E-7</v>
      </c>
      <c r="L2">
        <f>SQRT(($B$22/E2)^2+(D2/(E2^2))^2)</f>
        <v>5.6983948439776389E-9</v>
      </c>
      <c r="N2">
        <f>L2^-2</f>
        <v>3.0796043417517456E+16</v>
      </c>
      <c r="O2">
        <f>N2*K2</f>
        <v>9707448468.5652962</v>
      </c>
    </row>
    <row r="3" spans="1:15" x14ac:dyDescent="0.3">
      <c r="A3" s="5">
        <f>A2</f>
        <v>1.0500000000000001E-2</v>
      </c>
      <c r="B3" s="5">
        <v>1.017E-2</v>
      </c>
      <c r="C3">
        <f>ABS(B3-A3)</f>
        <v>3.3000000000000043E-4</v>
      </c>
      <c r="D3">
        <f>C3/5</f>
        <v>6.6000000000000086E-5</v>
      </c>
      <c r="E3">
        <v>207</v>
      </c>
      <c r="F3">
        <f>2*$B$21*D3/E3*1000000000</f>
        <v>637.86774492753716</v>
      </c>
      <c r="G3">
        <f>(2*$B$21*$B$22/E3)*1000000000</f>
        <v>9.6646628019323675</v>
      </c>
      <c r="H3">
        <f t="shared" ref="H3:H6" si="0">1/G3^2</f>
        <v>1.0705983941607124E-2</v>
      </c>
      <c r="I3">
        <f t="shared" ref="I3:I6" si="1">H3*F3</f>
        <v>6.8290018340633623</v>
      </c>
      <c r="K3">
        <f t="shared" ref="K3:K6" si="2">D3/E3</f>
        <v>3.1884057971014533E-7</v>
      </c>
      <c r="L3">
        <f>SQRT(($B$22/E3)^2+(D3/(E3^2))^2)</f>
        <v>5.0705294569767996E-9</v>
      </c>
      <c r="N3">
        <f t="shared" ref="N3:N6" si="3">L3^-2</f>
        <v>3.8894964537654904E+16</v>
      </c>
      <c r="O3">
        <f t="shared" ref="O3:O6" si="4">N3*K3</f>
        <v>12401293040.991434</v>
      </c>
    </row>
    <row r="4" spans="1:15" x14ac:dyDescent="0.3">
      <c r="A4" s="5">
        <f>A3</f>
        <v>1.0500000000000001E-2</v>
      </c>
      <c r="B4" s="5">
        <v>1.018E-2</v>
      </c>
      <c r="C4">
        <f>ABS(B4-A4)</f>
        <v>3.2000000000000084E-4</v>
      </c>
      <c r="D4">
        <f>C4/5</f>
        <v>6.4000000000000173E-5</v>
      </c>
      <c r="E4">
        <v>203</v>
      </c>
      <c r="F4">
        <f>2*$B$21*D4/E4*1000000000</f>
        <v>630.72636847290812</v>
      </c>
      <c r="G4">
        <f>(2*$B$21*$B$22/E4)*1000000000</f>
        <v>9.8550995073891627</v>
      </c>
      <c r="H4">
        <f t="shared" si="0"/>
        <v>1.0296223768342038E-2</v>
      </c>
      <c r="I4">
        <f t="shared" si="1"/>
        <v>6.4940998263908147</v>
      </c>
      <c r="K4">
        <f t="shared" si="2"/>
        <v>3.15270935960592E-7</v>
      </c>
      <c r="L4">
        <f t="shared" ref="L4:L6" si="5">SQRT(($B$22/E4)^2+(D4/(E4^2))^2)</f>
        <v>5.1651268470108771E-9</v>
      </c>
      <c r="N4">
        <f t="shared" si="3"/>
        <v>3.7483317095243344E+16</v>
      </c>
      <c r="O4">
        <f t="shared" si="4"/>
        <v>11817400463.525028</v>
      </c>
    </row>
    <row r="5" spans="1:15" x14ac:dyDescent="0.3">
      <c r="A5" s="5">
        <f t="shared" ref="A5:A6" si="6">A4</f>
        <v>1.0500000000000001E-2</v>
      </c>
      <c r="B5" s="5">
        <v>1.034E-2</v>
      </c>
      <c r="C5">
        <f t="shared" ref="C5:C6" si="7">ABS(B5-A5)</f>
        <v>1.6000000000000042E-4</v>
      </c>
      <c r="D5">
        <f t="shared" ref="D5:D6" si="8">C5/5</f>
        <v>3.2000000000000087E-5</v>
      </c>
      <c r="E5">
        <v>101</v>
      </c>
      <c r="F5">
        <f t="shared" ref="F5:F6" si="9">2*$B$21*D5/E5*1000000000</f>
        <v>633.84877623762554</v>
      </c>
      <c r="G5">
        <f t="shared" ref="G5:G6" si="10">(2*$B$21*$B$22/E5)*1000000000</f>
        <v>19.807774257425741</v>
      </c>
      <c r="H5">
        <f t="shared" si="0"/>
        <v>2.5487582484616748E-3</v>
      </c>
      <c r="I5">
        <f t="shared" si="1"/>
        <v>1.6155272967129866</v>
      </c>
      <c r="K5">
        <f t="shared" si="2"/>
        <v>3.168316831683177E-7</v>
      </c>
      <c r="L5">
        <f t="shared" si="5"/>
        <v>1.038605043643618E-8</v>
      </c>
      <c r="N5">
        <f t="shared" si="3"/>
        <v>9270414342984406</v>
      </c>
      <c r="O5">
        <f t="shared" si="4"/>
        <v>2937160979.9554634</v>
      </c>
    </row>
    <row r="6" spans="1:15" x14ac:dyDescent="0.3">
      <c r="A6" s="5">
        <f t="shared" si="6"/>
        <v>1.0500000000000001E-2</v>
      </c>
      <c r="B6" s="5">
        <v>1.018E-2</v>
      </c>
      <c r="C6">
        <f t="shared" si="7"/>
        <v>3.2000000000000084E-4</v>
      </c>
      <c r="D6">
        <f t="shared" si="8"/>
        <v>6.4000000000000173E-5</v>
      </c>
      <c r="E6">
        <v>203</v>
      </c>
      <c r="F6" s="2">
        <f t="shared" si="9"/>
        <v>630.72636847290812</v>
      </c>
      <c r="G6">
        <f t="shared" si="10"/>
        <v>9.8550995073891627</v>
      </c>
      <c r="H6">
        <f t="shared" si="0"/>
        <v>1.0296223768342038E-2</v>
      </c>
      <c r="I6">
        <f t="shared" si="1"/>
        <v>6.4940998263908147</v>
      </c>
      <c r="K6">
        <f t="shared" si="2"/>
        <v>3.15270935960592E-7</v>
      </c>
      <c r="L6">
        <f t="shared" si="5"/>
        <v>5.1651268470108771E-9</v>
      </c>
      <c r="N6">
        <f t="shared" si="3"/>
        <v>3.7483317095243344E+16</v>
      </c>
      <c r="O6">
        <f t="shared" si="4"/>
        <v>11817400463.525028</v>
      </c>
    </row>
    <row r="7" spans="1:15" x14ac:dyDescent="0.3">
      <c r="D7">
        <f>AVERAGE(D2:D6)</f>
        <v>5.680000000000012E-5</v>
      </c>
      <c r="H7">
        <f>SUM(H2:H6)</f>
        <v>4.2306238767035043E-2</v>
      </c>
      <c r="I7">
        <f>SUM(I2:I6)</f>
        <v>26.767167926664715</v>
      </c>
      <c r="N7">
        <f>SUM(N2:N6)</f>
        <v>1.5392805648864346E+17</v>
      </c>
      <c r="O7">
        <f>SUM(O2:O6)</f>
        <v>48680703416.562256</v>
      </c>
    </row>
    <row r="8" spans="1:15" x14ac:dyDescent="0.3">
      <c r="D8">
        <f>_xlfn.STDEV.S(D2:D6)</f>
        <v>1.4184498581197737E-5</v>
      </c>
      <c r="I8">
        <f>I7/H7</f>
        <v>632.70025194302195</v>
      </c>
    </row>
    <row r="9" spans="1:15" x14ac:dyDescent="0.3">
      <c r="N9">
        <f>SQRT(1/N7)</f>
        <v>2.5488313899846099E-9</v>
      </c>
      <c r="O9">
        <f>O7/N7</f>
        <v>3.1625620778336683E-7</v>
      </c>
    </row>
    <row r="18" spans="1:17" x14ac:dyDescent="0.3">
      <c r="M18">
        <f t="array" ref="M18:Q18">TRANSPOSE(K20:K24)</f>
        <v>5.4347826086956515E-9</v>
      </c>
      <c r="N18">
        <v>4.8309178743961352E-9</v>
      </c>
      <c r="O18">
        <v>4.926108374384236E-9</v>
      </c>
      <c r="P18">
        <v>9.9009900990099001E-9</v>
      </c>
      <c r="Q18">
        <v>4.926108374384236E-9</v>
      </c>
    </row>
    <row r="19" spans="1:17" x14ac:dyDescent="0.3">
      <c r="M19">
        <f t="array" ref="M19:Q19">TRANSPOSE(L20:L24)</f>
        <v>3.152173913043482E-7</v>
      </c>
      <c r="N19">
        <v>3.1884057971014533E-7</v>
      </c>
      <c r="O19">
        <v>3.15270935960592E-7</v>
      </c>
      <c r="P19">
        <v>3.168316831683177E-7</v>
      </c>
      <c r="Q19">
        <v>3.15270935960592E-7</v>
      </c>
    </row>
    <row r="20" spans="1:17" x14ac:dyDescent="0.3">
      <c r="A20" t="s">
        <v>2</v>
      </c>
      <c r="E20" t="s">
        <v>19</v>
      </c>
      <c r="G20">
        <f>G2</f>
        <v>10.872745652173913</v>
      </c>
      <c r="H20">
        <f>G3</f>
        <v>9.6646628019323675</v>
      </c>
      <c r="I20">
        <f>E24</f>
        <v>9.8550995073891627</v>
      </c>
      <c r="K20">
        <v>5.4347826086956515E-9</v>
      </c>
      <c r="L20">
        <v>3.152173913043482E-7</v>
      </c>
      <c r="M20">
        <f>(M$19-$L20)/SQRT(M$18^2+$K20^2)</f>
        <v>0</v>
      </c>
      <c r="N20">
        <f>(N$19-$L20)/SQRT(N$18^2+$K20^2)</f>
        <v>0.49827287912244322</v>
      </c>
      <c r="O20">
        <f>(O$19-$L20)/SQRT(O$18^2+$K20^2)</f>
        <v>7.2998048697663622E-3</v>
      </c>
      <c r="P20">
        <f t="shared" ref="N20:Q24" si="11">(P$19-$L20)/SQRT(P$18^2+$K20^2)</f>
        <v>0.14292684073725026</v>
      </c>
      <c r="Q20">
        <f t="shared" si="11"/>
        <v>7.2998048697663622E-3</v>
      </c>
    </row>
    <row r="21" spans="1:17" x14ac:dyDescent="0.3">
      <c r="A21" t="s">
        <v>1</v>
      </c>
      <c r="B21">
        <v>1.0002926000000001</v>
      </c>
      <c r="F21" t="s">
        <v>17</v>
      </c>
      <c r="G21">
        <f>F2</f>
        <v>630.61924782608787</v>
      </c>
      <c r="H21">
        <f>F3</f>
        <v>637.86774492753716</v>
      </c>
      <c r="I21">
        <f>F24</f>
        <v>630.72636847290812</v>
      </c>
      <c r="K21">
        <v>4.8309178743961352E-9</v>
      </c>
      <c r="L21">
        <v>3.1884057971014533E-7</v>
      </c>
      <c r="M21">
        <f t="shared" ref="M21:O24" si="12">(M$19-$L21)/SQRT(M$18^2+$K21^2)</f>
        <v>-0.49827287912244322</v>
      </c>
      <c r="N21">
        <f t="shared" si="12"/>
        <v>0</v>
      </c>
      <c r="O21">
        <f t="shared" si="12"/>
        <v>-0.51737058429353389</v>
      </c>
      <c r="P21">
        <f t="shared" si="11"/>
        <v>-0.18235034792222007</v>
      </c>
      <c r="Q21">
        <f t="shared" si="11"/>
        <v>-0.51737058429353389</v>
      </c>
    </row>
    <row r="22" spans="1:17" x14ac:dyDescent="0.3">
      <c r="A22" t="s">
        <v>5</v>
      </c>
      <c r="B22">
        <f>10^-6</f>
        <v>9.9999999999999995E-7</v>
      </c>
      <c r="E22">
        <f>G20</f>
        <v>10.872745652173913</v>
      </c>
      <c r="F22">
        <f>F2</f>
        <v>630.61924782608787</v>
      </c>
      <c r="G22" s="2">
        <f>($G21-F$22)/SQRT($G20^2+E$22^2)</f>
        <v>0</v>
      </c>
      <c r="H22" s="2">
        <f t="shared" ref="H22" si="13">($G21-G$22)/SQRT($G20^2+F$22^2)</f>
        <v>0.99985140054899757</v>
      </c>
      <c r="I22" s="2">
        <f>($G21-H$22)/SQRT($G20^2+G$22^2)</f>
        <v>57.90804057847631</v>
      </c>
      <c r="K22">
        <v>4.926108374384236E-9</v>
      </c>
      <c r="L22">
        <v>3.15270935960592E-7</v>
      </c>
      <c r="M22">
        <f t="shared" si="12"/>
        <v>-7.2998048697663622E-3</v>
      </c>
      <c r="N22">
        <f t="shared" si="12"/>
        <v>0.51737058429353389</v>
      </c>
      <c r="O22">
        <f t="shared" si="12"/>
        <v>0</v>
      </c>
      <c r="P22">
        <f t="shared" si="11"/>
        <v>0.14113222109759146</v>
      </c>
      <c r="Q22">
        <f t="shared" si="11"/>
        <v>0</v>
      </c>
    </row>
    <row r="23" spans="1:17" x14ac:dyDescent="0.3">
      <c r="E23">
        <f>H20</f>
        <v>9.6646628019323675</v>
      </c>
      <c r="F23">
        <f>F3</f>
        <v>637.86774492753716</v>
      </c>
      <c r="G23" s="2">
        <f t="shared" ref="G23:G24" si="14">($G22-F$22)/SQRT($G21^2+E$22^2)</f>
        <v>-0.99985140054899757</v>
      </c>
      <c r="H23" s="2">
        <f t="shared" ref="H23:H24" si="15">($G22-G$22)/SQRT($G21^2+F$22^2)</f>
        <v>0</v>
      </c>
      <c r="I23" s="2">
        <f t="shared" ref="I23:I24" si="16">($G22-H$22)/SQRT($G21^2+G$22^2)</f>
        <v>-1.5855072676512032E-3</v>
      </c>
      <c r="K23">
        <v>9.9009900990099001E-9</v>
      </c>
      <c r="L23">
        <v>3.168316831683177E-7</v>
      </c>
      <c r="M23">
        <f t="shared" si="12"/>
        <v>-0.14292684073725026</v>
      </c>
      <c r="N23">
        <f t="shared" si="12"/>
        <v>0.18235034792222007</v>
      </c>
      <c r="O23">
        <f t="shared" si="12"/>
        <v>-0.14113222109759146</v>
      </c>
      <c r="P23">
        <f t="shared" si="11"/>
        <v>0</v>
      </c>
      <c r="Q23">
        <f t="shared" si="11"/>
        <v>-0.14113222109759146</v>
      </c>
    </row>
    <row r="24" spans="1:17" x14ac:dyDescent="0.3">
      <c r="E24">
        <f>G4</f>
        <v>9.8550995073891627</v>
      </c>
      <c r="F24">
        <f>F4</f>
        <v>630.72636847290812</v>
      </c>
      <c r="G24" s="2">
        <f t="shared" si="14"/>
        <v>-58.091959421523853</v>
      </c>
      <c r="H24" s="2">
        <f t="shared" si="15"/>
        <v>-1.5855072676512032E-3</v>
      </c>
      <c r="I24" s="2" t="e">
        <f t="shared" si="16"/>
        <v>#DIV/0!</v>
      </c>
      <c r="K24">
        <v>4.926108374384236E-9</v>
      </c>
      <c r="L24">
        <v>3.15270935960592E-7</v>
      </c>
      <c r="M24">
        <f t="shared" si="12"/>
        <v>-7.2998048697663622E-3</v>
      </c>
      <c r="N24">
        <f t="shared" si="12"/>
        <v>0.51737058429353389</v>
      </c>
      <c r="O24">
        <f t="shared" si="12"/>
        <v>0</v>
      </c>
      <c r="P24">
        <f t="shared" si="11"/>
        <v>0.14113222109759146</v>
      </c>
      <c r="Q24">
        <f t="shared" si="11"/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B2" workbookViewId="0">
      <selection activeCell="E17" sqref="E17"/>
    </sheetView>
  </sheetViews>
  <sheetFormatPr defaultRowHeight="14.4" x14ac:dyDescent="0.3"/>
  <cols>
    <col min="1" max="2" width="12" bestFit="1" customWidth="1"/>
    <col min="4" max="4" width="11.5546875" bestFit="1" customWidth="1"/>
    <col min="5" max="6" width="12" bestFit="1" customWidth="1"/>
  </cols>
  <sheetData>
    <row r="1" spans="1:6" x14ac:dyDescent="0.3">
      <c r="A1" t="s">
        <v>7</v>
      </c>
      <c r="B1" t="s">
        <v>1</v>
      </c>
    </row>
    <row r="2" spans="1:6" x14ac:dyDescent="0.3">
      <c r="A2">
        <v>42</v>
      </c>
      <c r="B2">
        <f>A2*B$23/(2*B$24)+1</f>
        <v>1.0002657341058161</v>
      </c>
    </row>
    <row r="3" spans="1:6" x14ac:dyDescent="0.3">
      <c r="A3">
        <v>41.5</v>
      </c>
      <c r="B3">
        <f>A3*B$23/(2*B$24)+1</f>
        <v>1.0002625706045563</v>
      </c>
    </row>
    <row r="4" spans="1:6" x14ac:dyDescent="0.3">
      <c r="A4">
        <v>42.5</v>
      </c>
      <c r="B4">
        <f>A4*B$23/(2*B$24)+1</f>
        <v>1.0002688976070757</v>
      </c>
    </row>
    <row r="5" spans="1:6" x14ac:dyDescent="0.3">
      <c r="A5">
        <v>42</v>
      </c>
      <c r="B5">
        <f>A5*B$23/(2*B$24)+1</f>
        <v>1.0002657341058161</v>
      </c>
    </row>
    <row r="6" spans="1:6" x14ac:dyDescent="0.3">
      <c r="C6">
        <f>AVERAGE(B2:B5)</f>
        <v>1.0002657341058161</v>
      </c>
      <c r="D6">
        <f>_xlfn.STDEV.S(B2:B5)</f>
        <v>2.5829879623289891E-6</v>
      </c>
    </row>
    <row r="9" spans="1:6" x14ac:dyDescent="0.3">
      <c r="A9">
        <f>AVERAGE(A2:A5)</f>
        <v>42</v>
      </c>
      <c r="B9">
        <f>_xlfn.STDEV.S(A2:A5)</f>
        <v>0.40824829046386302</v>
      </c>
      <c r="D9" t="s">
        <v>30</v>
      </c>
    </row>
    <row r="10" spans="1:6" x14ac:dyDescent="0.3">
      <c r="A10">
        <v>0</v>
      </c>
      <c r="D10" s="6">
        <f>B24/(B24-(A9*B12))</f>
        <v>1.0002657258059839</v>
      </c>
      <c r="E10">
        <f>(D10/(B24-(A9*B12)))*SQRT((B12*A10)^2+(A9*A12)^2)</f>
        <v>2.1421563664275228E-6</v>
      </c>
    </row>
    <row r="11" spans="1:6" x14ac:dyDescent="0.3">
      <c r="D11" s="6">
        <f>D10-1</f>
        <v>2.6572580598394069E-4</v>
      </c>
    </row>
    <row r="12" spans="1:6" x14ac:dyDescent="0.3">
      <c r="A12">
        <v>2.5488313899846099E-9</v>
      </c>
      <c r="B12">
        <v>3.1625620778336683E-7</v>
      </c>
    </row>
    <row r="13" spans="1:6" x14ac:dyDescent="0.3">
      <c r="D13" t="s">
        <v>31</v>
      </c>
    </row>
    <row r="14" spans="1:6" x14ac:dyDescent="0.3">
      <c r="D14">
        <f>2*D10*B12</f>
        <v>6.3268049043815495E-7</v>
      </c>
      <c r="E14">
        <f>D14*10^9</f>
        <v>632.68049043815495</v>
      </c>
      <c r="F14">
        <f>2*B24*SQRT((B24*A12)^2+(B12*A10)^2)/(B24-(A9*B12))^2</f>
        <v>5.1003723010179125E-9</v>
      </c>
    </row>
    <row r="16" spans="1:6" x14ac:dyDescent="0.3">
      <c r="E16">
        <f>(D14-B29)/F14</f>
        <v>-6.2644360644280486E-2</v>
      </c>
    </row>
    <row r="20" spans="1:8" x14ac:dyDescent="0.3">
      <c r="A20" t="s">
        <v>2</v>
      </c>
    </row>
    <row r="21" spans="1:8" x14ac:dyDescent="0.3">
      <c r="A21" t="s">
        <v>1</v>
      </c>
      <c r="B21">
        <v>1.0002926000000001</v>
      </c>
      <c r="C21">
        <f>B21-1</f>
        <v>2.9260000000008723E-4</v>
      </c>
      <c r="D21">
        <f>C21*D27</f>
        <v>2.8354696485631461E-4</v>
      </c>
      <c r="E21">
        <f>D21*D28</f>
        <v>2.7983909682340448E-4</v>
      </c>
      <c r="H21">
        <f>(D22-D10)/E10</f>
        <v>8.31926144687049</v>
      </c>
    </row>
    <row r="22" spans="1:8" x14ac:dyDescent="0.3">
      <c r="A22" t="s">
        <v>5</v>
      </c>
      <c r="B22">
        <f>10^-6</f>
        <v>9.9999999999999995E-7</v>
      </c>
      <c r="D22">
        <f>D21+1</f>
        <v>1.0002835469648563</v>
      </c>
    </row>
    <row r="23" spans="1:8" x14ac:dyDescent="0.3">
      <c r="A23" t="s">
        <v>3</v>
      </c>
      <c r="B23" s="1">
        <v>6.3270025194302196E-7</v>
      </c>
    </row>
    <row r="24" spans="1:8" x14ac:dyDescent="0.3">
      <c r="A24" t="s">
        <v>8</v>
      </c>
      <c r="B24">
        <v>0.05</v>
      </c>
    </row>
    <row r="25" spans="1:8" x14ac:dyDescent="0.3">
      <c r="A25" t="s">
        <v>20</v>
      </c>
      <c r="B25">
        <f>0.001</f>
        <v>1E-3</v>
      </c>
    </row>
    <row r="26" spans="1:8" x14ac:dyDescent="0.3">
      <c r="A26" t="s">
        <v>28</v>
      </c>
      <c r="B26">
        <v>24.2</v>
      </c>
      <c r="C26">
        <f>B26+273.15</f>
        <v>297.34999999999997</v>
      </c>
    </row>
    <row r="27" spans="1:8" x14ac:dyDescent="0.3">
      <c r="A27" t="s">
        <v>29</v>
      </c>
      <c r="B27">
        <v>288.14999999999998</v>
      </c>
      <c r="D27">
        <f>B27/C26</f>
        <v>0.96906003026736176</v>
      </c>
    </row>
    <row r="28" spans="1:8" x14ac:dyDescent="0.3">
      <c r="B28">
        <v>1013.25</v>
      </c>
      <c r="C28">
        <v>1000</v>
      </c>
      <c r="D28">
        <f>C28/B28</f>
        <v>0.98692326671601283</v>
      </c>
    </row>
    <row r="29" spans="1:8" x14ac:dyDescent="0.3">
      <c r="B29">
        <f>0.000000633</f>
        <v>6.3300000000000002E-7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14" sqref="G14"/>
    </sheetView>
  </sheetViews>
  <sheetFormatPr defaultRowHeight="14.4" x14ac:dyDescent="0.3"/>
  <cols>
    <col min="5" max="5" width="9.88671875" bestFit="1" customWidth="1"/>
  </cols>
  <sheetData>
    <row r="1" spans="1:5" x14ac:dyDescent="0.3">
      <c r="A1" t="s">
        <v>15</v>
      </c>
      <c r="B1" t="s">
        <v>16</v>
      </c>
      <c r="C1" t="s">
        <v>22</v>
      </c>
      <c r="D1" t="s">
        <v>23</v>
      </c>
      <c r="E1" t="s">
        <v>21</v>
      </c>
    </row>
    <row r="2" spans="1:5" x14ac:dyDescent="0.3">
      <c r="A2">
        <v>15.18</v>
      </c>
      <c r="B2">
        <v>15.21</v>
      </c>
      <c r="C2">
        <f>ABS(B2-A2)</f>
        <v>3.0000000000001137E-2</v>
      </c>
      <c r="D2">
        <f>C2/5</f>
        <v>6.0000000000002274E-3</v>
      </c>
      <c r="E2" s="3">
        <f>D2*0.001</f>
        <v>6.0000000000002272E-6</v>
      </c>
    </row>
    <row r="3" spans="1:5" x14ac:dyDescent="0.3">
      <c r="A3">
        <v>15.18</v>
      </c>
      <c r="B3">
        <v>15.21</v>
      </c>
      <c r="C3">
        <f t="shared" ref="C3:C4" si="0">ABS(B3-A3)</f>
        <v>3.0000000000001137E-2</v>
      </c>
      <c r="D3">
        <f t="shared" ref="D3:D5" si="1">C3/5</f>
        <v>6.0000000000002274E-3</v>
      </c>
      <c r="E3" s="3">
        <f t="shared" ref="E3:E5" si="2">D3*0.001</f>
        <v>6.0000000000002272E-6</v>
      </c>
    </row>
    <row r="4" spans="1:5" x14ac:dyDescent="0.3">
      <c r="A4">
        <v>15.18</v>
      </c>
      <c r="B4">
        <v>15.21</v>
      </c>
      <c r="C4">
        <f t="shared" si="0"/>
        <v>3.0000000000001137E-2</v>
      </c>
      <c r="D4">
        <f t="shared" si="1"/>
        <v>6.0000000000002274E-3</v>
      </c>
      <c r="E4" s="3">
        <f t="shared" si="2"/>
        <v>6.0000000000002272E-6</v>
      </c>
    </row>
    <row r="5" spans="1:5" x14ac:dyDescent="0.3">
      <c r="A5">
        <v>15.2</v>
      </c>
      <c r="B5">
        <v>15.164999999999999</v>
      </c>
      <c r="C5">
        <f t="shared" ref="C5" si="3">ABS(B5-A5)</f>
        <v>3.5000000000000142E-2</v>
      </c>
      <c r="D5">
        <f t="shared" si="1"/>
        <v>7.0000000000000288E-3</v>
      </c>
      <c r="E5" s="3">
        <f t="shared" si="2"/>
        <v>7.0000000000000287E-6</v>
      </c>
    </row>
    <row r="6" spans="1:5" x14ac:dyDescent="0.3">
      <c r="A6" t="s">
        <v>24</v>
      </c>
      <c r="C6" s="4"/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1" sqref="H1"/>
    </sheetView>
  </sheetViews>
  <sheetFormatPr defaultRowHeight="14.4" x14ac:dyDescent="0.3"/>
  <cols>
    <col min="1" max="1" width="15" bestFit="1" customWidth="1"/>
    <col min="2" max="2" width="12" bestFit="1" customWidth="1"/>
    <col min="5" max="5" width="11.5546875" bestFit="1" customWidth="1"/>
  </cols>
  <sheetData>
    <row r="1" spans="1:9" x14ac:dyDescent="0.3">
      <c r="C1" t="s">
        <v>0</v>
      </c>
      <c r="D1" t="s">
        <v>11</v>
      </c>
      <c r="E1" t="s">
        <v>13</v>
      </c>
      <c r="I1" t="s">
        <v>25</v>
      </c>
    </row>
    <row r="2" spans="1:9" x14ac:dyDescent="0.3">
      <c r="A2" s="1">
        <v>2.068E-2</v>
      </c>
      <c r="B2" s="1">
        <v>1.745E-2</v>
      </c>
      <c r="C2">
        <f>ABS(B2-A2)/5</f>
        <v>6.4600000000000009E-4</v>
      </c>
      <c r="D2">
        <v>2</v>
      </c>
      <c r="E2">
        <f>D2*B$24/(2*C2)</f>
        <v>5.3757660990712076E-10</v>
      </c>
      <c r="I2" s="4"/>
    </row>
    <row r="3" spans="1:9" x14ac:dyDescent="0.3">
      <c r="A3" s="1">
        <f>B2</f>
        <v>1.745E-2</v>
      </c>
      <c r="B3">
        <f>0.01591</f>
        <v>1.5910000000000001E-2</v>
      </c>
      <c r="C3" s="1">
        <f>ABS(B3-A3)/5</f>
        <v>3.0799999999999995E-4</v>
      </c>
      <c r="D3">
        <v>1</v>
      </c>
      <c r="E3">
        <f>D3*B$24/(2*C3)</f>
        <v>5.6375728896103907E-10</v>
      </c>
    </row>
    <row r="4" spans="1:9" x14ac:dyDescent="0.3">
      <c r="A4" s="1">
        <f>A2</f>
        <v>2.068E-2</v>
      </c>
      <c r="B4" s="1">
        <v>1.602E-2</v>
      </c>
      <c r="C4" s="1">
        <f>ABS(B4-A4)/5</f>
        <v>9.3200000000000021E-4</v>
      </c>
      <c r="D4">
        <v>3</v>
      </c>
      <c r="E4">
        <f>D4*B$24/(2*C4)</f>
        <v>5.5891817060085829E-10</v>
      </c>
    </row>
    <row r="5" spans="1:9" x14ac:dyDescent="0.3">
      <c r="A5" s="1">
        <v>1.602E-2</v>
      </c>
      <c r="B5" s="1">
        <v>1.456E-2</v>
      </c>
      <c r="C5" s="1">
        <f>ABS(B5-A5)/5</f>
        <v>2.9199999999999989E-4</v>
      </c>
      <c r="D5">
        <v>1</v>
      </c>
      <c r="E5">
        <f>D5*B$24/(2*C5)</f>
        <v>5.9464809931506873E-10</v>
      </c>
    </row>
    <row r="7" spans="1:9" x14ac:dyDescent="0.3">
      <c r="A7" s="1">
        <v>2.068E-2</v>
      </c>
      <c r="B7" s="1">
        <v>1.456E-2</v>
      </c>
      <c r="C7" s="1">
        <f>ABS(B7-A7)/5</f>
        <v>1.224E-3</v>
      </c>
      <c r="D7">
        <v>4</v>
      </c>
      <c r="E7">
        <f>D7*B$24/(2*C7)</f>
        <v>5.6744197712418303E-10</v>
      </c>
    </row>
    <row r="20" spans="1:2" x14ac:dyDescent="0.3">
      <c r="A20" t="s">
        <v>2</v>
      </c>
    </row>
    <row r="21" spans="1:2" x14ac:dyDescent="0.3">
      <c r="A21" t="s">
        <v>9</v>
      </c>
      <c r="B21">
        <f>5890*10^(-10)</f>
        <v>5.8899999999999999E-7</v>
      </c>
    </row>
    <row r="22" spans="1:2" x14ac:dyDescent="0.3">
      <c r="A22" t="s">
        <v>10</v>
      </c>
      <c r="B22">
        <f>5896*10^(-10)</f>
        <v>5.8960000000000004E-7</v>
      </c>
    </row>
    <row r="23" spans="1:2" x14ac:dyDescent="0.3">
      <c r="A23" t="s">
        <v>12</v>
      </c>
      <c r="B23">
        <f>AVERAGE(B21:B22)</f>
        <v>5.8930000000000002E-7</v>
      </c>
    </row>
    <row r="24" spans="1:2" x14ac:dyDescent="0.3">
      <c r="A24" t="s">
        <v>14</v>
      </c>
      <c r="B24">
        <f>B23^2</f>
        <v>3.4727449000000003E-13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Lunghezza d'onda</vt:lpstr>
      <vt:lpstr>Indice di rifrazione</vt:lpstr>
      <vt:lpstr>Lunghezza pacchetti d'onda</vt:lpstr>
      <vt:lpstr>Doppietto del sodio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Cavalleri</dc:creator>
  <cp:lastModifiedBy>Nicolò Cavalleri</cp:lastModifiedBy>
  <dcterms:created xsi:type="dcterms:W3CDTF">2016-11-27T15:02:07Z</dcterms:created>
  <dcterms:modified xsi:type="dcterms:W3CDTF">2016-12-03T16:14:14Z</dcterms:modified>
</cp:coreProperties>
</file>