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sa\Desktop\"/>
    </mc:Choice>
  </mc:AlternateContent>
  <bookViews>
    <workbookView xWindow="0" yWindow="0" windowWidth="28800" windowHeight="12210" firstSheet="21" activeTab="24"/>
  </bookViews>
  <sheets>
    <sheet name="Dati" sheetId="1" r:id="rId1"/>
    <sheet name="Misura di prova" sheetId="2" r:id="rId2"/>
    <sheet name="Misura (1)" sheetId="5" r:id="rId3"/>
    <sheet name="Misura (2)" sheetId="6" r:id="rId4"/>
    <sheet name="Misura (3)" sheetId="7" r:id="rId5"/>
    <sheet name="Misura (4)" sheetId="9" r:id="rId6"/>
    <sheet name="Misura (5)" sheetId="11" r:id="rId7"/>
    <sheet name="Misura (6)" sheetId="12" r:id="rId8"/>
    <sheet name="Misura (7)" sheetId="14" r:id="rId9"/>
    <sheet name="Misura (8)" sheetId="16" r:id="rId10"/>
    <sheet name="Misura (9)" sheetId="17" r:id="rId11"/>
    <sheet name="Misura (10)" sheetId="19" r:id="rId12"/>
    <sheet name="Misura (11)" sheetId="20" r:id="rId13"/>
    <sheet name="Misura (12)" sheetId="21" r:id="rId14"/>
    <sheet name="Misura (13)" sheetId="30" r:id="rId15"/>
    <sheet name="Misura (14)" sheetId="31" r:id="rId16"/>
    <sheet name="Misura (15)" sheetId="32" r:id="rId17"/>
    <sheet name="Misura (16)" sheetId="33" r:id="rId18"/>
    <sheet name="Misura (17)" sheetId="34" r:id="rId19"/>
    <sheet name="Misura (18)" sheetId="35" r:id="rId20"/>
    <sheet name="Misura (19)" sheetId="36" r:id="rId21"/>
    <sheet name="Misura (20)" sheetId="38" r:id="rId22"/>
    <sheet name="Misura (21)" sheetId="39" r:id="rId23"/>
    <sheet name="Misura (22)" sheetId="40" r:id="rId24"/>
    <sheet name="Sheet1" sheetId="41" r:id="rId25"/>
  </sheets>
  <externalReferences>
    <externalReference r:id="rId26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41" l="1"/>
  <c r="E5" i="41"/>
  <c r="G118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7" i="41"/>
  <c r="B8" i="41"/>
  <c r="B9" i="41"/>
  <c r="B10" i="41"/>
  <c r="B11" i="41"/>
  <c r="B12" i="41"/>
  <c r="B13" i="41"/>
  <c r="B14" i="41"/>
  <c r="B15" i="41"/>
  <c r="B16" i="41"/>
  <c r="B17" i="41"/>
  <c r="B18" i="41"/>
  <c r="B19" i="41"/>
  <c r="B20" i="41"/>
  <c r="B21" i="41"/>
  <c r="B22" i="41"/>
  <c r="B23" i="41"/>
  <c r="B24" i="41"/>
  <c r="B25" i="41"/>
  <c r="B26" i="41"/>
  <c r="B27" i="41"/>
  <c r="B28" i="41"/>
  <c r="B29" i="41"/>
  <c r="B30" i="41"/>
  <c r="B31" i="41"/>
  <c r="B32" i="41"/>
  <c r="B33" i="41"/>
  <c r="B34" i="41"/>
  <c r="B35" i="41"/>
  <c r="B36" i="41"/>
  <c r="B37" i="41"/>
  <c r="B38" i="41"/>
  <c r="B39" i="41"/>
  <c r="B40" i="41"/>
  <c r="B41" i="41"/>
  <c r="B42" i="41"/>
  <c r="B43" i="41"/>
  <c r="B44" i="41"/>
  <c r="B45" i="41"/>
  <c r="B46" i="41"/>
  <c r="B47" i="41"/>
  <c r="B48" i="41"/>
  <c r="B49" i="41"/>
  <c r="B50" i="41"/>
  <c r="B51" i="41"/>
  <c r="B52" i="41"/>
  <c r="B53" i="41"/>
  <c r="B54" i="41"/>
  <c r="B55" i="41"/>
  <c r="B56" i="41"/>
  <c r="B57" i="41"/>
  <c r="B58" i="41"/>
  <c r="B59" i="41"/>
  <c r="B60" i="41"/>
  <c r="B61" i="41"/>
  <c r="B62" i="41"/>
  <c r="B63" i="41"/>
  <c r="B64" i="41"/>
  <c r="B65" i="41"/>
  <c r="B66" i="41"/>
  <c r="B67" i="41"/>
  <c r="B68" i="41"/>
  <c r="B69" i="41"/>
  <c r="B70" i="41"/>
  <c r="B71" i="41"/>
  <c r="B72" i="41"/>
  <c r="B73" i="41"/>
  <c r="B74" i="41"/>
  <c r="B75" i="41"/>
  <c r="B76" i="41"/>
  <c r="B77" i="41"/>
  <c r="B78" i="41"/>
  <c r="B79" i="41"/>
  <c r="B80" i="41"/>
  <c r="B81" i="41"/>
  <c r="B82" i="41"/>
  <c r="B83" i="41"/>
  <c r="B84" i="41"/>
  <c r="B85" i="41"/>
  <c r="B86" i="41"/>
  <c r="B87" i="41"/>
  <c r="B88" i="41"/>
  <c r="B89" i="41"/>
  <c r="B90" i="41"/>
  <c r="B91" i="41"/>
  <c r="B92" i="41"/>
  <c r="B93" i="41"/>
  <c r="B94" i="41"/>
  <c r="B95" i="41"/>
  <c r="B96" i="41"/>
  <c r="B97" i="41"/>
  <c r="B98" i="41"/>
  <c r="B99" i="41"/>
  <c r="B100" i="41"/>
  <c r="B101" i="41"/>
  <c r="B102" i="41"/>
  <c r="B103" i="41"/>
  <c r="B104" i="41"/>
  <c r="B105" i="41"/>
  <c r="B106" i="41"/>
  <c r="B107" i="41"/>
  <c r="B108" i="41"/>
  <c r="B109" i="41"/>
  <c r="B110" i="41"/>
  <c r="B111" i="41"/>
  <c r="B112" i="41"/>
  <c r="B113" i="41"/>
  <c r="B114" i="41"/>
  <c r="B115" i="41"/>
  <c r="B116" i="41"/>
  <c r="B117" i="41"/>
  <c r="B118" i="41"/>
  <c r="B119" i="41"/>
  <c r="B120" i="41"/>
  <c r="B121" i="41"/>
  <c r="B122" i="41"/>
  <c r="B123" i="41"/>
  <c r="B124" i="41"/>
  <c r="B125" i="41"/>
  <c r="B126" i="41"/>
  <c r="B127" i="41"/>
  <c r="B128" i="41"/>
  <c r="B129" i="41"/>
  <c r="B130" i="41"/>
  <c r="B7" i="41"/>
  <c r="I33" i="41"/>
  <c r="H33" i="41"/>
  <c r="G33" i="41"/>
  <c r="F33" i="41"/>
  <c r="I28" i="41"/>
  <c r="I27" i="41"/>
  <c r="I25" i="41"/>
  <c r="H25" i="41"/>
  <c r="H24" i="41"/>
  <c r="I24" i="41" s="1"/>
  <c r="I23" i="41"/>
  <c r="H23" i="41"/>
  <c r="A32" i="6" l="1"/>
  <c r="C30" i="6" s="1" a="1"/>
  <c r="B32" i="6"/>
  <c r="A33" i="6"/>
  <c r="B33" i="6"/>
  <c r="A34" i="6"/>
  <c r="B34" i="6"/>
  <c r="A35" i="6"/>
  <c r="B35" i="6"/>
  <c r="A36" i="6"/>
  <c r="B36" i="6"/>
  <c r="A32" i="7"/>
  <c r="B32" i="7"/>
  <c r="A33" i="7"/>
  <c r="B33" i="7"/>
  <c r="A34" i="7"/>
  <c r="C30" i="7" s="1" a="1"/>
  <c r="B34" i="7"/>
  <c r="A35" i="7"/>
  <c r="B35" i="7"/>
  <c r="A36" i="7"/>
  <c r="B36" i="7"/>
  <c r="A32" i="9"/>
  <c r="B32" i="9"/>
  <c r="A33" i="9"/>
  <c r="B33" i="9"/>
  <c r="A34" i="9"/>
  <c r="C30" i="9" s="1" a="1"/>
  <c r="B34" i="9"/>
  <c r="A35" i="9"/>
  <c r="B35" i="9"/>
  <c r="A36" i="9"/>
  <c r="B36" i="9"/>
  <c r="C30" i="6" l="1"/>
  <c r="F31" i="6"/>
  <c r="E31" i="6"/>
  <c r="D30" i="6"/>
  <c r="E30" i="6"/>
  <c r="G31" i="6"/>
  <c r="C31" i="6"/>
  <c r="D31" i="6"/>
  <c r="F30" i="6"/>
  <c r="G30" i="6"/>
  <c r="C30" i="7"/>
  <c r="F31" i="7"/>
  <c r="D30" i="7"/>
  <c r="E30" i="7"/>
  <c r="G31" i="7"/>
  <c r="G30" i="7"/>
  <c r="F30" i="7"/>
  <c r="C31" i="7"/>
  <c r="D31" i="7"/>
  <c r="E31" i="7"/>
  <c r="C30" i="9"/>
  <c r="F31" i="9"/>
  <c r="D30" i="9"/>
  <c r="E30" i="9"/>
  <c r="G31" i="9"/>
  <c r="F30" i="9"/>
  <c r="E31" i="9"/>
  <c r="G30" i="9"/>
  <c r="C31" i="9"/>
  <c r="D31" i="9"/>
  <c r="V16" i="41"/>
  <c r="W16" i="41"/>
  <c r="X16" i="41"/>
  <c r="Y16" i="41"/>
  <c r="Z16" i="41"/>
  <c r="AA16" i="41"/>
  <c r="AB16" i="41"/>
  <c r="V17" i="41"/>
  <c r="W17" i="41"/>
  <c r="X17" i="41"/>
  <c r="Y17" i="41"/>
  <c r="Z17" i="41"/>
  <c r="AA17" i="41"/>
  <c r="AB17" i="41"/>
  <c r="V18" i="41"/>
  <c r="W18" i="41"/>
  <c r="X18" i="41"/>
  <c r="Y18" i="41"/>
  <c r="Z18" i="41"/>
  <c r="AA18" i="41"/>
  <c r="AB18" i="41"/>
  <c r="V19" i="41"/>
  <c r="W19" i="41"/>
  <c r="X19" i="41"/>
  <c r="Y19" i="41"/>
  <c r="Z19" i="41"/>
  <c r="AA19" i="41"/>
  <c r="AB19" i="41"/>
  <c r="V20" i="41"/>
  <c r="W20" i="41"/>
  <c r="X20" i="41"/>
  <c r="Y20" i="41"/>
  <c r="Z20" i="41"/>
  <c r="AA20" i="41"/>
  <c r="AB20" i="41"/>
  <c r="V21" i="41"/>
  <c r="W21" i="41"/>
  <c r="X21" i="41"/>
  <c r="Y21" i="41"/>
  <c r="Z21" i="41"/>
  <c r="AA21" i="41"/>
  <c r="AB21" i="41"/>
  <c r="V22" i="41"/>
  <c r="W22" i="41"/>
  <c r="X22" i="41"/>
  <c r="Y22" i="41"/>
  <c r="Z22" i="41"/>
  <c r="AA22" i="41"/>
  <c r="AB22" i="41"/>
  <c r="V23" i="41"/>
  <c r="W23" i="41"/>
  <c r="X23" i="41"/>
  <c r="Y23" i="41"/>
  <c r="Z23" i="41"/>
  <c r="AA23" i="41"/>
  <c r="AB23" i="41"/>
  <c r="V24" i="41"/>
  <c r="W24" i="41"/>
  <c r="X24" i="41"/>
  <c r="Y24" i="41"/>
  <c r="Z24" i="41"/>
  <c r="AA24" i="41"/>
  <c r="AB24" i="41"/>
  <c r="V25" i="41"/>
  <c r="W25" i="41"/>
  <c r="X25" i="41"/>
  <c r="Y25" i="41"/>
  <c r="Z25" i="41"/>
  <c r="AA25" i="41"/>
  <c r="AB25" i="41"/>
  <c r="V26" i="41"/>
  <c r="W26" i="41"/>
  <c r="X26" i="41"/>
  <c r="Y26" i="41"/>
  <c r="Z26" i="41"/>
  <c r="AA26" i="41"/>
  <c r="AB26" i="41"/>
  <c r="V27" i="41"/>
  <c r="W27" i="41"/>
  <c r="X27" i="41"/>
  <c r="Y27" i="41"/>
  <c r="Z27" i="41"/>
  <c r="AA27" i="41"/>
  <c r="AB27" i="41"/>
  <c r="V28" i="41"/>
  <c r="W28" i="41"/>
  <c r="X28" i="41"/>
  <c r="Y28" i="41"/>
  <c r="Z28" i="41"/>
  <c r="AA28" i="41"/>
  <c r="AB28" i="41"/>
  <c r="V29" i="41"/>
  <c r="W29" i="41"/>
  <c r="X29" i="41"/>
  <c r="Y29" i="41"/>
  <c r="Z29" i="41"/>
  <c r="AA29" i="41"/>
  <c r="AB29" i="41"/>
  <c r="V30" i="41"/>
  <c r="W30" i="41"/>
  <c r="X30" i="41"/>
  <c r="Y30" i="41"/>
  <c r="Z30" i="41"/>
  <c r="AA30" i="41"/>
  <c r="AB30" i="41"/>
  <c r="V31" i="41"/>
  <c r="W31" i="41"/>
  <c r="X31" i="41"/>
  <c r="Y31" i="41"/>
  <c r="Z31" i="41"/>
  <c r="AA31" i="41"/>
  <c r="AB31" i="41"/>
  <c r="V32" i="41"/>
  <c r="W32" i="41"/>
  <c r="X32" i="41"/>
  <c r="Y32" i="41"/>
  <c r="Z32" i="41"/>
  <c r="W15" i="41"/>
  <c r="X15" i="41"/>
  <c r="Y15" i="41"/>
  <c r="Z15" i="41"/>
  <c r="AA15" i="41"/>
  <c r="AB15" i="41"/>
  <c r="V15" i="41"/>
  <c r="D65" i="41"/>
  <c r="D107" i="41"/>
  <c r="C5" i="41"/>
  <c r="D66" i="41" s="1"/>
  <c r="C5" i="40"/>
  <c r="C6" i="40"/>
  <c r="C7" i="40"/>
  <c r="C8" i="40"/>
  <c r="C9" i="40"/>
  <c r="C10" i="40"/>
  <c r="C11" i="40"/>
  <c r="C12" i="40"/>
  <c r="C13" i="40"/>
  <c r="B6" i="40"/>
  <c r="B7" i="40"/>
  <c r="B8" i="40"/>
  <c r="B9" i="40"/>
  <c r="B10" i="40"/>
  <c r="B11" i="40"/>
  <c r="B12" i="40"/>
  <c r="B13" i="40"/>
  <c r="B5" i="40"/>
  <c r="C5" i="39"/>
  <c r="C6" i="39"/>
  <c r="C7" i="39"/>
  <c r="C8" i="39"/>
  <c r="C9" i="39"/>
  <c r="C10" i="39"/>
  <c r="C11" i="39"/>
  <c r="C12" i="39"/>
  <c r="C13" i="39"/>
  <c r="B6" i="39"/>
  <c r="B7" i="39"/>
  <c r="B8" i="39"/>
  <c r="B9" i="39"/>
  <c r="B10" i="39"/>
  <c r="B11" i="39"/>
  <c r="B12" i="39"/>
  <c r="B13" i="39"/>
  <c r="B5" i="39"/>
  <c r="B6" i="38"/>
  <c r="C6" i="38"/>
  <c r="B7" i="38"/>
  <c r="C7" i="38"/>
  <c r="B8" i="38"/>
  <c r="C8" i="38"/>
  <c r="B9" i="38"/>
  <c r="C9" i="38"/>
  <c r="B10" i="38"/>
  <c r="C10" i="38"/>
  <c r="B11" i="38"/>
  <c r="C11" i="38"/>
  <c r="B12" i="38"/>
  <c r="C12" i="38"/>
  <c r="B13" i="38"/>
  <c r="C13" i="38"/>
  <c r="C5" i="38"/>
  <c r="B5" i="38"/>
  <c r="B6" i="36"/>
  <c r="C6" i="36"/>
  <c r="B7" i="36"/>
  <c r="C7" i="36"/>
  <c r="B8" i="36"/>
  <c r="C8" i="36"/>
  <c r="B9" i="36"/>
  <c r="C9" i="36"/>
  <c r="B10" i="36"/>
  <c r="C10" i="36"/>
  <c r="B11" i="36"/>
  <c r="C11" i="36"/>
  <c r="B12" i="36"/>
  <c r="C12" i="36"/>
  <c r="B13" i="36"/>
  <c r="C13" i="36"/>
  <c r="C5" i="36"/>
  <c r="B5" i="36"/>
  <c r="B6" i="35"/>
  <c r="C6" i="35"/>
  <c r="B7" i="35"/>
  <c r="C7" i="35"/>
  <c r="B8" i="35"/>
  <c r="C8" i="35"/>
  <c r="B9" i="35"/>
  <c r="C9" i="35"/>
  <c r="B10" i="35"/>
  <c r="C10" i="35"/>
  <c r="B11" i="35"/>
  <c r="C11" i="35"/>
  <c r="B12" i="35"/>
  <c r="C12" i="35"/>
  <c r="B13" i="35"/>
  <c r="C13" i="35"/>
  <c r="C5" i="35"/>
  <c r="B5" i="35"/>
  <c r="B13" i="34"/>
  <c r="C13" i="34"/>
  <c r="B6" i="34"/>
  <c r="C6" i="34"/>
  <c r="B7" i="34"/>
  <c r="C7" i="34"/>
  <c r="B8" i="34"/>
  <c r="C8" i="34"/>
  <c r="B9" i="34"/>
  <c r="C9" i="34"/>
  <c r="B10" i="34"/>
  <c r="C10" i="34"/>
  <c r="B11" i="34"/>
  <c r="C11" i="34"/>
  <c r="B12" i="34"/>
  <c r="C12" i="34"/>
  <c r="C5" i="34"/>
  <c r="B5" i="34"/>
  <c r="C5" i="33"/>
  <c r="C6" i="33"/>
  <c r="C7" i="33"/>
  <c r="C8" i="33"/>
  <c r="C9" i="33"/>
  <c r="C10" i="33"/>
  <c r="C11" i="33"/>
  <c r="C12" i="33"/>
  <c r="C13" i="33"/>
  <c r="B6" i="33"/>
  <c r="B7" i="33"/>
  <c r="B8" i="33"/>
  <c r="B9" i="33"/>
  <c r="B10" i="33"/>
  <c r="B11" i="33"/>
  <c r="B12" i="33"/>
  <c r="B13" i="33"/>
  <c r="B5" i="33"/>
  <c r="C13" i="32"/>
  <c r="B13" i="32"/>
  <c r="C12" i="32"/>
  <c r="B12" i="32"/>
  <c r="C11" i="32"/>
  <c r="B11" i="32"/>
  <c r="C10" i="32"/>
  <c r="B10" i="32"/>
  <c r="C9" i="32"/>
  <c r="B9" i="32"/>
  <c r="C8" i="32"/>
  <c r="B8" i="32"/>
  <c r="C7" i="32"/>
  <c r="B7" i="32"/>
  <c r="C6" i="32"/>
  <c r="B6" i="32"/>
  <c r="C5" i="32"/>
  <c r="B5" i="32"/>
  <c r="C13" i="31"/>
  <c r="B13" i="31"/>
  <c r="C12" i="31"/>
  <c r="B12" i="31"/>
  <c r="C11" i="31"/>
  <c r="B11" i="31"/>
  <c r="C10" i="31"/>
  <c r="B10" i="31"/>
  <c r="C9" i="31"/>
  <c r="B9" i="31"/>
  <c r="C8" i="31"/>
  <c r="B8" i="31"/>
  <c r="C7" i="31"/>
  <c r="B7" i="31"/>
  <c r="C6" i="31"/>
  <c r="B6" i="31"/>
  <c r="C5" i="31"/>
  <c r="B5" i="31"/>
  <c r="C13" i="30"/>
  <c r="B13" i="30"/>
  <c r="C12" i="30"/>
  <c r="B12" i="30"/>
  <c r="C11" i="30"/>
  <c r="B11" i="30"/>
  <c r="C10" i="30"/>
  <c r="B10" i="30"/>
  <c r="C9" i="30"/>
  <c r="B9" i="30"/>
  <c r="C8" i="30"/>
  <c r="B8" i="30"/>
  <c r="C7" i="30"/>
  <c r="B7" i="30"/>
  <c r="C6" i="30"/>
  <c r="B6" i="30"/>
  <c r="C5" i="30"/>
  <c r="B5" i="30"/>
  <c r="B6" i="21"/>
  <c r="C6" i="21"/>
  <c r="B7" i="21"/>
  <c r="C7" i="21"/>
  <c r="B8" i="21"/>
  <c r="C8" i="21"/>
  <c r="B9" i="21"/>
  <c r="C9" i="21"/>
  <c r="B10" i="21"/>
  <c r="C10" i="21"/>
  <c r="B11" i="21"/>
  <c r="C11" i="21"/>
  <c r="B12" i="21"/>
  <c r="C12" i="21"/>
  <c r="B13" i="21"/>
  <c r="C13" i="21"/>
  <c r="C5" i="21"/>
  <c r="B5" i="21"/>
  <c r="C5" i="20"/>
  <c r="C6" i="20"/>
  <c r="C7" i="20"/>
  <c r="C8" i="20"/>
  <c r="C9" i="20"/>
  <c r="C10" i="20"/>
  <c r="C11" i="20"/>
  <c r="C12" i="20"/>
  <c r="C13" i="20"/>
  <c r="B6" i="20"/>
  <c r="B7" i="20"/>
  <c r="B8" i="20"/>
  <c r="B9" i="20"/>
  <c r="B10" i="20"/>
  <c r="B11" i="20"/>
  <c r="B12" i="20"/>
  <c r="B13" i="20"/>
  <c r="B5" i="20"/>
  <c r="B6" i="19"/>
  <c r="C6" i="19"/>
  <c r="B7" i="19"/>
  <c r="C7" i="19"/>
  <c r="B8" i="19"/>
  <c r="C8" i="19"/>
  <c r="B9" i="19"/>
  <c r="C9" i="19"/>
  <c r="B10" i="19"/>
  <c r="C10" i="19"/>
  <c r="B11" i="19"/>
  <c r="C11" i="19"/>
  <c r="B12" i="19"/>
  <c r="C12" i="19"/>
  <c r="B13" i="19"/>
  <c r="C13" i="19"/>
  <c r="C5" i="19"/>
  <c r="B5" i="19"/>
  <c r="B6" i="17"/>
  <c r="C6" i="17"/>
  <c r="B7" i="17"/>
  <c r="C7" i="17"/>
  <c r="B8" i="17"/>
  <c r="C8" i="17"/>
  <c r="B9" i="17"/>
  <c r="C9" i="17"/>
  <c r="B10" i="17"/>
  <c r="C10" i="17"/>
  <c r="B11" i="17"/>
  <c r="C11" i="17"/>
  <c r="B12" i="17"/>
  <c r="C12" i="17"/>
  <c r="B13" i="17"/>
  <c r="C13" i="17"/>
  <c r="C5" i="17"/>
  <c r="B5" i="17"/>
  <c r="B6" i="16"/>
  <c r="C6" i="16"/>
  <c r="B7" i="16"/>
  <c r="C7" i="16"/>
  <c r="B8" i="16"/>
  <c r="C8" i="16"/>
  <c r="B9" i="16"/>
  <c r="C9" i="16"/>
  <c r="B10" i="16"/>
  <c r="C10" i="16"/>
  <c r="B11" i="16"/>
  <c r="C11" i="16"/>
  <c r="B12" i="16"/>
  <c r="C12" i="16"/>
  <c r="B13" i="16"/>
  <c r="C13" i="16"/>
  <c r="C5" i="16"/>
  <c r="B5" i="16"/>
  <c r="C5" i="14"/>
  <c r="C6" i="14"/>
  <c r="C7" i="14"/>
  <c r="C8" i="14"/>
  <c r="C9" i="14"/>
  <c r="C10" i="14"/>
  <c r="C11" i="14"/>
  <c r="C12" i="14"/>
  <c r="C13" i="14"/>
  <c r="B6" i="14"/>
  <c r="B7" i="14"/>
  <c r="B8" i="14"/>
  <c r="B9" i="14"/>
  <c r="B10" i="14"/>
  <c r="B11" i="14"/>
  <c r="B12" i="14"/>
  <c r="B13" i="14"/>
  <c r="B5" i="14"/>
  <c r="B6" i="12"/>
  <c r="C6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C5" i="12"/>
  <c r="B5" i="12"/>
  <c r="B13" i="11"/>
  <c r="C13" i="11"/>
  <c r="B6" i="11"/>
  <c r="C6" i="11"/>
  <c r="B7" i="11"/>
  <c r="C7" i="11"/>
  <c r="B8" i="11"/>
  <c r="C8" i="11"/>
  <c r="B9" i="11"/>
  <c r="C9" i="11"/>
  <c r="B10" i="11"/>
  <c r="C10" i="11"/>
  <c r="B11" i="11"/>
  <c r="C11" i="11"/>
  <c r="B12" i="11"/>
  <c r="C12" i="11"/>
  <c r="C5" i="11"/>
  <c r="B5" i="11"/>
  <c r="C5" i="6"/>
  <c r="C6" i="6"/>
  <c r="C7" i="6"/>
  <c r="C8" i="6"/>
  <c r="C9" i="6"/>
  <c r="C10" i="6"/>
  <c r="C11" i="6"/>
  <c r="C12" i="6"/>
  <c r="C13" i="6"/>
  <c r="F45" i="9"/>
  <c r="B6" i="6"/>
  <c r="B7" i="6"/>
  <c r="B8" i="6"/>
  <c r="B9" i="6"/>
  <c r="B10" i="6"/>
  <c r="B11" i="6"/>
  <c r="B12" i="6"/>
  <c r="B13" i="6"/>
  <c r="B6" i="7"/>
  <c r="C6" i="7"/>
  <c r="B7" i="7"/>
  <c r="C7" i="7"/>
  <c r="B8" i="7"/>
  <c r="C8" i="7"/>
  <c r="B9" i="7"/>
  <c r="C9" i="7"/>
  <c r="B10" i="7"/>
  <c r="C10" i="7"/>
  <c r="B11" i="7"/>
  <c r="C11" i="7"/>
  <c r="B12" i="7"/>
  <c r="C12" i="7"/>
  <c r="B13" i="7"/>
  <c r="C13" i="7"/>
  <c r="C5" i="7"/>
  <c r="C5" i="9"/>
  <c r="C6" i="9"/>
  <c r="C7" i="9"/>
  <c r="C8" i="9"/>
  <c r="C9" i="9"/>
  <c r="C10" i="9"/>
  <c r="C11" i="9"/>
  <c r="C12" i="9"/>
  <c r="C13" i="9"/>
  <c r="B6" i="9"/>
  <c r="B7" i="9"/>
  <c r="B8" i="9"/>
  <c r="B9" i="9"/>
  <c r="B10" i="9"/>
  <c r="B11" i="9"/>
  <c r="B12" i="9"/>
  <c r="B13" i="9"/>
  <c r="B5" i="9"/>
  <c r="B5" i="7"/>
  <c r="D128" i="41" l="1"/>
  <c r="D88" i="41"/>
  <c r="D43" i="41"/>
  <c r="F17" i="41"/>
  <c r="D127" i="41"/>
  <c r="D87" i="41"/>
  <c r="D42" i="41"/>
  <c r="D123" i="41"/>
  <c r="D34" i="41"/>
  <c r="D120" i="41"/>
  <c r="D83" i="41"/>
  <c r="D33" i="41"/>
  <c r="D86" i="41"/>
  <c r="D110" i="41"/>
  <c r="D11" i="41"/>
  <c r="F38" i="41"/>
  <c r="F42" i="41" s="1"/>
  <c r="H38" i="41"/>
  <c r="D106" i="41"/>
  <c r="D64" i="41"/>
  <c r="D129" i="41"/>
  <c r="D105" i="41"/>
  <c r="D63" i="41"/>
  <c r="D33" i="6"/>
  <c r="D36" i="6"/>
  <c r="D35" i="6"/>
  <c r="D34" i="6"/>
  <c r="D32" i="6"/>
  <c r="C36" i="6"/>
  <c r="C35" i="6"/>
  <c r="C34" i="6"/>
  <c r="C33" i="6"/>
  <c r="C32" i="6"/>
  <c r="G33" i="6"/>
  <c r="G32" i="6"/>
  <c r="G35" i="6"/>
  <c r="G36" i="6"/>
  <c r="G34" i="6"/>
  <c r="E36" i="6"/>
  <c r="E33" i="6"/>
  <c r="E34" i="6"/>
  <c r="E32" i="6"/>
  <c r="E35" i="6"/>
  <c r="F32" i="6"/>
  <c r="F35" i="6"/>
  <c r="F34" i="6"/>
  <c r="F33" i="6"/>
  <c r="F36" i="6"/>
  <c r="C36" i="7"/>
  <c r="C35" i="7"/>
  <c r="C32" i="7"/>
  <c r="C34" i="7"/>
  <c r="C33" i="7"/>
  <c r="G33" i="7"/>
  <c r="G32" i="7"/>
  <c r="G36" i="7"/>
  <c r="G34" i="7"/>
  <c r="G35" i="7"/>
  <c r="E36" i="7"/>
  <c r="E35" i="7"/>
  <c r="E34" i="7"/>
  <c r="E33" i="7"/>
  <c r="E32" i="7"/>
  <c r="F32" i="7"/>
  <c r="F36" i="7"/>
  <c r="F35" i="7"/>
  <c r="F33" i="7"/>
  <c r="F34" i="7"/>
  <c r="D36" i="7"/>
  <c r="D34" i="7"/>
  <c r="D35" i="7"/>
  <c r="D33" i="7"/>
  <c r="D32" i="7"/>
  <c r="E36" i="9"/>
  <c r="E35" i="9"/>
  <c r="E32" i="9"/>
  <c r="E34" i="9"/>
  <c r="E33" i="9"/>
  <c r="G33" i="9"/>
  <c r="G32" i="9"/>
  <c r="G34" i="9"/>
  <c r="G36" i="9"/>
  <c r="G35" i="9"/>
  <c r="D36" i="9"/>
  <c r="D35" i="9"/>
  <c r="D34" i="9"/>
  <c r="D33" i="9"/>
  <c r="D32" i="9"/>
  <c r="F32" i="9"/>
  <c r="F36" i="9"/>
  <c r="F35" i="9"/>
  <c r="F33" i="9"/>
  <c r="F34" i="9"/>
  <c r="C36" i="9"/>
  <c r="C35" i="9"/>
  <c r="C34" i="9"/>
  <c r="C33" i="9"/>
  <c r="C32" i="9"/>
  <c r="D98" i="41"/>
  <c r="D78" i="41"/>
  <c r="D56" i="41"/>
  <c r="D32" i="41"/>
  <c r="D119" i="41"/>
  <c r="D97" i="41"/>
  <c r="D75" i="41"/>
  <c r="D55" i="41"/>
  <c r="D22" i="41"/>
  <c r="D118" i="41"/>
  <c r="D96" i="41"/>
  <c r="D74" i="41"/>
  <c r="D54" i="41"/>
  <c r="D18" i="41"/>
  <c r="D130" i="41"/>
  <c r="D115" i="41"/>
  <c r="D95" i="41"/>
  <c r="D73" i="41"/>
  <c r="D46" i="41"/>
  <c r="D17" i="41"/>
  <c r="D51" i="41"/>
  <c r="D41" i="41"/>
  <c r="D31" i="41"/>
  <c r="D16" i="41"/>
  <c r="D126" i="41"/>
  <c r="D114" i="41"/>
  <c r="D104" i="41"/>
  <c r="D94" i="41"/>
  <c r="D82" i="41"/>
  <c r="D72" i="41"/>
  <c r="D62" i="41"/>
  <c r="D50" i="41"/>
  <c r="D40" i="41"/>
  <c r="D30" i="41"/>
  <c r="D14" i="41"/>
  <c r="D113" i="41"/>
  <c r="D103" i="41"/>
  <c r="D91" i="41"/>
  <c r="D81" i="41"/>
  <c r="D71" i="41"/>
  <c r="D59" i="41"/>
  <c r="D49" i="41"/>
  <c r="D39" i="41"/>
  <c r="D26" i="41"/>
  <c r="D10" i="41"/>
  <c r="D122" i="41"/>
  <c r="D112" i="41"/>
  <c r="D102" i="41"/>
  <c r="D90" i="41"/>
  <c r="D80" i="41"/>
  <c r="D70" i="41"/>
  <c r="D58" i="41"/>
  <c r="D48" i="41"/>
  <c r="D38" i="41"/>
  <c r="D25" i="41"/>
  <c r="D9" i="41"/>
  <c r="D7" i="41"/>
  <c r="D121" i="41"/>
  <c r="D111" i="41"/>
  <c r="D99" i="41"/>
  <c r="D89" i="41"/>
  <c r="D79" i="41"/>
  <c r="D67" i="41"/>
  <c r="D57" i="41"/>
  <c r="D47" i="41"/>
  <c r="D35" i="41"/>
  <c r="D24" i="41"/>
  <c r="D8" i="41"/>
  <c r="D23" i="41"/>
  <c r="D15" i="41"/>
  <c r="D125" i="41"/>
  <c r="D117" i="41"/>
  <c r="D109" i="41"/>
  <c r="D101" i="41"/>
  <c r="D93" i="41"/>
  <c r="D85" i="41"/>
  <c r="D77" i="41"/>
  <c r="D69" i="41"/>
  <c r="D61" i="41"/>
  <c r="D53" i="41"/>
  <c r="D45" i="41"/>
  <c r="D37" i="41"/>
  <c r="D29" i="41"/>
  <c r="D21" i="41"/>
  <c r="D13" i="41"/>
  <c r="D124" i="41"/>
  <c r="D116" i="41"/>
  <c r="D108" i="41"/>
  <c r="D100" i="41"/>
  <c r="D92" i="41"/>
  <c r="D84" i="41"/>
  <c r="D76" i="41"/>
  <c r="D68" i="41"/>
  <c r="D60" i="41"/>
  <c r="D52" i="41"/>
  <c r="D44" i="41"/>
  <c r="D36" i="41"/>
  <c r="D28" i="41"/>
  <c r="D20" i="41"/>
  <c r="D12" i="41"/>
  <c r="D27" i="41"/>
  <c r="D19" i="41"/>
  <c r="F8" i="41" l="1"/>
  <c r="F10" i="41" s="1"/>
  <c r="G38" i="41" l="1"/>
  <c r="I38" i="41" s="1"/>
  <c r="G17" i="41"/>
  <c r="H17" i="41"/>
  <c r="F5" i="41"/>
  <c r="B55" i="38"/>
  <c r="C55" i="38"/>
  <c r="C55" i="40"/>
  <c r="C54" i="40"/>
  <c r="C53" i="40"/>
  <c r="C52" i="40"/>
  <c r="C51" i="40"/>
  <c r="C45" i="40"/>
  <c r="D45" i="40" s="1"/>
  <c r="E45" i="40" s="1"/>
  <c r="C44" i="40"/>
  <c r="C43" i="40"/>
  <c r="C42" i="40"/>
  <c r="C41" i="40"/>
  <c r="C26" i="40"/>
  <c r="C25" i="40"/>
  <c r="C24" i="40"/>
  <c r="C23" i="40"/>
  <c r="C22" i="40"/>
  <c r="E18" i="40"/>
  <c r="E16" i="40"/>
  <c r="C16" i="40"/>
  <c r="D53" i="40"/>
  <c r="E53" i="40" s="1"/>
  <c r="A12" i="40"/>
  <c r="A11" i="40"/>
  <c r="A10" i="40"/>
  <c r="A9" i="40"/>
  <c r="A8" i="40"/>
  <c r="A7" i="40"/>
  <c r="A6" i="40"/>
  <c r="A5" i="40"/>
  <c r="A1" i="40"/>
  <c r="C55" i="39"/>
  <c r="C54" i="39"/>
  <c r="C53" i="39"/>
  <c r="C52" i="39"/>
  <c r="C51" i="39"/>
  <c r="C45" i="39"/>
  <c r="C44" i="39"/>
  <c r="C43" i="39"/>
  <c r="C42" i="39"/>
  <c r="C41" i="39"/>
  <c r="C26" i="39"/>
  <c r="C25" i="39"/>
  <c r="C24" i="39"/>
  <c r="C23" i="39"/>
  <c r="C22" i="39"/>
  <c r="C28" i="39" s="1"/>
  <c r="E18" i="39"/>
  <c r="E16" i="39"/>
  <c r="C16" i="39"/>
  <c r="D53" i="39"/>
  <c r="E53" i="39" s="1"/>
  <c r="A12" i="39"/>
  <c r="A11" i="39"/>
  <c r="A10" i="39"/>
  <c r="A9" i="39"/>
  <c r="A8" i="39"/>
  <c r="A7" i="39"/>
  <c r="A6" i="39"/>
  <c r="A5" i="39"/>
  <c r="A1" i="39"/>
  <c r="C54" i="38"/>
  <c r="C53" i="38"/>
  <c r="C52" i="38"/>
  <c r="C51" i="38"/>
  <c r="C45" i="38"/>
  <c r="C44" i="38"/>
  <c r="C43" i="38"/>
  <c r="C42" i="38"/>
  <c r="C41" i="38"/>
  <c r="C26" i="38"/>
  <c r="C25" i="38"/>
  <c r="C24" i="38"/>
  <c r="C23" i="38"/>
  <c r="C22" i="38"/>
  <c r="C28" i="38" s="1"/>
  <c r="E18" i="38"/>
  <c r="E16" i="38"/>
  <c r="C16" i="38"/>
  <c r="D53" i="38"/>
  <c r="E53" i="38" s="1"/>
  <c r="A12" i="38"/>
  <c r="A11" i="38"/>
  <c r="A10" i="38"/>
  <c r="A9" i="38"/>
  <c r="A8" i="38"/>
  <c r="A7" i="38"/>
  <c r="A6" i="38"/>
  <c r="A5" i="38"/>
  <c r="A1" i="38"/>
  <c r="C55" i="36"/>
  <c r="C54" i="36"/>
  <c r="C53" i="36"/>
  <c r="C52" i="36"/>
  <c r="D52" i="36" s="1"/>
  <c r="E52" i="36" s="1"/>
  <c r="C51" i="36"/>
  <c r="C45" i="36"/>
  <c r="C44" i="36"/>
  <c r="C43" i="36"/>
  <c r="C42" i="36"/>
  <c r="C41" i="36"/>
  <c r="C26" i="36"/>
  <c r="C25" i="36"/>
  <c r="C24" i="36"/>
  <c r="C23" i="36"/>
  <c r="C22" i="36"/>
  <c r="E18" i="36"/>
  <c r="E16" i="36"/>
  <c r="C16" i="36"/>
  <c r="D53" i="36"/>
  <c r="E53" i="36" s="1"/>
  <c r="A12" i="36"/>
  <c r="A11" i="36"/>
  <c r="A10" i="36"/>
  <c r="A9" i="36"/>
  <c r="A8" i="36"/>
  <c r="A7" i="36"/>
  <c r="A6" i="36"/>
  <c r="A5" i="36"/>
  <c r="A1" i="36"/>
  <c r="C55" i="35"/>
  <c r="C54" i="35"/>
  <c r="C53" i="35"/>
  <c r="C52" i="35"/>
  <c r="C51" i="35"/>
  <c r="C45" i="35"/>
  <c r="C44" i="35"/>
  <c r="C43" i="35"/>
  <c r="C42" i="35"/>
  <c r="C41" i="35"/>
  <c r="D41" i="35" s="1"/>
  <c r="E41" i="35" s="1"/>
  <c r="C26" i="35"/>
  <c r="C25" i="35"/>
  <c r="C24" i="35"/>
  <c r="C23" i="35"/>
  <c r="C22" i="35"/>
  <c r="C28" i="35" s="1"/>
  <c r="E18" i="35"/>
  <c r="E16" i="35"/>
  <c r="C16" i="35"/>
  <c r="F18" i="35" s="1"/>
  <c r="D53" i="35"/>
  <c r="E53" i="35" s="1"/>
  <c r="A12" i="35"/>
  <c r="A11" i="35"/>
  <c r="A10" i="35"/>
  <c r="A9" i="35"/>
  <c r="A8" i="35"/>
  <c r="A7" i="35"/>
  <c r="A6" i="35"/>
  <c r="A5" i="35"/>
  <c r="A1" i="35"/>
  <c r="C55" i="34"/>
  <c r="C54" i="34"/>
  <c r="D54" i="34" s="1"/>
  <c r="E54" i="34" s="1"/>
  <c r="C53" i="34"/>
  <c r="C52" i="34"/>
  <c r="C51" i="34"/>
  <c r="C45" i="34"/>
  <c r="C44" i="34"/>
  <c r="C43" i="34"/>
  <c r="C42" i="34"/>
  <c r="C41" i="34"/>
  <c r="D41" i="34" s="1"/>
  <c r="E41" i="34" s="1"/>
  <c r="C26" i="34"/>
  <c r="C25" i="34"/>
  <c r="C24" i="34"/>
  <c r="C23" i="34"/>
  <c r="C22" i="34"/>
  <c r="E18" i="34"/>
  <c r="E16" i="34"/>
  <c r="C16" i="34"/>
  <c r="F18" i="34" s="1"/>
  <c r="D53" i="34"/>
  <c r="E53" i="34" s="1"/>
  <c r="A12" i="34"/>
  <c r="A11" i="34"/>
  <c r="A10" i="34"/>
  <c r="A9" i="34"/>
  <c r="A8" i="34"/>
  <c r="A7" i="34"/>
  <c r="A6" i="34"/>
  <c r="A5" i="34"/>
  <c r="A1" i="34"/>
  <c r="C55" i="33"/>
  <c r="C54" i="33"/>
  <c r="C53" i="33"/>
  <c r="C52" i="33"/>
  <c r="C51" i="33"/>
  <c r="C45" i="33"/>
  <c r="C44" i="33"/>
  <c r="C43" i="33"/>
  <c r="C42" i="33"/>
  <c r="C41" i="33"/>
  <c r="C26" i="33"/>
  <c r="C25" i="33"/>
  <c r="C24" i="33"/>
  <c r="C23" i="33"/>
  <c r="C22" i="33"/>
  <c r="C28" i="33" s="1"/>
  <c r="E18" i="33"/>
  <c r="E16" i="33"/>
  <c r="C16" i="33"/>
  <c r="A12" i="33"/>
  <c r="A11" i="33"/>
  <c r="A10" i="33"/>
  <c r="A9" i="33"/>
  <c r="A8" i="33"/>
  <c r="A7" i="33"/>
  <c r="A6" i="33"/>
  <c r="A5" i="33"/>
  <c r="A1" i="33"/>
  <c r="C55" i="32"/>
  <c r="C54" i="32"/>
  <c r="D54" i="32" s="1"/>
  <c r="E54" i="32" s="1"/>
  <c r="C53" i="32"/>
  <c r="C52" i="32"/>
  <c r="C51" i="32"/>
  <c r="C45" i="32"/>
  <c r="C44" i="32"/>
  <c r="C43" i="32"/>
  <c r="C42" i="32"/>
  <c r="C41" i="32"/>
  <c r="D41" i="32" s="1"/>
  <c r="E41" i="32" s="1"/>
  <c r="C26" i="32"/>
  <c r="C25" i="32"/>
  <c r="C24" i="32"/>
  <c r="C23" i="32"/>
  <c r="C22" i="32"/>
  <c r="E18" i="32"/>
  <c r="E16" i="32"/>
  <c r="C16" i="32"/>
  <c r="D53" i="32"/>
  <c r="E53" i="32" s="1"/>
  <c r="A12" i="32"/>
  <c r="A11" i="32"/>
  <c r="A10" i="32"/>
  <c r="A9" i="32"/>
  <c r="A8" i="32"/>
  <c r="A7" i="32"/>
  <c r="A6" i="32"/>
  <c r="A5" i="32"/>
  <c r="A1" i="32"/>
  <c r="C55" i="31"/>
  <c r="C54" i="31"/>
  <c r="C53" i="31"/>
  <c r="C52" i="31"/>
  <c r="C51" i="31"/>
  <c r="C45" i="31"/>
  <c r="C44" i="31"/>
  <c r="C43" i="31"/>
  <c r="C42" i="31"/>
  <c r="C41" i="31"/>
  <c r="C26" i="31"/>
  <c r="C25" i="31"/>
  <c r="C24" i="31"/>
  <c r="C23" i="31"/>
  <c r="C22" i="31"/>
  <c r="C28" i="31" s="1"/>
  <c r="E18" i="31"/>
  <c r="E16" i="31"/>
  <c r="C16" i="31"/>
  <c r="D53" i="31"/>
  <c r="E53" i="31" s="1"/>
  <c r="A12" i="31"/>
  <c r="A11" i="31"/>
  <c r="A10" i="31"/>
  <c r="A9" i="31"/>
  <c r="A8" i="31"/>
  <c r="A7" i="31"/>
  <c r="A6" i="31"/>
  <c r="A5" i="31"/>
  <c r="A1" i="31"/>
  <c r="C55" i="30"/>
  <c r="C54" i="30"/>
  <c r="C53" i="30"/>
  <c r="C52" i="30"/>
  <c r="C51" i="30"/>
  <c r="C45" i="30"/>
  <c r="C44" i="30"/>
  <c r="C43" i="30"/>
  <c r="C42" i="30"/>
  <c r="C41" i="30"/>
  <c r="C26" i="30"/>
  <c r="C25" i="30"/>
  <c r="C24" i="30"/>
  <c r="C23" i="30"/>
  <c r="C22" i="30"/>
  <c r="E18" i="30"/>
  <c r="E16" i="30"/>
  <c r="C16" i="30"/>
  <c r="D53" i="30"/>
  <c r="E53" i="30" s="1"/>
  <c r="A12" i="30"/>
  <c r="A11" i="30"/>
  <c r="A10" i="30"/>
  <c r="A9" i="30"/>
  <c r="A8" i="30"/>
  <c r="A7" i="30"/>
  <c r="A6" i="30"/>
  <c r="A5" i="30"/>
  <c r="A1" i="30"/>
  <c r="C55" i="21"/>
  <c r="C54" i="21"/>
  <c r="C53" i="21"/>
  <c r="C52" i="21"/>
  <c r="C51" i="21"/>
  <c r="C45" i="21"/>
  <c r="C44" i="21"/>
  <c r="C43" i="21"/>
  <c r="C42" i="21"/>
  <c r="C41" i="21"/>
  <c r="D41" i="21" s="1"/>
  <c r="E41" i="21" s="1"/>
  <c r="C26" i="21"/>
  <c r="C25" i="21"/>
  <c r="C24" i="21"/>
  <c r="C23" i="21"/>
  <c r="C22" i="21"/>
  <c r="E18" i="21"/>
  <c r="E16" i="21"/>
  <c r="C16" i="21"/>
  <c r="F18" i="21" s="1"/>
  <c r="D53" i="21"/>
  <c r="E53" i="21" s="1"/>
  <c r="A12" i="21"/>
  <c r="A11" i="21"/>
  <c r="A10" i="21"/>
  <c r="A9" i="21"/>
  <c r="A8" i="21"/>
  <c r="A7" i="21"/>
  <c r="A6" i="21"/>
  <c r="A5" i="21"/>
  <c r="A1" i="21"/>
  <c r="C55" i="20"/>
  <c r="C54" i="20"/>
  <c r="C53" i="20"/>
  <c r="C52" i="20"/>
  <c r="C51" i="20"/>
  <c r="C45" i="20"/>
  <c r="C44" i="20"/>
  <c r="C43" i="20"/>
  <c r="C42" i="20"/>
  <c r="D42" i="20" s="1"/>
  <c r="E42" i="20" s="1"/>
  <c r="C41" i="20"/>
  <c r="C26" i="20"/>
  <c r="C25" i="20"/>
  <c r="C24" i="20"/>
  <c r="C23" i="20"/>
  <c r="C22" i="20"/>
  <c r="E18" i="20"/>
  <c r="E16" i="20"/>
  <c r="C16" i="20"/>
  <c r="F18" i="20" s="1"/>
  <c r="D53" i="20"/>
  <c r="E53" i="20" s="1"/>
  <c r="A12" i="20"/>
  <c r="A11" i="20"/>
  <c r="A10" i="20"/>
  <c r="A9" i="20"/>
  <c r="A8" i="20"/>
  <c r="A7" i="20"/>
  <c r="A6" i="20"/>
  <c r="A5" i="20"/>
  <c r="A1" i="20"/>
  <c r="C55" i="19"/>
  <c r="C54" i="19"/>
  <c r="C53" i="19"/>
  <c r="C52" i="19"/>
  <c r="C51" i="19"/>
  <c r="C45" i="19"/>
  <c r="C44" i="19"/>
  <c r="C43" i="19"/>
  <c r="C42" i="19"/>
  <c r="C41" i="19"/>
  <c r="C26" i="19"/>
  <c r="C25" i="19"/>
  <c r="C24" i="19"/>
  <c r="C23" i="19"/>
  <c r="C22" i="19"/>
  <c r="C28" i="19" s="1"/>
  <c r="E18" i="19"/>
  <c r="E16" i="19"/>
  <c r="C16" i="19"/>
  <c r="F18" i="19" s="1"/>
  <c r="D53" i="19"/>
  <c r="E53" i="19" s="1"/>
  <c r="A12" i="19"/>
  <c r="A11" i="19"/>
  <c r="A10" i="19"/>
  <c r="A9" i="19"/>
  <c r="A8" i="19"/>
  <c r="A7" i="19"/>
  <c r="A6" i="19"/>
  <c r="A5" i="19"/>
  <c r="A1" i="19"/>
  <c r="C55" i="17"/>
  <c r="C54" i="17"/>
  <c r="D54" i="17" s="1"/>
  <c r="E54" i="17" s="1"/>
  <c r="C53" i="17"/>
  <c r="C52" i="17"/>
  <c r="C51" i="17"/>
  <c r="C45" i="17"/>
  <c r="C44" i="17"/>
  <c r="C43" i="17"/>
  <c r="C42" i="17"/>
  <c r="C41" i="17"/>
  <c r="D41" i="17" s="1"/>
  <c r="E41" i="17" s="1"/>
  <c r="C26" i="17"/>
  <c r="C25" i="17"/>
  <c r="C24" i="17"/>
  <c r="C23" i="17"/>
  <c r="C22" i="17"/>
  <c r="C27" i="17" s="1"/>
  <c r="E18" i="17"/>
  <c r="E16" i="17"/>
  <c r="C16" i="17"/>
  <c r="D53" i="17"/>
  <c r="E53" i="17" s="1"/>
  <c r="A12" i="17"/>
  <c r="A11" i="17"/>
  <c r="A10" i="17"/>
  <c r="A9" i="17"/>
  <c r="A8" i="17"/>
  <c r="A7" i="17"/>
  <c r="A6" i="17"/>
  <c r="A5" i="17"/>
  <c r="A1" i="17"/>
  <c r="C55" i="16"/>
  <c r="C54" i="16"/>
  <c r="C53" i="16"/>
  <c r="C52" i="16"/>
  <c r="C51" i="16"/>
  <c r="C45" i="16"/>
  <c r="C44" i="16"/>
  <c r="C43" i="16"/>
  <c r="C42" i="16"/>
  <c r="C41" i="16"/>
  <c r="C26" i="16"/>
  <c r="C25" i="16"/>
  <c r="C24" i="16"/>
  <c r="C23" i="16"/>
  <c r="C22" i="16"/>
  <c r="C28" i="16" s="1"/>
  <c r="E18" i="16"/>
  <c r="E16" i="16"/>
  <c r="C16" i="16"/>
  <c r="D53" i="16"/>
  <c r="E53" i="16" s="1"/>
  <c r="A12" i="16"/>
  <c r="A11" i="16"/>
  <c r="A10" i="16"/>
  <c r="A9" i="16"/>
  <c r="A8" i="16"/>
  <c r="A7" i="16"/>
  <c r="A6" i="16"/>
  <c r="A5" i="16"/>
  <c r="A1" i="16"/>
  <c r="C55" i="14"/>
  <c r="C54" i="14"/>
  <c r="C53" i="14"/>
  <c r="C52" i="14"/>
  <c r="C51" i="14"/>
  <c r="C45" i="14"/>
  <c r="C44" i="14"/>
  <c r="C43" i="14"/>
  <c r="C42" i="14"/>
  <c r="C41" i="14"/>
  <c r="C26" i="14"/>
  <c r="C25" i="14"/>
  <c r="C24" i="14"/>
  <c r="C23" i="14"/>
  <c r="C22" i="14"/>
  <c r="C28" i="14" s="1"/>
  <c r="E18" i="14"/>
  <c r="E16" i="14"/>
  <c r="C16" i="14"/>
  <c r="D53" i="14"/>
  <c r="E53" i="14" s="1"/>
  <c r="A12" i="14"/>
  <c r="A11" i="14"/>
  <c r="A10" i="14"/>
  <c r="A9" i="14"/>
  <c r="A8" i="14"/>
  <c r="A7" i="14"/>
  <c r="A6" i="14"/>
  <c r="A5" i="14"/>
  <c r="A1" i="14"/>
  <c r="C55" i="12"/>
  <c r="C54" i="12"/>
  <c r="C53" i="12"/>
  <c r="C52" i="12"/>
  <c r="D52" i="12" s="1"/>
  <c r="E52" i="12" s="1"/>
  <c r="C51" i="12"/>
  <c r="C45" i="12"/>
  <c r="C44" i="12"/>
  <c r="C43" i="12"/>
  <c r="C42" i="12"/>
  <c r="C41" i="12"/>
  <c r="C26" i="12"/>
  <c r="C25" i="12"/>
  <c r="C24" i="12"/>
  <c r="C23" i="12"/>
  <c r="C22" i="12"/>
  <c r="C28" i="12" s="1"/>
  <c r="E18" i="12"/>
  <c r="E16" i="12"/>
  <c r="C16" i="12"/>
  <c r="D53" i="12"/>
  <c r="E53" i="12" s="1"/>
  <c r="A12" i="12"/>
  <c r="A11" i="12"/>
  <c r="A10" i="12"/>
  <c r="A9" i="12"/>
  <c r="A8" i="12"/>
  <c r="A7" i="12"/>
  <c r="A6" i="12"/>
  <c r="A5" i="12"/>
  <c r="A1" i="12"/>
  <c r="C55" i="11"/>
  <c r="C54" i="11"/>
  <c r="C53" i="11"/>
  <c r="C52" i="11"/>
  <c r="C51" i="11"/>
  <c r="C45" i="11"/>
  <c r="C44" i="11"/>
  <c r="C43" i="11"/>
  <c r="C42" i="11"/>
  <c r="C41" i="11"/>
  <c r="C26" i="11"/>
  <c r="C25" i="11"/>
  <c r="C24" i="11"/>
  <c r="C23" i="11"/>
  <c r="C28" i="11" s="1"/>
  <c r="C22" i="11"/>
  <c r="E16" i="11"/>
  <c r="C16" i="11"/>
  <c r="D52" i="11"/>
  <c r="E52" i="11" s="1"/>
  <c r="A12" i="11"/>
  <c r="A11" i="11"/>
  <c r="A10" i="11"/>
  <c r="A9" i="11"/>
  <c r="A8" i="11"/>
  <c r="A7" i="11"/>
  <c r="A6" i="11"/>
  <c r="A5" i="11"/>
  <c r="A1" i="11"/>
  <c r="C55" i="9"/>
  <c r="C54" i="9"/>
  <c r="C53" i="9"/>
  <c r="C52" i="9"/>
  <c r="C51" i="9"/>
  <c r="C45" i="9"/>
  <c r="C44" i="9"/>
  <c r="C43" i="9"/>
  <c r="C42" i="9"/>
  <c r="C41" i="9"/>
  <c r="C26" i="9"/>
  <c r="C25" i="9"/>
  <c r="C24" i="9"/>
  <c r="C23" i="9"/>
  <c r="C22" i="9"/>
  <c r="E18" i="9"/>
  <c r="E16" i="9"/>
  <c r="C16" i="9"/>
  <c r="F18" i="9" s="1"/>
  <c r="D53" i="9"/>
  <c r="E53" i="9" s="1"/>
  <c r="A12" i="9"/>
  <c r="A11" i="9"/>
  <c r="A10" i="9"/>
  <c r="A9" i="9"/>
  <c r="A8" i="9"/>
  <c r="A7" i="9"/>
  <c r="A6" i="9"/>
  <c r="A5" i="9"/>
  <c r="A1" i="9"/>
  <c r="B5" i="5"/>
  <c r="B5" i="6"/>
  <c r="E18" i="6" s="1"/>
  <c r="C55" i="7"/>
  <c r="C54" i="7"/>
  <c r="C53" i="7"/>
  <c r="C52" i="7"/>
  <c r="C51" i="7"/>
  <c r="C45" i="7"/>
  <c r="C44" i="7"/>
  <c r="C43" i="7"/>
  <c r="C42" i="7"/>
  <c r="C41" i="7"/>
  <c r="C26" i="7"/>
  <c r="C25" i="7"/>
  <c r="C24" i="7"/>
  <c r="C23" i="7"/>
  <c r="C22" i="7"/>
  <c r="C28" i="7" s="1"/>
  <c r="E18" i="7"/>
  <c r="E16" i="7"/>
  <c r="C16" i="7"/>
  <c r="D24" i="7"/>
  <c r="E24" i="7" s="1"/>
  <c r="A12" i="7"/>
  <c r="A11" i="7"/>
  <c r="A10" i="7"/>
  <c r="A9" i="7"/>
  <c r="A8" i="7"/>
  <c r="A7" i="7"/>
  <c r="A6" i="7"/>
  <c r="A5" i="7"/>
  <c r="A1" i="7"/>
  <c r="C55" i="6"/>
  <c r="C54" i="6"/>
  <c r="C53" i="6"/>
  <c r="C52" i="6"/>
  <c r="C51" i="6"/>
  <c r="C45" i="6"/>
  <c r="C44" i="6"/>
  <c r="C43" i="6"/>
  <c r="C42" i="6"/>
  <c r="C41" i="6"/>
  <c r="C26" i="6"/>
  <c r="C25" i="6"/>
  <c r="C24" i="6"/>
  <c r="C23" i="6"/>
  <c r="C22" i="6"/>
  <c r="C28" i="6" s="1"/>
  <c r="E16" i="6"/>
  <c r="C16" i="6"/>
  <c r="D53" i="6"/>
  <c r="E53" i="6" s="1"/>
  <c r="A12" i="6"/>
  <c r="A11" i="6"/>
  <c r="A10" i="6"/>
  <c r="A9" i="6"/>
  <c r="A8" i="6"/>
  <c r="A7" i="6"/>
  <c r="A6" i="6"/>
  <c r="A5" i="6"/>
  <c r="A1" i="6"/>
  <c r="C51" i="5"/>
  <c r="C52" i="5"/>
  <c r="C53" i="5"/>
  <c r="C54" i="5"/>
  <c r="C55" i="5"/>
  <c r="C41" i="5"/>
  <c r="C45" i="5"/>
  <c r="C44" i="5"/>
  <c r="C43" i="5"/>
  <c r="C42" i="5"/>
  <c r="C26" i="5"/>
  <c r="C25" i="5"/>
  <c r="C24" i="5"/>
  <c r="C23" i="5"/>
  <c r="C22" i="5"/>
  <c r="E18" i="5"/>
  <c r="E16" i="5"/>
  <c r="C16" i="5"/>
  <c r="B13" i="5"/>
  <c r="C12" i="5"/>
  <c r="B12" i="5"/>
  <c r="D53" i="5" s="1"/>
  <c r="E53" i="5" s="1"/>
  <c r="A12" i="5"/>
  <c r="C11" i="5"/>
  <c r="B11" i="5"/>
  <c r="A11" i="5"/>
  <c r="C10" i="5"/>
  <c r="B10" i="5"/>
  <c r="A10" i="5"/>
  <c r="C9" i="5"/>
  <c r="A9" i="5"/>
  <c r="C8" i="5"/>
  <c r="A8" i="5"/>
  <c r="C7" i="5"/>
  <c r="B7" i="5"/>
  <c r="A7" i="5"/>
  <c r="C6" i="5"/>
  <c r="B6" i="5"/>
  <c r="A6" i="5"/>
  <c r="C5" i="5"/>
  <c r="A5" i="5"/>
  <c r="A1" i="5"/>
  <c r="E18" i="2"/>
  <c r="C55" i="2"/>
  <c r="C54" i="2"/>
  <c r="C53" i="2"/>
  <c r="C52" i="2"/>
  <c r="C51" i="2"/>
  <c r="C45" i="2"/>
  <c r="C44" i="2"/>
  <c r="C43" i="2"/>
  <c r="C42" i="2"/>
  <c r="C41" i="2"/>
  <c r="D51" i="5" l="1"/>
  <c r="E51" i="5" s="1"/>
  <c r="G42" i="41"/>
  <c r="J38" i="41"/>
  <c r="H42" i="41" s="1"/>
  <c r="I42" i="41"/>
  <c r="D55" i="5"/>
  <c r="E55" i="5" s="1"/>
  <c r="D42" i="9"/>
  <c r="E42" i="9" s="1"/>
  <c r="D45" i="17"/>
  <c r="E45" i="17" s="1"/>
  <c r="D54" i="21"/>
  <c r="E54" i="21" s="1"/>
  <c r="D45" i="32"/>
  <c r="E45" i="32" s="1"/>
  <c r="D54" i="35"/>
  <c r="E54" i="35" s="1"/>
  <c r="D45" i="19"/>
  <c r="E45" i="19" s="1"/>
  <c r="F18" i="30"/>
  <c r="F18" i="36"/>
  <c r="D41" i="36"/>
  <c r="E41" i="36" s="1"/>
  <c r="D54" i="36"/>
  <c r="E54" i="36" s="1"/>
  <c r="F18" i="14"/>
  <c r="D41" i="14"/>
  <c r="E41" i="14" s="1"/>
  <c r="D54" i="14"/>
  <c r="E54" i="14" s="1"/>
  <c r="D42" i="30"/>
  <c r="E42" i="30" s="1"/>
  <c r="D55" i="30"/>
  <c r="E55" i="30" s="1"/>
  <c r="F18" i="31"/>
  <c r="D41" i="31"/>
  <c r="E41" i="31" s="1"/>
  <c r="D54" i="31"/>
  <c r="E54" i="31" s="1"/>
  <c r="D45" i="34"/>
  <c r="E45" i="34" s="1"/>
  <c r="D42" i="36"/>
  <c r="E42" i="36" s="1"/>
  <c r="D55" i="36"/>
  <c r="E55" i="36" s="1"/>
  <c r="F18" i="38"/>
  <c r="D41" i="38"/>
  <c r="E41" i="38" s="1"/>
  <c r="D54" i="38"/>
  <c r="E54" i="38" s="1"/>
  <c r="F18" i="39"/>
  <c r="F18" i="5"/>
  <c r="D42" i="5"/>
  <c r="E42" i="5" s="1"/>
  <c r="D43" i="12"/>
  <c r="E43" i="12" s="1"/>
  <c r="F18" i="16"/>
  <c r="F18" i="32"/>
  <c r="D43" i="36"/>
  <c r="E43" i="36" s="1"/>
  <c r="F18" i="40"/>
  <c r="D41" i="40"/>
  <c r="E41" i="40" s="1"/>
  <c r="D54" i="40"/>
  <c r="E54" i="40" s="1"/>
  <c r="F18" i="7"/>
  <c r="D51" i="9"/>
  <c r="E51" i="9" s="1"/>
  <c r="F18" i="17"/>
  <c r="D45" i="21"/>
  <c r="E45" i="21" s="1"/>
  <c r="D45" i="35"/>
  <c r="E45" i="35" s="1"/>
  <c r="F18" i="6"/>
  <c r="D41" i="19"/>
  <c r="E41" i="19" s="1"/>
  <c r="D54" i="19"/>
  <c r="E54" i="19" s="1"/>
  <c r="F18" i="33"/>
  <c r="D45" i="36"/>
  <c r="E45" i="36" s="1"/>
  <c r="D45" i="14"/>
  <c r="E45" i="14" s="1"/>
  <c r="D51" i="30"/>
  <c r="E51" i="30" s="1"/>
  <c r="D45" i="31"/>
  <c r="E45" i="31" s="1"/>
  <c r="D51" i="36"/>
  <c r="E51" i="36" s="1"/>
  <c r="D45" i="38"/>
  <c r="E45" i="38" s="1"/>
  <c r="C28" i="40"/>
  <c r="D42" i="40"/>
  <c r="E42" i="40" s="1"/>
  <c r="D51" i="40"/>
  <c r="E51" i="40" s="1"/>
  <c r="D55" i="40"/>
  <c r="E55" i="40" s="1"/>
  <c r="D43" i="40"/>
  <c r="E43" i="40" s="1"/>
  <c r="D52" i="40"/>
  <c r="E52" i="40" s="1"/>
  <c r="C27" i="40"/>
  <c r="D22" i="40"/>
  <c r="D23" i="40"/>
  <c r="E23" i="40" s="1"/>
  <c r="D24" i="40"/>
  <c r="E24" i="40" s="1"/>
  <c r="D25" i="40"/>
  <c r="E25" i="40" s="1"/>
  <c r="D26" i="40"/>
  <c r="E26" i="40" s="1"/>
  <c r="D44" i="40"/>
  <c r="E44" i="40" s="1"/>
  <c r="D41" i="39"/>
  <c r="E41" i="39" s="1"/>
  <c r="D45" i="39"/>
  <c r="E45" i="39" s="1"/>
  <c r="D54" i="39"/>
  <c r="E54" i="39" s="1"/>
  <c r="D42" i="39"/>
  <c r="E42" i="39" s="1"/>
  <c r="D51" i="39"/>
  <c r="E51" i="39" s="1"/>
  <c r="D55" i="39"/>
  <c r="E55" i="39" s="1"/>
  <c r="D43" i="39"/>
  <c r="E43" i="39" s="1"/>
  <c r="D52" i="39"/>
  <c r="E52" i="39" s="1"/>
  <c r="C27" i="39"/>
  <c r="D22" i="39"/>
  <c r="H22" i="39" s="1"/>
  <c r="D23" i="39"/>
  <c r="E23" i="39" s="1"/>
  <c r="D24" i="39"/>
  <c r="E24" i="39" s="1"/>
  <c r="D25" i="39"/>
  <c r="E25" i="39" s="1"/>
  <c r="D26" i="39"/>
  <c r="E26" i="39" s="1"/>
  <c r="D44" i="39"/>
  <c r="E44" i="39" s="1"/>
  <c r="D42" i="38"/>
  <c r="E42" i="38" s="1"/>
  <c r="D51" i="38"/>
  <c r="E51" i="38" s="1"/>
  <c r="D55" i="38"/>
  <c r="E55" i="38" s="1"/>
  <c r="D43" i="38"/>
  <c r="E43" i="38" s="1"/>
  <c r="D52" i="38"/>
  <c r="E52" i="38" s="1"/>
  <c r="C27" i="38"/>
  <c r="D22" i="38"/>
  <c r="G22" i="38" s="1"/>
  <c r="D23" i="38"/>
  <c r="E23" i="38" s="1"/>
  <c r="D24" i="38"/>
  <c r="E24" i="38" s="1"/>
  <c r="D25" i="38"/>
  <c r="E25" i="38" s="1"/>
  <c r="D26" i="38"/>
  <c r="E26" i="38" s="1"/>
  <c r="D44" i="38"/>
  <c r="E44" i="38" s="1"/>
  <c r="C28" i="36"/>
  <c r="C27" i="36"/>
  <c r="D22" i="36"/>
  <c r="H22" i="36" s="1"/>
  <c r="D23" i="36"/>
  <c r="E23" i="36" s="1"/>
  <c r="D24" i="36"/>
  <c r="E24" i="36" s="1"/>
  <c r="D25" i="36"/>
  <c r="E25" i="36" s="1"/>
  <c r="D26" i="36"/>
  <c r="H26" i="36" s="1"/>
  <c r="D44" i="36"/>
  <c r="E44" i="36" s="1"/>
  <c r="D42" i="35"/>
  <c r="E42" i="35" s="1"/>
  <c r="D51" i="35"/>
  <c r="E51" i="35" s="1"/>
  <c r="D55" i="35"/>
  <c r="E55" i="35" s="1"/>
  <c r="D43" i="35"/>
  <c r="E43" i="35" s="1"/>
  <c r="D52" i="35"/>
  <c r="E52" i="35" s="1"/>
  <c r="C27" i="35"/>
  <c r="D22" i="35"/>
  <c r="F22" i="35" s="1"/>
  <c r="D23" i="35"/>
  <c r="E23" i="35" s="1"/>
  <c r="D24" i="35"/>
  <c r="E24" i="35" s="1"/>
  <c r="D25" i="35"/>
  <c r="E25" i="35" s="1"/>
  <c r="D26" i="35"/>
  <c r="E26" i="35" s="1"/>
  <c r="D44" i="35"/>
  <c r="E44" i="35" s="1"/>
  <c r="C28" i="34"/>
  <c r="D42" i="34"/>
  <c r="E42" i="34" s="1"/>
  <c r="D51" i="34"/>
  <c r="E51" i="34" s="1"/>
  <c r="D55" i="34"/>
  <c r="E55" i="34" s="1"/>
  <c r="D43" i="34"/>
  <c r="E43" i="34" s="1"/>
  <c r="D52" i="34"/>
  <c r="E52" i="34" s="1"/>
  <c r="C27" i="34"/>
  <c r="D22" i="34"/>
  <c r="D23" i="34"/>
  <c r="E23" i="34" s="1"/>
  <c r="D24" i="34"/>
  <c r="E24" i="34" s="1"/>
  <c r="D25" i="34"/>
  <c r="E25" i="34" s="1"/>
  <c r="D26" i="34"/>
  <c r="E26" i="34" s="1"/>
  <c r="D44" i="34"/>
  <c r="E44" i="34" s="1"/>
  <c r="D53" i="33"/>
  <c r="E53" i="33" s="1"/>
  <c r="D41" i="33"/>
  <c r="E41" i="33" s="1"/>
  <c r="D45" i="33"/>
  <c r="E45" i="33" s="1"/>
  <c r="D54" i="33"/>
  <c r="E54" i="33" s="1"/>
  <c r="D42" i="33"/>
  <c r="E42" i="33" s="1"/>
  <c r="D51" i="33"/>
  <c r="E51" i="33" s="1"/>
  <c r="D55" i="33"/>
  <c r="E55" i="33" s="1"/>
  <c r="D43" i="33"/>
  <c r="E43" i="33" s="1"/>
  <c r="D52" i="33"/>
  <c r="E52" i="33" s="1"/>
  <c r="C27" i="33"/>
  <c r="D22" i="33"/>
  <c r="H22" i="33" s="1"/>
  <c r="D23" i="33"/>
  <c r="E23" i="33" s="1"/>
  <c r="D24" i="33"/>
  <c r="E24" i="33" s="1"/>
  <c r="D25" i="33"/>
  <c r="E25" i="33" s="1"/>
  <c r="D26" i="33"/>
  <c r="E26" i="33" s="1"/>
  <c r="D44" i="33"/>
  <c r="E44" i="33" s="1"/>
  <c r="C28" i="32"/>
  <c r="D42" i="32"/>
  <c r="E42" i="32" s="1"/>
  <c r="D51" i="32"/>
  <c r="E51" i="32" s="1"/>
  <c r="D55" i="32"/>
  <c r="E55" i="32" s="1"/>
  <c r="D43" i="32"/>
  <c r="E43" i="32" s="1"/>
  <c r="D52" i="32"/>
  <c r="E52" i="32" s="1"/>
  <c r="C27" i="32"/>
  <c r="D22" i="32"/>
  <c r="F22" i="32" s="1"/>
  <c r="D23" i="32"/>
  <c r="E23" i="32" s="1"/>
  <c r="D24" i="32"/>
  <c r="E24" i="32" s="1"/>
  <c r="D25" i="32"/>
  <c r="E25" i="32" s="1"/>
  <c r="D26" i="32"/>
  <c r="E26" i="32" s="1"/>
  <c r="D44" i="32"/>
  <c r="E44" i="32" s="1"/>
  <c r="D42" i="31"/>
  <c r="E42" i="31" s="1"/>
  <c r="D51" i="31"/>
  <c r="E51" i="31" s="1"/>
  <c r="D55" i="31"/>
  <c r="E55" i="31" s="1"/>
  <c r="D43" i="31"/>
  <c r="E43" i="31" s="1"/>
  <c r="D52" i="31"/>
  <c r="E52" i="31" s="1"/>
  <c r="C27" i="31"/>
  <c r="D22" i="31"/>
  <c r="H22" i="31" s="1"/>
  <c r="D23" i="31"/>
  <c r="E23" i="31" s="1"/>
  <c r="D24" i="31"/>
  <c r="E24" i="31" s="1"/>
  <c r="D25" i="31"/>
  <c r="E25" i="31" s="1"/>
  <c r="D26" i="31"/>
  <c r="E26" i="31" s="1"/>
  <c r="D44" i="31"/>
  <c r="E44" i="31" s="1"/>
  <c r="C28" i="30"/>
  <c r="D41" i="30"/>
  <c r="E41" i="30" s="1"/>
  <c r="D45" i="30"/>
  <c r="E45" i="30" s="1"/>
  <c r="D54" i="30"/>
  <c r="E54" i="30" s="1"/>
  <c r="D43" i="30"/>
  <c r="E43" i="30" s="1"/>
  <c r="D52" i="30"/>
  <c r="E52" i="30" s="1"/>
  <c r="C27" i="30"/>
  <c r="D22" i="30"/>
  <c r="D23" i="30"/>
  <c r="E23" i="30" s="1"/>
  <c r="D24" i="30"/>
  <c r="E24" i="30" s="1"/>
  <c r="D25" i="30"/>
  <c r="E25" i="30" s="1"/>
  <c r="D26" i="30"/>
  <c r="E26" i="30" s="1"/>
  <c r="D44" i="30"/>
  <c r="E44" i="30" s="1"/>
  <c r="F18" i="12"/>
  <c r="C28" i="21"/>
  <c r="D42" i="21"/>
  <c r="E42" i="21" s="1"/>
  <c r="D51" i="21"/>
  <c r="E51" i="21" s="1"/>
  <c r="D55" i="21"/>
  <c r="E55" i="21" s="1"/>
  <c r="D43" i="21"/>
  <c r="E43" i="21" s="1"/>
  <c r="D52" i="21"/>
  <c r="E52" i="21" s="1"/>
  <c r="C27" i="21"/>
  <c r="D22" i="21"/>
  <c r="G22" i="21" s="1"/>
  <c r="D23" i="21"/>
  <c r="E23" i="21" s="1"/>
  <c r="D24" i="21"/>
  <c r="H24" i="21" s="1"/>
  <c r="D25" i="21"/>
  <c r="E25" i="21" s="1"/>
  <c r="D26" i="21"/>
  <c r="E26" i="21" s="1"/>
  <c r="D44" i="21"/>
  <c r="E44" i="21" s="1"/>
  <c r="C28" i="20"/>
  <c r="D41" i="20"/>
  <c r="E41" i="20" s="1"/>
  <c r="D45" i="20"/>
  <c r="E45" i="20" s="1"/>
  <c r="D54" i="20"/>
  <c r="E54" i="20" s="1"/>
  <c r="D51" i="20"/>
  <c r="E51" i="20" s="1"/>
  <c r="D55" i="20"/>
  <c r="E55" i="20" s="1"/>
  <c r="D43" i="20"/>
  <c r="E43" i="20" s="1"/>
  <c r="D52" i="20"/>
  <c r="E52" i="20" s="1"/>
  <c r="C27" i="20"/>
  <c r="D22" i="20"/>
  <c r="F22" i="20" s="1"/>
  <c r="D23" i="20"/>
  <c r="E23" i="20" s="1"/>
  <c r="D24" i="20"/>
  <c r="E24" i="20" s="1"/>
  <c r="D25" i="20"/>
  <c r="E25" i="20" s="1"/>
  <c r="D26" i="20"/>
  <c r="E26" i="20" s="1"/>
  <c r="D44" i="20"/>
  <c r="E44" i="20" s="1"/>
  <c r="G24" i="19"/>
  <c r="H23" i="19"/>
  <c r="D42" i="19"/>
  <c r="E42" i="19" s="1"/>
  <c r="D51" i="19"/>
  <c r="E51" i="19" s="1"/>
  <c r="D55" i="19"/>
  <c r="E55" i="19" s="1"/>
  <c r="D43" i="19"/>
  <c r="E43" i="19" s="1"/>
  <c r="D52" i="19"/>
  <c r="E52" i="19" s="1"/>
  <c r="C27" i="19"/>
  <c r="D22" i="19"/>
  <c r="G22" i="19" s="1"/>
  <c r="D23" i="19"/>
  <c r="E23" i="19" s="1"/>
  <c r="D24" i="19"/>
  <c r="E24" i="19" s="1"/>
  <c r="D25" i="19"/>
  <c r="E25" i="19" s="1"/>
  <c r="D26" i="19"/>
  <c r="E26" i="19" s="1"/>
  <c r="D44" i="19"/>
  <c r="E44" i="19" s="1"/>
  <c r="C28" i="17"/>
  <c r="D42" i="17"/>
  <c r="E42" i="17" s="1"/>
  <c r="D51" i="17"/>
  <c r="E51" i="17" s="1"/>
  <c r="D55" i="17"/>
  <c r="E55" i="17" s="1"/>
  <c r="D43" i="17"/>
  <c r="E43" i="17" s="1"/>
  <c r="D52" i="17"/>
  <c r="E52" i="17" s="1"/>
  <c r="D22" i="17"/>
  <c r="D23" i="17"/>
  <c r="E23" i="17" s="1"/>
  <c r="D24" i="17"/>
  <c r="E24" i="17" s="1"/>
  <c r="D25" i="17"/>
  <c r="E25" i="17" s="1"/>
  <c r="D26" i="17"/>
  <c r="E26" i="17" s="1"/>
  <c r="D44" i="17"/>
  <c r="E44" i="17" s="1"/>
  <c r="D41" i="16"/>
  <c r="E41" i="16" s="1"/>
  <c r="D45" i="16"/>
  <c r="E45" i="16" s="1"/>
  <c r="D54" i="16"/>
  <c r="E54" i="16" s="1"/>
  <c r="D42" i="16"/>
  <c r="E42" i="16" s="1"/>
  <c r="D51" i="16"/>
  <c r="E51" i="16" s="1"/>
  <c r="D55" i="16"/>
  <c r="E55" i="16" s="1"/>
  <c r="D43" i="16"/>
  <c r="E43" i="16" s="1"/>
  <c r="D52" i="16"/>
  <c r="E52" i="16" s="1"/>
  <c r="C27" i="16"/>
  <c r="D22" i="16"/>
  <c r="F22" i="16" s="1"/>
  <c r="D23" i="16"/>
  <c r="E23" i="16" s="1"/>
  <c r="D24" i="16"/>
  <c r="E24" i="16" s="1"/>
  <c r="D25" i="16"/>
  <c r="E25" i="16" s="1"/>
  <c r="D26" i="16"/>
  <c r="E26" i="16" s="1"/>
  <c r="D44" i="16"/>
  <c r="E44" i="16" s="1"/>
  <c r="D42" i="14"/>
  <c r="E42" i="14" s="1"/>
  <c r="D51" i="14"/>
  <c r="E51" i="14" s="1"/>
  <c r="D55" i="14"/>
  <c r="E55" i="14" s="1"/>
  <c r="D43" i="14"/>
  <c r="E43" i="14" s="1"/>
  <c r="D52" i="14"/>
  <c r="E52" i="14" s="1"/>
  <c r="C27" i="14"/>
  <c r="D22" i="14"/>
  <c r="D23" i="14"/>
  <c r="E23" i="14" s="1"/>
  <c r="D24" i="14"/>
  <c r="E24" i="14" s="1"/>
  <c r="D25" i="14"/>
  <c r="E25" i="14" s="1"/>
  <c r="D26" i="14"/>
  <c r="E26" i="14" s="1"/>
  <c r="D44" i="14"/>
  <c r="E44" i="14" s="1"/>
  <c r="D41" i="12"/>
  <c r="E41" i="12" s="1"/>
  <c r="D45" i="12"/>
  <c r="E45" i="12" s="1"/>
  <c r="D54" i="12"/>
  <c r="E54" i="12" s="1"/>
  <c r="H24" i="12"/>
  <c r="D42" i="12"/>
  <c r="E42" i="12" s="1"/>
  <c r="D51" i="12"/>
  <c r="E51" i="12" s="1"/>
  <c r="D55" i="12"/>
  <c r="E55" i="12" s="1"/>
  <c r="C27" i="12"/>
  <c r="D22" i="12"/>
  <c r="F22" i="12" s="1"/>
  <c r="D23" i="12"/>
  <c r="E23" i="12" s="1"/>
  <c r="D24" i="12"/>
  <c r="E24" i="12" s="1"/>
  <c r="D25" i="12"/>
  <c r="E25" i="12" s="1"/>
  <c r="D26" i="12"/>
  <c r="E26" i="12" s="1"/>
  <c r="D44" i="12"/>
  <c r="E44" i="12" s="1"/>
  <c r="C27" i="11"/>
  <c r="D24" i="11"/>
  <c r="E24" i="11" s="1"/>
  <c r="D25" i="11"/>
  <c r="E25" i="11" s="1"/>
  <c r="D26" i="11"/>
  <c r="E26" i="11" s="1"/>
  <c r="D44" i="11"/>
  <c r="E44" i="11" s="1"/>
  <c r="D53" i="11"/>
  <c r="E53" i="11" s="1"/>
  <c r="D23" i="11"/>
  <c r="E23" i="11" s="1"/>
  <c r="D41" i="11"/>
  <c r="E41" i="11" s="1"/>
  <c r="F26" i="11"/>
  <c r="B36" i="11" s="1"/>
  <c r="D42" i="11"/>
  <c r="E42" i="11" s="1"/>
  <c r="D51" i="11"/>
  <c r="E51" i="11" s="1"/>
  <c r="D55" i="11"/>
  <c r="E55" i="11" s="1"/>
  <c r="D22" i="11"/>
  <c r="G22" i="11" s="1"/>
  <c r="D45" i="11"/>
  <c r="E45" i="11" s="1"/>
  <c r="D54" i="11"/>
  <c r="E54" i="11" s="1"/>
  <c r="D43" i="11"/>
  <c r="E43" i="11" s="1"/>
  <c r="C28" i="9"/>
  <c r="D41" i="9"/>
  <c r="E41" i="9" s="1"/>
  <c r="D45" i="9"/>
  <c r="E45" i="9" s="1"/>
  <c r="D54" i="9"/>
  <c r="E54" i="9" s="1"/>
  <c r="D55" i="9"/>
  <c r="E55" i="9" s="1"/>
  <c r="D43" i="9"/>
  <c r="E43" i="9" s="1"/>
  <c r="D52" i="9"/>
  <c r="E52" i="9" s="1"/>
  <c r="C27" i="9"/>
  <c r="D22" i="9"/>
  <c r="D23" i="9"/>
  <c r="E23" i="9" s="1"/>
  <c r="D24" i="9"/>
  <c r="E24" i="9" s="1"/>
  <c r="D25" i="9"/>
  <c r="E25" i="9" s="1"/>
  <c r="D26" i="9"/>
  <c r="E26" i="9" s="1"/>
  <c r="D44" i="9"/>
  <c r="E44" i="9" s="1"/>
  <c r="F24" i="7"/>
  <c r="D41" i="7"/>
  <c r="E41" i="7" s="1"/>
  <c r="D45" i="7"/>
  <c r="E45" i="7" s="1"/>
  <c r="D54" i="7"/>
  <c r="E54" i="7" s="1"/>
  <c r="D23" i="7"/>
  <c r="E23" i="7" s="1"/>
  <c r="G24" i="7"/>
  <c r="G26" i="7"/>
  <c r="D26" i="7"/>
  <c r="E26" i="7" s="1"/>
  <c r="D44" i="7"/>
  <c r="E44" i="7" s="1"/>
  <c r="D53" i="7"/>
  <c r="E53" i="7" s="1"/>
  <c r="H23" i="7"/>
  <c r="H24" i="7"/>
  <c r="H26" i="7"/>
  <c r="D42" i="7"/>
  <c r="E42" i="7" s="1"/>
  <c r="D51" i="7"/>
  <c r="E51" i="7" s="1"/>
  <c r="D55" i="7"/>
  <c r="E55" i="7" s="1"/>
  <c r="D22" i="7"/>
  <c r="D25" i="7"/>
  <c r="E25" i="7" s="1"/>
  <c r="D43" i="7"/>
  <c r="E43" i="7" s="1"/>
  <c r="D52" i="7"/>
  <c r="E52" i="7" s="1"/>
  <c r="C27" i="7"/>
  <c r="D23" i="6"/>
  <c r="E23" i="6" s="1"/>
  <c r="D25" i="6"/>
  <c r="E25" i="6" s="1"/>
  <c r="D26" i="6"/>
  <c r="E26" i="6" s="1"/>
  <c r="D44" i="6"/>
  <c r="E44" i="6" s="1"/>
  <c r="D41" i="6"/>
  <c r="E41" i="6" s="1"/>
  <c r="D45" i="6"/>
  <c r="E45" i="6" s="1"/>
  <c r="D54" i="6"/>
  <c r="E54" i="6" s="1"/>
  <c r="G24" i="6"/>
  <c r="F25" i="6"/>
  <c r="C27" i="6"/>
  <c r="D22" i="6"/>
  <c r="D24" i="6"/>
  <c r="E24" i="6" s="1"/>
  <c r="D42" i="6"/>
  <c r="E42" i="6" s="1"/>
  <c r="D51" i="6"/>
  <c r="E51" i="6" s="1"/>
  <c r="D55" i="6"/>
  <c r="E55" i="6" s="1"/>
  <c r="D43" i="6"/>
  <c r="E43" i="6" s="1"/>
  <c r="D52" i="6"/>
  <c r="E52" i="6" s="1"/>
  <c r="C28" i="5"/>
  <c r="D41" i="5"/>
  <c r="E41" i="5" s="1"/>
  <c r="D45" i="5"/>
  <c r="E45" i="5" s="1"/>
  <c r="D54" i="5"/>
  <c r="E54" i="5" s="1"/>
  <c r="D43" i="5"/>
  <c r="E43" i="5" s="1"/>
  <c r="D52" i="5"/>
  <c r="E52" i="5" s="1"/>
  <c r="C27" i="5"/>
  <c r="D22" i="5"/>
  <c r="G22" i="5" s="1"/>
  <c r="D23" i="5"/>
  <c r="E23" i="5" s="1"/>
  <c r="D24" i="5"/>
  <c r="E24" i="5" s="1"/>
  <c r="D25" i="5"/>
  <c r="E25" i="5" s="1"/>
  <c r="D26" i="5"/>
  <c r="E26" i="5" s="1"/>
  <c r="D44" i="5"/>
  <c r="E44" i="5" s="1"/>
  <c r="B13" i="2"/>
  <c r="C24" i="2"/>
  <c r="C25" i="2"/>
  <c r="C26" i="2"/>
  <c r="C23" i="2"/>
  <c r="C22" i="2"/>
  <c r="E16" i="2"/>
  <c r="C16" i="2"/>
  <c r="F18" i="2" s="1"/>
  <c r="C12" i="2"/>
  <c r="B12" i="2"/>
  <c r="D54" i="2" s="1"/>
  <c r="E54" i="2" s="1"/>
  <c r="A12" i="2"/>
  <c r="C11" i="2"/>
  <c r="B11" i="2"/>
  <c r="A11" i="2"/>
  <c r="C10" i="2"/>
  <c r="B10" i="2"/>
  <c r="A10" i="2"/>
  <c r="C9" i="2"/>
  <c r="A9" i="2"/>
  <c r="C8" i="2"/>
  <c r="A8" i="2"/>
  <c r="C7" i="2"/>
  <c r="B7" i="2"/>
  <c r="A7" i="2"/>
  <c r="C6" i="2"/>
  <c r="B6" i="2"/>
  <c r="A6" i="2"/>
  <c r="C5" i="2"/>
  <c r="A5" i="2"/>
  <c r="A1" i="2"/>
  <c r="G16" i="1"/>
  <c r="C5" i="1" s="1"/>
  <c r="G14" i="1"/>
  <c r="G13" i="1"/>
  <c r="G12" i="1"/>
  <c r="G11" i="1"/>
  <c r="G10" i="1"/>
  <c r="G9" i="1"/>
  <c r="G8" i="1"/>
  <c r="B5" i="1" s="1"/>
  <c r="D26" i="2" l="1"/>
  <c r="D51" i="2"/>
  <c r="E51" i="2" s="1"/>
  <c r="F25" i="17"/>
  <c r="B35" i="17" s="1"/>
  <c r="H23" i="16"/>
  <c r="F26" i="12"/>
  <c r="B36" i="12" s="1"/>
  <c r="G24" i="12"/>
  <c r="F24" i="11"/>
  <c r="B34" i="11" s="1"/>
  <c r="G24" i="11"/>
  <c r="H24" i="11"/>
  <c r="H25" i="6"/>
  <c r="G25" i="6"/>
  <c r="F26" i="6"/>
  <c r="H24" i="6"/>
  <c r="H25" i="7"/>
  <c r="G23" i="7"/>
  <c r="G24" i="9"/>
  <c r="G26" i="11"/>
  <c r="G24" i="14"/>
  <c r="F23" i="19"/>
  <c r="B33" i="19" s="1"/>
  <c r="D55" i="2"/>
  <c r="E55" i="2" s="1"/>
  <c r="F24" i="38"/>
  <c r="B34" i="38" s="1"/>
  <c r="D53" i="2"/>
  <c r="E53" i="2" s="1"/>
  <c r="D52" i="2"/>
  <c r="E52" i="2" s="1"/>
  <c r="H26" i="40"/>
  <c r="H23" i="6"/>
  <c r="F24" i="12"/>
  <c r="B34" i="12" s="1"/>
  <c r="H26" i="20"/>
  <c r="F25" i="30"/>
  <c r="B35" i="30" s="1"/>
  <c r="H25" i="40"/>
  <c r="H26" i="5"/>
  <c r="H25" i="19"/>
  <c r="G25" i="21"/>
  <c r="F25" i="40"/>
  <c r="B35" i="40" s="1"/>
  <c r="G25" i="40"/>
  <c r="D25" i="2"/>
  <c r="H25" i="2" s="1"/>
  <c r="D42" i="2"/>
  <c r="E42" i="2" s="1"/>
  <c r="D43" i="2"/>
  <c r="E43" i="2" s="1"/>
  <c r="D44" i="2"/>
  <c r="E44" i="2" s="1"/>
  <c r="D45" i="2"/>
  <c r="E45" i="2" s="1"/>
  <c r="D41" i="2"/>
  <c r="E41" i="2" s="1"/>
  <c r="H26" i="11"/>
  <c r="G26" i="12"/>
  <c r="H24" i="16"/>
  <c r="H24" i="19"/>
  <c r="H26" i="32"/>
  <c r="G24" i="38"/>
  <c r="H24" i="40"/>
  <c r="G26" i="40"/>
  <c r="G24" i="40"/>
  <c r="D28" i="40"/>
  <c r="E28" i="40" s="1"/>
  <c r="D27" i="40"/>
  <c r="F22" i="40"/>
  <c r="E22" i="40"/>
  <c r="G23" i="40"/>
  <c r="G22" i="40"/>
  <c r="H23" i="40"/>
  <c r="F23" i="40"/>
  <c r="B33" i="40" s="1"/>
  <c r="H22" i="40"/>
  <c r="F26" i="40"/>
  <c r="B36" i="40" s="1"/>
  <c r="F24" i="40"/>
  <c r="B34" i="40" s="1"/>
  <c r="G25" i="39"/>
  <c r="F25" i="39"/>
  <c r="B35" i="39" s="1"/>
  <c r="G26" i="39"/>
  <c r="F26" i="39"/>
  <c r="B36" i="39" s="1"/>
  <c r="H26" i="39"/>
  <c r="G24" i="39"/>
  <c r="F24" i="39"/>
  <c r="B34" i="39" s="1"/>
  <c r="D28" i="39"/>
  <c r="E28" i="39" s="1"/>
  <c r="D27" i="39"/>
  <c r="E22" i="39"/>
  <c r="H25" i="39"/>
  <c r="G23" i="39"/>
  <c r="F23" i="39"/>
  <c r="B33" i="39" s="1"/>
  <c r="H24" i="39"/>
  <c r="G22" i="39"/>
  <c r="F22" i="39"/>
  <c r="H23" i="39"/>
  <c r="H26" i="38"/>
  <c r="G26" i="38"/>
  <c r="F22" i="38"/>
  <c r="G25" i="38"/>
  <c r="H25" i="38"/>
  <c r="G23" i="38"/>
  <c r="H24" i="38"/>
  <c r="F23" i="38"/>
  <c r="B33" i="38" s="1"/>
  <c r="H23" i="38"/>
  <c r="F25" i="38"/>
  <c r="B35" i="38" s="1"/>
  <c r="D28" i="38"/>
  <c r="E28" i="38" s="1"/>
  <c r="D27" i="38"/>
  <c r="E22" i="38"/>
  <c r="H22" i="38"/>
  <c r="F26" i="38"/>
  <c r="B36" i="38" s="1"/>
  <c r="G22" i="36"/>
  <c r="F25" i="36"/>
  <c r="B35" i="36" s="1"/>
  <c r="H24" i="36"/>
  <c r="G24" i="36"/>
  <c r="F24" i="36"/>
  <c r="B34" i="36" s="1"/>
  <c r="H23" i="36"/>
  <c r="F23" i="36"/>
  <c r="B33" i="36" s="1"/>
  <c r="G25" i="36"/>
  <c r="G23" i="36"/>
  <c r="D28" i="36"/>
  <c r="E28" i="36" s="1"/>
  <c r="D27" i="36"/>
  <c r="E22" i="36"/>
  <c r="F22" i="36"/>
  <c r="F26" i="36"/>
  <c r="B36" i="36" s="1"/>
  <c r="E26" i="36"/>
  <c r="H25" i="36"/>
  <c r="G26" i="36"/>
  <c r="G24" i="35"/>
  <c r="F24" i="35"/>
  <c r="B34" i="35" s="1"/>
  <c r="F23" i="35"/>
  <c r="B33" i="35" s="1"/>
  <c r="H24" i="35"/>
  <c r="D28" i="35"/>
  <c r="E28" i="35" s="1"/>
  <c r="D27" i="35"/>
  <c r="E22" i="35"/>
  <c r="H25" i="35"/>
  <c r="G23" i="35"/>
  <c r="H23" i="35"/>
  <c r="G26" i="35"/>
  <c r="H22" i="35"/>
  <c r="B32" i="35"/>
  <c r="F26" i="35"/>
  <c r="B36" i="35" s="1"/>
  <c r="G25" i="35"/>
  <c r="G22" i="35"/>
  <c r="F25" i="35"/>
  <c r="B35" i="35" s="1"/>
  <c r="H26" i="35"/>
  <c r="H25" i="34"/>
  <c r="G26" i="34"/>
  <c r="F26" i="34"/>
  <c r="B36" i="34" s="1"/>
  <c r="F24" i="34"/>
  <c r="B34" i="34" s="1"/>
  <c r="D28" i="34"/>
  <c r="E28" i="34" s="1"/>
  <c r="D27" i="34"/>
  <c r="F22" i="34"/>
  <c r="E22" i="34"/>
  <c r="H26" i="34"/>
  <c r="G25" i="34"/>
  <c r="H24" i="34"/>
  <c r="G23" i="34"/>
  <c r="G24" i="34"/>
  <c r="F23" i="34"/>
  <c r="B33" i="34" s="1"/>
  <c r="H23" i="34"/>
  <c r="G22" i="34"/>
  <c r="H22" i="34"/>
  <c r="F25" i="34"/>
  <c r="B35" i="34" s="1"/>
  <c r="H23" i="33"/>
  <c r="G25" i="33"/>
  <c r="F26" i="33"/>
  <c r="B36" i="33" s="1"/>
  <c r="G26" i="33"/>
  <c r="F25" i="33"/>
  <c r="B35" i="33" s="1"/>
  <c r="F24" i="33"/>
  <c r="B34" i="33" s="1"/>
  <c r="H26" i="33"/>
  <c r="G24" i="33"/>
  <c r="F23" i="33"/>
  <c r="B33" i="33" s="1"/>
  <c r="D28" i="33"/>
  <c r="E28" i="33" s="1"/>
  <c r="D27" i="33"/>
  <c r="E22" i="33"/>
  <c r="H25" i="33"/>
  <c r="G23" i="33"/>
  <c r="F22" i="33"/>
  <c r="H24" i="33"/>
  <c r="G22" i="33"/>
  <c r="H22" i="32"/>
  <c r="G26" i="32"/>
  <c r="F25" i="32"/>
  <c r="B35" i="32" s="1"/>
  <c r="G25" i="32"/>
  <c r="F26" i="32"/>
  <c r="B36" i="32" s="1"/>
  <c r="F24" i="32"/>
  <c r="B34" i="32" s="1"/>
  <c r="B32" i="32"/>
  <c r="D28" i="32"/>
  <c r="E28" i="32" s="1"/>
  <c r="D27" i="32"/>
  <c r="E22" i="32"/>
  <c r="H25" i="32"/>
  <c r="G24" i="32"/>
  <c r="H24" i="32"/>
  <c r="G23" i="32"/>
  <c r="F23" i="32"/>
  <c r="B33" i="32" s="1"/>
  <c r="H23" i="32"/>
  <c r="G22" i="32"/>
  <c r="F22" i="31"/>
  <c r="B32" i="31" s="1"/>
  <c r="H23" i="31"/>
  <c r="G26" i="31"/>
  <c r="G25" i="31"/>
  <c r="F23" i="31"/>
  <c r="B33" i="31" s="1"/>
  <c r="F26" i="31"/>
  <c r="B36" i="31" s="1"/>
  <c r="F25" i="31"/>
  <c r="B35" i="31" s="1"/>
  <c r="D28" i="31"/>
  <c r="E28" i="31" s="1"/>
  <c r="D27" i="31"/>
  <c r="E22" i="31"/>
  <c r="H26" i="31"/>
  <c r="G24" i="31"/>
  <c r="H25" i="31"/>
  <c r="G23" i="31"/>
  <c r="F24" i="31"/>
  <c r="B34" i="31" s="1"/>
  <c r="H24" i="31"/>
  <c r="G22" i="31"/>
  <c r="G23" i="30"/>
  <c r="H23" i="30"/>
  <c r="F24" i="30"/>
  <c r="B34" i="30" s="1"/>
  <c r="G25" i="30"/>
  <c r="F23" i="30"/>
  <c r="B33" i="30" s="1"/>
  <c r="G24" i="30"/>
  <c r="D28" i="30"/>
  <c r="E28" i="30" s="1"/>
  <c r="D27" i="30"/>
  <c r="E22" i="30"/>
  <c r="G26" i="30"/>
  <c r="H26" i="30"/>
  <c r="F22" i="30"/>
  <c r="G22" i="30"/>
  <c r="H25" i="30"/>
  <c r="H24" i="30"/>
  <c r="H22" i="30"/>
  <c r="F26" i="30"/>
  <c r="B36" i="30" s="1"/>
  <c r="H25" i="21"/>
  <c r="G26" i="21"/>
  <c r="H26" i="21"/>
  <c r="G24" i="21"/>
  <c r="F22" i="21"/>
  <c r="G23" i="21"/>
  <c r="D28" i="21"/>
  <c r="E28" i="21" s="1"/>
  <c r="D27" i="21"/>
  <c r="E22" i="21"/>
  <c r="H23" i="21"/>
  <c r="F23" i="21"/>
  <c r="B33" i="21" s="1"/>
  <c r="H22" i="21"/>
  <c r="F25" i="21"/>
  <c r="B35" i="21" s="1"/>
  <c r="F24" i="21"/>
  <c r="B34" i="21" s="1"/>
  <c r="E24" i="21"/>
  <c r="F26" i="21"/>
  <c r="B36" i="21" s="1"/>
  <c r="H23" i="20"/>
  <c r="H22" i="20"/>
  <c r="G26" i="20"/>
  <c r="F25" i="20"/>
  <c r="B35" i="20" s="1"/>
  <c r="G25" i="20"/>
  <c r="F24" i="20"/>
  <c r="B34" i="20" s="1"/>
  <c r="G24" i="20"/>
  <c r="F23" i="20"/>
  <c r="B33" i="20" s="1"/>
  <c r="H25" i="20"/>
  <c r="G23" i="20"/>
  <c r="B32" i="20"/>
  <c r="D28" i="20"/>
  <c r="E28" i="20" s="1"/>
  <c r="D27" i="20"/>
  <c r="E22" i="20"/>
  <c r="H24" i="20"/>
  <c r="G22" i="20"/>
  <c r="F26" i="20"/>
  <c r="B36" i="20" s="1"/>
  <c r="F24" i="19"/>
  <c r="B34" i="19" s="1"/>
  <c r="F22" i="19"/>
  <c r="B32" i="19" s="1"/>
  <c r="G26" i="19"/>
  <c r="G25" i="19"/>
  <c r="H26" i="19"/>
  <c r="G23" i="19"/>
  <c r="H22" i="19"/>
  <c r="D28" i="19"/>
  <c r="E28" i="19" s="1"/>
  <c r="D27" i="19"/>
  <c r="E22" i="19"/>
  <c r="F26" i="19"/>
  <c r="B36" i="19" s="1"/>
  <c r="F25" i="19"/>
  <c r="B35" i="19" s="1"/>
  <c r="H25" i="17"/>
  <c r="G25" i="17"/>
  <c r="F26" i="17"/>
  <c r="B36" i="17" s="1"/>
  <c r="D28" i="17"/>
  <c r="E28" i="17" s="1"/>
  <c r="D27" i="17"/>
  <c r="E22" i="17"/>
  <c r="H26" i="17"/>
  <c r="G24" i="17"/>
  <c r="G23" i="17"/>
  <c r="H24" i="17"/>
  <c r="G22" i="17"/>
  <c r="H22" i="17"/>
  <c r="F24" i="17"/>
  <c r="B34" i="17" s="1"/>
  <c r="F23" i="17"/>
  <c r="B33" i="17" s="1"/>
  <c r="H23" i="17"/>
  <c r="F22" i="17"/>
  <c r="G26" i="17"/>
  <c r="H22" i="16"/>
  <c r="G22" i="16"/>
  <c r="G25" i="16"/>
  <c r="F25" i="16"/>
  <c r="B35" i="16" s="1"/>
  <c r="G26" i="16"/>
  <c r="H26" i="16"/>
  <c r="G24" i="16"/>
  <c r="F24" i="16"/>
  <c r="B34" i="16" s="1"/>
  <c r="F26" i="16"/>
  <c r="B36" i="16" s="1"/>
  <c r="D28" i="16"/>
  <c r="E28" i="16" s="1"/>
  <c r="D27" i="16"/>
  <c r="E22" i="16"/>
  <c r="H25" i="16"/>
  <c r="G23" i="16"/>
  <c r="F23" i="16"/>
  <c r="B33" i="16" s="1"/>
  <c r="B32" i="16"/>
  <c r="H25" i="14"/>
  <c r="H24" i="14"/>
  <c r="G25" i="14"/>
  <c r="D28" i="14"/>
  <c r="E28" i="14" s="1"/>
  <c r="D27" i="14"/>
  <c r="E22" i="14"/>
  <c r="F22" i="14"/>
  <c r="F26" i="14"/>
  <c r="B36" i="14" s="1"/>
  <c r="H26" i="14"/>
  <c r="G26" i="14"/>
  <c r="F24" i="14"/>
  <c r="B34" i="14" s="1"/>
  <c r="H23" i="14"/>
  <c r="G23" i="14"/>
  <c r="H22" i="14"/>
  <c r="G22" i="14"/>
  <c r="F25" i="14"/>
  <c r="B35" i="14" s="1"/>
  <c r="F23" i="14"/>
  <c r="B33" i="14" s="1"/>
  <c r="G25" i="12"/>
  <c r="H22" i="12"/>
  <c r="F25" i="12"/>
  <c r="B35" i="12" s="1"/>
  <c r="B32" i="12"/>
  <c r="H26" i="12"/>
  <c r="G23" i="12"/>
  <c r="F23" i="12"/>
  <c r="B33" i="12" s="1"/>
  <c r="H25" i="12"/>
  <c r="G22" i="12"/>
  <c r="D28" i="12"/>
  <c r="E28" i="12" s="1"/>
  <c r="D27" i="12"/>
  <c r="E22" i="12"/>
  <c r="H23" i="12"/>
  <c r="F22" i="11"/>
  <c r="B32" i="11" s="1"/>
  <c r="H22" i="11"/>
  <c r="F23" i="11"/>
  <c r="B33" i="11" s="1"/>
  <c r="F25" i="11"/>
  <c r="B35" i="11" s="1"/>
  <c r="H25" i="11"/>
  <c r="G25" i="11"/>
  <c r="E22" i="11"/>
  <c r="D28" i="11"/>
  <c r="E28" i="11" s="1"/>
  <c r="D27" i="11"/>
  <c r="H23" i="11"/>
  <c r="G23" i="11"/>
  <c r="F25" i="9"/>
  <c r="H25" i="9"/>
  <c r="F23" i="9"/>
  <c r="G26" i="9"/>
  <c r="F26" i="9"/>
  <c r="G25" i="9"/>
  <c r="D28" i="9"/>
  <c r="E28" i="9" s="1"/>
  <c r="D27" i="9"/>
  <c r="E22" i="9"/>
  <c r="F24" i="9"/>
  <c r="H26" i="9"/>
  <c r="G23" i="9"/>
  <c r="F22" i="9"/>
  <c r="H22" i="9"/>
  <c r="G22" i="9"/>
  <c r="H24" i="9"/>
  <c r="H23" i="9"/>
  <c r="F26" i="7"/>
  <c r="F25" i="7"/>
  <c r="D28" i="7"/>
  <c r="E28" i="7" s="1"/>
  <c r="E22" i="7"/>
  <c r="D27" i="7"/>
  <c r="H22" i="7"/>
  <c r="G22" i="7"/>
  <c r="F23" i="7"/>
  <c r="F22" i="7"/>
  <c r="G25" i="7"/>
  <c r="G26" i="6"/>
  <c r="F23" i="6"/>
  <c r="G23" i="6"/>
  <c r="D28" i="6"/>
  <c r="E28" i="6" s="1"/>
  <c r="D27" i="6"/>
  <c r="E22" i="6"/>
  <c r="F24" i="6"/>
  <c r="H22" i="6"/>
  <c r="F22" i="6"/>
  <c r="G22" i="6"/>
  <c r="H26" i="6"/>
  <c r="F25" i="5"/>
  <c r="B35" i="5" s="1"/>
  <c r="F24" i="5"/>
  <c r="B34" i="5" s="1"/>
  <c r="G25" i="5"/>
  <c r="H22" i="5"/>
  <c r="F23" i="5"/>
  <c r="B33" i="5" s="1"/>
  <c r="G26" i="5"/>
  <c r="F22" i="5"/>
  <c r="B32" i="5" s="1"/>
  <c r="G23" i="5"/>
  <c r="H23" i="5"/>
  <c r="H25" i="5"/>
  <c r="G24" i="5"/>
  <c r="D28" i="5"/>
  <c r="E28" i="5" s="1"/>
  <c r="D27" i="5"/>
  <c r="E22" i="5"/>
  <c r="H24" i="5"/>
  <c r="F26" i="5"/>
  <c r="B36" i="5" s="1"/>
  <c r="D22" i="2"/>
  <c r="E22" i="2" s="1"/>
  <c r="D24" i="2"/>
  <c r="H24" i="2" s="1"/>
  <c r="C27" i="2"/>
  <c r="C28" i="2"/>
  <c r="E26" i="2"/>
  <c r="G25" i="2"/>
  <c r="H26" i="2"/>
  <c r="F25" i="2"/>
  <c r="B35" i="2" s="1"/>
  <c r="G26" i="2"/>
  <c r="E25" i="2"/>
  <c r="D23" i="2"/>
  <c r="F23" i="2" s="1"/>
  <c r="B33" i="2" s="1"/>
  <c r="F26" i="2"/>
  <c r="B36" i="2" s="1"/>
  <c r="H22" i="2" l="1"/>
  <c r="G22" i="2"/>
  <c r="F22" i="2"/>
  <c r="E24" i="2"/>
  <c r="B32" i="40"/>
  <c r="F28" i="40"/>
  <c r="I22" i="40" s="1"/>
  <c r="F27" i="40"/>
  <c r="E27" i="40"/>
  <c r="G27" i="40"/>
  <c r="H27" i="40"/>
  <c r="E27" i="39"/>
  <c r="H27" i="39"/>
  <c r="G27" i="39"/>
  <c r="B32" i="39"/>
  <c r="F28" i="39"/>
  <c r="I25" i="39" s="1"/>
  <c r="F27" i="39"/>
  <c r="E27" i="38"/>
  <c r="G27" i="38"/>
  <c r="H27" i="38"/>
  <c r="B32" i="38"/>
  <c r="F28" i="38"/>
  <c r="I26" i="38" s="1"/>
  <c r="F27" i="38"/>
  <c r="B32" i="36"/>
  <c r="F28" i="36"/>
  <c r="I24" i="36" s="1"/>
  <c r="F27" i="36"/>
  <c r="E27" i="36"/>
  <c r="H27" i="36"/>
  <c r="G27" i="36"/>
  <c r="F28" i="35"/>
  <c r="I24" i="35" s="1"/>
  <c r="F27" i="35"/>
  <c r="E27" i="35"/>
  <c r="G27" i="35"/>
  <c r="H27" i="35"/>
  <c r="F27" i="34"/>
  <c r="B32" i="34"/>
  <c r="F28" i="34"/>
  <c r="I25" i="34" s="1"/>
  <c r="E27" i="34"/>
  <c r="H27" i="34"/>
  <c r="G27" i="34"/>
  <c r="B32" i="33"/>
  <c r="F28" i="33"/>
  <c r="I25" i="33" s="1"/>
  <c r="F27" i="33"/>
  <c r="E27" i="33"/>
  <c r="H27" i="33"/>
  <c r="G27" i="33"/>
  <c r="E27" i="32"/>
  <c r="H27" i="32"/>
  <c r="G27" i="32"/>
  <c r="F28" i="32"/>
  <c r="I26" i="32" s="1"/>
  <c r="F27" i="32"/>
  <c r="F28" i="31"/>
  <c r="I26" i="31" s="1"/>
  <c r="E27" i="31"/>
  <c r="H27" i="31"/>
  <c r="G27" i="31"/>
  <c r="I27" i="31" s="1"/>
  <c r="J27" i="31" s="1"/>
  <c r="F27" i="31"/>
  <c r="B32" i="30"/>
  <c r="F28" i="30"/>
  <c r="I26" i="30" s="1"/>
  <c r="F27" i="30"/>
  <c r="E27" i="30"/>
  <c r="G27" i="30"/>
  <c r="H27" i="30"/>
  <c r="B32" i="21"/>
  <c r="F27" i="21"/>
  <c r="F28" i="21"/>
  <c r="I25" i="21" s="1"/>
  <c r="E27" i="21"/>
  <c r="G27" i="21"/>
  <c r="H27" i="21"/>
  <c r="E27" i="20"/>
  <c r="H27" i="20"/>
  <c r="G27" i="20"/>
  <c r="F27" i="20"/>
  <c r="F28" i="20"/>
  <c r="I23" i="20" s="1"/>
  <c r="F27" i="19"/>
  <c r="F28" i="19"/>
  <c r="E27" i="19"/>
  <c r="H27" i="19"/>
  <c r="G27" i="19"/>
  <c r="B32" i="17"/>
  <c r="F28" i="17"/>
  <c r="I25" i="17" s="1"/>
  <c r="F27" i="17"/>
  <c r="E27" i="17"/>
  <c r="G27" i="17"/>
  <c r="H27" i="17"/>
  <c r="F27" i="16"/>
  <c r="F28" i="16"/>
  <c r="I22" i="16" s="1"/>
  <c r="E27" i="16"/>
  <c r="H27" i="16"/>
  <c r="G27" i="16"/>
  <c r="B32" i="14"/>
  <c r="F27" i="14"/>
  <c r="F28" i="14"/>
  <c r="I23" i="14" s="1"/>
  <c r="E27" i="14"/>
  <c r="G27" i="14"/>
  <c r="H27" i="14"/>
  <c r="E27" i="12"/>
  <c r="G27" i="12"/>
  <c r="H27" i="12"/>
  <c r="F27" i="12"/>
  <c r="F28" i="12"/>
  <c r="I24" i="12" s="1"/>
  <c r="F28" i="11"/>
  <c r="I22" i="11" s="1"/>
  <c r="F27" i="11"/>
  <c r="E27" i="11"/>
  <c r="G27" i="11"/>
  <c r="H27" i="11"/>
  <c r="E27" i="9"/>
  <c r="H27" i="9"/>
  <c r="G27" i="9"/>
  <c r="F28" i="9"/>
  <c r="I26" i="9" s="1"/>
  <c r="F27" i="9"/>
  <c r="E27" i="7"/>
  <c r="H27" i="7"/>
  <c r="G27" i="7"/>
  <c r="F28" i="7"/>
  <c r="I22" i="7" s="1"/>
  <c r="F27" i="7"/>
  <c r="F41" i="7" s="1"/>
  <c r="E27" i="6"/>
  <c r="G27" i="6"/>
  <c r="H27" i="6"/>
  <c r="F27" i="6"/>
  <c r="F28" i="6"/>
  <c r="I22" i="6" s="1"/>
  <c r="F28" i="5"/>
  <c r="A32" i="5" s="1"/>
  <c r="A33" i="5" s="1"/>
  <c r="F27" i="5"/>
  <c r="E27" i="5"/>
  <c r="H27" i="5"/>
  <c r="G27" i="5"/>
  <c r="F24" i="2"/>
  <c r="B34" i="2" s="1"/>
  <c r="E23" i="2"/>
  <c r="G24" i="2"/>
  <c r="D28" i="2"/>
  <c r="E28" i="2" s="1"/>
  <c r="D27" i="2"/>
  <c r="G23" i="2"/>
  <c r="H23" i="2"/>
  <c r="F28" i="2" l="1"/>
  <c r="I26" i="2" s="1"/>
  <c r="F27" i="2"/>
  <c r="I22" i="5"/>
  <c r="I26" i="34"/>
  <c r="F41" i="2"/>
  <c r="F42" i="2"/>
  <c r="I41" i="2"/>
  <c r="I55" i="2"/>
  <c r="F54" i="2"/>
  <c r="J54" i="2"/>
  <c r="I53" i="2"/>
  <c r="I43" i="2"/>
  <c r="J42" i="2"/>
  <c r="I52" i="2"/>
  <c r="F45" i="2"/>
  <c r="F51" i="2"/>
  <c r="J52" i="2"/>
  <c r="J45" i="2"/>
  <c r="J43" i="2"/>
  <c r="F53" i="2"/>
  <c r="I45" i="2"/>
  <c r="J44" i="2"/>
  <c r="J53" i="2"/>
  <c r="F55" i="2"/>
  <c r="F52" i="2"/>
  <c r="I51" i="2"/>
  <c r="I54" i="2"/>
  <c r="I44" i="2"/>
  <c r="F44" i="2"/>
  <c r="I42" i="2"/>
  <c r="J55" i="2"/>
  <c r="J41" i="2"/>
  <c r="F43" i="2"/>
  <c r="J51" i="2"/>
  <c r="B32" i="2"/>
  <c r="I25" i="31"/>
  <c r="A35" i="31" s="1"/>
  <c r="I27" i="36"/>
  <c r="J27" i="36" s="1"/>
  <c r="I23" i="40"/>
  <c r="A33" i="40" s="1"/>
  <c r="A32" i="40"/>
  <c r="J22" i="40"/>
  <c r="I27" i="40"/>
  <c r="J27" i="40" s="1"/>
  <c r="J54" i="40"/>
  <c r="F52" i="40"/>
  <c r="J45" i="40"/>
  <c r="F43" i="40"/>
  <c r="J41" i="40"/>
  <c r="I54" i="40"/>
  <c r="I45" i="40"/>
  <c r="I41" i="40"/>
  <c r="F53" i="40"/>
  <c r="F55" i="40"/>
  <c r="J53" i="40"/>
  <c r="F51" i="40"/>
  <c r="J44" i="40"/>
  <c r="F42" i="40"/>
  <c r="J51" i="40"/>
  <c r="I53" i="40"/>
  <c r="I44" i="40"/>
  <c r="J55" i="40"/>
  <c r="F54" i="40"/>
  <c r="J52" i="40"/>
  <c r="F45" i="40"/>
  <c r="J43" i="40"/>
  <c r="F41" i="40"/>
  <c r="F44" i="40"/>
  <c r="I52" i="40"/>
  <c r="I43" i="40"/>
  <c r="I55" i="40"/>
  <c r="I51" i="40"/>
  <c r="I42" i="40"/>
  <c r="J42" i="40"/>
  <c r="I25" i="40"/>
  <c r="I24" i="40"/>
  <c r="I26" i="40"/>
  <c r="I24" i="39"/>
  <c r="I22" i="39"/>
  <c r="J54" i="39"/>
  <c r="F52" i="39"/>
  <c r="J45" i="39"/>
  <c r="F43" i="39"/>
  <c r="J41" i="39"/>
  <c r="I54" i="39"/>
  <c r="I45" i="39"/>
  <c r="I41" i="39"/>
  <c r="F55" i="39"/>
  <c r="J53" i="39"/>
  <c r="F51" i="39"/>
  <c r="J44" i="39"/>
  <c r="F42" i="39"/>
  <c r="I53" i="39"/>
  <c r="I44" i="39"/>
  <c r="I42" i="39"/>
  <c r="F54" i="39"/>
  <c r="J52" i="39"/>
  <c r="F45" i="39"/>
  <c r="J43" i="39"/>
  <c r="F41" i="39"/>
  <c r="I51" i="39"/>
  <c r="I52" i="39"/>
  <c r="I43" i="39"/>
  <c r="J55" i="39"/>
  <c r="F53" i="39"/>
  <c r="J51" i="39"/>
  <c r="F44" i="39"/>
  <c r="J42" i="39"/>
  <c r="I55" i="39"/>
  <c r="J25" i="39"/>
  <c r="A35" i="39"/>
  <c r="I27" i="39"/>
  <c r="J27" i="39" s="1"/>
  <c r="I26" i="39"/>
  <c r="I23" i="39"/>
  <c r="A36" i="38"/>
  <c r="J26" i="38"/>
  <c r="I25" i="38"/>
  <c r="I27" i="38"/>
  <c r="J27" i="38" s="1"/>
  <c r="I23" i="38"/>
  <c r="I22" i="38"/>
  <c r="J54" i="38"/>
  <c r="F52" i="38"/>
  <c r="J45" i="38"/>
  <c r="F43" i="38"/>
  <c r="J41" i="38"/>
  <c r="I54" i="38"/>
  <c r="I45" i="38"/>
  <c r="I41" i="38"/>
  <c r="F53" i="38"/>
  <c r="F55" i="38"/>
  <c r="J53" i="38"/>
  <c r="F51" i="38"/>
  <c r="J44" i="38"/>
  <c r="F42" i="38"/>
  <c r="I53" i="38"/>
  <c r="I44" i="38"/>
  <c r="I42" i="38"/>
  <c r="F54" i="38"/>
  <c r="J52" i="38"/>
  <c r="F45" i="38"/>
  <c r="J43" i="38"/>
  <c r="F41" i="38"/>
  <c r="J55" i="38"/>
  <c r="F44" i="38"/>
  <c r="I55" i="38"/>
  <c r="I52" i="38"/>
  <c r="I43" i="38"/>
  <c r="J51" i="38"/>
  <c r="J42" i="38"/>
  <c r="I51" i="38"/>
  <c r="I24" i="38"/>
  <c r="I23" i="36"/>
  <c r="J23" i="36" s="1"/>
  <c r="J24" i="36"/>
  <c r="A34" i="36"/>
  <c r="I26" i="36"/>
  <c r="A33" i="36"/>
  <c r="J54" i="36"/>
  <c r="F52" i="36"/>
  <c r="J45" i="36"/>
  <c r="F43" i="36"/>
  <c r="J41" i="36"/>
  <c r="F51" i="36"/>
  <c r="F42" i="36"/>
  <c r="I51" i="36"/>
  <c r="I54" i="36"/>
  <c r="I45" i="36"/>
  <c r="I41" i="36"/>
  <c r="F55" i="36"/>
  <c r="J53" i="36"/>
  <c r="J44" i="36"/>
  <c r="J55" i="36"/>
  <c r="I55" i="36"/>
  <c r="I53" i="36"/>
  <c r="I44" i="36"/>
  <c r="F54" i="36"/>
  <c r="J52" i="36"/>
  <c r="F45" i="36"/>
  <c r="J43" i="36"/>
  <c r="F41" i="36"/>
  <c r="I52" i="36"/>
  <c r="I43" i="36"/>
  <c r="F53" i="36"/>
  <c r="J51" i="36"/>
  <c r="F44" i="36"/>
  <c r="J42" i="36"/>
  <c r="I42" i="36"/>
  <c r="I25" i="36"/>
  <c r="I22" i="36"/>
  <c r="I27" i="35"/>
  <c r="J27" i="35" s="1"/>
  <c r="J54" i="35"/>
  <c r="F52" i="35"/>
  <c r="J45" i="35"/>
  <c r="F43" i="35"/>
  <c r="J41" i="35"/>
  <c r="I54" i="35"/>
  <c r="I45" i="35"/>
  <c r="I41" i="35"/>
  <c r="J51" i="35"/>
  <c r="F44" i="35"/>
  <c r="J42" i="35"/>
  <c r="F55" i="35"/>
  <c r="J53" i="35"/>
  <c r="F51" i="35"/>
  <c r="J44" i="35"/>
  <c r="F42" i="35"/>
  <c r="J55" i="35"/>
  <c r="I53" i="35"/>
  <c r="I44" i="35"/>
  <c r="F54" i="35"/>
  <c r="J52" i="35"/>
  <c r="F45" i="35"/>
  <c r="J43" i="35"/>
  <c r="F41" i="35"/>
  <c r="I52" i="35"/>
  <c r="I43" i="35"/>
  <c r="I55" i="35"/>
  <c r="I51" i="35"/>
  <c r="I42" i="35"/>
  <c r="F53" i="35"/>
  <c r="J24" i="35"/>
  <c r="A34" i="35"/>
  <c r="I22" i="35"/>
  <c r="I23" i="35"/>
  <c r="I25" i="35"/>
  <c r="I26" i="35"/>
  <c r="J25" i="34"/>
  <c r="A35" i="34"/>
  <c r="I24" i="34"/>
  <c r="J54" i="34"/>
  <c r="F52" i="34"/>
  <c r="J45" i="34"/>
  <c r="F43" i="34"/>
  <c r="J41" i="34"/>
  <c r="I54" i="34"/>
  <c r="I45" i="34"/>
  <c r="I41" i="34"/>
  <c r="F53" i="34"/>
  <c r="F55" i="34"/>
  <c r="J53" i="34"/>
  <c r="F51" i="34"/>
  <c r="J44" i="34"/>
  <c r="F42" i="34"/>
  <c r="J55" i="34"/>
  <c r="I53" i="34"/>
  <c r="I44" i="34"/>
  <c r="F54" i="34"/>
  <c r="J52" i="34"/>
  <c r="F45" i="34"/>
  <c r="J43" i="34"/>
  <c r="F41" i="34"/>
  <c r="F44" i="34"/>
  <c r="I52" i="34"/>
  <c r="I43" i="34"/>
  <c r="I55" i="34"/>
  <c r="I51" i="34"/>
  <c r="I42" i="34"/>
  <c r="J51" i="34"/>
  <c r="J42" i="34"/>
  <c r="I23" i="34"/>
  <c r="I22" i="34"/>
  <c r="A36" i="34"/>
  <c r="J26" i="34"/>
  <c r="I27" i="34"/>
  <c r="J27" i="34" s="1"/>
  <c r="J25" i="33"/>
  <c r="A35" i="33"/>
  <c r="I23" i="33"/>
  <c r="J54" i="33"/>
  <c r="F52" i="33"/>
  <c r="J45" i="33"/>
  <c r="F43" i="33"/>
  <c r="J41" i="33"/>
  <c r="I54" i="33"/>
  <c r="I45" i="33"/>
  <c r="I41" i="33"/>
  <c r="I51" i="33"/>
  <c r="I42" i="33"/>
  <c r="F55" i="33"/>
  <c r="J53" i="33"/>
  <c r="F51" i="33"/>
  <c r="J44" i="33"/>
  <c r="F42" i="33"/>
  <c r="I53" i="33"/>
  <c r="I44" i="33"/>
  <c r="I55" i="33"/>
  <c r="F54" i="33"/>
  <c r="J52" i="33"/>
  <c r="F45" i="33"/>
  <c r="J43" i="33"/>
  <c r="F41" i="33"/>
  <c r="I52" i="33"/>
  <c r="I43" i="33"/>
  <c r="J55" i="33"/>
  <c r="F53" i="33"/>
  <c r="J51" i="33"/>
  <c r="F44" i="33"/>
  <c r="J42" i="33"/>
  <c r="I26" i="33"/>
  <c r="I22" i="33"/>
  <c r="I27" i="33"/>
  <c r="J27" i="33" s="1"/>
  <c r="I24" i="33"/>
  <c r="I23" i="32"/>
  <c r="I27" i="32"/>
  <c r="J27" i="32" s="1"/>
  <c r="I25" i="32"/>
  <c r="J25" i="32" s="1"/>
  <c r="J54" i="32"/>
  <c r="F52" i="32"/>
  <c r="J45" i="32"/>
  <c r="F43" i="32"/>
  <c r="J41" i="32"/>
  <c r="F53" i="32"/>
  <c r="J42" i="32"/>
  <c r="I54" i="32"/>
  <c r="I45" i="32"/>
  <c r="I41" i="32"/>
  <c r="F55" i="32"/>
  <c r="J53" i="32"/>
  <c r="F51" i="32"/>
  <c r="J44" i="32"/>
  <c r="F42" i="32"/>
  <c r="I53" i="32"/>
  <c r="I44" i="32"/>
  <c r="J51" i="32"/>
  <c r="F54" i="32"/>
  <c r="J52" i="32"/>
  <c r="F45" i="32"/>
  <c r="J43" i="32"/>
  <c r="F41" i="32"/>
  <c r="J55" i="32"/>
  <c r="I52" i="32"/>
  <c r="I43" i="32"/>
  <c r="I55" i="32"/>
  <c r="I51" i="32"/>
  <c r="I42" i="32"/>
  <c r="F44" i="32"/>
  <c r="J26" i="32"/>
  <c r="A36" i="32"/>
  <c r="J23" i="32"/>
  <c r="A33" i="32"/>
  <c r="I22" i="32"/>
  <c r="I24" i="32"/>
  <c r="J26" i="31"/>
  <c r="A36" i="31"/>
  <c r="I23" i="31"/>
  <c r="A33" i="31" s="1"/>
  <c r="I22" i="31"/>
  <c r="A32" i="31" s="1"/>
  <c r="I24" i="31"/>
  <c r="J54" i="31"/>
  <c r="F52" i="31"/>
  <c r="J45" i="31"/>
  <c r="F43" i="31"/>
  <c r="J41" i="31"/>
  <c r="F53" i="31"/>
  <c r="J42" i="31"/>
  <c r="I54" i="31"/>
  <c r="I45" i="31"/>
  <c r="I41" i="31"/>
  <c r="F55" i="31"/>
  <c r="J53" i="31"/>
  <c r="F51" i="31"/>
  <c r="J44" i="31"/>
  <c r="F42" i="31"/>
  <c r="I53" i="31"/>
  <c r="I44" i="31"/>
  <c r="J55" i="31"/>
  <c r="F44" i="31"/>
  <c r="I51" i="31"/>
  <c r="F54" i="31"/>
  <c r="J52" i="31"/>
  <c r="F45" i="31"/>
  <c r="J43" i="31"/>
  <c r="F41" i="31"/>
  <c r="I55" i="31"/>
  <c r="I52" i="31"/>
  <c r="I43" i="31"/>
  <c r="J51" i="31"/>
  <c r="I42" i="31"/>
  <c r="J24" i="31"/>
  <c r="A34" i="31"/>
  <c r="J23" i="31"/>
  <c r="I22" i="30"/>
  <c r="I27" i="30"/>
  <c r="J27" i="30" s="1"/>
  <c r="J26" i="30"/>
  <c r="A36" i="30"/>
  <c r="J54" i="30"/>
  <c r="F52" i="30"/>
  <c r="J45" i="30"/>
  <c r="F43" i="30"/>
  <c r="J41" i="30"/>
  <c r="F54" i="30"/>
  <c r="J52" i="30"/>
  <c r="F45" i="30"/>
  <c r="I54" i="30"/>
  <c r="I45" i="30"/>
  <c r="I41" i="30"/>
  <c r="F41" i="30"/>
  <c r="F55" i="30"/>
  <c r="J53" i="30"/>
  <c r="F51" i="30"/>
  <c r="J44" i="30"/>
  <c r="F42" i="30"/>
  <c r="I53" i="30"/>
  <c r="I44" i="30"/>
  <c r="J43" i="30"/>
  <c r="I52" i="30"/>
  <c r="I43" i="30"/>
  <c r="I51" i="30"/>
  <c r="J55" i="30"/>
  <c r="F53" i="30"/>
  <c r="J51" i="30"/>
  <c r="F44" i="30"/>
  <c r="J42" i="30"/>
  <c r="I55" i="30"/>
  <c r="I42" i="30"/>
  <c r="I24" i="30"/>
  <c r="I25" i="30"/>
  <c r="I23" i="30"/>
  <c r="A32" i="30"/>
  <c r="J22" i="30"/>
  <c r="I26" i="16"/>
  <c r="A36" i="16" s="1"/>
  <c r="I22" i="17"/>
  <c r="A32" i="17" s="1"/>
  <c r="I23" i="17"/>
  <c r="J23" i="17" s="1"/>
  <c r="I26" i="17"/>
  <c r="A36" i="17" s="1"/>
  <c r="I23" i="21"/>
  <c r="J23" i="21" s="1"/>
  <c r="I26" i="21"/>
  <c r="I24" i="21"/>
  <c r="J25" i="21"/>
  <c r="A35" i="21"/>
  <c r="J54" i="21"/>
  <c r="F52" i="21"/>
  <c r="J45" i="21"/>
  <c r="F43" i="21"/>
  <c r="J41" i="21"/>
  <c r="F53" i="21"/>
  <c r="I54" i="21"/>
  <c r="I45" i="21"/>
  <c r="I41" i="21"/>
  <c r="F55" i="21"/>
  <c r="J53" i="21"/>
  <c r="F51" i="21"/>
  <c r="J44" i="21"/>
  <c r="F42" i="21"/>
  <c r="J51" i="21"/>
  <c r="I53" i="21"/>
  <c r="I44" i="21"/>
  <c r="F54" i="21"/>
  <c r="J52" i="21"/>
  <c r="F45" i="21"/>
  <c r="J43" i="21"/>
  <c r="F41" i="21"/>
  <c r="J55" i="21"/>
  <c r="I52" i="21"/>
  <c r="I43" i="21"/>
  <c r="J42" i="21"/>
  <c r="I55" i="21"/>
  <c r="I51" i="21"/>
  <c r="I42" i="21"/>
  <c r="F44" i="21"/>
  <c r="I27" i="21"/>
  <c r="J27" i="21" s="1"/>
  <c r="I22" i="21"/>
  <c r="I25" i="20"/>
  <c r="J25" i="20" s="1"/>
  <c r="I24" i="20"/>
  <c r="J24" i="20" s="1"/>
  <c r="I26" i="20"/>
  <c r="I22" i="20"/>
  <c r="A32" i="20" s="1"/>
  <c r="J23" i="20"/>
  <c r="A33" i="20"/>
  <c r="J54" i="20"/>
  <c r="F52" i="20"/>
  <c r="J45" i="20"/>
  <c r="F43" i="20"/>
  <c r="J41" i="20"/>
  <c r="I54" i="20"/>
  <c r="I45" i="20"/>
  <c r="I41" i="20"/>
  <c r="I51" i="20"/>
  <c r="F55" i="20"/>
  <c r="J53" i="20"/>
  <c r="F51" i="20"/>
  <c r="J44" i="20"/>
  <c r="F42" i="20"/>
  <c r="I42" i="20"/>
  <c r="I53" i="20"/>
  <c r="I44" i="20"/>
  <c r="I55" i="20"/>
  <c r="F54" i="20"/>
  <c r="J52" i="20"/>
  <c r="F45" i="20"/>
  <c r="J43" i="20"/>
  <c r="F41" i="20"/>
  <c r="I52" i="20"/>
  <c r="I43" i="20"/>
  <c r="J55" i="20"/>
  <c r="F53" i="20"/>
  <c r="J51" i="20"/>
  <c r="F44" i="20"/>
  <c r="J42" i="20"/>
  <c r="I27" i="20"/>
  <c r="J27" i="20" s="1"/>
  <c r="A35" i="20"/>
  <c r="J26" i="20"/>
  <c r="A36" i="20"/>
  <c r="J22" i="20"/>
  <c r="I27" i="19"/>
  <c r="J27" i="19" s="1"/>
  <c r="I26" i="19"/>
  <c r="I23" i="19"/>
  <c r="I25" i="19"/>
  <c r="I24" i="19"/>
  <c r="J54" i="19"/>
  <c r="F52" i="19"/>
  <c r="J45" i="19"/>
  <c r="F43" i="19"/>
  <c r="J41" i="19"/>
  <c r="J42" i="19"/>
  <c r="I54" i="19"/>
  <c r="I45" i="19"/>
  <c r="I41" i="19"/>
  <c r="F53" i="19"/>
  <c r="J51" i="19"/>
  <c r="F55" i="19"/>
  <c r="J53" i="19"/>
  <c r="F51" i="19"/>
  <c r="J44" i="19"/>
  <c r="F42" i="19"/>
  <c r="I55" i="19"/>
  <c r="I42" i="19"/>
  <c r="I53" i="19"/>
  <c r="I44" i="19"/>
  <c r="J55" i="19"/>
  <c r="F54" i="19"/>
  <c r="J52" i="19"/>
  <c r="F45" i="19"/>
  <c r="J43" i="19"/>
  <c r="F41" i="19"/>
  <c r="I51" i="19"/>
  <c r="I52" i="19"/>
  <c r="I43" i="19"/>
  <c r="F44" i="19"/>
  <c r="I22" i="19"/>
  <c r="I24" i="17"/>
  <c r="A34" i="17" s="1"/>
  <c r="I27" i="17"/>
  <c r="J27" i="17" s="1"/>
  <c r="J26" i="17"/>
  <c r="J54" i="17"/>
  <c r="F52" i="17"/>
  <c r="J45" i="17"/>
  <c r="F43" i="17"/>
  <c r="J41" i="17"/>
  <c r="I54" i="17"/>
  <c r="I45" i="17"/>
  <c r="F55" i="17"/>
  <c r="J53" i="17"/>
  <c r="F51" i="17"/>
  <c r="J44" i="17"/>
  <c r="F42" i="17"/>
  <c r="J55" i="17"/>
  <c r="F53" i="17"/>
  <c r="I53" i="17"/>
  <c r="I44" i="17"/>
  <c r="F44" i="17"/>
  <c r="F54" i="17"/>
  <c r="J52" i="17"/>
  <c r="F45" i="17"/>
  <c r="J43" i="17"/>
  <c r="F41" i="17"/>
  <c r="I52" i="17"/>
  <c r="I43" i="17"/>
  <c r="J51" i="17"/>
  <c r="J42" i="17"/>
  <c r="I55" i="17"/>
  <c r="I51" i="17"/>
  <c r="I42" i="17"/>
  <c r="I41" i="17"/>
  <c r="J25" i="17"/>
  <c r="A35" i="17"/>
  <c r="I27" i="16"/>
  <c r="J27" i="16" s="1"/>
  <c r="J26" i="16"/>
  <c r="I23" i="16"/>
  <c r="I24" i="16"/>
  <c r="A32" i="16"/>
  <c r="J22" i="16"/>
  <c r="I25" i="16"/>
  <c r="J54" i="16"/>
  <c r="F52" i="16"/>
  <c r="J45" i="16"/>
  <c r="F43" i="16"/>
  <c r="J41" i="16"/>
  <c r="I54" i="16"/>
  <c r="I45" i="16"/>
  <c r="I41" i="16"/>
  <c r="F55" i="16"/>
  <c r="J53" i="16"/>
  <c r="F51" i="16"/>
  <c r="J44" i="16"/>
  <c r="F42" i="16"/>
  <c r="I53" i="16"/>
  <c r="I44" i="16"/>
  <c r="I55" i="16"/>
  <c r="F54" i="16"/>
  <c r="J52" i="16"/>
  <c r="F45" i="16"/>
  <c r="J43" i="16"/>
  <c r="F41" i="16"/>
  <c r="I42" i="16"/>
  <c r="I52" i="16"/>
  <c r="I43" i="16"/>
  <c r="I51" i="16"/>
  <c r="J55" i="16"/>
  <c r="F53" i="16"/>
  <c r="J51" i="16"/>
  <c r="F44" i="16"/>
  <c r="J42" i="16"/>
  <c r="I27" i="14"/>
  <c r="J27" i="14" s="1"/>
  <c r="J54" i="14"/>
  <c r="F52" i="14"/>
  <c r="J45" i="14"/>
  <c r="F43" i="14"/>
  <c r="J41" i="14"/>
  <c r="F53" i="14"/>
  <c r="I54" i="14"/>
  <c r="I45" i="14"/>
  <c r="I41" i="14"/>
  <c r="F55" i="14"/>
  <c r="J53" i="14"/>
  <c r="F51" i="14"/>
  <c r="J44" i="14"/>
  <c r="F42" i="14"/>
  <c r="I53" i="14"/>
  <c r="I44" i="14"/>
  <c r="J55" i="14"/>
  <c r="F44" i="14"/>
  <c r="I51" i="14"/>
  <c r="F54" i="14"/>
  <c r="J52" i="14"/>
  <c r="F45" i="14"/>
  <c r="J43" i="14"/>
  <c r="F41" i="14"/>
  <c r="J42" i="14"/>
  <c r="I42" i="14"/>
  <c r="I52" i="14"/>
  <c r="I43" i="14"/>
  <c r="J51" i="14"/>
  <c r="I55" i="14"/>
  <c r="J23" i="14"/>
  <c r="A33" i="14"/>
  <c r="I25" i="14"/>
  <c r="I24" i="14"/>
  <c r="I22" i="14"/>
  <c r="I26" i="14"/>
  <c r="J24" i="12"/>
  <c r="A34" i="12"/>
  <c r="I22" i="12"/>
  <c r="I27" i="12"/>
  <c r="J27" i="12" s="1"/>
  <c r="J54" i="12"/>
  <c r="F52" i="12"/>
  <c r="J45" i="12"/>
  <c r="F43" i="12"/>
  <c r="J41" i="12"/>
  <c r="I54" i="12"/>
  <c r="I45" i="12"/>
  <c r="I41" i="12"/>
  <c r="F55" i="12"/>
  <c r="J53" i="12"/>
  <c r="F51" i="12"/>
  <c r="J44" i="12"/>
  <c r="F42" i="12"/>
  <c r="F54" i="12"/>
  <c r="J52" i="12"/>
  <c r="F45" i="12"/>
  <c r="J43" i="12"/>
  <c r="F41" i="12"/>
  <c r="I53" i="12"/>
  <c r="I52" i="12"/>
  <c r="I43" i="12"/>
  <c r="J55" i="12"/>
  <c r="F53" i="12"/>
  <c r="J51" i="12"/>
  <c r="F44" i="12"/>
  <c r="J42" i="12"/>
  <c r="I55" i="12"/>
  <c r="I51" i="12"/>
  <c r="I42" i="12"/>
  <c r="I44" i="12"/>
  <c r="I26" i="12"/>
  <c r="I23" i="12"/>
  <c r="I25" i="12"/>
  <c r="A32" i="11"/>
  <c r="J22" i="11"/>
  <c r="I26" i="11"/>
  <c r="I24" i="11"/>
  <c r="I23" i="11"/>
  <c r="I25" i="11"/>
  <c r="I27" i="11"/>
  <c r="J27" i="11" s="1"/>
  <c r="J26" i="9"/>
  <c r="J54" i="9"/>
  <c r="F52" i="9"/>
  <c r="J45" i="9"/>
  <c r="F43" i="9"/>
  <c r="J41" i="9"/>
  <c r="I54" i="9"/>
  <c r="I45" i="9"/>
  <c r="I41" i="9"/>
  <c r="F55" i="9"/>
  <c r="J53" i="9"/>
  <c r="F51" i="9"/>
  <c r="J44" i="9"/>
  <c r="F42" i="9"/>
  <c r="I53" i="9"/>
  <c r="I44" i="9"/>
  <c r="F54" i="9"/>
  <c r="J52" i="9"/>
  <c r="J43" i="9"/>
  <c r="F41" i="9"/>
  <c r="I52" i="9"/>
  <c r="I43" i="9"/>
  <c r="J55" i="9"/>
  <c r="F53" i="9"/>
  <c r="J51" i="9"/>
  <c r="F44" i="9"/>
  <c r="J42" i="9"/>
  <c r="I55" i="9"/>
  <c r="I51" i="9"/>
  <c r="I42" i="9"/>
  <c r="I25" i="9"/>
  <c r="I24" i="9"/>
  <c r="I22" i="9"/>
  <c r="I27" i="9"/>
  <c r="J27" i="9" s="1"/>
  <c r="I23" i="9"/>
  <c r="I26" i="7"/>
  <c r="I24" i="7"/>
  <c r="I23" i="7"/>
  <c r="J22" i="7"/>
  <c r="I25" i="7"/>
  <c r="I27" i="7"/>
  <c r="J27" i="7" s="1"/>
  <c r="I54" i="7"/>
  <c r="I45" i="7"/>
  <c r="I41" i="7"/>
  <c r="I51" i="7"/>
  <c r="F43" i="7"/>
  <c r="F55" i="7"/>
  <c r="J53" i="7"/>
  <c r="F51" i="7"/>
  <c r="J44" i="7"/>
  <c r="F42" i="7"/>
  <c r="I42" i="7"/>
  <c r="J54" i="7"/>
  <c r="J45" i="7"/>
  <c r="I53" i="7"/>
  <c r="I44" i="7"/>
  <c r="F52" i="7"/>
  <c r="F54" i="7"/>
  <c r="J52" i="7"/>
  <c r="F45" i="7"/>
  <c r="J43" i="7"/>
  <c r="I55" i="7"/>
  <c r="I52" i="7"/>
  <c r="I43" i="7"/>
  <c r="J55" i="7"/>
  <c r="F53" i="7"/>
  <c r="J51" i="7"/>
  <c r="F44" i="7"/>
  <c r="J42" i="7"/>
  <c r="J41" i="7"/>
  <c r="J22" i="6"/>
  <c r="J54" i="6"/>
  <c r="F52" i="6"/>
  <c r="J45" i="6"/>
  <c r="J41" i="6"/>
  <c r="I54" i="6"/>
  <c r="I45" i="6"/>
  <c r="I41" i="6"/>
  <c r="F55" i="6"/>
  <c r="J53" i="6"/>
  <c r="F51" i="6"/>
  <c r="J44" i="6"/>
  <c r="F42" i="6"/>
  <c r="J52" i="6"/>
  <c r="F45" i="6"/>
  <c r="I42" i="6"/>
  <c r="F43" i="6"/>
  <c r="I53" i="6"/>
  <c r="I44" i="6"/>
  <c r="F54" i="6"/>
  <c r="J43" i="6"/>
  <c r="F41" i="6"/>
  <c r="I55" i="6"/>
  <c r="I52" i="6"/>
  <c r="I43" i="6"/>
  <c r="J55" i="6"/>
  <c r="F53" i="6"/>
  <c r="J51" i="6"/>
  <c r="F44" i="6"/>
  <c r="J42" i="6"/>
  <c r="I51" i="6"/>
  <c r="I27" i="6"/>
  <c r="J27" i="6" s="1"/>
  <c r="I23" i="6"/>
  <c r="I25" i="6"/>
  <c r="I24" i="6"/>
  <c r="I26" i="6"/>
  <c r="J22" i="5"/>
  <c r="J54" i="5"/>
  <c r="F52" i="5"/>
  <c r="J45" i="5"/>
  <c r="F43" i="5"/>
  <c r="J41" i="5"/>
  <c r="F41" i="5"/>
  <c r="I54" i="5"/>
  <c r="I45" i="5"/>
  <c r="I41" i="5"/>
  <c r="F45" i="5"/>
  <c r="F55" i="5"/>
  <c r="J53" i="5"/>
  <c r="F51" i="5"/>
  <c r="J44" i="5"/>
  <c r="F42" i="5"/>
  <c r="J43" i="5"/>
  <c r="I53" i="5"/>
  <c r="I44" i="5"/>
  <c r="J52" i="5"/>
  <c r="I52" i="5"/>
  <c r="I43" i="5"/>
  <c r="J55" i="5"/>
  <c r="F53" i="5"/>
  <c r="J51" i="5"/>
  <c r="F44" i="5"/>
  <c r="J42" i="5"/>
  <c r="I55" i="5"/>
  <c r="I51" i="5"/>
  <c r="I42" i="5"/>
  <c r="F54" i="5"/>
  <c r="I26" i="5"/>
  <c r="A36" i="5" s="1"/>
  <c r="I25" i="5"/>
  <c r="A35" i="5" s="1"/>
  <c r="I23" i="5"/>
  <c r="I27" i="5"/>
  <c r="J27" i="5" s="1"/>
  <c r="I24" i="5"/>
  <c r="A34" i="5" s="1"/>
  <c r="E27" i="2"/>
  <c r="H27" i="2"/>
  <c r="G27" i="2"/>
  <c r="I22" i="2"/>
  <c r="I25" i="2"/>
  <c r="I24" i="2"/>
  <c r="I23" i="2"/>
  <c r="J23" i="2" s="1"/>
  <c r="A35" i="32" l="1"/>
  <c r="C30" i="31" a="1"/>
  <c r="J25" i="31"/>
  <c r="A33" i="17"/>
  <c r="J22" i="17"/>
  <c r="H53" i="2"/>
  <c r="B68" i="2"/>
  <c r="G53" i="2"/>
  <c r="J24" i="17"/>
  <c r="J22" i="31"/>
  <c r="B63" i="2"/>
  <c r="H43" i="2"/>
  <c r="G43" i="2"/>
  <c r="H52" i="2"/>
  <c r="B67" i="2"/>
  <c r="G52" i="2"/>
  <c r="K52" i="2" s="1"/>
  <c r="H54" i="2"/>
  <c r="B69" i="2"/>
  <c r="G54" i="2"/>
  <c r="H55" i="2"/>
  <c r="B70" i="2"/>
  <c r="G55" i="2"/>
  <c r="H51" i="2"/>
  <c r="B66" i="2"/>
  <c r="G51" i="2"/>
  <c r="B65" i="2"/>
  <c r="H45" i="2"/>
  <c r="G45" i="2"/>
  <c r="G42" i="2"/>
  <c r="B62" i="2"/>
  <c r="H42" i="2"/>
  <c r="B64" i="2"/>
  <c r="H44" i="2"/>
  <c r="G44" i="2"/>
  <c r="H41" i="2"/>
  <c r="B61" i="2"/>
  <c r="G41" i="2"/>
  <c r="J23" i="40"/>
  <c r="H45" i="40"/>
  <c r="B65" i="40"/>
  <c r="G45" i="40"/>
  <c r="H51" i="40"/>
  <c r="B66" i="40"/>
  <c r="G51" i="40"/>
  <c r="H43" i="40"/>
  <c r="B63" i="40"/>
  <c r="G43" i="40"/>
  <c r="H54" i="40"/>
  <c r="B69" i="40"/>
  <c r="G54" i="40"/>
  <c r="H55" i="40"/>
  <c r="B70" i="40"/>
  <c r="G55" i="40"/>
  <c r="B67" i="40"/>
  <c r="G52" i="40"/>
  <c r="H52" i="40"/>
  <c r="J26" i="40"/>
  <c r="A36" i="40"/>
  <c r="H53" i="40"/>
  <c r="B68" i="40"/>
  <c r="G53" i="40"/>
  <c r="J24" i="40"/>
  <c r="A34" i="40"/>
  <c r="H44" i="40"/>
  <c r="B64" i="40"/>
  <c r="G44" i="40"/>
  <c r="J25" i="40"/>
  <c r="A35" i="40"/>
  <c r="H41" i="40"/>
  <c r="B61" i="40"/>
  <c r="G41" i="40"/>
  <c r="H42" i="40"/>
  <c r="B62" i="40"/>
  <c r="G42" i="40"/>
  <c r="H41" i="39"/>
  <c r="B61" i="39"/>
  <c r="G41" i="39"/>
  <c r="H42" i="39"/>
  <c r="B62" i="39"/>
  <c r="G42" i="39"/>
  <c r="H44" i="39"/>
  <c r="B64" i="39"/>
  <c r="G44" i="39"/>
  <c r="B63" i="39"/>
  <c r="H43" i="39"/>
  <c r="G43" i="39"/>
  <c r="H45" i="39"/>
  <c r="B65" i="39"/>
  <c r="G45" i="39"/>
  <c r="J26" i="39"/>
  <c r="A36" i="39"/>
  <c r="H53" i="39"/>
  <c r="B68" i="39"/>
  <c r="G53" i="39"/>
  <c r="K53" i="39" s="1"/>
  <c r="G52" i="39"/>
  <c r="B67" i="39"/>
  <c r="H52" i="39"/>
  <c r="H54" i="39"/>
  <c r="B69" i="39"/>
  <c r="G54" i="39"/>
  <c r="H55" i="39"/>
  <c r="B70" i="39"/>
  <c r="G55" i="39"/>
  <c r="H51" i="39"/>
  <c r="B66" i="39"/>
  <c r="G51" i="39"/>
  <c r="A32" i="39"/>
  <c r="J22" i="39"/>
  <c r="J23" i="39"/>
  <c r="A33" i="39"/>
  <c r="J24" i="39"/>
  <c r="A34" i="39"/>
  <c r="A32" i="38"/>
  <c r="J22" i="38"/>
  <c r="J24" i="38"/>
  <c r="A34" i="38"/>
  <c r="J23" i="38"/>
  <c r="A33" i="38"/>
  <c r="H54" i="38"/>
  <c r="B69" i="38"/>
  <c r="G54" i="38"/>
  <c r="H41" i="38"/>
  <c r="B61" i="38"/>
  <c r="G41" i="38"/>
  <c r="H42" i="38"/>
  <c r="B62" i="38"/>
  <c r="G42" i="38"/>
  <c r="H52" i="38"/>
  <c r="G52" i="38"/>
  <c r="B67" i="38"/>
  <c r="J25" i="38"/>
  <c r="A35" i="38"/>
  <c r="H53" i="38"/>
  <c r="B68" i="38"/>
  <c r="G53" i="38"/>
  <c r="H44" i="38"/>
  <c r="B64" i="38"/>
  <c r="G44" i="38"/>
  <c r="H45" i="38"/>
  <c r="B65" i="38"/>
  <c r="G45" i="38"/>
  <c r="H51" i="38"/>
  <c r="B66" i="38"/>
  <c r="G51" i="38"/>
  <c r="H43" i="38"/>
  <c r="B63" i="38"/>
  <c r="G43" i="38"/>
  <c r="H55" i="38"/>
  <c r="B70" i="38"/>
  <c r="G55" i="38"/>
  <c r="K55" i="38" s="1"/>
  <c r="H54" i="36"/>
  <c r="B69" i="36"/>
  <c r="G54" i="36"/>
  <c r="B68" i="36"/>
  <c r="H53" i="36"/>
  <c r="G53" i="36"/>
  <c r="B67" i="36"/>
  <c r="H52" i="36"/>
  <c r="G52" i="36"/>
  <c r="A32" i="36"/>
  <c r="J22" i="36"/>
  <c r="H41" i="36"/>
  <c r="B61" i="36"/>
  <c r="G41" i="36"/>
  <c r="H51" i="36"/>
  <c r="B66" i="36"/>
  <c r="G51" i="36"/>
  <c r="J26" i="36"/>
  <c r="A36" i="36"/>
  <c r="H45" i="36"/>
  <c r="B65" i="36"/>
  <c r="G45" i="36"/>
  <c r="J25" i="36"/>
  <c r="A35" i="36"/>
  <c r="H42" i="36"/>
  <c r="B62" i="36"/>
  <c r="G42" i="36"/>
  <c r="G44" i="36"/>
  <c r="H44" i="36"/>
  <c r="B64" i="36"/>
  <c r="H55" i="36"/>
  <c r="B70" i="36"/>
  <c r="G55" i="36"/>
  <c r="H43" i="36"/>
  <c r="B63" i="36"/>
  <c r="G43" i="36"/>
  <c r="H51" i="35"/>
  <c r="B66" i="35"/>
  <c r="G51" i="35"/>
  <c r="A36" i="35"/>
  <c r="J26" i="35"/>
  <c r="H54" i="35"/>
  <c r="B69" i="35"/>
  <c r="G54" i="35"/>
  <c r="H55" i="35"/>
  <c r="B70" i="35"/>
  <c r="G55" i="35"/>
  <c r="H43" i="35"/>
  <c r="B63" i="35"/>
  <c r="G43" i="35"/>
  <c r="K43" i="35" s="1"/>
  <c r="H45" i="35"/>
  <c r="B65" i="35"/>
  <c r="G45" i="35"/>
  <c r="A35" i="35"/>
  <c r="J25" i="35"/>
  <c r="J23" i="35"/>
  <c r="A33" i="35"/>
  <c r="G44" i="35"/>
  <c r="K44" i="35" s="1"/>
  <c r="B64" i="35"/>
  <c r="H44" i="35"/>
  <c r="H52" i="35"/>
  <c r="B67" i="35"/>
  <c r="G52" i="35"/>
  <c r="A32" i="35"/>
  <c r="J22" i="35"/>
  <c r="G53" i="35"/>
  <c r="H53" i="35"/>
  <c r="B68" i="35"/>
  <c r="H41" i="35"/>
  <c r="B61" i="35"/>
  <c r="G41" i="35"/>
  <c r="H42" i="35"/>
  <c r="B62" i="35"/>
  <c r="G42" i="35"/>
  <c r="K42" i="35" s="1"/>
  <c r="H45" i="34"/>
  <c r="B65" i="34"/>
  <c r="G45" i="34"/>
  <c r="H51" i="34"/>
  <c r="B66" i="34"/>
  <c r="G51" i="34"/>
  <c r="H43" i="34"/>
  <c r="B63" i="34"/>
  <c r="G43" i="34"/>
  <c r="H54" i="34"/>
  <c r="B69" i="34"/>
  <c r="G54" i="34"/>
  <c r="H55" i="34"/>
  <c r="B70" i="34"/>
  <c r="G55" i="34"/>
  <c r="B67" i="34"/>
  <c r="G52" i="34"/>
  <c r="H52" i="34"/>
  <c r="H53" i="34"/>
  <c r="B68" i="34"/>
  <c r="G53" i="34"/>
  <c r="A32" i="34"/>
  <c r="J22" i="34"/>
  <c r="J24" i="34"/>
  <c r="A34" i="34"/>
  <c r="J23" i="34"/>
  <c r="A33" i="34"/>
  <c r="H44" i="34"/>
  <c r="B64" i="34"/>
  <c r="G44" i="34"/>
  <c r="K44" i="34" s="1"/>
  <c r="H41" i="34"/>
  <c r="B61" i="34"/>
  <c r="G41" i="34"/>
  <c r="H42" i="34"/>
  <c r="B62" i="34"/>
  <c r="G42" i="34"/>
  <c r="H44" i="33"/>
  <c r="B64" i="33"/>
  <c r="G44" i="33"/>
  <c r="B63" i="33"/>
  <c r="G43" i="33"/>
  <c r="H43" i="33"/>
  <c r="H45" i="33"/>
  <c r="B65" i="33"/>
  <c r="G45" i="33"/>
  <c r="H53" i="33"/>
  <c r="B68" i="33"/>
  <c r="G53" i="33"/>
  <c r="K53" i="33" s="1"/>
  <c r="H54" i="33"/>
  <c r="B69" i="33"/>
  <c r="G54" i="33"/>
  <c r="H55" i="33"/>
  <c r="B70" i="33"/>
  <c r="G55" i="33"/>
  <c r="H51" i="33"/>
  <c r="B66" i="33"/>
  <c r="G51" i="33"/>
  <c r="J24" i="33"/>
  <c r="A34" i="33"/>
  <c r="G52" i="33"/>
  <c r="H52" i="33"/>
  <c r="B67" i="33"/>
  <c r="A32" i="33"/>
  <c r="J22" i="33"/>
  <c r="J23" i="33"/>
  <c r="A33" i="33"/>
  <c r="J26" i="33"/>
  <c r="A36" i="33"/>
  <c r="H41" i="33"/>
  <c r="B61" i="33"/>
  <c r="G41" i="33"/>
  <c r="H42" i="33"/>
  <c r="B62" i="33"/>
  <c r="G42" i="33"/>
  <c r="H41" i="32"/>
  <c r="B61" i="32"/>
  <c r="G41" i="32"/>
  <c r="J24" i="32"/>
  <c r="A34" i="32"/>
  <c r="H44" i="32"/>
  <c r="B64" i="32"/>
  <c r="G44" i="32"/>
  <c r="H53" i="32"/>
  <c r="B68" i="32"/>
  <c r="G53" i="32"/>
  <c r="K53" i="32" s="1"/>
  <c r="H42" i="32"/>
  <c r="B62" i="32"/>
  <c r="G42" i="32"/>
  <c r="K42" i="32" s="1"/>
  <c r="A32" i="32"/>
  <c r="J22" i="32"/>
  <c r="H45" i="32"/>
  <c r="B65" i="32"/>
  <c r="G45" i="32"/>
  <c r="H51" i="32"/>
  <c r="B66" i="32"/>
  <c r="G51" i="32"/>
  <c r="K51" i="32" s="1"/>
  <c r="H54" i="32"/>
  <c r="B69" i="32"/>
  <c r="G54" i="32"/>
  <c r="H55" i="32"/>
  <c r="B70" i="32"/>
  <c r="G55" i="32"/>
  <c r="H43" i="32"/>
  <c r="B63" i="32"/>
  <c r="G43" i="32"/>
  <c r="B67" i="32"/>
  <c r="G52" i="32"/>
  <c r="H52" i="32"/>
  <c r="H42" i="31"/>
  <c r="B62" i="31"/>
  <c r="G42" i="31"/>
  <c r="G30" i="31"/>
  <c r="F30" i="31"/>
  <c r="C31" i="31"/>
  <c r="E30" i="31"/>
  <c r="G31" i="31"/>
  <c r="D30" i="31"/>
  <c r="D31" i="31"/>
  <c r="F31" i="31"/>
  <c r="C30" i="31"/>
  <c r="E31" i="31"/>
  <c r="H41" i="31"/>
  <c r="B61" i="31"/>
  <c r="G41" i="31"/>
  <c r="H53" i="31"/>
  <c r="B68" i="31"/>
  <c r="G53" i="31"/>
  <c r="B63" i="31"/>
  <c r="G43" i="31"/>
  <c r="H43" i="31"/>
  <c r="H51" i="31"/>
  <c r="B66" i="31"/>
  <c r="G51" i="31"/>
  <c r="H44" i="31"/>
  <c r="B64" i="31"/>
  <c r="G44" i="31"/>
  <c r="H55" i="31"/>
  <c r="B70" i="31"/>
  <c r="G55" i="31"/>
  <c r="H45" i="31"/>
  <c r="B65" i="31"/>
  <c r="G45" i="31"/>
  <c r="H54" i="31"/>
  <c r="B69" i="31"/>
  <c r="G54" i="31"/>
  <c r="H52" i="31"/>
  <c r="G52" i="31"/>
  <c r="B67" i="31"/>
  <c r="H41" i="30"/>
  <c r="B61" i="30"/>
  <c r="G41" i="30"/>
  <c r="B63" i="30"/>
  <c r="G43" i="30"/>
  <c r="H43" i="30"/>
  <c r="H55" i="30"/>
  <c r="B70" i="30"/>
  <c r="G55" i="30"/>
  <c r="H44" i="30"/>
  <c r="B64" i="30"/>
  <c r="G44" i="30"/>
  <c r="J23" i="30"/>
  <c r="A33" i="30"/>
  <c r="H53" i="30"/>
  <c r="B68" i="30"/>
  <c r="G53" i="30"/>
  <c r="H42" i="30"/>
  <c r="B62" i="30"/>
  <c r="G42" i="30"/>
  <c r="J25" i="30"/>
  <c r="A35" i="30"/>
  <c r="H45" i="30"/>
  <c r="B65" i="30"/>
  <c r="G45" i="30"/>
  <c r="J24" i="30"/>
  <c r="A34" i="30"/>
  <c r="C30" i="30" s="1" a="1"/>
  <c r="H51" i="30"/>
  <c r="B66" i="30"/>
  <c r="G51" i="30"/>
  <c r="H52" i="30"/>
  <c r="B67" i="30"/>
  <c r="G52" i="30"/>
  <c r="H54" i="30"/>
  <c r="B69" i="30"/>
  <c r="G54" i="30"/>
  <c r="A34" i="20"/>
  <c r="C30" i="20" s="1" a="1"/>
  <c r="G31" i="20" s="1"/>
  <c r="A33" i="21"/>
  <c r="B67" i="21"/>
  <c r="G52" i="21"/>
  <c r="H52" i="21"/>
  <c r="H55" i="21"/>
  <c r="B70" i="21"/>
  <c r="G55" i="21"/>
  <c r="A32" i="21"/>
  <c r="J22" i="21"/>
  <c r="H54" i="21"/>
  <c r="B69" i="21"/>
  <c r="G54" i="21"/>
  <c r="H44" i="21"/>
  <c r="B64" i="21"/>
  <c r="G44" i="21"/>
  <c r="H41" i="21"/>
  <c r="B61" i="21"/>
  <c r="G41" i="21"/>
  <c r="H42" i="21"/>
  <c r="B62" i="21"/>
  <c r="G42" i="21"/>
  <c r="H53" i="21"/>
  <c r="B68" i="21"/>
  <c r="G53" i="21"/>
  <c r="J24" i="21"/>
  <c r="A34" i="21"/>
  <c r="H45" i="21"/>
  <c r="B65" i="21"/>
  <c r="G45" i="21"/>
  <c r="H51" i="21"/>
  <c r="B66" i="21"/>
  <c r="G51" i="21"/>
  <c r="H43" i="21"/>
  <c r="B63" i="21"/>
  <c r="G43" i="21"/>
  <c r="A36" i="21"/>
  <c r="J26" i="21"/>
  <c r="G43" i="20"/>
  <c r="B63" i="20"/>
  <c r="H43" i="20"/>
  <c r="H53" i="20"/>
  <c r="B68" i="20"/>
  <c r="G53" i="20"/>
  <c r="H54" i="20"/>
  <c r="B69" i="20"/>
  <c r="G54" i="20"/>
  <c r="H51" i="20"/>
  <c r="B66" i="20"/>
  <c r="G51" i="20"/>
  <c r="H55" i="20"/>
  <c r="B70" i="20"/>
  <c r="G55" i="20"/>
  <c r="G52" i="20"/>
  <c r="H52" i="20"/>
  <c r="B67" i="20"/>
  <c r="H41" i="20"/>
  <c r="B61" i="20"/>
  <c r="G41" i="20"/>
  <c r="H42" i="20"/>
  <c r="B62" i="20"/>
  <c r="G42" i="20"/>
  <c r="H44" i="20"/>
  <c r="B64" i="20"/>
  <c r="G44" i="20"/>
  <c r="H45" i="20"/>
  <c r="B65" i="20"/>
  <c r="G45" i="20"/>
  <c r="H55" i="19"/>
  <c r="B70" i="19"/>
  <c r="G55" i="19"/>
  <c r="H41" i="19"/>
  <c r="B61" i="19"/>
  <c r="G41" i="19"/>
  <c r="H53" i="19"/>
  <c r="B68" i="19"/>
  <c r="G53" i="19"/>
  <c r="G52" i="19"/>
  <c r="B67" i="19"/>
  <c r="H52" i="19"/>
  <c r="H45" i="19"/>
  <c r="B65" i="19"/>
  <c r="G45" i="19"/>
  <c r="H42" i="19"/>
  <c r="B62" i="19"/>
  <c r="G42" i="19"/>
  <c r="J24" i="19"/>
  <c r="A34" i="19"/>
  <c r="A32" i="19"/>
  <c r="J22" i="19"/>
  <c r="J25" i="19"/>
  <c r="A35" i="19"/>
  <c r="H44" i="19"/>
  <c r="B64" i="19"/>
  <c r="G44" i="19"/>
  <c r="H54" i="19"/>
  <c r="B69" i="19"/>
  <c r="G54" i="19"/>
  <c r="H51" i="19"/>
  <c r="B66" i="19"/>
  <c r="G51" i="19"/>
  <c r="J23" i="19"/>
  <c r="A33" i="19"/>
  <c r="B63" i="19"/>
  <c r="G43" i="19"/>
  <c r="H43" i="19"/>
  <c r="J26" i="19"/>
  <c r="A36" i="19"/>
  <c r="C30" i="17" a="1"/>
  <c r="G30" i="17" s="1"/>
  <c r="H55" i="17"/>
  <c r="B70" i="17"/>
  <c r="G55" i="17"/>
  <c r="H41" i="17"/>
  <c r="B61" i="17"/>
  <c r="G41" i="17"/>
  <c r="H53" i="17"/>
  <c r="B68" i="17"/>
  <c r="G53" i="17"/>
  <c r="H44" i="17"/>
  <c r="B64" i="17"/>
  <c r="G44" i="17"/>
  <c r="H45" i="17"/>
  <c r="B65" i="17"/>
  <c r="G45" i="17"/>
  <c r="H42" i="17"/>
  <c r="B62" i="17"/>
  <c r="G42" i="17"/>
  <c r="H43" i="17"/>
  <c r="B63" i="17"/>
  <c r="G43" i="17"/>
  <c r="H54" i="17"/>
  <c r="B69" i="17"/>
  <c r="G54" i="17"/>
  <c r="H51" i="17"/>
  <c r="B66" i="17"/>
  <c r="G51" i="17"/>
  <c r="H52" i="17"/>
  <c r="B67" i="17"/>
  <c r="G52" i="17"/>
  <c r="G43" i="16"/>
  <c r="B63" i="16"/>
  <c r="H43" i="16"/>
  <c r="J25" i="16"/>
  <c r="A35" i="16"/>
  <c r="H44" i="16"/>
  <c r="B64" i="16"/>
  <c r="G44" i="16"/>
  <c r="H41" i="16"/>
  <c r="B61" i="16"/>
  <c r="G41" i="16"/>
  <c r="H42" i="16"/>
  <c r="B62" i="16"/>
  <c r="G42" i="16"/>
  <c r="J24" i="16"/>
  <c r="A34" i="16"/>
  <c r="H53" i="16"/>
  <c r="B68" i="16"/>
  <c r="G53" i="16"/>
  <c r="H45" i="16"/>
  <c r="B65" i="16"/>
  <c r="G45" i="16"/>
  <c r="H51" i="16"/>
  <c r="B66" i="16"/>
  <c r="G51" i="16"/>
  <c r="G52" i="16"/>
  <c r="H52" i="16"/>
  <c r="B67" i="16"/>
  <c r="J23" i="16"/>
  <c r="A33" i="16"/>
  <c r="H54" i="16"/>
  <c r="B69" i="16"/>
  <c r="G54" i="16"/>
  <c r="H55" i="16"/>
  <c r="B70" i="16"/>
  <c r="G55" i="16"/>
  <c r="G43" i="14"/>
  <c r="B63" i="14"/>
  <c r="H43" i="14"/>
  <c r="H45" i="14"/>
  <c r="B65" i="14"/>
  <c r="G45" i="14"/>
  <c r="H42" i="14"/>
  <c r="B62" i="14"/>
  <c r="G42" i="14"/>
  <c r="H53" i="14"/>
  <c r="B68" i="14"/>
  <c r="G53" i="14"/>
  <c r="H51" i="14"/>
  <c r="B66" i="14"/>
  <c r="G51" i="14"/>
  <c r="H54" i="14"/>
  <c r="B69" i="14"/>
  <c r="G54" i="14"/>
  <c r="J24" i="14"/>
  <c r="A34" i="14"/>
  <c r="H44" i="14"/>
  <c r="B64" i="14"/>
  <c r="G44" i="14"/>
  <c r="H55" i="14"/>
  <c r="B70" i="14"/>
  <c r="G55" i="14"/>
  <c r="H52" i="14"/>
  <c r="B67" i="14"/>
  <c r="G52" i="14"/>
  <c r="J25" i="14"/>
  <c r="A35" i="14"/>
  <c r="J26" i="14"/>
  <c r="A36" i="14"/>
  <c r="A32" i="14"/>
  <c r="J22" i="14"/>
  <c r="H41" i="14"/>
  <c r="B61" i="14"/>
  <c r="G41" i="14"/>
  <c r="B61" i="12"/>
  <c r="G41" i="12"/>
  <c r="H41" i="12"/>
  <c r="H43" i="12"/>
  <c r="B63" i="12"/>
  <c r="G43" i="12"/>
  <c r="H51" i="12"/>
  <c r="B66" i="12"/>
  <c r="G51" i="12"/>
  <c r="J25" i="12"/>
  <c r="A35" i="12"/>
  <c r="H44" i="12"/>
  <c r="B64" i="12"/>
  <c r="G44" i="12"/>
  <c r="H55" i="12"/>
  <c r="B70" i="12"/>
  <c r="G55" i="12"/>
  <c r="A33" i="12"/>
  <c r="J23" i="12"/>
  <c r="G45" i="12"/>
  <c r="H45" i="12"/>
  <c r="B65" i="12"/>
  <c r="J26" i="12"/>
  <c r="A36" i="12"/>
  <c r="H53" i="12"/>
  <c r="B68" i="12"/>
  <c r="G53" i="12"/>
  <c r="A32" i="12"/>
  <c r="J22" i="12"/>
  <c r="H54" i="12"/>
  <c r="G54" i="12"/>
  <c r="B69" i="12"/>
  <c r="H52" i="12"/>
  <c r="B67" i="12"/>
  <c r="G52" i="12"/>
  <c r="H42" i="12"/>
  <c r="B62" i="12"/>
  <c r="G42" i="12"/>
  <c r="A33" i="11"/>
  <c r="J23" i="11"/>
  <c r="J24" i="11"/>
  <c r="A34" i="11"/>
  <c r="J25" i="11"/>
  <c r="A35" i="11"/>
  <c r="A36" i="11"/>
  <c r="J26" i="11"/>
  <c r="J25" i="9"/>
  <c r="H42" i="9"/>
  <c r="B62" i="9"/>
  <c r="G42" i="9"/>
  <c r="H41" i="9"/>
  <c r="B61" i="9"/>
  <c r="G41" i="9"/>
  <c r="B63" i="9"/>
  <c r="G43" i="9"/>
  <c r="H43" i="9"/>
  <c r="H44" i="9"/>
  <c r="B64" i="9"/>
  <c r="G44" i="9"/>
  <c r="H45" i="9"/>
  <c r="B65" i="9"/>
  <c r="G45" i="9"/>
  <c r="G52" i="9"/>
  <c r="H52" i="9"/>
  <c r="B67" i="9"/>
  <c r="J22" i="9"/>
  <c r="H55" i="9"/>
  <c r="B70" i="9"/>
  <c r="G55" i="9"/>
  <c r="J23" i="9"/>
  <c r="H51" i="9"/>
  <c r="B66" i="9"/>
  <c r="G51" i="9"/>
  <c r="J24" i="9"/>
  <c r="H53" i="9"/>
  <c r="B68" i="9"/>
  <c r="G53" i="9"/>
  <c r="H54" i="9"/>
  <c r="B69" i="9"/>
  <c r="G54" i="9"/>
  <c r="H54" i="7"/>
  <c r="B69" i="7"/>
  <c r="G54" i="7"/>
  <c r="B66" i="7"/>
  <c r="G51" i="7"/>
  <c r="H51" i="7"/>
  <c r="J25" i="7"/>
  <c r="B70" i="7"/>
  <c r="G55" i="7"/>
  <c r="H55" i="7"/>
  <c r="B63" i="7"/>
  <c r="G43" i="7"/>
  <c r="H43" i="7"/>
  <c r="G52" i="7"/>
  <c r="H52" i="7"/>
  <c r="B67" i="7"/>
  <c r="J23" i="7"/>
  <c r="H41" i="7"/>
  <c r="B61" i="7"/>
  <c r="G41" i="7"/>
  <c r="H44" i="7"/>
  <c r="B64" i="7"/>
  <c r="G44" i="7"/>
  <c r="H45" i="7"/>
  <c r="B65" i="7"/>
  <c r="G45" i="7"/>
  <c r="J24" i="7"/>
  <c r="H53" i="7"/>
  <c r="B68" i="7"/>
  <c r="G53" i="7"/>
  <c r="B62" i="7"/>
  <c r="G42" i="7"/>
  <c r="H42" i="7"/>
  <c r="J26" i="7"/>
  <c r="J26" i="6"/>
  <c r="H45" i="6"/>
  <c r="B65" i="6"/>
  <c r="G45" i="6"/>
  <c r="H41" i="6"/>
  <c r="B61" i="6"/>
  <c r="G41" i="6"/>
  <c r="H44" i="6"/>
  <c r="B64" i="6"/>
  <c r="G44" i="6"/>
  <c r="H42" i="6"/>
  <c r="B62" i="6"/>
  <c r="G42" i="6"/>
  <c r="H51" i="6"/>
  <c r="B66" i="6"/>
  <c r="G51" i="6"/>
  <c r="J25" i="6"/>
  <c r="H54" i="6"/>
  <c r="B69" i="6"/>
  <c r="G54" i="6"/>
  <c r="H53" i="6"/>
  <c r="B68" i="6"/>
  <c r="G53" i="6"/>
  <c r="B67" i="6"/>
  <c r="G52" i="6"/>
  <c r="H52" i="6"/>
  <c r="J23" i="6"/>
  <c r="B63" i="6"/>
  <c r="G43" i="6"/>
  <c r="H43" i="6"/>
  <c r="H55" i="6"/>
  <c r="B70" i="6"/>
  <c r="G55" i="6"/>
  <c r="J24" i="6"/>
  <c r="H54" i="5"/>
  <c r="B69" i="5"/>
  <c r="G54" i="5"/>
  <c r="H41" i="5"/>
  <c r="B61" i="5"/>
  <c r="G41" i="5"/>
  <c r="H42" i="5"/>
  <c r="B62" i="5"/>
  <c r="G42" i="5"/>
  <c r="H51" i="5"/>
  <c r="B66" i="5"/>
  <c r="G51" i="5"/>
  <c r="H43" i="5"/>
  <c r="B63" i="5"/>
  <c r="G43" i="5"/>
  <c r="J26" i="5"/>
  <c r="H55" i="5"/>
  <c r="B70" i="5"/>
  <c r="G55" i="5"/>
  <c r="H52" i="5"/>
  <c r="B67" i="5"/>
  <c r="G52" i="5"/>
  <c r="H53" i="5"/>
  <c r="B68" i="5"/>
  <c r="G53" i="5"/>
  <c r="H45" i="5"/>
  <c r="B65" i="5"/>
  <c r="G45" i="5"/>
  <c r="J23" i="5"/>
  <c r="H44" i="5"/>
  <c r="B64" i="5"/>
  <c r="G44" i="5"/>
  <c r="J24" i="5"/>
  <c r="J25" i="5"/>
  <c r="A33" i="2"/>
  <c r="A32" i="2"/>
  <c r="J22" i="2"/>
  <c r="I27" i="2"/>
  <c r="J27" i="2" s="1"/>
  <c r="K53" i="40" l="1"/>
  <c r="K42" i="36"/>
  <c r="K52" i="31"/>
  <c r="L52" i="31" s="1"/>
  <c r="K54" i="30"/>
  <c r="C69" i="30" s="1"/>
  <c r="K42" i="30"/>
  <c r="K44" i="30"/>
  <c r="K41" i="20"/>
  <c r="K51" i="21"/>
  <c r="C30" i="21" a="1"/>
  <c r="G30" i="21" s="1"/>
  <c r="K55" i="31"/>
  <c r="L55" i="31" s="1"/>
  <c r="K45" i="34"/>
  <c r="C30" i="39" a="1"/>
  <c r="C30" i="39" s="1"/>
  <c r="K54" i="2"/>
  <c r="K45" i="6"/>
  <c r="C65" i="6" s="1"/>
  <c r="K43" i="36"/>
  <c r="L43" i="36" s="1"/>
  <c r="K44" i="2"/>
  <c r="K51" i="2"/>
  <c r="L52" i="2"/>
  <c r="C67" i="2"/>
  <c r="K53" i="2"/>
  <c r="K55" i="20"/>
  <c r="C70" i="20" s="1"/>
  <c r="K55" i="34"/>
  <c r="L55" i="34" s="1"/>
  <c r="K53" i="38"/>
  <c r="L53" i="38" s="1"/>
  <c r="K42" i="38"/>
  <c r="C62" i="38" s="1"/>
  <c r="K55" i="39"/>
  <c r="L55" i="39" s="1"/>
  <c r="C30" i="34" a="1"/>
  <c r="D30" i="34" s="1"/>
  <c r="K43" i="39"/>
  <c r="L43" i="39" s="1"/>
  <c r="K55" i="2"/>
  <c r="K41" i="2"/>
  <c r="K42" i="2"/>
  <c r="K43" i="2"/>
  <c r="K54" i="19"/>
  <c r="K45" i="2"/>
  <c r="K55" i="40"/>
  <c r="L55" i="40" s="1"/>
  <c r="C30" i="40" a="1"/>
  <c r="G31" i="40" s="1"/>
  <c r="K42" i="40"/>
  <c r="C62" i="40" s="1"/>
  <c r="K44" i="40"/>
  <c r="L44" i="40" s="1"/>
  <c r="K54" i="40"/>
  <c r="C69" i="40" s="1"/>
  <c r="K52" i="40"/>
  <c r="L52" i="40" s="1"/>
  <c r="K43" i="40"/>
  <c r="L43" i="40" s="1"/>
  <c r="K51" i="40"/>
  <c r="L53" i="40"/>
  <c r="C68" i="40"/>
  <c r="K45" i="40"/>
  <c r="K41" i="40"/>
  <c r="K52" i="39"/>
  <c r="L52" i="39" s="1"/>
  <c r="K51" i="39"/>
  <c r="K44" i="39"/>
  <c r="C64" i="39" s="1"/>
  <c r="K42" i="39"/>
  <c r="C62" i="39" s="1"/>
  <c r="K45" i="39"/>
  <c r="C66" i="39"/>
  <c r="L51" i="39"/>
  <c r="L53" i="39"/>
  <c r="C68" i="39"/>
  <c r="K41" i="39"/>
  <c r="K54" i="39"/>
  <c r="G30" i="39"/>
  <c r="F31" i="39"/>
  <c r="E31" i="39"/>
  <c r="L44" i="39"/>
  <c r="K52" i="38"/>
  <c r="L52" i="38" s="1"/>
  <c r="K43" i="38"/>
  <c r="L43" i="38" s="1"/>
  <c r="K44" i="38"/>
  <c r="C64" i="38" s="1"/>
  <c r="C30" i="38" a="1"/>
  <c r="E30" i="38" s="1"/>
  <c r="K51" i="38"/>
  <c r="C70" i="38"/>
  <c r="L55" i="38"/>
  <c r="K45" i="38"/>
  <c r="K41" i="38"/>
  <c r="K54" i="38"/>
  <c r="K54" i="36"/>
  <c r="C69" i="36" s="1"/>
  <c r="K45" i="36"/>
  <c r="K41" i="36"/>
  <c r="K53" i="36"/>
  <c r="K44" i="36"/>
  <c r="C62" i="36"/>
  <c r="L42" i="36"/>
  <c r="C30" i="36" a="1"/>
  <c r="K55" i="36"/>
  <c r="K51" i="36"/>
  <c r="K52" i="36"/>
  <c r="C30" i="35" a="1"/>
  <c r="C30" i="35" s="1"/>
  <c r="K41" i="35"/>
  <c r="L41" i="35" s="1"/>
  <c r="K52" i="35"/>
  <c r="L52" i="35" s="1"/>
  <c r="K55" i="35"/>
  <c r="L55" i="35" s="1"/>
  <c r="K51" i="35"/>
  <c r="C66" i="35" s="1"/>
  <c r="L44" i="35"/>
  <c r="C64" i="35"/>
  <c r="K54" i="35"/>
  <c r="L43" i="35"/>
  <c r="C63" i="35"/>
  <c r="C70" i="35"/>
  <c r="C62" i="35"/>
  <c r="L42" i="35"/>
  <c r="K53" i="35"/>
  <c r="K45" i="35"/>
  <c r="K51" i="34"/>
  <c r="L51" i="34" s="1"/>
  <c r="K42" i="34"/>
  <c r="C62" i="34" s="1"/>
  <c r="K54" i="34"/>
  <c r="C69" i="34" s="1"/>
  <c r="K52" i="34"/>
  <c r="C67" i="34" s="1"/>
  <c r="L44" i="34"/>
  <c r="C64" i="34"/>
  <c r="K53" i="34"/>
  <c r="C70" i="34"/>
  <c r="C65" i="34"/>
  <c r="L45" i="34"/>
  <c r="K41" i="34"/>
  <c r="K43" i="34"/>
  <c r="K51" i="33"/>
  <c r="C66" i="33" s="1"/>
  <c r="K43" i="33"/>
  <c r="L43" i="33" s="1"/>
  <c r="K45" i="33"/>
  <c r="C65" i="33" s="1"/>
  <c r="K52" i="33"/>
  <c r="L52" i="33" s="1"/>
  <c r="K41" i="33"/>
  <c r="L41" i="33" s="1"/>
  <c r="K54" i="33"/>
  <c r="K42" i="33"/>
  <c r="L53" i="33"/>
  <c r="C68" i="33"/>
  <c r="C30" i="33" a="1"/>
  <c r="K44" i="33"/>
  <c r="K55" i="33"/>
  <c r="K44" i="32"/>
  <c r="C64" i="32" s="1"/>
  <c r="K45" i="32"/>
  <c r="L45" i="32" s="1"/>
  <c r="K41" i="32"/>
  <c r="K43" i="32"/>
  <c r="L43" i="32" s="1"/>
  <c r="C30" i="32" a="1"/>
  <c r="D30" i="32" s="1"/>
  <c r="G31" i="32"/>
  <c r="C66" i="32"/>
  <c r="L51" i="32"/>
  <c r="C62" i="32"/>
  <c r="L42" i="32"/>
  <c r="K55" i="32"/>
  <c r="C65" i="32"/>
  <c r="L53" i="32"/>
  <c r="C68" i="32"/>
  <c r="C61" i="32"/>
  <c r="L41" i="32"/>
  <c r="K52" i="32"/>
  <c r="K54" i="32"/>
  <c r="K53" i="31"/>
  <c r="L53" i="31" s="1"/>
  <c r="K42" i="31"/>
  <c r="K41" i="31"/>
  <c r="C61" i="31" s="1"/>
  <c r="K44" i="31"/>
  <c r="C64" i="31" s="1"/>
  <c r="K54" i="31"/>
  <c r="L54" i="31" s="1"/>
  <c r="G36" i="31"/>
  <c r="G35" i="31"/>
  <c r="G34" i="31"/>
  <c r="G32" i="31"/>
  <c r="G33" i="31"/>
  <c r="C32" i="31"/>
  <c r="C33" i="31"/>
  <c r="C34" i="31"/>
  <c r="C35" i="31"/>
  <c r="C36" i="31"/>
  <c r="K43" i="31"/>
  <c r="E34" i="31"/>
  <c r="E35" i="31"/>
  <c r="E36" i="31"/>
  <c r="E33" i="31"/>
  <c r="E32" i="31"/>
  <c r="C70" i="31"/>
  <c r="F35" i="31"/>
  <c r="F33" i="31"/>
  <c r="F36" i="31"/>
  <c r="F32" i="31"/>
  <c r="F34" i="31"/>
  <c r="C62" i="31"/>
  <c r="L42" i="31"/>
  <c r="K45" i="31"/>
  <c r="D33" i="31"/>
  <c r="D34" i="31"/>
  <c r="D35" i="31"/>
  <c r="D36" i="31"/>
  <c r="D32" i="31"/>
  <c r="K51" i="31"/>
  <c r="K43" i="30"/>
  <c r="L43" i="30" s="1"/>
  <c r="K41" i="30"/>
  <c r="C61" i="30" s="1"/>
  <c r="G30" i="30"/>
  <c r="F31" i="30"/>
  <c r="F30" i="30"/>
  <c r="E30" i="30"/>
  <c r="C30" i="30"/>
  <c r="G31" i="30"/>
  <c r="D30" i="30"/>
  <c r="E31" i="30"/>
  <c r="C31" i="30"/>
  <c r="D31" i="30"/>
  <c r="K51" i="30"/>
  <c r="C62" i="30"/>
  <c r="L42" i="30"/>
  <c r="L44" i="30"/>
  <c r="C64" i="30"/>
  <c r="L41" i="30"/>
  <c r="L54" i="30"/>
  <c r="K52" i="30"/>
  <c r="K45" i="30"/>
  <c r="K53" i="30"/>
  <c r="K55" i="30"/>
  <c r="C30" i="5" a="1"/>
  <c r="D30" i="5" s="1"/>
  <c r="K43" i="7"/>
  <c r="K45" i="7"/>
  <c r="C65" i="7" s="1"/>
  <c r="K44" i="12"/>
  <c r="L44" i="12" s="1"/>
  <c r="K43" i="12"/>
  <c r="L43" i="12" s="1"/>
  <c r="K53" i="14"/>
  <c r="C68" i="14" s="1"/>
  <c r="K52" i="14"/>
  <c r="C67" i="14" s="1"/>
  <c r="K55" i="17"/>
  <c r="L55" i="17" s="1"/>
  <c r="D31" i="17"/>
  <c r="C30" i="17"/>
  <c r="F31" i="17"/>
  <c r="F33" i="17" s="1"/>
  <c r="K45" i="19"/>
  <c r="E30" i="20"/>
  <c r="D30" i="20"/>
  <c r="D34" i="20" s="1"/>
  <c r="C31" i="20"/>
  <c r="C34" i="20" s="1"/>
  <c r="F30" i="20"/>
  <c r="E31" i="20"/>
  <c r="D31" i="20"/>
  <c r="G30" i="20"/>
  <c r="G32" i="20" s="1"/>
  <c r="C30" i="20"/>
  <c r="K43" i="20"/>
  <c r="L43" i="20" s="1"/>
  <c r="F31" i="20"/>
  <c r="F36" i="20" s="1"/>
  <c r="K53" i="20"/>
  <c r="L53" i="20" s="1"/>
  <c r="K45" i="21"/>
  <c r="C65" i="21" s="1"/>
  <c r="K42" i="21"/>
  <c r="L42" i="21" s="1"/>
  <c r="K53" i="21"/>
  <c r="C68" i="21" s="1"/>
  <c r="K51" i="20"/>
  <c r="L51" i="20" s="1"/>
  <c r="K54" i="9"/>
  <c r="K55" i="6"/>
  <c r="L55" i="6" s="1"/>
  <c r="K44" i="21"/>
  <c r="L44" i="21" s="1"/>
  <c r="K54" i="21"/>
  <c r="C69" i="21" s="1"/>
  <c r="F30" i="21"/>
  <c r="C30" i="21"/>
  <c r="K55" i="21"/>
  <c r="C66" i="21"/>
  <c r="L51" i="21"/>
  <c r="K43" i="21"/>
  <c r="K52" i="21"/>
  <c r="K41" i="21"/>
  <c r="K45" i="20"/>
  <c r="L45" i="20" s="1"/>
  <c r="K54" i="20"/>
  <c r="L54" i="20" s="1"/>
  <c r="K52" i="20"/>
  <c r="C61" i="20"/>
  <c r="L41" i="20"/>
  <c r="K44" i="20"/>
  <c r="C33" i="20"/>
  <c r="D35" i="20"/>
  <c r="K42" i="20"/>
  <c r="E32" i="20"/>
  <c r="K41" i="19"/>
  <c r="C61" i="19" s="1"/>
  <c r="K44" i="19"/>
  <c r="L44" i="19" s="1"/>
  <c r="K55" i="19"/>
  <c r="L55" i="19" s="1"/>
  <c r="C69" i="19"/>
  <c r="L54" i="19"/>
  <c r="C30" i="19" a="1"/>
  <c r="K42" i="19"/>
  <c r="K52" i="19"/>
  <c r="L45" i="19"/>
  <c r="C65" i="19"/>
  <c r="K43" i="19"/>
  <c r="K51" i="19"/>
  <c r="K53" i="19"/>
  <c r="K51" i="17"/>
  <c r="L51" i="17" s="1"/>
  <c r="K42" i="17"/>
  <c r="C62" i="17" s="1"/>
  <c r="K43" i="17"/>
  <c r="C63" i="17" s="1"/>
  <c r="E31" i="17"/>
  <c r="E36" i="17" s="1"/>
  <c r="D30" i="17"/>
  <c r="D35" i="17" s="1"/>
  <c r="G31" i="17"/>
  <c r="G36" i="17" s="1"/>
  <c r="F30" i="17"/>
  <c r="E30" i="17"/>
  <c r="K45" i="17"/>
  <c r="C65" i="17" s="1"/>
  <c r="C31" i="17"/>
  <c r="C32" i="17" s="1"/>
  <c r="C33" i="17"/>
  <c r="K52" i="17"/>
  <c r="K41" i="17"/>
  <c r="E34" i="17"/>
  <c r="E33" i="17"/>
  <c r="K44" i="17"/>
  <c r="K53" i="17"/>
  <c r="K54" i="17"/>
  <c r="C30" i="16" a="1"/>
  <c r="D30" i="16" s="1"/>
  <c r="K45" i="16"/>
  <c r="C65" i="16" s="1"/>
  <c r="K42" i="16"/>
  <c r="C62" i="16" s="1"/>
  <c r="K53" i="16"/>
  <c r="C68" i="16" s="1"/>
  <c r="K41" i="16"/>
  <c r="C61" i="16" s="1"/>
  <c r="K55" i="16"/>
  <c r="K52" i="16"/>
  <c r="K54" i="16"/>
  <c r="K51" i="16"/>
  <c r="K44" i="16"/>
  <c r="K43" i="16"/>
  <c r="K44" i="14"/>
  <c r="K51" i="14"/>
  <c r="K41" i="14"/>
  <c r="K45" i="14"/>
  <c r="C30" i="14" a="1"/>
  <c r="K55" i="14"/>
  <c r="K54" i="14"/>
  <c r="K42" i="14"/>
  <c r="K43" i="14"/>
  <c r="K54" i="12"/>
  <c r="C69" i="12" s="1"/>
  <c r="K45" i="12"/>
  <c r="L45" i="12" s="1"/>
  <c r="K52" i="12"/>
  <c r="C67" i="12" s="1"/>
  <c r="K53" i="12"/>
  <c r="C68" i="12" s="1"/>
  <c r="K42" i="12"/>
  <c r="C64" i="12"/>
  <c r="C30" i="12" a="1"/>
  <c r="K41" i="12"/>
  <c r="K55" i="12"/>
  <c r="K51" i="12"/>
  <c r="C30" i="11" a="1"/>
  <c r="K51" i="9"/>
  <c r="C66" i="9" s="1"/>
  <c r="K44" i="9"/>
  <c r="C64" i="9" s="1"/>
  <c r="K42" i="9"/>
  <c r="C62" i="9" s="1"/>
  <c r="K52" i="9"/>
  <c r="C67" i="9" s="1"/>
  <c r="K43" i="9"/>
  <c r="C63" i="9" s="1"/>
  <c r="K55" i="9"/>
  <c r="C70" i="9" s="1"/>
  <c r="K45" i="9"/>
  <c r="L45" i="9" s="1"/>
  <c r="K41" i="9"/>
  <c r="C69" i="9"/>
  <c r="L54" i="9"/>
  <c r="K53" i="9"/>
  <c r="K51" i="7"/>
  <c r="C66" i="7" s="1"/>
  <c r="K41" i="7"/>
  <c r="L41" i="7" s="1"/>
  <c r="K52" i="7"/>
  <c r="K42" i="7"/>
  <c r="K54" i="7"/>
  <c r="L43" i="7"/>
  <c r="C63" i="7"/>
  <c r="K53" i="7"/>
  <c r="K44" i="7"/>
  <c r="K55" i="7"/>
  <c r="K41" i="6"/>
  <c r="L41" i="6" s="1"/>
  <c r="K43" i="6"/>
  <c r="L43" i="6" s="1"/>
  <c r="K44" i="6"/>
  <c r="L44" i="6" s="1"/>
  <c r="K54" i="6"/>
  <c r="K42" i="6"/>
  <c r="K52" i="6"/>
  <c r="C70" i="6"/>
  <c r="K53" i="6"/>
  <c r="K51" i="6"/>
  <c r="K52" i="5"/>
  <c r="C67" i="5" s="1"/>
  <c r="K55" i="5"/>
  <c r="L55" i="5" s="1"/>
  <c r="K51" i="5"/>
  <c r="C66" i="5" s="1"/>
  <c r="K43" i="5"/>
  <c r="L43" i="5" s="1"/>
  <c r="K54" i="5"/>
  <c r="C69" i="5" s="1"/>
  <c r="K41" i="5"/>
  <c r="K45" i="5"/>
  <c r="K44" i="5"/>
  <c r="K53" i="5"/>
  <c r="K42" i="5"/>
  <c r="G31" i="5" l="1"/>
  <c r="F31" i="5"/>
  <c r="C31" i="5"/>
  <c r="L54" i="40"/>
  <c r="C70" i="40"/>
  <c r="D30" i="39"/>
  <c r="G31" i="39"/>
  <c r="E30" i="39"/>
  <c r="D31" i="39"/>
  <c r="F30" i="39"/>
  <c r="F33" i="39" s="1"/>
  <c r="C31" i="39"/>
  <c r="C34" i="39" s="1"/>
  <c r="C70" i="39"/>
  <c r="C67" i="39"/>
  <c r="C63" i="39"/>
  <c r="G31" i="38"/>
  <c r="L42" i="38"/>
  <c r="L44" i="38"/>
  <c r="L54" i="36"/>
  <c r="C61" i="35"/>
  <c r="G31" i="34"/>
  <c r="E30" i="34"/>
  <c r="C31" i="34"/>
  <c r="F30" i="34"/>
  <c r="D31" i="34"/>
  <c r="G30" i="34"/>
  <c r="G36" i="34" s="1"/>
  <c r="C66" i="34"/>
  <c r="E31" i="34"/>
  <c r="C30" i="34"/>
  <c r="L42" i="34"/>
  <c r="F31" i="34"/>
  <c r="C61" i="33"/>
  <c r="C67" i="33"/>
  <c r="L44" i="32"/>
  <c r="L44" i="31"/>
  <c r="C67" i="31"/>
  <c r="L41" i="31"/>
  <c r="D30" i="21"/>
  <c r="D34" i="21" s="1"/>
  <c r="F31" i="21"/>
  <c r="G31" i="21"/>
  <c r="E30" i="21"/>
  <c r="C31" i="21"/>
  <c r="D31" i="21"/>
  <c r="E31" i="21"/>
  <c r="L54" i="21"/>
  <c r="C62" i="21"/>
  <c r="L53" i="21"/>
  <c r="L55" i="20"/>
  <c r="C32" i="20"/>
  <c r="C63" i="20"/>
  <c r="C36" i="20"/>
  <c r="C68" i="20"/>
  <c r="C35" i="20"/>
  <c r="E33" i="20"/>
  <c r="C70" i="17"/>
  <c r="D32" i="17"/>
  <c r="D34" i="17"/>
  <c r="C66" i="17"/>
  <c r="L43" i="17"/>
  <c r="L53" i="14"/>
  <c r="L52" i="14"/>
  <c r="L45" i="6"/>
  <c r="C61" i="7"/>
  <c r="G32" i="17"/>
  <c r="G35" i="17"/>
  <c r="F35" i="17"/>
  <c r="G36" i="20"/>
  <c r="L42" i="2"/>
  <c r="C62" i="2"/>
  <c r="G33" i="17"/>
  <c r="D36" i="17"/>
  <c r="C66" i="20"/>
  <c r="L45" i="21"/>
  <c r="C63" i="32"/>
  <c r="E30" i="32"/>
  <c r="L45" i="33"/>
  <c r="L51" i="33"/>
  <c r="L54" i="34"/>
  <c r="C67" i="38"/>
  <c r="F30" i="38"/>
  <c r="L41" i="2"/>
  <c r="C61" i="2"/>
  <c r="G34" i="17"/>
  <c r="F36" i="17"/>
  <c r="G30" i="38"/>
  <c r="G34" i="38" s="1"/>
  <c r="L55" i="2"/>
  <c r="C70" i="2"/>
  <c r="L54" i="2"/>
  <c r="C69" i="2"/>
  <c r="C68" i="38"/>
  <c r="L53" i="2"/>
  <c r="C68" i="2"/>
  <c r="G34" i="20"/>
  <c r="F34" i="20"/>
  <c r="C68" i="31"/>
  <c r="C67" i="35"/>
  <c r="G35" i="20"/>
  <c r="C63" i="36"/>
  <c r="L42" i="39"/>
  <c r="E30" i="40"/>
  <c r="E34" i="40" s="1"/>
  <c r="L45" i="2"/>
  <c r="C65" i="2"/>
  <c r="L55" i="9"/>
  <c r="L53" i="12"/>
  <c r="F34" i="17"/>
  <c r="G33" i="20"/>
  <c r="E31" i="38"/>
  <c r="E34" i="38" s="1"/>
  <c r="L51" i="2"/>
  <c r="C66" i="2"/>
  <c r="C65" i="12"/>
  <c r="D31" i="32"/>
  <c r="D33" i="32" s="1"/>
  <c r="C30" i="38"/>
  <c r="L43" i="2"/>
  <c r="C63" i="2"/>
  <c r="L44" i="2"/>
  <c r="C64" i="2"/>
  <c r="C64" i="40"/>
  <c r="C31" i="40"/>
  <c r="F30" i="40"/>
  <c r="G30" i="40"/>
  <c r="G32" i="40" s="1"/>
  <c r="E31" i="40"/>
  <c r="C30" i="40"/>
  <c r="C34" i="40" s="1"/>
  <c r="D31" i="40"/>
  <c r="C67" i="40"/>
  <c r="F31" i="40"/>
  <c r="D30" i="40"/>
  <c r="C63" i="40"/>
  <c r="L42" i="40"/>
  <c r="C66" i="40"/>
  <c r="L51" i="40"/>
  <c r="G36" i="40"/>
  <c r="G33" i="40"/>
  <c r="G34" i="40"/>
  <c r="C65" i="40"/>
  <c r="L45" i="40"/>
  <c r="C36" i="40"/>
  <c r="C61" i="40"/>
  <c r="L41" i="40"/>
  <c r="D33" i="40"/>
  <c r="D34" i="40"/>
  <c r="E34" i="39"/>
  <c r="E35" i="39"/>
  <c r="E33" i="39"/>
  <c r="E36" i="39"/>
  <c r="E32" i="39"/>
  <c r="C32" i="39"/>
  <c r="C33" i="39"/>
  <c r="C36" i="39"/>
  <c r="C61" i="39"/>
  <c r="L41" i="39"/>
  <c r="F35" i="39"/>
  <c r="F36" i="39"/>
  <c r="F32" i="39"/>
  <c r="F34" i="39"/>
  <c r="G36" i="39"/>
  <c r="G35" i="39"/>
  <c r="G32" i="39"/>
  <c r="G33" i="39"/>
  <c r="G34" i="39"/>
  <c r="C69" i="39"/>
  <c r="L54" i="39"/>
  <c r="D33" i="39"/>
  <c r="D34" i="39"/>
  <c r="D35" i="39"/>
  <c r="D36" i="39"/>
  <c r="D32" i="39"/>
  <c r="C65" i="39"/>
  <c r="L45" i="39"/>
  <c r="C31" i="38"/>
  <c r="C34" i="38" s="1"/>
  <c r="F31" i="38"/>
  <c r="F33" i="38" s="1"/>
  <c r="C63" i="38"/>
  <c r="D30" i="38"/>
  <c r="D31" i="38"/>
  <c r="D33" i="38" s="1"/>
  <c r="G36" i="38"/>
  <c r="D35" i="38"/>
  <c r="D32" i="38"/>
  <c r="C32" i="38"/>
  <c r="E35" i="38"/>
  <c r="E36" i="38"/>
  <c r="E32" i="38"/>
  <c r="E33" i="38"/>
  <c r="C66" i="38"/>
  <c r="L51" i="38"/>
  <c r="C69" i="38"/>
  <c r="L54" i="38"/>
  <c r="C65" i="38"/>
  <c r="L45" i="38"/>
  <c r="F34" i="38"/>
  <c r="F36" i="38"/>
  <c r="C61" i="38"/>
  <c r="L41" i="38"/>
  <c r="C66" i="36"/>
  <c r="L51" i="36"/>
  <c r="L52" i="36"/>
  <c r="C67" i="36"/>
  <c r="G30" i="36"/>
  <c r="C31" i="36"/>
  <c r="F30" i="36"/>
  <c r="E30" i="36"/>
  <c r="E31" i="36"/>
  <c r="G31" i="36"/>
  <c r="D30" i="36"/>
  <c r="F31" i="36"/>
  <c r="C30" i="36"/>
  <c r="D31" i="36"/>
  <c r="L53" i="36"/>
  <c r="C68" i="36"/>
  <c r="L44" i="36"/>
  <c r="C64" i="36"/>
  <c r="C61" i="36"/>
  <c r="L41" i="36"/>
  <c r="C70" i="36"/>
  <c r="L55" i="36"/>
  <c r="C65" i="36"/>
  <c r="L45" i="36"/>
  <c r="L51" i="35"/>
  <c r="D30" i="35"/>
  <c r="E30" i="35"/>
  <c r="E33" i="35" s="1"/>
  <c r="F31" i="35"/>
  <c r="G31" i="35"/>
  <c r="F30" i="35"/>
  <c r="F36" i="35" s="1"/>
  <c r="D31" i="35"/>
  <c r="D35" i="35" s="1"/>
  <c r="G30" i="35"/>
  <c r="G34" i="35" s="1"/>
  <c r="C31" i="35"/>
  <c r="C32" i="35" s="1"/>
  <c r="E31" i="35"/>
  <c r="D33" i="35"/>
  <c r="F33" i="35"/>
  <c r="L45" i="35"/>
  <c r="C65" i="35"/>
  <c r="L54" i="35"/>
  <c r="C69" i="35"/>
  <c r="L53" i="35"/>
  <c r="C68" i="35"/>
  <c r="L52" i="34"/>
  <c r="C61" i="34"/>
  <c r="L41" i="34"/>
  <c r="F35" i="34"/>
  <c r="F36" i="34"/>
  <c r="F33" i="34"/>
  <c r="F32" i="34"/>
  <c r="F34" i="34"/>
  <c r="G32" i="34"/>
  <c r="G33" i="34"/>
  <c r="G35" i="34"/>
  <c r="G34" i="34"/>
  <c r="C32" i="34"/>
  <c r="C33" i="34"/>
  <c r="C34" i="34"/>
  <c r="C35" i="34"/>
  <c r="L43" i="34"/>
  <c r="C63" i="34"/>
  <c r="D33" i="34"/>
  <c r="D34" i="34"/>
  <c r="D35" i="34"/>
  <c r="D36" i="34"/>
  <c r="D32" i="34"/>
  <c r="E34" i="34"/>
  <c r="E35" i="34"/>
  <c r="E36" i="34"/>
  <c r="E32" i="34"/>
  <c r="E33" i="34"/>
  <c r="L53" i="34"/>
  <c r="C68" i="34"/>
  <c r="C63" i="33"/>
  <c r="C69" i="33"/>
  <c r="L54" i="33"/>
  <c r="L44" i="33"/>
  <c r="C64" i="33"/>
  <c r="G30" i="33"/>
  <c r="F30" i="33"/>
  <c r="E30" i="33"/>
  <c r="G31" i="33"/>
  <c r="D30" i="33"/>
  <c r="F31" i="33"/>
  <c r="C30" i="33"/>
  <c r="C31" i="33"/>
  <c r="E31" i="33"/>
  <c r="D31" i="33"/>
  <c r="C70" i="33"/>
  <c r="L55" i="33"/>
  <c r="C62" i="33"/>
  <c r="L42" i="33"/>
  <c r="C31" i="32"/>
  <c r="F30" i="32"/>
  <c r="E31" i="32"/>
  <c r="E36" i="32" s="1"/>
  <c r="G30" i="32"/>
  <c r="G33" i="32" s="1"/>
  <c r="C30" i="32"/>
  <c r="C35" i="32" s="1"/>
  <c r="F31" i="32"/>
  <c r="F34" i="32" s="1"/>
  <c r="L52" i="32"/>
  <c r="C67" i="32"/>
  <c r="D35" i="32"/>
  <c r="D36" i="32"/>
  <c r="D32" i="32"/>
  <c r="G34" i="32"/>
  <c r="G32" i="32"/>
  <c r="C33" i="32"/>
  <c r="C69" i="32"/>
  <c r="L54" i="32"/>
  <c r="E34" i="32"/>
  <c r="E35" i="32"/>
  <c r="E33" i="32"/>
  <c r="C70" i="32"/>
  <c r="L55" i="32"/>
  <c r="C69" i="31"/>
  <c r="C66" i="31"/>
  <c r="L51" i="31"/>
  <c r="L45" i="31"/>
  <c r="C65" i="31"/>
  <c r="L43" i="31"/>
  <c r="C63" i="31"/>
  <c r="C63" i="30"/>
  <c r="E34" i="30"/>
  <c r="E35" i="30"/>
  <c r="E36" i="30"/>
  <c r="E32" i="30"/>
  <c r="E33" i="30"/>
  <c r="C65" i="30"/>
  <c r="L45" i="30"/>
  <c r="L52" i="30"/>
  <c r="C67" i="30"/>
  <c r="G36" i="30"/>
  <c r="G32" i="30"/>
  <c r="G33" i="30"/>
  <c r="G35" i="30"/>
  <c r="G34" i="30"/>
  <c r="C66" i="30"/>
  <c r="L51" i="30"/>
  <c r="L53" i="30"/>
  <c r="C68" i="30"/>
  <c r="D33" i="30"/>
  <c r="D34" i="30"/>
  <c r="D35" i="30"/>
  <c r="D36" i="30"/>
  <c r="D32" i="30"/>
  <c r="F35" i="30"/>
  <c r="F36" i="30"/>
  <c r="F32" i="30"/>
  <c r="F34" i="30"/>
  <c r="F33" i="30"/>
  <c r="C70" i="30"/>
  <c r="L55" i="30"/>
  <c r="C32" i="30"/>
  <c r="C36" i="30"/>
  <c r="C33" i="30"/>
  <c r="C34" i="30"/>
  <c r="C35" i="30"/>
  <c r="E30" i="5"/>
  <c r="C30" i="5"/>
  <c r="C32" i="5" s="1"/>
  <c r="F30" i="5"/>
  <c r="G30" i="5"/>
  <c r="E31" i="5"/>
  <c r="E34" i="5" s="1"/>
  <c r="D31" i="5"/>
  <c r="D35" i="5" s="1"/>
  <c r="L45" i="7"/>
  <c r="L52" i="9"/>
  <c r="C63" i="12"/>
  <c r="E35" i="17"/>
  <c r="F32" i="17"/>
  <c r="E32" i="17"/>
  <c r="D33" i="17"/>
  <c r="C35" i="17"/>
  <c r="E36" i="20"/>
  <c r="D33" i="20"/>
  <c r="F35" i="20"/>
  <c r="E35" i="20"/>
  <c r="C65" i="20"/>
  <c r="E34" i="20"/>
  <c r="D32" i="20"/>
  <c r="F33" i="20"/>
  <c r="C69" i="20"/>
  <c r="D36" i="20"/>
  <c r="F32" i="20"/>
  <c r="C70" i="19"/>
  <c r="C64" i="19"/>
  <c r="L42" i="17"/>
  <c r="L45" i="16"/>
  <c r="L42" i="16"/>
  <c r="L52" i="12"/>
  <c r="L44" i="9"/>
  <c r="L51" i="7"/>
  <c r="C64" i="6"/>
  <c r="C64" i="21"/>
  <c r="L52" i="21"/>
  <c r="C67" i="21"/>
  <c r="E34" i="21"/>
  <c r="E35" i="21"/>
  <c r="E32" i="21"/>
  <c r="E36" i="21"/>
  <c r="E33" i="21"/>
  <c r="L43" i="21"/>
  <c r="C63" i="21"/>
  <c r="F35" i="21"/>
  <c r="F36" i="21"/>
  <c r="F33" i="21"/>
  <c r="F32" i="21"/>
  <c r="F34" i="21"/>
  <c r="C70" i="21"/>
  <c r="L55" i="21"/>
  <c r="G36" i="21"/>
  <c r="G32" i="21"/>
  <c r="G33" i="21"/>
  <c r="G34" i="21"/>
  <c r="G35" i="21"/>
  <c r="C61" i="21"/>
  <c r="L41" i="21"/>
  <c r="C32" i="21"/>
  <c r="C33" i="21"/>
  <c r="C34" i="21"/>
  <c r="C35" i="21"/>
  <c r="C36" i="21"/>
  <c r="D33" i="21"/>
  <c r="L44" i="20"/>
  <c r="C64" i="20"/>
  <c r="C62" i="20"/>
  <c r="L42" i="20"/>
  <c r="L52" i="20"/>
  <c r="C67" i="20"/>
  <c r="L41" i="19"/>
  <c r="L53" i="19"/>
  <c r="C68" i="19"/>
  <c r="G30" i="19"/>
  <c r="F30" i="19"/>
  <c r="E30" i="19"/>
  <c r="G31" i="19"/>
  <c r="D30" i="19"/>
  <c r="C31" i="19"/>
  <c r="F31" i="19"/>
  <c r="C30" i="19"/>
  <c r="D31" i="19"/>
  <c r="E31" i="19"/>
  <c r="L43" i="19"/>
  <c r="C63" i="19"/>
  <c r="C62" i="19"/>
  <c r="L42" i="19"/>
  <c r="C66" i="19"/>
  <c r="L51" i="19"/>
  <c r="L52" i="19"/>
  <c r="C67" i="19"/>
  <c r="C36" i="17"/>
  <c r="C34" i="17"/>
  <c r="L45" i="17"/>
  <c r="C61" i="17"/>
  <c r="L41" i="17"/>
  <c r="C69" i="17"/>
  <c r="L54" i="17"/>
  <c r="L53" i="17"/>
  <c r="C68" i="17"/>
  <c r="L52" i="17"/>
  <c r="C67" i="17"/>
  <c r="L44" i="17"/>
  <c r="C64" i="17"/>
  <c r="L53" i="16"/>
  <c r="L41" i="16"/>
  <c r="E30" i="16"/>
  <c r="D31" i="16"/>
  <c r="D35" i="16" s="1"/>
  <c r="F30" i="16"/>
  <c r="G31" i="16"/>
  <c r="G32" i="16" s="1"/>
  <c r="C31" i="16"/>
  <c r="C32" i="16" s="1"/>
  <c r="G30" i="16"/>
  <c r="E31" i="16"/>
  <c r="C30" i="16"/>
  <c r="F31" i="16"/>
  <c r="C69" i="16"/>
  <c r="L54" i="16"/>
  <c r="C70" i="16"/>
  <c r="L55" i="16"/>
  <c r="L44" i="16"/>
  <c r="C64" i="16"/>
  <c r="L52" i="16"/>
  <c r="C67" i="16"/>
  <c r="L43" i="16"/>
  <c r="C63" i="16"/>
  <c r="C66" i="16"/>
  <c r="L51" i="16"/>
  <c r="D33" i="16"/>
  <c r="D36" i="16"/>
  <c r="D32" i="16"/>
  <c r="G30" i="14"/>
  <c r="F30" i="14"/>
  <c r="D31" i="14"/>
  <c r="E30" i="14"/>
  <c r="G31" i="14"/>
  <c r="D30" i="14"/>
  <c r="C31" i="14"/>
  <c r="F31" i="14"/>
  <c r="C30" i="14"/>
  <c r="E31" i="14"/>
  <c r="C70" i="14"/>
  <c r="L55" i="14"/>
  <c r="C62" i="14"/>
  <c r="L42" i="14"/>
  <c r="L41" i="14"/>
  <c r="C61" i="14"/>
  <c r="L43" i="14"/>
  <c r="C63" i="14"/>
  <c r="C65" i="14"/>
  <c r="L45" i="14"/>
  <c r="C66" i="14"/>
  <c r="L51" i="14"/>
  <c r="C69" i="14"/>
  <c r="L54" i="14"/>
  <c r="L44" i="14"/>
  <c r="C64" i="14"/>
  <c r="L54" i="12"/>
  <c r="C61" i="12"/>
  <c r="L41" i="12"/>
  <c r="C70" i="12"/>
  <c r="L55" i="12"/>
  <c r="C62" i="12"/>
  <c r="L42" i="12"/>
  <c r="G30" i="12"/>
  <c r="F30" i="12"/>
  <c r="D30" i="12"/>
  <c r="E30" i="12"/>
  <c r="F31" i="12"/>
  <c r="C30" i="12"/>
  <c r="E31" i="12"/>
  <c r="G31" i="12"/>
  <c r="D31" i="12"/>
  <c r="C31" i="12"/>
  <c r="C66" i="12"/>
  <c r="L51" i="12"/>
  <c r="C30" i="11"/>
  <c r="E31" i="11"/>
  <c r="E30" i="11"/>
  <c r="C31" i="11"/>
  <c r="F30" i="11"/>
  <c r="D31" i="11"/>
  <c r="G30" i="11"/>
  <c r="G31" i="11"/>
  <c r="D30" i="11"/>
  <c r="F31" i="11"/>
  <c r="L42" i="9"/>
  <c r="L51" i="9"/>
  <c r="C65" i="9"/>
  <c r="L43" i="9"/>
  <c r="L53" i="9"/>
  <c r="C68" i="9"/>
  <c r="C61" i="9"/>
  <c r="L41" i="9"/>
  <c r="C63" i="6"/>
  <c r="C70" i="7"/>
  <c r="L55" i="7"/>
  <c r="L42" i="7"/>
  <c r="C62" i="7"/>
  <c r="L53" i="7"/>
  <c r="C68" i="7"/>
  <c r="C69" i="7"/>
  <c r="L54" i="7"/>
  <c r="L52" i="7"/>
  <c r="C67" i="7"/>
  <c r="C64" i="7"/>
  <c r="L44" i="7"/>
  <c r="C61" i="6"/>
  <c r="L53" i="6"/>
  <c r="C68" i="6"/>
  <c r="C69" i="6"/>
  <c r="L54" i="6"/>
  <c r="C62" i="6"/>
  <c r="L42" i="6"/>
  <c r="C66" i="6"/>
  <c r="L51" i="6"/>
  <c r="L52" i="6"/>
  <c r="C67" i="6"/>
  <c r="L52" i="5"/>
  <c r="L51" i="5"/>
  <c r="C70" i="5"/>
  <c r="C63" i="5"/>
  <c r="L54" i="5"/>
  <c r="L44" i="5"/>
  <c r="C64" i="5"/>
  <c r="L53" i="5"/>
  <c r="C68" i="5"/>
  <c r="C61" i="5"/>
  <c r="L41" i="5"/>
  <c r="C62" i="5"/>
  <c r="L42" i="5"/>
  <c r="C65" i="5"/>
  <c r="L45" i="5"/>
  <c r="A35" i="2"/>
  <c r="A36" i="2"/>
  <c r="J26" i="2"/>
  <c r="J25" i="2"/>
  <c r="J24" i="2"/>
  <c r="A34" i="2"/>
  <c r="C30" i="2" s="1" a="1"/>
  <c r="D31" i="2" s="1"/>
  <c r="D34" i="5" l="1"/>
  <c r="C34" i="5"/>
  <c r="D33" i="5"/>
  <c r="D32" i="5"/>
  <c r="D36" i="5"/>
  <c r="F35" i="5"/>
  <c r="C33" i="5"/>
  <c r="C36" i="5"/>
  <c r="C35" i="5"/>
  <c r="F33" i="5"/>
  <c r="G36" i="5"/>
  <c r="F32" i="5"/>
  <c r="F36" i="5"/>
  <c r="F34" i="5"/>
  <c r="E35" i="5"/>
  <c r="E33" i="40"/>
  <c r="E35" i="40"/>
  <c r="E32" i="40"/>
  <c r="D32" i="40"/>
  <c r="C33" i="40"/>
  <c r="F35" i="40"/>
  <c r="C35" i="39"/>
  <c r="C36" i="38"/>
  <c r="C33" i="38"/>
  <c r="E36" i="35"/>
  <c r="E35" i="35"/>
  <c r="G36" i="35"/>
  <c r="D34" i="35"/>
  <c r="F35" i="35"/>
  <c r="C36" i="34"/>
  <c r="F32" i="32"/>
  <c r="C36" i="32"/>
  <c r="D34" i="32"/>
  <c r="F36" i="32"/>
  <c r="C34" i="32"/>
  <c r="C32" i="32"/>
  <c r="D32" i="21"/>
  <c r="D36" i="21"/>
  <c r="D35" i="21"/>
  <c r="G33" i="16"/>
  <c r="D34" i="16"/>
  <c r="F36" i="16"/>
  <c r="D32" i="35"/>
  <c r="G32" i="35"/>
  <c r="F32" i="38"/>
  <c r="C35" i="38"/>
  <c r="G32" i="38"/>
  <c r="D35" i="40"/>
  <c r="C32" i="40"/>
  <c r="G36" i="16"/>
  <c r="E32" i="35"/>
  <c r="G35" i="38"/>
  <c r="E32" i="32"/>
  <c r="E34" i="35"/>
  <c r="F35" i="38"/>
  <c r="E36" i="40"/>
  <c r="G33" i="5"/>
  <c r="E34" i="16"/>
  <c r="F34" i="35"/>
  <c r="D36" i="38"/>
  <c r="G35" i="40"/>
  <c r="D36" i="40"/>
  <c r="G34" i="16"/>
  <c r="F35" i="32"/>
  <c r="G33" i="38"/>
  <c r="C35" i="40"/>
  <c r="G35" i="16"/>
  <c r="F33" i="32"/>
  <c r="F32" i="35"/>
  <c r="F34" i="40"/>
  <c r="F32" i="40"/>
  <c r="F33" i="40"/>
  <c r="F36" i="40"/>
  <c r="D34" i="38"/>
  <c r="D33" i="36"/>
  <c r="D34" i="36"/>
  <c r="D35" i="36"/>
  <c r="D32" i="36"/>
  <c r="D36" i="36"/>
  <c r="C32" i="36"/>
  <c r="C34" i="36"/>
  <c r="C33" i="36"/>
  <c r="C35" i="36"/>
  <c r="C36" i="36"/>
  <c r="G36" i="36"/>
  <c r="G34" i="36"/>
  <c r="G32" i="36"/>
  <c r="G33" i="36"/>
  <c r="G35" i="36"/>
  <c r="F35" i="36"/>
  <c r="F32" i="36"/>
  <c r="F34" i="36"/>
  <c r="F36" i="36"/>
  <c r="F33" i="36"/>
  <c r="E34" i="36"/>
  <c r="E36" i="36"/>
  <c r="E35" i="36"/>
  <c r="E32" i="36"/>
  <c r="E33" i="36"/>
  <c r="C36" i="35"/>
  <c r="C35" i="35"/>
  <c r="G35" i="35"/>
  <c r="C33" i="35"/>
  <c r="C34" i="35"/>
  <c r="G33" i="35"/>
  <c r="D36" i="35"/>
  <c r="G36" i="33"/>
  <c r="G32" i="33"/>
  <c r="G35" i="33"/>
  <c r="G33" i="33"/>
  <c r="G34" i="33"/>
  <c r="D33" i="33"/>
  <c r="D34" i="33"/>
  <c r="D35" i="33"/>
  <c r="D32" i="33"/>
  <c r="D36" i="33"/>
  <c r="E34" i="33"/>
  <c r="E35" i="33"/>
  <c r="E33" i="33"/>
  <c r="E36" i="33"/>
  <c r="E32" i="33"/>
  <c r="C32" i="33"/>
  <c r="C33" i="33"/>
  <c r="C34" i="33"/>
  <c r="C35" i="33"/>
  <c r="C36" i="33"/>
  <c r="F35" i="33"/>
  <c r="F36" i="33"/>
  <c r="F32" i="33"/>
  <c r="F34" i="33"/>
  <c r="F33" i="33"/>
  <c r="G36" i="32"/>
  <c r="G35" i="32"/>
  <c r="E33" i="5"/>
  <c r="E32" i="5"/>
  <c r="G32" i="5"/>
  <c r="E36" i="5"/>
  <c r="G35" i="5"/>
  <c r="G34" i="5"/>
  <c r="F34" i="16"/>
  <c r="E35" i="16"/>
  <c r="C33" i="16"/>
  <c r="C34" i="16"/>
  <c r="C32" i="19"/>
  <c r="C33" i="19"/>
  <c r="C34" i="19"/>
  <c r="C35" i="19"/>
  <c r="C36" i="19"/>
  <c r="G36" i="19"/>
  <c r="G34" i="19"/>
  <c r="G35" i="19"/>
  <c r="G32" i="19"/>
  <c r="G33" i="19"/>
  <c r="D33" i="19"/>
  <c r="D34" i="19"/>
  <c r="D32" i="19"/>
  <c r="D35" i="19"/>
  <c r="D36" i="19"/>
  <c r="E34" i="19"/>
  <c r="E35" i="19"/>
  <c r="E36" i="19"/>
  <c r="E32" i="19"/>
  <c r="E33" i="19"/>
  <c r="F35" i="19"/>
  <c r="F33" i="19"/>
  <c r="F34" i="19"/>
  <c r="F36" i="19"/>
  <c r="F32" i="19"/>
  <c r="F35" i="16"/>
  <c r="C36" i="16"/>
  <c r="E32" i="16"/>
  <c r="C35" i="16"/>
  <c r="E33" i="16"/>
  <c r="F33" i="16"/>
  <c r="E36" i="16"/>
  <c r="F32" i="16"/>
  <c r="C32" i="14"/>
  <c r="C33" i="14"/>
  <c r="C34" i="14"/>
  <c r="C35" i="14"/>
  <c r="C36" i="14"/>
  <c r="F35" i="14"/>
  <c r="F33" i="14"/>
  <c r="F36" i="14"/>
  <c r="F32" i="14"/>
  <c r="F34" i="14"/>
  <c r="D33" i="14"/>
  <c r="D32" i="14"/>
  <c r="D34" i="14"/>
  <c r="D35" i="14"/>
  <c r="D36" i="14"/>
  <c r="G36" i="14"/>
  <c r="G35" i="14"/>
  <c r="G32" i="14"/>
  <c r="G33" i="14"/>
  <c r="G34" i="14"/>
  <c r="E34" i="14"/>
  <c r="E35" i="14"/>
  <c r="E36" i="14"/>
  <c r="E33" i="14"/>
  <c r="E32" i="14"/>
  <c r="D33" i="12"/>
  <c r="D34" i="12"/>
  <c r="D35" i="12"/>
  <c r="D36" i="12"/>
  <c r="D32" i="12"/>
  <c r="G36" i="12"/>
  <c r="G32" i="12"/>
  <c r="G33" i="12"/>
  <c r="G34" i="12"/>
  <c r="G35" i="12"/>
  <c r="E34" i="12"/>
  <c r="E35" i="12"/>
  <c r="E36" i="12"/>
  <c r="E32" i="12"/>
  <c r="E33" i="12"/>
  <c r="F35" i="12"/>
  <c r="F36" i="12"/>
  <c r="F32" i="12"/>
  <c r="F33" i="12"/>
  <c r="F34" i="12"/>
  <c r="C32" i="12"/>
  <c r="C33" i="12"/>
  <c r="C34" i="12"/>
  <c r="C36" i="12"/>
  <c r="C35" i="12"/>
  <c r="G32" i="11"/>
  <c r="G33" i="11"/>
  <c r="G36" i="11"/>
  <c r="G34" i="11"/>
  <c r="G35" i="11"/>
  <c r="D35" i="11"/>
  <c r="D36" i="11"/>
  <c r="D34" i="11"/>
  <c r="D33" i="11"/>
  <c r="D32" i="11"/>
  <c r="C34" i="11"/>
  <c r="C35" i="11"/>
  <c r="C32" i="11"/>
  <c r="C36" i="11"/>
  <c r="C33" i="11"/>
  <c r="F36" i="11"/>
  <c r="F33" i="11"/>
  <c r="F32" i="11"/>
  <c r="F34" i="11"/>
  <c r="F35" i="11"/>
  <c r="E36" i="11"/>
  <c r="E32" i="11"/>
  <c r="E34" i="11"/>
  <c r="E35" i="11"/>
  <c r="E33" i="11"/>
  <c r="F31" i="2"/>
  <c r="G30" i="2"/>
  <c r="E30" i="2"/>
  <c r="G31" i="2"/>
  <c r="G36" i="2" s="1"/>
  <c r="C30" i="2"/>
  <c r="E31" i="2"/>
  <c r="C31" i="2"/>
  <c r="D30" i="2"/>
  <c r="D34" i="2" s="1"/>
  <c r="F30" i="2"/>
  <c r="D32" i="2" l="1"/>
  <c r="G35" i="2"/>
  <c r="G32" i="2"/>
  <c r="G33" i="2"/>
  <c r="G34" i="2"/>
  <c r="F35" i="2"/>
  <c r="F33" i="2"/>
  <c r="F34" i="2"/>
  <c r="F32" i="2"/>
  <c r="F36" i="2"/>
  <c r="D33" i="2"/>
  <c r="C32" i="2"/>
  <c r="C35" i="2"/>
  <c r="C34" i="2"/>
  <c r="C33" i="2"/>
  <c r="C36" i="2"/>
  <c r="D36" i="2"/>
  <c r="E33" i="2"/>
  <c r="E35" i="2"/>
  <c r="E34" i="2"/>
  <c r="E36" i="2"/>
  <c r="E32" i="2"/>
  <c r="D35" i="2"/>
  <c r="F18" i="11" l="1"/>
  <c r="F43" i="11"/>
  <c r="G43" i="11" s="1"/>
  <c r="E18" i="11"/>
  <c r="J52" i="11" s="1"/>
  <c r="F52" i="11" l="1"/>
  <c r="I52" i="11"/>
  <c r="J54" i="11"/>
  <c r="J44" i="11"/>
  <c r="J55" i="11"/>
  <c r="J41" i="11"/>
  <c r="J53" i="11"/>
  <c r="F44" i="11"/>
  <c r="B63" i="11"/>
  <c r="I44" i="11"/>
  <c r="I45" i="11"/>
  <c r="F42" i="11"/>
  <c r="H43" i="11"/>
  <c r="I41" i="11"/>
  <c r="I43" i="11"/>
  <c r="F53" i="11"/>
  <c r="I54" i="11"/>
  <c r="I42" i="11"/>
  <c r="F54" i="11"/>
  <c r="F41" i="11"/>
  <c r="J45" i="11"/>
  <c r="I53" i="11"/>
  <c r="I51" i="11"/>
  <c r="I55" i="11"/>
  <c r="J43" i="11"/>
  <c r="F51" i="11"/>
  <c r="F55" i="11"/>
  <c r="F45" i="11"/>
  <c r="J51" i="11"/>
  <c r="J42" i="11"/>
  <c r="K43" i="11" l="1"/>
  <c r="C63" i="11" s="1"/>
  <c r="B62" i="11"/>
  <c r="H42" i="11"/>
  <c r="G42" i="11"/>
  <c r="K42" i="11" s="1"/>
  <c r="G45" i="11"/>
  <c r="B65" i="11"/>
  <c r="H45" i="11"/>
  <c r="B69" i="11"/>
  <c r="G54" i="11"/>
  <c r="H54" i="11"/>
  <c r="B61" i="11"/>
  <c r="H41" i="11"/>
  <c r="G41" i="11"/>
  <c r="K41" i="11" s="1"/>
  <c r="G52" i="11"/>
  <c r="H52" i="11"/>
  <c r="B67" i="11"/>
  <c r="G55" i="11"/>
  <c r="H55" i="11"/>
  <c r="B70" i="11"/>
  <c r="G51" i="11"/>
  <c r="H51" i="11"/>
  <c r="B66" i="11"/>
  <c r="H53" i="11"/>
  <c r="B68" i="11"/>
  <c r="G53" i="11"/>
  <c r="H44" i="11"/>
  <c r="B64" i="11"/>
  <c r="G44" i="11"/>
  <c r="K44" i="11" s="1"/>
  <c r="L43" i="11" l="1"/>
  <c r="K51" i="11"/>
  <c r="K45" i="11"/>
  <c r="L42" i="11"/>
  <c r="C62" i="11"/>
  <c r="K52" i="11"/>
  <c r="L44" i="11"/>
  <c r="C64" i="11"/>
  <c r="K55" i="11"/>
  <c r="C61" i="11"/>
  <c r="L41" i="11"/>
  <c r="K53" i="11"/>
  <c r="K54" i="11"/>
  <c r="L52" i="11" l="1"/>
  <c r="C67" i="11"/>
  <c r="L55" i="11"/>
  <c r="C70" i="11"/>
  <c r="L54" i="11"/>
  <c r="C69" i="11"/>
  <c r="C65" i="11"/>
  <c r="L45" i="11"/>
  <c r="C68" i="11"/>
  <c r="L53" i="11"/>
  <c r="C66" i="11"/>
  <c r="L51" i="11"/>
</calcChain>
</file>

<file path=xl/sharedStrings.xml><?xml version="1.0" encoding="utf-8"?>
<sst xmlns="http://schemas.openxmlformats.org/spreadsheetml/2006/main" count="1175" uniqueCount="70">
  <si>
    <t>Costanti varie</t>
  </si>
  <si>
    <t xml:space="preserve">Valore </t>
  </si>
  <si>
    <t>Errore</t>
  </si>
  <si>
    <t>d</t>
  </si>
  <si>
    <t>g</t>
  </si>
  <si>
    <t>Misura di d</t>
  </si>
  <si>
    <t>pressione</t>
  </si>
  <si>
    <t>n</t>
  </si>
  <si>
    <t>d0</t>
  </si>
  <si>
    <t>d1</t>
  </si>
  <si>
    <t>densità aria</t>
  </si>
  <si>
    <t>densità olio</t>
  </si>
  <si>
    <t>cst corr vis</t>
  </si>
  <si>
    <t>e</t>
  </si>
  <si>
    <t>deltax</t>
  </si>
  <si>
    <t>Errore strumentale</t>
  </si>
  <si>
    <t>Dev std media</t>
  </si>
  <si>
    <t>Misure</t>
  </si>
  <si>
    <t>deltaV</t>
  </si>
  <si>
    <t>eta_0</t>
  </si>
  <si>
    <t>Ohm</t>
  </si>
  <si>
    <t>t</t>
  </si>
  <si>
    <t>E</t>
  </si>
  <si>
    <t>discesa</t>
  </si>
  <si>
    <t>v</t>
  </si>
  <si>
    <t>r</t>
  </si>
  <si>
    <t>dr/dv</t>
  </si>
  <si>
    <t>delta t</t>
  </si>
  <si>
    <t>dr/dt</t>
  </si>
  <si>
    <t>sigmav</t>
  </si>
  <si>
    <t>sigma t</t>
  </si>
  <si>
    <t>errore</t>
  </si>
  <si>
    <t>errore relativo</t>
  </si>
  <si>
    <t>sigmat</t>
  </si>
  <si>
    <t>Media</t>
  </si>
  <si>
    <t>devstd</t>
  </si>
  <si>
    <t>salita</t>
  </si>
  <si>
    <t>Q</t>
  </si>
  <si>
    <t>q</t>
  </si>
  <si>
    <t>dq/dr</t>
  </si>
  <si>
    <t>dq/dE</t>
  </si>
  <si>
    <t>dq/dv</t>
  </si>
  <si>
    <t>dq/dv0</t>
  </si>
  <si>
    <t>Errore relativo</t>
  </si>
  <si>
    <t>value</t>
  </si>
  <si>
    <t>error</t>
  </si>
  <si>
    <t>max</t>
  </si>
  <si>
    <t>Values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</si>
  <si>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</si>
  <si>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</si>
  <si>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</si>
  <si>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</si>
  <si>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</si>
  <si>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</si>
  <si>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</si>
  <si>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</si>
  <si>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$q \si{\coulomb}$</t>
  </si>
  <si>
    <t>$\sigma_q$</t>
  </si>
  <si>
    <t>Err. Rel.</t>
  </si>
  <si>
    <t>$q \si{\coulomb\per\meter}$</t>
  </si>
  <si>
    <t>$\sigma_{e/m}$</t>
  </si>
  <si>
    <t>m</t>
  </si>
  <si>
    <t>err q</t>
  </si>
  <si>
    <t>err em</t>
  </si>
  <si>
    <t>err</t>
  </si>
  <si>
    <t>err Rel</t>
  </si>
  <si>
    <t>$z$ di Gauss</t>
  </si>
  <si>
    <t>$\sigma_m$</t>
  </si>
  <si>
    <t>values</t>
  </si>
  <si>
    <t>$q \si{\kilo\gram}$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</si>
</sst>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E+00"/>
    <numFmt numFmtId="165" formatCode="0.000"/>
    <numFmt numFmtId="166" formatCode="0.0"/>
    <numFmt numFmtId="170" formatCode="0.0000E+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98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1" fontId="0" fillId="0" borderId="1" xfId="0" applyNumberFormat="1" applyBorder="1"/>
    <xf numFmtId="164" fontId="0" fillId="0" borderId="1" xfId="0" applyNumberFormat="1" applyBorder="1"/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3" borderId="2" xfId="0" applyFont="1" applyFill="1" applyBorder="1"/>
    <xf numFmtId="0" fontId="0" fillId="2" borderId="2" xfId="0" applyFont="1" applyFill="1" applyBorder="1"/>
    <xf numFmtId="166" fontId="0" fillId="2" borderId="0" xfId="0" applyNumberFormat="1" applyFont="1" applyFill="1" applyBorder="1"/>
    <xf numFmtId="166" fontId="0" fillId="3" borderId="0" xfId="0" applyNumberFormat="1" applyFont="1" applyFill="1" applyBorder="1"/>
    <xf numFmtId="0" fontId="0" fillId="4" borderId="0" xfId="0" applyFill="1" applyBorder="1"/>
    <xf numFmtId="0" fontId="0" fillId="3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3" borderId="0" xfId="0" applyNumberFormat="1" applyFont="1" applyFill="1" applyBorder="1"/>
    <xf numFmtId="2" fontId="0" fillId="3" borderId="0" xfId="0" applyNumberFormat="1" applyFont="1" applyFill="1" applyBorder="1"/>
    <xf numFmtId="170" fontId="0" fillId="0" borderId="0" xfId="0" applyNumberFormat="1"/>
  </cellXfs>
  <cellStyles count="1">
    <cellStyle name="Normal" xfId="0" builtinId="0"/>
  </cellStyles>
  <dxfs count="6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prova'!$C$61:$C$70</c:f>
                <c:numCache>
                  <c:formatCode>General</c:formatCode>
                  <c:ptCount val="10"/>
                  <c:pt idx="0">
                    <c:v>2.1088249686831988E-17</c:v>
                  </c:pt>
                  <c:pt idx="1">
                    <c:v>2.0935446628475073E-17</c:v>
                  </c:pt>
                  <c:pt idx="2">
                    <c:v>2.0935446628475067E-17</c:v>
                  </c:pt>
                  <c:pt idx="3">
                    <c:v>2.0786264518502469E-17</c:v>
                  </c:pt>
                  <c:pt idx="4">
                    <c:v>2.0935446628475073E-17</c:v>
                  </c:pt>
                  <c:pt idx="5">
                    <c:v>4.4470183044618965E-17</c:v>
                  </c:pt>
                  <c:pt idx="6">
                    <c:v>4.2650135979265237E-17</c:v>
                  </c:pt>
                  <c:pt idx="7">
                    <c:v>4.0944718387439781E-17</c:v>
                  </c:pt>
                  <c:pt idx="8">
                    <c:v>4.6415777391789195E-17</c:v>
                  </c:pt>
                  <c:pt idx="9">
                    <c:v>4.4470183044618946E-17</c:v>
                  </c:pt>
                </c:numCache>
              </c:numRef>
            </c:plus>
            <c:minus>
              <c:numRef>
                <c:f>'Misura di prova'!$C$61:$C$70</c:f>
                <c:numCache>
                  <c:formatCode>General</c:formatCode>
                  <c:ptCount val="10"/>
                  <c:pt idx="0">
                    <c:v>2.1088249686831988E-17</c:v>
                  </c:pt>
                  <c:pt idx="1">
                    <c:v>2.0935446628475073E-17</c:v>
                  </c:pt>
                  <c:pt idx="2">
                    <c:v>2.0935446628475067E-17</c:v>
                  </c:pt>
                  <c:pt idx="3">
                    <c:v>2.0786264518502469E-17</c:v>
                  </c:pt>
                  <c:pt idx="4">
                    <c:v>2.0935446628475073E-17</c:v>
                  </c:pt>
                  <c:pt idx="5">
                    <c:v>4.4470183044618965E-17</c:v>
                  </c:pt>
                  <c:pt idx="6">
                    <c:v>4.2650135979265237E-17</c:v>
                  </c:pt>
                  <c:pt idx="7">
                    <c:v>4.0944718387439781E-17</c:v>
                  </c:pt>
                  <c:pt idx="8">
                    <c:v>4.6415777391789195E-17</c:v>
                  </c:pt>
                  <c:pt idx="9">
                    <c:v>4.4470183044618946E-17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prova'!$A$61:$A$70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prova'!$B$61:$B$70</c:f>
              <c:numCache>
                <c:formatCode>0.00E+00</c:formatCode>
                <c:ptCount val="10"/>
                <c:pt idx="0">
                  <c:v>3.2486977540370734E-16</c:v>
                </c:pt>
                <c:pt idx="1">
                  <c:v>3.2300334414976302E-16</c:v>
                </c:pt>
                <c:pt idx="2">
                  <c:v>3.2300334414976297E-16</c:v>
                </c:pt>
                <c:pt idx="3">
                  <c:v>3.2117246396732235E-16</c:v>
                </c:pt>
                <c:pt idx="4">
                  <c:v>3.2300334414976302E-16</c:v>
                </c:pt>
                <c:pt idx="5">
                  <c:v>3.3419748412864248E-16</c:v>
                </c:pt>
                <c:pt idx="6">
                  <c:v>3.2363024755768481E-16</c:v>
                </c:pt>
                <c:pt idx="7">
                  <c:v>3.1353266594543639E-16</c:v>
                </c:pt>
                <c:pt idx="8">
                  <c:v>3.4526792244107438E-16</c:v>
                </c:pt>
                <c:pt idx="9">
                  <c:v>3.3419748412864238E-16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6C-4840-BEBD-E6843051C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  <c:min val="2.5000000000000022E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(1)'!$C$61:$C$70</c:f>
                <c:numCache>
                  <c:formatCode>General</c:formatCode>
                  <c:ptCount val="10"/>
                  <c:pt idx="0">
                    <c:v>8.5427931150038163E-19</c:v>
                  </c:pt>
                  <c:pt idx="1">
                    <c:v>2.7768946450124004E-18</c:v>
                  </c:pt>
                  <c:pt idx="2">
                    <c:v>2.0328119168151799E-18</c:v>
                  </c:pt>
                  <c:pt idx="3">
                    <c:v>1.4948586960424845E-18</c:v>
                  </c:pt>
                  <c:pt idx="4">
                    <c:v>5.7615296660513704E-19</c:v>
                  </c:pt>
                  <c:pt idx="5">
                    <c:v>1.277311683200391E-18</c:v>
                  </c:pt>
                  <c:pt idx="6">
                    <c:v>1.7664268559790732E-18</c:v>
                  </c:pt>
                  <c:pt idx="7">
                    <c:v>1.9008221798404304E-18</c:v>
                  </c:pt>
                  <c:pt idx="8">
                    <c:v>2.5020926220843045E-18</c:v>
                  </c:pt>
                  <c:pt idx="9">
                    <c:v>2.2343720825460396E-18</c:v>
                  </c:pt>
                </c:numCache>
              </c:numRef>
            </c:plus>
            <c:minus>
              <c:numRef>
                <c:f>'Misura (1)'!$C$61:$C$70</c:f>
                <c:numCache>
                  <c:formatCode>General</c:formatCode>
                  <c:ptCount val="10"/>
                  <c:pt idx="0">
                    <c:v>8.5427931150038163E-19</c:v>
                  </c:pt>
                  <c:pt idx="1">
                    <c:v>2.7768946450124004E-18</c:v>
                  </c:pt>
                  <c:pt idx="2">
                    <c:v>2.0328119168151799E-18</c:v>
                  </c:pt>
                  <c:pt idx="3">
                    <c:v>1.4948586960424845E-18</c:v>
                  </c:pt>
                  <c:pt idx="4">
                    <c:v>5.7615296660513704E-19</c:v>
                  </c:pt>
                  <c:pt idx="5">
                    <c:v>1.277311683200391E-18</c:v>
                  </c:pt>
                  <c:pt idx="6">
                    <c:v>1.7664268559790732E-18</c:v>
                  </c:pt>
                  <c:pt idx="7">
                    <c:v>1.9008221798404304E-18</c:v>
                  </c:pt>
                  <c:pt idx="8">
                    <c:v>2.5020926220843045E-18</c:v>
                  </c:pt>
                  <c:pt idx="9">
                    <c:v>2.2343720825460396E-18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(1)'!$B$61:$B$70</c:f>
              <c:numCache>
                <c:formatCode>0.00E+00</c:formatCode>
                <c:ptCount val="10"/>
                <c:pt idx="0">
                  <c:v>1.5236653275269429E-18</c:v>
                </c:pt>
                <c:pt idx="1">
                  <c:v>3.7276437822834661E-18</c:v>
                </c:pt>
                <c:pt idx="2">
                  <c:v>3.0231945939407138E-18</c:v>
                </c:pt>
                <c:pt idx="3">
                  <c:v>2.4154345098803191E-18</c:v>
                </c:pt>
                <c:pt idx="4">
                  <c:v>1.0625223282871733E-18</c:v>
                </c:pt>
                <c:pt idx="5">
                  <c:v>1.9621381235617542E-18</c:v>
                </c:pt>
                <c:pt idx="6">
                  <c:v>2.510550837378102E-18</c:v>
                </c:pt>
                <c:pt idx="7">
                  <c:v>2.6480672261350282E-18</c:v>
                </c:pt>
                <c:pt idx="8">
                  <c:v>3.210113375637471E-18</c:v>
                </c:pt>
                <c:pt idx="9">
                  <c:v>2.9695844167495857E-18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0-4B95-B2C5-27D070F08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(2)'!$C$61:$C$70</c:f>
                <c:numCache>
                  <c:formatCode>General</c:formatCode>
                  <c:ptCount val="10"/>
                  <c:pt idx="0">
                    <c:v>9.3219782438308847E-18</c:v>
                  </c:pt>
                  <c:pt idx="1">
                    <c:v>1.0303174655072034E-17</c:v>
                  </c:pt>
                  <c:pt idx="2">
                    <c:v>9.0313087532448305E-18</c:v>
                  </c:pt>
                  <c:pt idx="3">
                    <c:v>9.0313087532448305E-18</c:v>
                  </c:pt>
                  <c:pt idx="4">
                    <c:v>4.6553536216567855E-18</c:v>
                  </c:pt>
                  <c:pt idx="5">
                    <c:v>8.1774355081123171E-18</c:v>
                  </c:pt>
                  <c:pt idx="6">
                    <c:v>6.1968834611198649E-18</c:v>
                  </c:pt>
                  <c:pt idx="7">
                    <c:v>7.6560388234115906E-18</c:v>
                  </c:pt>
                  <c:pt idx="8">
                    <c:v>6.5644543733298541E-18</c:v>
                  </c:pt>
                  <c:pt idx="9">
                    <c:v>4.7761767635607534E-18</c:v>
                  </c:pt>
                </c:numCache>
              </c:numRef>
            </c:plus>
            <c:minus>
              <c:numRef>
                <c:f>'Misura (2)'!$C$61:$C$70</c:f>
                <c:numCache>
                  <c:formatCode>General</c:formatCode>
                  <c:ptCount val="10"/>
                  <c:pt idx="0">
                    <c:v>9.3219782438308847E-18</c:v>
                  </c:pt>
                  <c:pt idx="1">
                    <c:v>1.0303174655072034E-17</c:v>
                  </c:pt>
                  <c:pt idx="2">
                    <c:v>9.0313087532448305E-18</c:v>
                  </c:pt>
                  <c:pt idx="3">
                    <c:v>9.0313087532448305E-18</c:v>
                  </c:pt>
                  <c:pt idx="4">
                    <c:v>4.6553536216567855E-18</c:v>
                  </c:pt>
                  <c:pt idx="5">
                    <c:v>8.1774355081123171E-18</c:v>
                  </c:pt>
                  <c:pt idx="6">
                    <c:v>6.1968834611198649E-18</c:v>
                  </c:pt>
                  <c:pt idx="7">
                    <c:v>7.6560388234115906E-18</c:v>
                  </c:pt>
                  <c:pt idx="8">
                    <c:v>6.5644543733298541E-18</c:v>
                  </c:pt>
                  <c:pt idx="9">
                    <c:v>4.7761767635607534E-18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(2)'!$A$61:$A$70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(2)'!$B$61:$B$70</c:f>
              <c:numCache>
                <c:formatCode>0.00E+00</c:formatCode>
                <c:ptCount val="10"/>
                <c:pt idx="0">
                  <c:v>1.2984517616241682E-17</c:v>
                </c:pt>
                <c:pt idx="1">
                  <c:v>1.3687532283774105E-17</c:v>
                </c:pt>
                <c:pt idx="2">
                  <c:v>1.2767865297316572E-17</c:v>
                </c:pt>
                <c:pt idx="3">
                  <c:v>1.2767865297316572E-17</c:v>
                </c:pt>
                <c:pt idx="4">
                  <c:v>8.783576310255462E-18</c:v>
                </c:pt>
                <c:pt idx="5">
                  <c:v>9.5553477119264247E-18</c:v>
                </c:pt>
                <c:pt idx="6">
                  <c:v>7.975734508335196E-18</c:v>
                </c:pt>
                <c:pt idx="7">
                  <c:v>9.1604444110286788E-18</c:v>
                </c:pt>
                <c:pt idx="8">
                  <c:v>8.2864780893695432E-18</c:v>
                </c:pt>
                <c:pt idx="9">
                  <c:v>6.6774222862053405E-18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02-48E9-9507-EFB9FA60D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(3)'!$C$61:$C$70</c:f>
                <c:numCache>
                  <c:formatCode>General</c:formatCode>
                  <c:ptCount val="10"/>
                  <c:pt idx="0">
                    <c:v>1.185349612767346E-18</c:v>
                  </c:pt>
                  <c:pt idx="1">
                    <c:v>2.4421254367992744E-18</c:v>
                  </c:pt>
                  <c:pt idx="2">
                    <c:v>1.361010938522967E-18</c:v>
                  </c:pt>
                  <c:pt idx="3">
                    <c:v>1.333531299224933E-18</c:v>
                  </c:pt>
                  <c:pt idx="4">
                    <c:v>1.3470853089191838E-18</c:v>
                  </c:pt>
                  <c:pt idx="5">
                    <c:v>3.41806172703656E-18</c:v>
                  </c:pt>
                  <c:pt idx="6">
                    <c:v>3.4945683316532932E-18</c:v>
                  </c:pt>
                  <c:pt idx="7">
                    <c:v>1.5246605395124083E-18</c:v>
                  </c:pt>
                  <c:pt idx="8">
                    <c:v>2.3670592671651135E-18</c:v>
                  </c:pt>
                  <c:pt idx="9">
                    <c:v>1.7902520080131185E-18</c:v>
                  </c:pt>
                </c:numCache>
              </c:numRef>
            </c:plus>
            <c:minus>
              <c:numRef>
                <c:f>'Misura (3)'!$C$61:$C$70</c:f>
                <c:numCache>
                  <c:formatCode>General</c:formatCode>
                  <c:ptCount val="10"/>
                  <c:pt idx="0">
                    <c:v>1.185349612767346E-18</c:v>
                  </c:pt>
                  <c:pt idx="1">
                    <c:v>2.4421254367992744E-18</c:v>
                  </c:pt>
                  <c:pt idx="2">
                    <c:v>1.361010938522967E-18</c:v>
                  </c:pt>
                  <c:pt idx="3">
                    <c:v>1.333531299224933E-18</c:v>
                  </c:pt>
                  <c:pt idx="4">
                    <c:v>1.3470853089191838E-18</c:v>
                  </c:pt>
                  <c:pt idx="5">
                    <c:v>3.41806172703656E-18</c:v>
                  </c:pt>
                  <c:pt idx="6">
                    <c:v>3.4945683316532932E-18</c:v>
                  </c:pt>
                  <c:pt idx="7">
                    <c:v>1.5246605395124083E-18</c:v>
                  </c:pt>
                  <c:pt idx="8">
                    <c:v>2.3670592671651135E-18</c:v>
                  </c:pt>
                  <c:pt idx="9">
                    <c:v>1.7902520080131185E-18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(3)'!$A$61:$A$70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(3)'!$B$61:$B$70</c:f>
              <c:numCache>
                <c:formatCode>0.00E+00</c:formatCode>
                <c:ptCount val="10"/>
                <c:pt idx="0">
                  <c:v>3.06603914432093E-18</c:v>
                </c:pt>
                <c:pt idx="1">
                  <c:v>5.2863734733820871E-18</c:v>
                </c:pt>
                <c:pt idx="2">
                  <c:v>3.4389995418241354E-18</c:v>
                </c:pt>
                <c:pt idx="3">
                  <c:v>3.3823202556085956E-18</c:v>
                </c:pt>
                <c:pt idx="4">
                  <c:v>3.4103518591173628E-18</c:v>
                </c:pt>
                <c:pt idx="5">
                  <c:v>5.3462898215847844E-18</c:v>
                </c:pt>
                <c:pt idx="6">
                  <c:v>5.4261560885249057E-18</c:v>
                </c:pt>
                <c:pt idx="7">
                  <c:v>2.9735699383963876E-18</c:v>
                </c:pt>
                <c:pt idx="8">
                  <c:v>4.1417089088699658E-18</c:v>
                </c:pt>
                <c:pt idx="9">
                  <c:v>3.3676898693040043E-18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1E-419C-B91E-4E7E104BF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(4)'!$C$61:$C$70</c:f>
                <c:numCache>
                  <c:formatCode>General</c:formatCode>
                  <c:ptCount val="10"/>
                  <c:pt idx="0">
                    <c:v>2.2858705982671473E-18</c:v>
                  </c:pt>
                  <c:pt idx="1">
                    <c:v>2.8599478159990953E-18</c:v>
                  </c:pt>
                  <c:pt idx="2">
                    <c:v>2.680496476644232E-18</c:v>
                  </c:pt>
                  <c:pt idx="3">
                    <c:v>2.9243671968725648E-18</c:v>
                  </c:pt>
                  <c:pt idx="4">
                    <c:v>1.4021646698128225E-18</c:v>
                  </c:pt>
                  <c:pt idx="5">
                    <c:v>3.2643477084717552E-18</c:v>
                  </c:pt>
                  <c:pt idx="6">
                    <c:v>3.2643477084718153E-18</c:v>
                  </c:pt>
                  <c:pt idx="7">
                    <c:v>3.4403992175504175E-18</c:v>
                  </c:pt>
                  <c:pt idx="8">
                    <c:v>3.4403992175504175E-18</c:v>
                  </c:pt>
                  <c:pt idx="9">
                    <c:v>3.2643477084718153E-18</c:v>
                  </c:pt>
                </c:numCache>
              </c:numRef>
            </c:plus>
            <c:minus>
              <c:numRef>
                <c:f>'Misura (4)'!$C$61:$C$70</c:f>
                <c:numCache>
                  <c:formatCode>General</c:formatCode>
                  <c:ptCount val="10"/>
                  <c:pt idx="0">
                    <c:v>2.2858705982671473E-18</c:v>
                  </c:pt>
                  <c:pt idx="1">
                    <c:v>2.8599478159990953E-18</c:v>
                  </c:pt>
                  <c:pt idx="2">
                    <c:v>2.680496476644232E-18</c:v>
                  </c:pt>
                  <c:pt idx="3">
                    <c:v>2.9243671968725648E-18</c:v>
                  </c:pt>
                  <c:pt idx="4">
                    <c:v>1.4021646698128225E-18</c:v>
                  </c:pt>
                  <c:pt idx="5">
                    <c:v>3.2643477084717552E-18</c:v>
                  </c:pt>
                  <c:pt idx="6">
                    <c:v>3.2643477084718153E-18</c:v>
                  </c:pt>
                  <c:pt idx="7">
                    <c:v>3.4403992175504175E-18</c:v>
                  </c:pt>
                  <c:pt idx="8">
                    <c:v>3.4403992175504175E-18</c:v>
                  </c:pt>
                  <c:pt idx="9">
                    <c:v>3.2643477084718153E-18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(4)'!$A$61:$A$70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(4)'!$B$61:$B$70</c:f>
              <c:numCache>
                <c:formatCode>0.00E+00</c:formatCode>
                <c:ptCount val="10"/>
                <c:pt idx="0">
                  <c:v>5.7596576847421954E-18</c:v>
                </c:pt>
                <c:pt idx="1">
                  <c:v>6.4548264403421312E-18</c:v>
                </c:pt>
                <c:pt idx="2">
                  <c:v>6.2469610840673973E-18</c:v>
                </c:pt>
                <c:pt idx="3">
                  <c:v>6.5276231684889467E-18</c:v>
                </c:pt>
                <c:pt idx="4">
                  <c:v>4.4443346881894631E-18</c:v>
                </c:pt>
                <c:pt idx="5">
                  <c:v>5.5985167529553624E-18</c:v>
                </c:pt>
                <c:pt idx="6">
                  <c:v>5.5985167529554241E-18</c:v>
                </c:pt>
                <c:pt idx="7">
                  <c:v>5.7760491943553342E-18</c:v>
                </c:pt>
                <c:pt idx="8">
                  <c:v>5.7760491943553342E-18</c:v>
                </c:pt>
                <c:pt idx="9">
                  <c:v>5.5985167529554241E-18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A8-4D78-81FA-A944852C6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(5)'!$C$61:$C$70</c:f>
                <c:numCache>
                  <c:formatCode>General</c:formatCode>
                  <c:ptCount val="10"/>
                  <c:pt idx="0">
                    <c:v>4.9708366618353498E-18</c:v>
                  </c:pt>
                  <c:pt idx="1">
                    <c:v>4.4588924560035079E-18</c:v>
                  </c:pt>
                  <c:pt idx="2">
                    <c:v>1.8500636505657337E-18</c:v>
                  </c:pt>
                  <c:pt idx="3">
                    <c:v>2.5075214934046786E-18</c:v>
                  </c:pt>
                  <c:pt idx="4">
                    <c:v>2.6804817188435181E-18</c:v>
                  </c:pt>
                  <c:pt idx="5">
                    <c:v>2.584859070305887E-18</c:v>
                  </c:pt>
                  <c:pt idx="6">
                    <c:v>2.2968163333129789E-18</c:v>
                  </c:pt>
                  <c:pt idx="7">
                    <c:v>4.1454786129422201E-18</c:v>
                  </c:pt>
                  <c:pt idx="8">
                    <c:v>5.7815591076404936E-18</c:v>
                  </c:pt>
                  <c:pt idx="9">
                    <c:v>4.3831980746175181E-18</c:v>
                  </c:pt>
                </c:numCache>
              </c:numRef>
            </c:plus>
            <c:minus>
              <c:numRef>
                <c:f>'Misura (5)'!$C$61:$C$70</c:f>
                <c:numCache>
                  <c:formatCode>General</c:formatCode>
                  <c:ptCount val="10"/>
                  <c:pt idx="0">
                    <c:v>4.9708366618353498E-18</c:v>
                  </c:pt>
                  <c:pt idx="1">
                    <c:v>4.4588924560035079E-18</c:v>
                  </c:pt>
                  <c:pt idx="2">
                    <c:v>1.8500636505657337E-18</c:v>
                  </c:pt>
                  <c:pt idx="3">
                    <c:v>2.5075214934046786E-18</c:v>
                  </c:pt>
                  <c:pt idx="4">
                    <c:v>2.6804817188435181E-18</c:v>
                  </c:pt>
                  <c:pt idx="5">
                    <c:v>2.584859070305887E-18</c:v>
                  </c:pt>
                  <c:pt idx="6">
                    <c:v>2.2968163333129789E-18</c:v>
                  </c:pt>
                  <c:pt idx="7">
                    <c:v>4.1454786129422201E-18</c:v>
                  </c:pt>
                  <c:pt idx="8">
                    <c:v>5.7815591076404936E-18</c:v>
                  </c:pt>
                  <c:pt idx="9">
                    <c:v>4.3831980746175181E-18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(5)'!$A$61:$A$70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(5)'!$B$61:$B$70</c:f>
              <c:numCache>
                <c:formatCode>0.00E+00</c:formatCode>
                <c:ptCount val="10"/>
                <c:pt idx="0">
                  <c:v>8.4409452351177455E-18</c:v>
                </c:pt>
                <c:pt idx="1">
                  <c:v>7.9765035006526003E-18</c:v>
                </c:pt>
                <c:pt idx="2">
                  <c:v>4.8735522574592706E-18</c:v>
                </c:pt>
                <c:pt idx="3">
                  <c:v>5.8321661308883369E-18</c:v>
                </c:pt>
                <c:pt idx="4">
                  <c:v>6.0568109981970091E-18</c:v>
                </c:pt>
                <c:pt idx="5">
                  <c:v>4.6835375715763744E-18</c:v>
                </c:pt>
                <c:pt idx="6">
                  <c:v>4.3312024626718215E-18</c:v>
                </c:pt>
                <c:pt idx="7">
                  <c:v>6.3137447918809242E-18</c:v>
                </c:pt>
                <c:pt idx="8">
                  <c:v>7.7066986399447327E-18</c:v>
                </c:pt>
                <c:pt idx="9">
                  <c:v>6.5319417582909558E-18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4-455C-9B31-C815A80E2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(6)'!$C$61:$C$70</c:f>
                <c:numCache>
                  <c:formatCode>General</c:formatCode>
                  <c:ptCount val="10"/>
                  <c:pt idx="0">
                    <c:v>9.409507702985663E-18</c:v>
                  </c:pt>
                  <c:pt idx="1">
                    <c:v>3.1395565766085026E-18</c:v>
                  </c:pt>
                  <c:pt idx="2">
                    <c:v>3.1855701437904711E-18</c:v>
                  </c:pt>
                  <c:pt idx="3">
                    <c:v>2.0778652328481081E-18</c:v>
                  </c:pt>
                  <c:pt idx="4">
                    <c:v>2.6436853663463277E-18</c:v>
                  </c:pt>
                  <c:pt idx="5">
                    <c:v>1.7477841766293257E-18</c:v>
                  </c:pt>
                  <c:pt idx="6">
                    <c:v>7.3308210562758626E-18</c:v>
                  </c:pt>
                  <c:pt idx="7">
                    <c:v>6.9065423739762004E-18</c:v>
                  </c:pt>
                  <c:pt idx="8">
                    <c:v>6.9065423739762004E-18</c:v>
                  </c:pt>
                  <c:pt idx="9">
                    <c:v>7.3308210562758626E-18</c:v>
                  </c:pt>
                </c:numCache>
              </c:numRef>
            </c:plus>
            <c:minus>
              <c:numRef>
                <c:f>'Misura (6)'!$C$61:$C$70</c:f>
                <c:numCache>
                  <c:formatCode>General</c:formatCode>
                  <c:ptCount val="10"/>
                  <c:pt idx="0">
                    <c:v>9.409507702985663E-18</c:v>
                  </c:pt>
                  <c:pt idx="1">
                    <c:v>3.1395565766085026E-18</c:v>
                  </c:pt>
                  <c:pt idx="2">
                    <c:v>3.1855701437904711E-18</c:v>
                  </c:pt>
                  <c:pt idx="3">
                    <c:v>2.0778652328481081E-18</c:v>
                  </c:pt>
                  <c:pt idx="4">
                    <c:v>2.6436853663463277E-18</c:v>
                  </c:pt>
                  <c:pt idx="5">
                    <c:v>1.7477841766293257E-18</c:v>
                  </c:pt>
                  <c:pt idx="6">
                    <c:v>7.3308210562758626E-18</c:v>
                  </c:pt>
                  <c:pt idx="7">
                    <c:v>6.9065423739762004E-18</c:v>
                  </c:pt>
                  <c:pt idx="8">
                    <c:v>6.9065423739762004E-18</c:v>
                  </c:pt>
                  <c:pt idx="9">
                    <c:v>7.3308210562758626E-18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(6)'!$A$61:$A$70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(6)'!$B$61:$B$70</c:f>
              <c:numCache>
                <c:formatCode>0.00E+00</c:formatCode>
                <c:ptCount val="10"/>
                <c:pt idx="0">
                  <c:v>1.7059599726032109E-17</c:v>
                </c:pt>
                <c:pt idx="1">
                  <c:v>1.0494431522743627E-17</c:v>
                </c:pt>
                <c:pt idx="2">
                  <c:v>1.0564459983578702E-17</c:v>
                </c:pt>
                <c:pt idx="3">
                  <c:v>8.6302936216408836E-18</c:v>
                </c:pt>
                <c:pt idx="4">
                  <c:v>9.6911638837530367E-18</c:v>
                </c:pt>
                <c:pt idx="5">
                  <c:v>2.5477303619788916E-18</c:v>
                </c:pt>
                <c:pt idx="6">
                  <c:v>9.2302516124696117E-18</c:v>
                </c:pt>
                <c:pt idx="7">
                  <c:v>8.8495840817764518E-18</c:v>
                </c:pt>
                <c:pt idx="8">
                  <c:v>8.8495840817764518E-18</c:v>
                </c:pt>
                <c:pt idx="9">
                  <c:v>9.2302516124696117E-18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3-4D20-B4A8-4BD01C90D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(7)'!$C$61:$C$70</c:f>
                <c:numCache>
                  <c:formatCode>General</c:formatCode>
                  <c:ptCount val="10"/>
                  <c:pt idx="0">
                    <c:v>1.4376238507674545E-18</c:v>
                  </c:pt>
                  <c:pt idx="1">
                    <c:v>1.631671796034811E-18</c:v>
                  </c:pt>
                  <c:pt idx="2">
                    <c:v>1.5966444218980546E-18</c:v>
                  </c:pt>
                  <c:pt idx="3">
                    <c:v>1.3807299105747155E-18</c:v>
                  </c:pt>
                  <c:pt idx="4">
                    <c:v>1.1217817523992641E-18</c:v>
                  </c:pt>
                  <c:pt idx="5">
                    <c:v>2.3329345858077474E-18</c:v>
                  </c:pt>
                  <c:pt idx="6">
                    <c:v>2.1048942615746232E-18</c:v>
                  </c:pt>
                  <c:pt idx="7">
                    <c:v>2.2144751081715805E-18</c:v>
                  </c:pt>
                  <c:pt idx="8">
                    <c:v>2.4612588995075556E-18</c:v>
                  </c:pt>
                  <c:pt idx="9">
                    <c:v>2.6005750872890308E-18</c:v>
                  </c:pt>
                </c:numCache>
              </c:numRef>
            </c:plus>
            <c:minus>
              <c:numRef>
                <c:f>'Misura (7)'!$C$61:$C$70</c:f>
                <c:numCache>
                  <c:formatCode>General</c:formatCode>
                  <c:ptCount val="10"/>
                  <c:pt idx="0">
                    <c:v>1.4376238507674545E-18</c:v>
                  </c:pt>
                  <c:pt idx="1">
                    <c:v>1.631671796034811E-18</c:v>
                  </c:pt>
                  <c:pt idx="2">
                    <c:v>1.5966444218980546E-18</c:v>
                  </c:pt>
                  <c:pt idx="3">
                    <c:v>1.3807299105747155E-18</c:v>
                  </c:pt>
                  <c:pt idx="4">
                    <c:v>1.1217817523992641E-18</c:v>
                  </c:pt>
                  <c:pt idx="5">
                    <c:v>2.3329345858077474E-18</c:v>
                  </c:pt>
                  <c:pt idx="6">
                    <c:v>2.1048942615746232E-18</c:v>
                  </c:pt>
                  <c:pt idx="7">
                    <c:v>2.2144751081715805E-18</c:v>
                  </c:pt>
                  <c:pt idx="8">
                    <c:v>2.4612588995075556E-18</c:v>
                  </c:pt>
                  <c:pt idx="9">
                    <c:v>2.6005750872890308E-18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(7)'!$A$61:$A$70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(7)'!$B$61:$B$70</c:f>
              <c:numCache>
                <c:formatCode>0.00E+00</c:formatCode>
                <c:ptCount val="10"/>
                <c:pt idx="0">
                  <c:v>4.4319917520776915E-18</c:v>
                </c:pt>
                <c:pt idx="1">
                  <c:v>4.6871376403001866E-18</c:v>
                </c:pt>
                <c:pt idx="2">
                  <c:v>4.6422768247885626E-18</c:v>
                </c:pt>
                <c:pt idx="3">
                  <c:v>4.3538858679279353E-18</c:v>
                </c:pt>
                <c:pt idx="4">
                  <c:v>3.9755380988356164E-18</c:v>
                </c:pt>
                <c:pt idx="5">
                  <c:v>4.2939976251318525E-18</c:v>
                </c:pt>
                <c:pt idx="6">
                  <c:v>4.0459570654421343E-18</c:v>
                </c:pt>
                <c:pt idx="7">
                  <c:v>4.1667560393169754E-18</c:v>
                </c:pt>
                <c:pt idx="8">
                  <c:v>4.4282113526352168E-18</c:v>
                </c:pt>
                <c:pt idx="9">
                  <c:v>4.5699864168992845E-18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D-46AA-91FD-26C34C5C1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(8)'!$C$61:$C$70</c:f>
                <c:numCache>
                  <c:formatCode>General</c:formatCode>
                  <c:ptCount val="10"/>
                  <c:pt idx="0">
                    <c:v>3.168870958143893E-19</c:v>
                  </c:pt>
                  <c:pt idx="1">
                    <c:v>2.9314415556949665E-19</c:v>
                  </c:pt>
                  <c:pt idx="2">
                    <c:v>3.3987361400755015E-19</c:v>
                  </c:pt>
                  <c:pt idx="3">
                    <c:v>3.5241016477215469E-19</c:v>
                  </c:pt>
                  <c:pt idx="4">
                    <c:v>2.7504919049560549E-19</c:v>
                  </c:pt>
                  <c:pt idx="5">
                    <c:v>4.271949834330331E-19</c:v>
                  </c:pt>
                  <c:pt idx="6">
                    <c:v>4.4603447480076715E-19</c:v>
                  </c:pt>
                  <c:pt idx="7">
                    <c:v>4.7323389895300145E-19</c:v>
                  </c:pt>
                  <c:pt idx="8">
                    <c:v>3.9304274216288981E-19</c:v>
                  </c:pt>
                  <c:pt idx="9">
                    <c:v>4.3333506491160177E-19</c:v>
                  </c:pt>
                </c:numCache>
              </c:numRef>
            </c:plus>
            <c:minus>
              <c:numRef>
                <c:f>'Misura (8)'!$C$61:$C$70</c:f>
                <c:numCache>
                  <c:formatCode>General</c:formatCode>
                  <c:ptCount val="10"/>
                  <c:pt idx="0">
                    <c:v>3.168870958143893E-19</c:v>
                  </c:pt>
                  <c:pt idx="1">
                    <c:v>2.9314415556949665E-19</c:v>
                  </c:pt>
                  <c:pt idx="2">
                    <c:v>3.3987361400755015E-19</c:v>
                  </c:pt>
                  <c:pt idx="3">
                    <c:v>3.5241016477215469E-19</c:v>
                  </c:pt>
                  <c:pt idx="4">
                    <c:v>2.7504919049560549E-19</c:v>
                  </c:pt>
                  <c:pt idx="5">
                    <c:v>4.271949834330331E-19</c:v>
                  </c:pt>
                  <c:pt idx="6">
                    <c:v>4.4603447480076715E-19</c:v>
                  </c:pt>
                  <c:pt idx="7">
                    <c:v>4.7323389895300145E-19</c:v>
                  </c:pt>
                  <c:pt idx="8">
                    <c:v>3.9304274216288981E-19</c:v>
                  </c:pt>
                  <c:pt idx="9">
                    <c:v>4.3333506491160177E-19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(8)'!$A$61:$A$70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(8)'!$B$61:$B$70</c:f>
              <c:numCache>
                <c:formatCode>0.00E+00</c:formatCode>
                <c:ptCount val="10"/>
                <c:pt idx="0">
                  <c:v>1.4424399689572994E-18</c:v>
                </c:pt>
                <c:pt idx="1">
                  <c:v>1.3873610052978323E-18</c:v>
                </c:pt>
                <c:pt idx="2">
                  <c:v>1.4936358145851327E-18</c:v>
                </c:pt>
                <c:pt idx="3">
                  <c:v>1.5207594414078258E-18</c:v>
                </c:pt>
                <c:pt idx="4">
                  <c:v>1.3436980778716495E-18</c:v>
                </c:pt>
                <c:pt idx="5">
                  <c:v>1.4289517185394724E-18</c:v>
                </c:pt>
                <c:pt idx="6">
                  <c:v>1.4643463772451523E-18</c:v>
                </c:pt>
                <c:pt idx="7">
                  <c:v>1.5141201160499789E-18</c:v>
                </c:pt>
                <c:pt idx="8">
                  <c:v>1.3626808681969712E-18</c:v>
                </c:pt>
                <c:pt idx="9">
                  <c:v>1.4405738452786509E-18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7-4EFA-A40D-D8820BCFF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(9)'!$C$61:$C$70</c:f>
                <c:numCache>
                  <c:formatCode>General</c:formatCode>
                  <c:ptCount val="10"/>
                  <c:pt idx="0">
                    <c:v>1.127156803229456E-18</c:v>
                  </c:pt>
                  <c:pt idx="1">
                    <c:v>1.5455764580505803E-18</c:v>
                  </c:pt>
                  <c:pt idx="2">
                    <c:v>1.2943898561095725E-18</c:v>
                  </c:pt>
                  <c:pt idx="3">
                    <c:v>1.3934528215196632E-18</c:v>
                  </c:pt>
                  <c:pt idx="4">
                    <c:v>1.3591254621175179E-18</c:v>
                  </c:pt>
                  <c:pt idx="5">
                    <c:v>1.3807531439579206E-18</c:v>
                  </c:pt>
                  <c:pt idx="6">
                    <c:v>1.2505479187544327E-18</c:v>
                  </c:pt>
                  <c:pt idx="7">
                    <c:v>1.3462741448801478E-18</c:v>
                  </c:pt>
                  <c:pt idx="8">
                    <c:v>1.6199744109132074E-18</c:v>
                  </c:pt>
                  <c:pt idx="9">
                    <c:v>1.7142958934453707E-18</c:v>
                  </c:pt>
                </c:numCache>
              </c:numRef>
            </c:plus>
            <c:minus>
              <c:numRef>
                <c:f>'Misura (9)'!$C$61:$C$70</c:f>
                <c:numCache>
                  <c:formatCode>General</c:formatCode>
                  <c:ptCount val="10"/>
                  <c:pt idx="0">
                    <c:v>1.127156803229456E-18</c:v>
                  </c:pt>
                  <c:pt idx="1">
                    <c:v>1.5455764580505803E-18</c:v>
                  </c:pt>
                  <c:pt idx="2">
                    <c:v>1.2943898561095725E-18</c:v>
                  </c:pt>
                  <c:pt idx="3">
                    <c:v>1.3934528215196632E-18</c:v>
                  </c:pt>
                  <c:pt idx="4">
                    <c:v>1.3591254621175179E-18</c:v>
                  </c:pt>
                  <c:pt idx="5">
                    <c:v>1.3807531439579206E-18</c:v>
                  </c:pt>
                  <c:pt idx="6">
                    <c:v>1.2505479187544327E-18</c:v>
                  </c:pt>
                  <c:pt idx="7">
                    <c:v>1.3462741448801478E-18</c:v>
                  </c:pt>
                  <c:pt idx="8">
                    <c:v>1.6199744109132074E-18</c:v>
                  </c:pt>
                  <c:pt idx="9">
                    <c:v>1.7142958934453707E-18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(9)'!$A$61:$A$70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(9)'!$B$61:$B$70</c:f>
              <c:numCache>
                <c:formatCode>0.00E+00</c:formatCode>
                <c:ptCount val="10"/>
                <c:pt idx="0">
                  <c:v>2.6159712748741082E-18</c:v>
                </c:pt>
                <c:pt idx="1">
                  <c:v>3.0717054069163715E-18</c:v>
                </c:pt>
                <c:pt idx="2">
                  <c:v>2.8074335433652278E-18</c:v>
                </c:pt>
                <c:pt idx="3">
                  <c:v>2.9146524137202545E-18</c:v>
                </c:pt>
                <c:pt idx="4">
                  <c:v>2.8779722738619385E-18</c:v>
                </c:pt>
                <c:pt idx="5">
                  <c:v>2.6607288447409601E-18</c:v>
                </c:pt>
                <c:pt idx="6">
                  <c:v>2.5195799521217157E-18</c:v>
                </c:pt>
                <c:pt idx="7">
                  <c:v>2.6240487048826441E-18</c:v>
                </c:pt>
                <c:pt idx="8">
                  <c:v>2.9031367255436315E-18</c:v>
                </c:pt>
                <c:pt idx="9">
                  <c:v>2.9935874273356515E-18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6-496C-AB9C-FC4919115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(10)'!$C$61:$C$70</c:f>
                <c:numCache>
                  <c:formatCode>General</c:formatCode>
                  <c:ptCount val="10"/>
                  <c:pt idx="0">
                    <c:v>5.126856082221717E-19</c:v>
                  </c:pt>
                  <c:pt idx="1">
                    <c:v>5.1821268485553143E-19</c:v>
                  </c:pt>
                  <c:pt idx="2">
                    <c:v>4.7222925597591501E-19</c:v>
                  </c:pt>
                  <c:pt idx="3">
                    <c:v>5.8034630372891138E-19</c:v>
                  </c:pt>
                  <c:pt idx="4">
                    <c:v>3.9731183656926235E-19</c:v>
                  </c:pt>
                  <c:pt idx="5">
                    <c:v>6.7103985713844847E-19</c:v>
                  </c:pt>
                  <c:pt idx="6">
                    <c:v>6.9159612607012931E-19</c:v>
                  </c:pt>
                  <c:pt idx="7">
                    <c:v>6.2383977639415243E-19</c:v>
                  </c:pt>
                  <c:pt idx="8">
                    <c:v>5.9809635302437181E-19</c:v>
                  </c:pt>
                  <c:pt idx="9">
                    <c:v>6.5147297339774024E-19</c:v>
                  </c:pt>
                </c:numCache>
              </c:numRef>
            </c:plus>
            <c:minus>
              <c:numRef>
                <c:f>'Misura (10)'!$C$61:$C$70</c:f>
                <c:numCache>
                  <c:formatCode>General</c:formatCode>
                  <c:ptCount val="10"/>
                  <c:pt idx="0">
                    <c:v>5.126856082221717E-19</c:v>
                  </c:pt>
                  <c:pt idx="1">
                    <c:v>5.1821268485553143E-19</c:v>
                  </c:pt>
                  <c:pt idx="2">
                    <c:v>4.7222925597591501E-19</c:v>
                  </c:pt>
                  <c:pt idx="3">
                    <c:v>5.8034630372891138E-19</c:v>
                  </c:pt>
                  <c:pt idx="4">
                    <c:v>3.9731183656926235E-19</c:v>
                  </c:pt>
                  <c:pt idx="5">
                    <c:v>6.7103985713844847E-19</c:v>
                  </c:pt>
                  <c:pt idx="6">
                    <c:v>6.9159612607012931E-19</c:v>
                  </c:pt>
                  <c:pt idx="7">
                    <c:v>6.2383977639415243E-19</c:v>
                  </c:pt>
                  <c:pt idx="8">
                    <c:v>5.9809635302437181E-19</c:v>
                  </c:pt>
                  <c:pt idx="9">
                    <c:v>6.5147297339774024E-19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(10)'!$A$61:$A$70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(10)'!$B$61:$B$70</c:f>
              <c:numCache>
                <c:formatCode>0.00E+00</c:formatCode>
                <c:ptCount val="10"/>
                <c:pt idx="0">
                  <c:v>1.7825892136764516E-18</c:v>
                </c:pt>
                <c:pt idx="1">
                  <c:v>1.7937727052216429E-18</c:v>
                </c:pt>
                <c:pt idx="2">
                  <c:v>1.6983841008656447E-18</c:v>
                </c:pt>
                <c:pt idx="3">
                  <c:v>1.9147880988075983E-18</c:v>
                </c:pt>
                <c:pt idx="4">
                  <c:v>1.5297902885155175E-18</c:v>
                </c:pt>
                <c:pt idx="5">
                  <c:v>1.7901134298678594E-18</c:v>
                </c:pt>
                <c:pt idx="6">
                  <c:v>1.8236566753556751E-18</c:v>
                </c:pt>
                <c:pt idx="7">
                  <c:v>1.7109892419227993E-18</c:v>
                </c:pt>
                <c:pt idx="8">
                  <c:v>1.6665052496450004E-18</c:v>
                </c:pt>
                <c:pt idx="9">
                  <c:v>1.7576790519994758E-18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24-4A5A-AEA2-CE3CFFDBE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(11)'!$C$61:$C$70</c:f>
                <c:numCache>
                  <c:formatCode>General</c:formatCode>
                  <c:ptCount val="10"/>
                  <c:pt idx="0">
                    <c:v>3.7168908568164376E-19</c:v>
                  </c:pt>
                  <c:pt idx="1">
                    <c:v>5.4756901615631112E-19</c:v>
                  </c:pt>
                  <c:pt idx="2">
                    <c:v>3.6455436249090802E-19</c:v>
                  </c:pt>
                  <c:pt idx="3">
                    <c:v>3.5764900222696482E-19</c:v>
                  </c:pt>
                  <c:pt idx="4">
                    <c:v>3.3213495115477892E-19</c:v>
                  </c:pt>
                  <c:pt idx="5">
                    <c:v>7.0729116476332431E-19</c:v>
                  </c:pt>
                  <c:pt idx="6">
                    <c:v>1.1456784002830752E-18</c:v>
                  </c:pt>
                  <c:pt idx="7">
                    <c:v>1.1920259038054331E-18</c:v>
                  </c:pt>
                  <c:pt idx="8">
                    <c:v>4.4327742777209677E-19</c:v>
                  </c:pt>
                  <c:pt idx="9">
                    <c:v>7.8911996528970683E-19</c:v>
                  </c:pt>
                </c:numCache>
              </c:numRef>
            </c:plus>
            <c:minus>
              <c:numRef>
                <c:f>'Misura (11)'!$C$61:$C$70</c:f>
                <c:numCache>
                  <c:formatCode>General</c:formatCode>
                  <c:ptCount val="10"/>
                  <c:pt idx="0">
                    <c:v>3.7168908568164376E-19</c:v>
                  </c:pt>
                  <c:pt idx="1">
                    <c:v>5.4756901615631112E-19</c:v>
                  </c:pt>
                  <c:pt idx="2">
                    <c:v>3.6455436249090802E-19</c:v>
                  </c:pt>
                  <c:pt idx="3">
                    <c:v>3.5764900222696482E-19</c:v>
                  </c:pt>
                  <c:pt idx="4">
                    <c:v>3.3213495115477892E-19</c:v>
                  </c:pt>
                  <c:pt idx="5">
                    <c:v>7.0729116476332431E-19</c:v>
                  </c:pt>
                  <c:pt idx="6">
                    <c:v>1.1456784002830752E-18</c:v>
                  </c:pt>
                  <c:pt idx="7">
                    <c:v>1.1920259038054331E-18</c:v>
                  </c:pt>
                  <c:pt idx="8">
                    <c:v>4.4327742777209677E-19</c:v>
                  </c:pt>
                  <c:pt idx="9">
                    <c:v>7.8911996528970683E-19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(11)'!$A$61:$A$70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(11)'!$B$61:$B$70</c:f>
              <c:numCache>
                <c:formatCode>0.00E+00</c:formatCode>
                <c:ptCount val="10"/>
                <c:pt idx="0">
                  <c:v>2.1343813433460271E-18</c:v>
                </c:pt>
                <c:pt idx="1">
                  <c:v>2.5444001882525998E-18</c:v>
                </c:pt>
                <c:pt idx="2">
                  <c:v>2.1156376247217232E-18</c:v>
                </c:pt>
                <c:pt idx="3">
                  <c:v>2.0972948412551651E-18</c:v>
                </c:pt>
                <c:pt idx="4">
                  <c:v>2.0276863296384645E-18</c:v>
                </c:pt>
                <c:pt idx="5">
                  <c:v>2.078196199814717E-18</c:v>
                </c:pt>
                <c:pt idx="6">
                  <c:v>2.7722555995303193E-18</c:v>
                </c:pt>
                <c:pt idx="7">
                  <c:v>2.8370074968798681E-18</c:v>
                </c:pt>
                <c:pt idx="8">
                  <c:v>1.5459420589284956E-18</c:v>
                </c:pt>
                <c:pt idx="9">
                  <c:v>2.2215969022353006E-18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24-4E2D-8597-E09225CD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(12)'!$C$61:$C$70</c:f>
                <c:numCache>
                  <c:formatCode>General</c:formatCode>
                  <c:ptCount val="10"/>
                  <c:pt idx="0">
                    <c:v>5.1820164758418909E-20</c:v>
                  </c:pt>
                  <c:pt idx="1">
                    <c:v>5.2816341323951137E-20</c:v>
                  </c:pt>
                  <c:pt idx="2">
                    <c:v>4.5406997340794044E-20</c:v>
                  </c:pt>
                  <c:pt idx="3">
                    <c:v>4.9896426215072095E-20</c:v>
                  </c:pt>
                  <c:pt idx="4">
                    <c:v>4.8163039134378708E-20</c:v>
                  </c:pt>
                  <c:pt idx="5">
                    <c:v>1.6918636704538831E-19</c:v>
                  </c:pt>
                  <c:pt idx="6">
                    <c:v>1.9327979751296654E-19</c:v>
                  </c:pt>
                  <c:pt idx="7">
                    <c:v>2.6346427060190624E-19</c:v>
                  </c:pt>
                  <c:pt idx="8">
                    <c:v>1.9646317553851003E-19</c:v>
                  </c:pt>
                  <c:pt idx="9">
                    <c:v>2.1740117603581143E-19</c:v>
                  </c:pt>
                </c:numCache>
              </c:numRef>
            </c:plus>
            <c:minus>
              <c:numRef>
                <c:f>'Misura (12)'!$C$61:$C$70</c:f>
                <c:numCache>
                  <c:formatCode>General</c:formatCode>
                  <c:ptCount val="10"/>
                  <c:pt idx="0">
                    <c:v>5.1820164758418909E-20</c:v>
                  </c:pt>
                  <c:pt idx="1">
                    <c:v>5.2816341323951137E-20</c:v>
                  </c:pt>
                  <c:pt idx="2">
                    <c:v>4.5406997340794044E-20</c:v>
                  </c:pt>
                  <c:pt idx="3">
                    <c:v>4.9896426215072095E-20</c:v>
                  </c:pt>
                  <c:pt idx="4">
                    <c:v>4.8163039134378708E-20</c:v>
                  </c:pt>
                  <c:pt idx="5">
                    <c:v>1.6918636704538831E-19</c:v>
                  </c:pt>
                  <c:pt idx="6">
                    <c:v>1.9327979751296654E-19</c:v>
                  </c:pt>
                  <c:pt idx="7">
                    <c:v>2.6346427060190624E-19</c:v>
                  </c:pt>
                  <c:pt idx="8">
                    <c:v>1.9646317553851003E-19</c:v>
                  </c:pt>
                  <c:pt idx="9">
                    <c:v>2.1740117603581143E-19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(12)'!$A$61:$A$70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(12)'!$B$61:$B$70</c:f>
              <c:numCache>
                <c:formatCode>0.00E+00</c:formatCode>
                <c:ptCount val="10"/>
                <c:pt idx="0">
                  <c:v>7.4860751761249838E-19</c:v>
                </c:pt>
                <c:pt idx="1">
                  <c:v>7.5715406692504225E-19</c:v>
                </c:pt>
                <c:pt idx="2">
                  <c:v>6.899745001704711E-19</c:v>
                </c:pt>
                <c:pt idx="3">
                  <c:v>7.3170187576886838E-19</c:v>
                </c:pt>
                <c:pt idx="4">
                  <c:v>7.1598713671973843E-19</c:v>
                </c:pt>
                <c:pt idx="5">
                  <c:v>8.3430875506295323E-19</c:v>
                </c:pt>
                <c:pt idx="6">
                  <c:v>9.1566528395013945E-19</c:v>
                </c:pt>
                <c:pt idx="7">
                  <c:v>1.1269325338094191E-18</c:v>
                </c:pt>
                <c:pt idx="8">
                  <c:v>9.2602050136934787E-19</c:v>
                </c:pt>
                <c:pt idx="9">
                  <c:v>9.9210561617194952E-19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5-4504-98B1-8AD925D40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(13)'!$C$61:$C$70</c:f>
                <c:numCache>
                  <c:formatCode>General</c:formatCode>
                  <c:ptCount val="10"/>
                  <c:pt idx="0">
                    <c:v>3.3593801029498915E-19</c:v>
                  </c:pt>
                  <c:pt idx="1">
                    <c:v>5.5268626534104834E-19</c:v>
                  </c:pt>
                  <c:pt idx="2">
                    <c:v>4.2751202932959482E-19</c:v>
                  </c:pt>
                  <c:pt idx="3">
                    <c:v>3.8771888276610026E-19</c:v>
                  </c:pt>
                  <c:pt idx="4">
                    <c:v>4.0490893648436251E-19</c:v>
                  </c:pt>
                  <c:pt idx="5">
                    <c:v>3.7412175393872874E-19</c:v>
                  </c:pt>
                  <c:pt idx="6">
                    <c:v>6.4166414819876441E-19</c:v>
                  </c:pt>
                  <c:pt idx="7">
                    <c:v>8.4262679953230342E-19</c:v>
                  </c:pt>
                  <c:pt idx="8">
                    <c:v>5.8315231689720446E-19</c:v>
                  </c:pt>
                  <c:pt idx="9">
                    <c:v>6.6007980872955407E-19</c:v>
                  </c:pt>
                </c:numCache>
              </c:numRef>
            </c:plus>
            <c:minus>
              <c:numRef>
                <c:f>'Misura (13)'!$C$61:$C$70</c:f>
                <c:numCache>
                  <c:formatCode>General</c:formatCode>
                  <c:ptCount val="10"/>
                  <c:pt idx="0">
                    <c:v>3.3593801029498915E-19</c:v>
                  </c:pt>
                  <c:pt idx="1">
                    <c:v>5.5268626534104834E-19</c:v>
                  </c:pt>
                  <c:pt idx="2">
                    <c:v>4.2751202932959482E-19</c:v>
                  </c:pt>
                  <c:pt idx="3">
                    <c:v>3.8771888276610026E-19</c:v>
                  </c:pt>
                  <c:pt idx="4">
                    <c:v>4.0490893648436251E-19</c:v>
                  </c:pt>
                  <c:pt idx="5">
                    <c:v>3.7412175393872874E-19</c:v>
                  </c:pt>
                  <c:pt idx="6">
                    <c:v>6.4166414819876441E-19</c:v>
                  </c:pt>
                  <c:pt idx="7">
                    <c:v>8.4262679953230342E-19</c:v>
                  </c:pt>
                  <c:pt idx="8">
                    <c:v>5.8315231689720446E-19</c:v>
                  </c:pt>
                  <c:pt idx="9">
                    <c:v>6.6007980872955407E-19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(13)'!$A$61:$A$70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(13)'!$B$61:$B$70</c:f>
              <c:numCache>
                <c:formatCode>0.00E+00</c:formatCode>
                <c:ptCount val="10"/>
                <c:pt idx="0">
                  <c:v>1.8914376477912039E-18</c:v>
                </c:pt>
                <c:pt idx="1">
                  <c:v>2.4310600342227413E-18</c:v>
                </c:pt>
                <c:pt idx="2">
                  <c:v>2.1400704792499291E-18</c:v>
                </c:pt>
                <c:pt idx="3">
                  <c:v>2.0366836020713482E-18</c:v>
                </c:pt>
                <c:pt idx="4">
                  <c:v>2.0821283832487476E-18</c:v>
                </c:pt>
                <c:pt idx="5">
                  <c:v>1.3360260801097277E-18</c:v>
                </c:pt>
                <c:pt idx="6">
                  <c:v>1.9088659625510132E-18</c:v>
                </c:pt>
                <c:pt idx="7">
                  <c:v>2.2613828132841306E-18</c:v>
                </c:pt>
                <c:pt idx="8">
                  <c:v>1.7959116195344209E-18</c:v>
                </c:pt>
                <c:pt idx="9">
                  <c:v>1.943322496833202E-18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A-4BBE-BCED-64FC7B08E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(14)'!$C$61:$C$70</c:f>
                <c:numCache>
                  <c:formatCode>General</c:formatCode>
                  <c:ptCount val="10"/>
                  <c:pt idx="0">
                    <c:v>2.2204506682455846E-19</c:v>
                  </c:pt>
                  <c:pt idx="1">
                    <c:v>2.004369526833112E-19</c:v>
                  </c:pt>
                  <c:pt idx="2">
                    <c:v>1.8298670652743817E-19</c:v>
                  </c:pt>
                  <c:pt idx="3">
                    <c:v>2.0345971382773999E-19</c:v>
                  </c:pt>
                  <c:pt idx="4">
                    <c:v>1.6244141564293207E-19</c:v>
                  </c:pt>
                  <c:pt idx="5">
                    <c:v>3.2863052436024736E-19</c:v>
                  </c:pt>
                  <c:pt idx="6">
                    <c:v>3.0951166218494096E-19</c:v>
                  </c:pt>
                  <c:pt idx="7">
                    <c:v>4.1281316996943227E-19</c:v>
                  </c:pt>
                  <c:pt idx="8">
                    <c:v>3.2863052436024736E-19</c:v>
                  </c:pt>
                  <c:pt idx="9">
                    <c:v>3.4155002887948122E-19</c:v>
                  </c:pt>
                </c:numCache>
              </c:numRef>
            </c:plus>
            <c:minus>
              <c:numRef>
                <c:f>'Misura (14)'!$C$61:$C$70</c:f>
                <c:numCache>
                  <c:formatCode>General</c:formatCode>
                  <c:ptCount val="10"/>
                  <c:pt idx="0">
                    <c:v>2.2204506682455846E-19</c:v>
                  </c:pt>
                  <c:pt idx="1">
                    <c:v>2.004369526833112E-19</c:v>
                  </c:pt>
                  <c:pt idx="2">
                    <c:v>1.8298670652743817E-19</c:v>
                  </c:pt>
                  <c:pt idx="3">
                    <c:v>2.0345971382773999E-19</c:v>
                  </c:pt>
                  <c:pt idx="4">
                    <c:v>1.6244141564293207E-19</c:v>
                  </c:pt>
                  <c:pt idx="5">
                    <c:v>3.2863052436024736E-19</c:v>
                  </c:pt>
                  <c:pt idx="6">
                    <c:v>3.0951166218494096E-19</c:v>
                  </c:pt>
                  <c:pt idx="7">
                    <c:v>4.1281316996943227E-19</c:v>
                  </c:pt>
                  <c:pt idx="8">
                    <c:v>3.2863052436024736E-19</c:v>
                  </c:pt>
                  <c:pt idx="9">
                    <c:v>3.4155002887948122E-19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(14)'!$A$61:$A$70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(14)'!$B$61:$B$70</c:f>
              <c:numCache>
                <c:formatCode>0.00E+00</c:formatCode>
                <c:ptCount val="10"/>
                <c:pt idx="0">
                  <c:v>1.8560709925633031E-18</c:v>
                </c:pt>
                <c:pt idx="1">
                  <c:v>1.749827804440345E-18</c:v>
                </c:pt>
                <c:pt idx="2">
                  <c:v>1.6579343456223065E-18</c:v>
                </c:pt>
                <c:pt idx="3">
                  <c:v>1.7651599741673005E-18</c:v>
                </c:pt>
                <c:pt idx="4">
                  <c:v>1.5412253183262896E-18</c:v>
                </c:pt>
                <c:pt idx="5">
                  <c:v>1.6295059477229605E-18</c:v>
                </c:pt>
                <c:pt idx="6">
                  <c:v>1.5649106296782832E-18</c:v>
                </c:pt>
                <c:pt idx="7">
                  <c:v>1.8936223182327474E-18</c:v>
                </c:pt>
                <c:pt idx="8">
                  <c:v>1.6295059477229605E-18</c:v>
                </c:pt>
                <c:pt idx="9">
                  <c:v>1.6720925234380805E-18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EC-4FC4-A38A-44DE7987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(15)'!$C$61:$C$70</c:f>
                <c:numCache>
                  <c:formatCode>General</c:formatCode>
                  <c:ptCount val="10"/>
                  <c:pt idx="0">
                    <c:v>2.1220706550045098E-19</c:v>
                  </c:pt>
                  <c:pt idx="1">
                    <c:v>2.8939309391376681E-19</c:v>
                  </c:pt>
                  <c:pt idx="2">
                    <c:v>1.864349353704291E-19</c:v>
                  </c:pt>
                  <c:pt idx="3">
                    <c:v>1.9500128129060243E-19</c:v>
                  </c:pt>
                  <c:pt idx="4">
                    <c:v>2.2706888534852191E-19</c:v>
                  </c:pt>
                  <c:pt idx="5">
                    <c:v>2.8217620261301542E-19</c:v>
                  </c:pt>
                  <c:pt idx="6">
                    <c:v>3.4050698349434333E-19</c:v>
                  </c:pt>
                  <c:pt idx="7">
                    <c:v>3.5258101768190195E-19</c:v>
                  </c:pt>
                  <c:pt idx="8">
                    <c:v>3.1560109443508653E-19</c:v>
                  </c:pt>
                  <c:pt idx="9">
                    <c:v>3.5258101768190643E-19</c:v>
                  </c:pt>
                </c:numCache>
              </c:numRef>
            </c:plus>
            <c:minus>
              <c:numRef>
                <c:f>'Misura (15)'!$C$61:$C$70</c:f>
                <c:numCache>
                  <c:formatCode>General</c:formatCode>
                  <c:ptCount val="10"/>
                  <c:pt idx="0">
                    <c:v>2.1220706550045098E-19</c:v>
                  </c:pt>
                  <c:pt idx="1">
                    <c:v>2.8939309391376681E-19</c:v>
                  </c:pt>
                  <c:pt idx="2">
                    <c:v>1.864349353704291E-19</c:v>
                  </c:pt>
                  <c:pt idx="3">
                    <c:v>1.9500128129060243E-19</c:v>
                  </c:pt>
                  <c:pt idx="4">
                    <c:v>2.2706888534852191E-19</c:v>
                  </c:pt>
                  <c:pt idx="5">
                    <c:v>2.8217620261301542E-19</c:v>
                  </c:pt>
                  <c:pt idx="6">
                    <c:v>3.4050698349434333E-19</c:v>
                  </c:pt>
                  <c:pt idx="7">
                    <c:v>3.5258101768190195E-19</c:v>
                  </c:pt>
                  <c:pt idx="8">
                    <c:v>3.1560109443508653E-19</c:v>
                  </c:pt>
                  <c:pt idx="9">
                    <c:v>3.5258101768190643E-19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(15)'!$A$61:$A$70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(15)'!$B$61:$B$70</c:f>
              <c:numCache>
                <c:formatCode>0.00E+00</c:formatCode>
                <c:ptCount val="10"/>
                <c:pt idx="0">
                  <c:v>1.731643856080385E-18</c:v>
                </c:pt>
                <c:pt idx="1">
                  <c:v>2.0275685724231745E-18</c:v>
                </c:pt>
                <c:pt idx="2">
                  <c:v>1.6182521423415631E-18</c:v>
                </c:pt>
                <c:pt idx="3">
                  <c:v>1.6569797738031377E-18</c:v>
                </c:pt>
                <c:pt idx="4">
                  <c:v>1.7931628534496752E-18</c:v>
                </c:pt>
                <c:pt idx="5">
                  <c:v>1.5051366694183184E-18</c:v>
                </c:pt>
                <c:pt idx="6">
                  <c:v>1.6921645743732133E-18</c:v>
                </c:pt>
                <c:pt idx="7">
                  <c:v>1.7287759013694313E-18</c:v>
                </c:pt>
                <c:pt idx="8">
                  <c:v>1.6144859365029291E-18</c:v>
                </c:pt>
                <c:pt idx="9">
                  <c:v>1.7287759013694448E-18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E-49D1-BE3E-6ECD35485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(16)'!$C$61:$C$70</c:f>
                <c:numCache>
                  <c:formatCode>General</c:formatCode>
                  <c:ptCount val="10"/>
                  <c:pt idx="0">
                    <c:v>2.5600246139800609E-19</c:v>
                  </c:pt>
                  <c:pt idx="1">
                    <c:v>2.5340804524467871E-19</c:v>
                  </c:pt>
                  <c:pt idx="2">
                    <c:v>2.8031279794866189E-19</c:v>
                  </c:pt>
                  <c:pt idx="3">
                    <c:v>2.5999236667448804E-19</c:v>
                  </c:pt>
                  <c:pt idx="4">
                    <c:v>3.0754425739707997E-19</c:v>
                  </c:pt>
                  <c:pt idx="5">
                    <c:v>3.4061778768623921E-19</c:v>
                  </c:pt>
                  <c:pt idx="6">
                    <c:v>5.3753071735839332E-19</c:v>
                  </c:pt>
                  <c:pt idx="7">
                    <c:v>6.0858529299945927E-19</c:v>
                  </c:pt>
                  <c:pt idx="8">
                    <c:v>4.8769706496032014E-19</c:v>
                  </c:pt>
                  <c:pt idx="9">
                    <c:v>5.3753071735839332E-19</c:v>
                  </c:pt>
                </c:numCache>
              </c:numRef>
            </c:plus>
            <c:minus>
              <c:numRef>
                <c:f>'Misura (16)'!$C$61:$C$70</c:f>
                <c:numCache>
                  <c:formatCode>General</c:formatCode>
                  <c:ptCount val="10"/>
                  <c:pt idx="0">
                    <c:v>2.5600246139800609E-19</c:v>
                  </c:pt>
                  <c:pt idx="1">
                    <c:v>2.5340804524467871E-19</c:v>
                  </c:pt>
                  <c:pt idx="2">
                    <c:v>2.8031279794866189E-19</c:v>
                  </c:pt>
                  <c:pt idx="3">
                    <c:v>2.5999236667448804E-19</c:v>
                  </c:pt>
                  <c:pt idx="4">
                    <c:v>3.0754425739707997E-19</c:v>
                  </c:pt>
                  <c:pt idx="5">
                    <c:v>3.4061778768623921E-19</c:v>
                  </c:pt>
                  <c:pt idx="6">
                    <c:v>5.3753071735839332E-19</c:v>
                  </c:pt>
                  <c:pt idx="7">
                    <c:v>6.0858529299945927E-19</c:v>
                  </c:pt>
                  <c:pt idx="8">
                    <c:v>4.8769706496032014E-19</c:v>
                  </c:pt>
                  <c:pt idx="9">
                    <c:v>5.3753071735839332E-19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(16)'!$A$61:$A$70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(16)'!$B$61:$B$70</c:f>
              <c:numCache>
                <c:formatCode>0.00E+00</c:formatCode>
                <c:ptCount val="10"/>
                <c:pt idx="0">
                  <c:v>2.2021368639777403E-18</c:v>
                </c:pt>
                <c:pt idx="1">
                  <c:v>2.1907941830103838E-18</c:v>
                </c:pt>
                <c:pt idx="2">
                  <c:v>2.304954697571687E-18</c:v>
                </c:pt>
                <c:pt idx="3">
                  <c:v>2.2194344524529566E-18</c:v>
                </c:pt>
                <c:pt idx="4">
                  <c:v>2.4135518342303786E-18</c:v>
                </c:pt>
                <c:pt idx="5">
                  <c:v>1.6844817810707857E-18</c:v>
                </c:pt>
                <c:pt idx="6">
                  <c:v>2.2716896840624222E-18</c:v>
                </c:pt>
                <c:pt idx="7">
                  <c:v>2.4556495299072499E-18</c:v>
                </c:pt>
                <c:pt idx="8">
                  <c:v>2.135168902942085E-18</c:v>
                </c:pt>
                <c:pt idx="9">
                  <c:v>2.2716896840624222E-18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A7-48F0-9FE4-30886CFE8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(17)'!$C$61:$C$70</c:f>
                <c:numCache>
                  <c:formatCode>General</c:formatCode>
                  <c:ptCount val="10"/>
                  <c:pt idx="0">
                    <c:v>1.0178793799426031E-19</c:v>
                  </c:pt>
                  <c:pt idx="1">
                    <c:v>1.0274322155588898E-19</c:v>
                  </c:pt>
                  <c:pt idx="2">
                    <c:v>9.4117490093693436E-20</c:v>
                  </c:pt>
                  <c:pt idx="3">
                    <c:v>1.0389428019312922E-19</c:v>
                  </c:pt>
                  <c:pt idx="4">
                    <c:v>9.9372111546191878E-20</c:v>
                  </c:pt>
                  <c:pt idx="5">
                    <c:v>1.3197100710790716E-19</c:v>
                  </c:pt>
                  <c:pt idx="6">
                    <c:v>1.3931007992644442E-19</c:v>
                  </c:pt>
                  <c:pt idx="7">
                    <c:v>1.220633862152438E-19</c:v>
                  </c:pt>
                  <c:pt idx="8">
                    <c:v>1.0651232911143143E-19</c:v>
                  </c:pt>
                  <c:pt idx="9">
                    <c:v>1.2949888466498787E-19</c:v>
                  </c:pt>
                </c:numCache>
              </c:numRef>
            </c:plus>
            <c:minus>
              <c:numRef>
                <c:f>'Misura (17)'!$C$61:$C$70</c:f>
                <c:numCache>
                  <c:formatCode>General</c:formatCode>
                  <c:ptCount val="10"/>
                  <c:pt idx="0">
                    <c:v>1.0178793799426031E-19</c:v>
                  </c:pt>
                  <c:pt idx="1">
                    <c:v>1.0274322155588898E-19</c:v>
                  </c:pt>
                  <c:pt idx="2">
                    <c:v>9.4117490093693436E-20</c:v>
                  </c:pt>
                  <c:pt idx="3">
                    <c:v>1.0389428019312922E-19</c:v>
                  </c:pt>
                  <c:pt idx="4">
                    <c:v>9.9372111546191878E-20</c:v>
                  </c:pt>
                  <c:pt idx="5">
                    <c:v>1.3197100710790716E-19</c:v>
                  </c:pt>
                  <c:pt idx="6">
                    <c:v>1.3931007992644442E-19</c:v>
                  </c:pt>
                  <c:pt idx="7">
                    <c:v>1.220633862152438E-19</c:v>
                  </c:pt>
                  <c:pt idx="8">
                    <c:v>1.0651232911143143E-19</c:v>
                  </c:pt>
                  <c:pt idx="9">
                    <c:v>1.2949888466498787E-19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(17)'!$A$61:$A$70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(17)'!$B$61:$B$70</c:f>
              <c:numCache>
                <c:formatCode>0.00E+00</c:formatCode>
                <c:ptCount val="10"/>
                <c:pt idx="0">
                  <c:v>7.409583946770674E-19</c:v>
                </c:pt>
                <c:pt idx="1">
                  <c:v>7.4739965814114042E-19</c:v>
                </c:pt>
                <c:pt idx="2">
                  <c:v>6.886543119107028E-19</c:v>
                </c:pt>
                <c:pt idx="3">
                  <c:v>7.5513904596617283E-19</c:v>
                </c:pt>
                <c:pt idx="4">
                  <c:v>7.2459610472809863E-19</c:v>
                </c:pt>
                <c:pt idx="5">
                  <c:v>7.3864905884063535E-19</c:v>
                </c:pt>
                <c:pt idx="6">
                  <c:v>7.7305349558872037E-19</c:v>
                </c:pt>
                <c:pt idx="7">
                  <c:v>6.9111049590156012E-19</c:v>
                </c:pt>
                <c:pt idx="8">
                  <c:v>6.1379178617012727E-19</c:v>
                </c:pt>
                <c:pt idx="9">
                  <c:v>7.2690722420281347E-19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F6-4643-A10C-1ED181D0C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(18)'!$C$61:$C$70</c:f>
                <c:numCache>
                  <c:formatCode>General</c:formatCode>
                  <c:ptCount val="10"/>
                  <c:pt idx="0">
                    <c:v>9.23552400788586E-20</c:v>
                  </c:pt>
                  <c:pt idx="1">
                    <c:v>9.3214150423829879E-20</c:v>
                  </c:pt>
                  <c:pt idx="2">
                    <c:v>9.4453405010519363E-20</c:v>
                  </c:pt>
                  <c:pt idx="3">
                    <c:v>9.1587789812843918E-20</c:v>
                  </c:pt>
                  <c:pt idx="4">
                    <c:v>9.1968543255123578E-20</c:v>
                  </c:pt>
                  <c:pt idx="5">
                    <c:v>7.3246580732809098E-20</c:v>
                  </c:pt>
                  <c:pt idx="6">
                    <c:v>1.0691167721558865E-19</c:v>
                  </c:pt>
                  <c:pt idx="7">
                    <c:v>1.1359547215415235E-19</c:v>
                  </c:pt>
                  <c:pt idx="8">
                    <c:v>1.0749478559895536E-19</c:v>
                  </c:pt>
                  <c:pt idx="9">
                    <c:v>1.0052755297516826E-19</c:v>
                  </c:pt>
                </c:numCache>
              </c:numRef>
            </c:plus>
            <c:minus>
              <c:numRef>
                <c:f>'Misura (18)'!$C$61:$C$70</c:f>
                <c:numCache>
                  <c:formatCode>General</c:formatCode>
                  <c:ptCount val="10"/>
                  <c:pt idx="0">
                    <c:v>9.23552400788586E-20</c:v>
                  </c:pt>
                  <c:pt idx="1">
                    <c:v>9.3214150423829879E-20</c:v>
                  </c:pt>
                  <c:pt idx="2">
                    <c:v>9.4453405010519363E-20</c:v>
                  </c:pt>
                  <c:pt idx="3">
                    <c:v>9.1587789812843918E-20</c:v>
                  </c:pt>
                  <c:pt idx="4">
                    <c:v>9.1968543255123578E-20</c:v>
                  </c:pt>
                  <c:pt idx="5">
                    <c:v>7.3246580732809098E-20</c:v>
                  </c:pt>
                  <c:pt idx="6">
                    <c:v>1.0691167721558865E-19</c:v>
                  </c:pt>
                  <c:pt idx="7">
                    <c:v>1.1359547215415235E-19</c:v>
                  </c:pt>
                  <c:pt idx="8">
                    <c:v>1.0749478559895536E-19</c:v>
                  </c:pt>
                  <c:pt idx="9">
                    <c:v>1.0052755297516826E-19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(18)'!$A$61:$A$70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(18)'!$B$61:$B$70</c:f>
              <c:numCache>
                <c:formatCode>0.00E+00</c:formatCode>
                <c:ptCount val="10"/>
                <c:pt idx="0">
                  <c:v>4.6159066800866917E-19</c:v>
                </c:pt>
                <c:pt idx="1">
                  <c:v>4.6582765170593911E-19</c:v>
                </c:pt>
                <c:pt idx="2">
                  <c:v>4.7193705409986663E-19</c:v>
                </c:pt>
                <c:pt idx="3">
                  <c:v>4.5780306137020032E-19</c:v>
                </c:pt>
                <c:pt idx="4">
                  <c:v>4.5968240817554738E-19</c:v>
                </c:pt>
                <c:pt idx="5">
                  <c:v>3.3610482447961185E-19</c:v>
                </c:pt>
                <c:pt idx="6">
                  <c:v>4.8352858848451526E-19</c:v>
                </c:pt>
                <c:pt idx="7">
                  <c:v>5.1190153617244758E-19</c:v>
                </c:pt>
                <c:pt idx="8">
                  <c:v>4.8601566261100761E-19</c:v>
                </c:pt>
                <c:pt idx="9">
                  <c:v>4.5615160899453739E-19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1-418E-B206-85054E80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(19)'!$C$61:$C$70</c:f>
                <c:numCache>
                  <c:formatCode>General</c:formatCode>
                  <c:ptCount val="10"/>
                  <c:pt idx="0">
                    <c:v>4.0467056172759682E-19</c:v>
                  </c:pt>
                  <c:pt idx="1">
                    <c:v>4.4298563815780639E-19</c:v>
                  </c:pt>
                  <c:pt idx="2">
                    <c:v>4.711404627779075E-19</c:v>
                  </c:pt>
                  <c:pt idx="3">
                    <c:v>4.1358535426656862E-19</c:v>
                  </c:pt>
                  <c:pt idx="4">
                    <c:v>4.2112560448372642E-19</c:v>
                  </c:pt>
                  <c:pt idx="5">
                    <c:v>7.2397002171940924E-19</c:v>
                  </c:pt>
                  <c:pt idx="6">
                    <c:v>4.7190035426769105E-19</c:v>
                  </c:pt>
                  <c:pt idx="7">
                    <c:v>5.2070941541885397E-19</c:v>
                  </c:pt>
                  <c:pt idx="8">
                    <c:v>6.3955557683529658E-19</c:v>
                  </c:pt>
                  <c:pt idx="9">
                    <c:v>5.1128495680917936E-19</c:v>
                  </c:pt>
                </c:numCache>
              </c:numRef>
            </c:plus>
            <c:minus>
              <c:numRef>
                <c:f>'Misura (19)'!$C$61:$C$70</c:f>
                <c:numCache>
                  <c:formatCode>General</c:formatCode>
                  <c:ptCount val="10"/>
                  <c:pt idx="0">
                    <c:v>4.0467056172759682E-19</c:v>
                  </c:pt>
                  <c:pt idx="1">
                    <c:v>4.4298563815780639E-19</c:v>
                  </c:pt>
                  <c:pt idx="2">
                    <c:v>4.711404627779075E-19</c:v>
                  </c:pt>
                  <c:pt idx="3">
                    <c:v>4.1358535426656862E-19</c:v>
                  </c:pt>
                  <c:pt idx="4">
                    <c:v>4.2112560448372642E-19</c:v>
                  </c:pt>
                  <c:pt idx="5">
                    <c:v>7.2397002171940924E-19</c:v>
                  </c:pt>
                  <c:pt idx="6">
                    <c:v>4.7190035426769105E-19</c:v>
                  </c:pt>
                  <c:pt idx="7">
                    <c:v>5.2070941541885397E-19</c:v>
                  </c:pt>
                  <c:pt idx="8">
                    <c:v>6.3955557683529658E-19</c:v>
                  </c:pt>
                  <c:pt idx="9">
                    <c:v>5.1128495680917936E-19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(19)'!$A$61:$A$70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(19)'!$B$61:$B$70</c:f>
              <c:numCache>
                <c:formatCode>0.00E+00</c:formatCode>
                <c:ptCount val="10"/>
                <c:pt idx="0">
                  <c:v>1.9676224548295804E-18</c:v>
                </c:pt>
                <c:pt idx="1">
                  <c:v>2.0953935426936981E-18</c:v>
                </c:pt>
                <c:pt idx="2">
                  <c:v>2.1849464402338365E-18</c:v>
                </c:pt>
                <c:pt idx="3">
                  <c:v>1.9979995036073646E-18</c:v>
                </c:pt>
                <c:pt idx="4">
                  <c:v>2.023378022018786E-18</c:v>
                </c:pt>
                <c:pt idx="5">
                  <c:v>2.4234326909832056E-18</c:v>
                </c:pt>
                <c:pt idx="6">
                  <c:v>1.8091241290355264E-18</c:v>
                </c:pt>
                <c:pt idx="7">
                  <c:v>1.9390571324185588E-18</c:v>
                </c:pt>
                <c:pt idx="8">
                  <c:v>2.2319773310626225E-18</c:v>
                </c:pt>
                <c:pt idx="9">
                  <c:v>1.9144533038146956E-18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A-4AF5-B357-D4549060E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(20)'!$C$61:$C$70</c:f>
                <c:numCache>
                  <c:formatCode>General</c:formatCode>
                  <c:ptCount val="10"/>
                  <c:pt idx="0">
                    <c:v>4.5433511065897546E-20</c:v>
                  </c:pt>
                  <c:pt idx="1">
                    <c:v>4.5182638419596739E-20</c:v>
                  </c:pt>
                  <c:pt idx="2">
                    <c:v>4.3482878650497949E-20</c:v>
                  </c:pt>
                  <c:pt idx="3">
                    <c:v>4.7404824412332147E-20</c:v>
                  </c:pt>
                  <c:pt idx="4">
                    <c:v>4.6819114038303942E-20</c:v>
                  </c:pt>
                  <c:pt idx="5">
                    <c:v>7.3421802169311908E-20</c:v>
                  </c:pt>
                  <c:pt idx="6">
                    <c:v>1.0431574684964284E-19</c:v>
                  </c:pt>
                  <c:pt idx="7">
                    <c:v>9.0602158132860089E-20</c:v>
                  </c:pt>
                  <c:pt idx="8">
                    <c:v>9.6121681696920931E-20</c:v>
                  </c:pt>
                  <c:pt idx="9">
                    <c:v>9.6121681696920931E-20</c:v>
                  </c:pt>
                </c:numCache>
              </c:numRef>
            </c:plus>
            <c:minus>
              <c:numRef>
                <c:f>'Misura (20)'!$C$61:$C$70</c:f>
                <c:numCache>
                  <c:formatCode>General</c:formatCode>
                  <c:ptCount val="10"/>
                  <c:pt idx="0">
                    <c:v>4.5433511065897546E-20</c:v>
                  </c:pt>
                  <c:pt idx="1">
                    <c:v>4.5182638419596739E-20</c:v>
                  </c:pt>
                  <c:pt idx="2">
                    <c:v>4.3482878650497949E-20</c:v>
                  </c:pt>
                  <c:pt idx="3">
                    <c:v>4.7404824412332147E-20</c:v>
                  </c:pt>
                  <c:pt idx="4">
                    <c:v>4.6819114038303942E-20</c:v>
                  </c:pt>
                  <c:pt idx="5">
                    <c:v>7.3421802169311908E-20</c:v>
                  </c:pt>
                  <c:pt idx="6">
                    <c:v>1.0431574684964284E-19</c:v>
                  </c:pt>
                  <c:pt idx="7">
                    <c:v>9.0602158132860089E-20</c:v>
                  </c:pt>
                  <c:pt idx="8">
                    <c:v>9.6121681696920931E-20</c:v>
                  </c:pt>
                  <c:pt idx="9">
                    <c:v>9.6121681696920931E-20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(20)'!$A$61:$A$70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(20)'!$B$61:$B$70</c:f>
              <c:numCache>
                <c:formatCode>0.00E+00</c:formatCode>
                <c:ptCount val="10"/>
                <c:pt idx="0">
                  <c:v>7.2619959882858048E-19</c:v>
                </c:pt>
                <c:pt idx="1">
                  <c:v>7.2379147744400785E-19</c:v>
                </c:pt>
                <c:pt idx="2">
                  <c:v>7.072112938369143E-19</c:v>
                </c:pt>
                <c:pt idx="3">
                  <c:v>7.4479191482261292E-19</c:v>
                </c:pt>
                <c:pt idx="4">
                  <c:v>7.3932763160408483E-19</c:v>
                </c:pt>
                <c:pt idx="5">
                  <c:v>6.455071683953174E-19</c:v>
                </c:pt>
                <c:pt idx="6">
                  <c:v>8.1790306681716528E-19</c:v>
                </c:pt>
                <c:pt idx="7">
                  <c:v>7.4508579695967155E-19</c:v>
                </c:pt>
                <c:pt idx="8">
                  <c:v>7.7502127852642891E-19</c:v>
                </c:pt>
                <c:pt idx="9">
                  <c:v>7.7502127852642891E-19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67-4055-B462-255287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(21)'!$C$61:$C$70</c:f>
                <c:numCache>
                  <c:formatCode>General</c:formatCode>
                  <c:ptCount val="10"/>
                  <c:pt idx="0">
                    <c:v>1.2936608770918652E-19</c:v>
                  </c:pt>
                  <c:pt idx="1">
                    <c:v>1.2936608770918616E-19</c:v>
                  </c:pt>
                  <c:pt idx="2">
                    <c:v>1.3145976955649447E-19</c:v>
                  </c:pt>
                  <c:pt idx="3">
                    <c:v>1.3362570802983315E-19</c:v>
                  </c:pt>
                  <c:pt idx="4">
                    <c:v>1.2010963656364757E-19</c:v>
                  </c:pt>
                  <c:pt idx="5">
                    <c:v>1.5412305096026204E-19</c:v>
                  </c:pt>
                  <c:pt idx="6">
                    <c:v>1.6439538417838571E-19</c:v>
                  </c:pt>
                  <c:pt idx="7">
                    <c:v>1.9048629476625642E-19</c:v>
                  </c:pt>
                  <c:pt idx="8">
                    <c:v>1.9027946914386023E-19</c:v>
                  </c:pt>
                  <c:pt idx="9">
                    <c:v>1.591975448108531E-19</c:v>
                  </c:pt>
                </c:numCache>
              </c:numRef>
            </c:plus>
            <c:minus>
              <c:numRef>
                <c:f>'Misura (21)'!$C$61:$C$70</c:f>
                <c:numCache>
                  <c:formatCode>General</c:formatCode>
                  <c:ptCount val="10"/>
                  <c:pt idx="0">
                    <c:v>1.2936608770918652E-19</c:v>
                  </c:pt>
                  <c:pt idx="1">
                    <c:v>1.2936608770918616E-19</c:v>
                  </c:pt>
                  <c:pt idx="2">
                    <c:v>1.3145976955649447E-19</c:v>
                  </c:pt>
                  <c:pt idx="3">
                    <c:v>1.3362570802983315E-19</c:v>
                  </c:pt>
                  <c:pt idx="4">
                    <c:v>1.2010963656364757E-19</c:v>
                  </c:pt>
                  <c:pt idx="5">
                    <c:v>1.5412305096026204E-19</c:v>
                  </c:pt>
                  <c:pt idx="6">
                    <c:v>1.6439538417838571E-19</c:v>
                  </c:pt>
                  <c:pt idx="7">
                    <c:v>1.9048629476625642E-19</c:v>
                  </c:pt>
                  <c:pt idx="8">
                    <c:v>1.9027946914386023E-19</c:v>
                  </c:pt>
                  <c:pt idx="9">
                    <c:v>1.591975448108531E-19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(21)'!$A$61:$A$70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(21)'!$B$61:$B$70</c:f>
              <c:numCache>
                <c:formatCode>0.00E+00</c:formatCode>
                <c:ptCount val="10"/>
                <c:pt idx="0">
                  <c:v>1.0271963813071417E-18</c:v>
                </c:pt>
                <c:pt idx="1">
                  <c:v>1.0271963813071394E-18</c:v>
                </c:pt>
                <c:pt idx="2">
                  <c:v>1.0397349102524868E-18</c:v>
                </c:pt>
                <c:pt idx="3">
                  <c:v>1.0525798021638851E-18</c:v>
                </c:pt>
                <c:pt idx="4">
                  <c:v>9.7026394554858617E-19</c:v>
                </c:pt>
                <c:pt idx="5">
                  <c:v>9.1145625488825836E-19</c:v>
                </c:pt>
                <c:pt idx="6">
                  <c:v>9.5637959903811643E-19</c:v>
                </c:pt>
                <c:pt idx="7">
                  <c:v>1.0649108370153811E-18</c:v>
                </c:pt>
                <c:pt idx="8">
                  <c:v>1.064079347443294E-18</c:v>
                </c:pt>
                <c:pt idx="9">
                  <c:v>9.3381502880531661E-19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2-444A-A745-881252490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(22)'!$C$61:$C$70</c:f>
                <c:numCache>
                  <c:formatCode>General</c:formatCode>
                  <c:ptCount val="10"/>
                  <c:pt idx="0">
                    <c:v>7.9274907697534007E-20</c:v>
                  </c:pt>
                  <c:pt idx="1">
                    <c:v>6.9315159820453615E-20</c:v>
                  </c:pt>
                  <c:pt idx="2">
                    <c:v>7.8205386611623502E-20</c:v>
                  </c:pt>
                  <c:pt idx="3">
                    <c:v>7.6161173809261215E-20</c:v>
                  </c:pt>
                  <c:pt idx="4">
                    <c:v>7.4801081943060945E-20</c:v>
                  </c:pt>
                  <c:pt idx="5">
                    <c:v>2.9608602968273747E-20</c:v>
                  </c:pt>
                  <c:pt idx="6">
                    <c:v>3.8955763096103906E-20</c:v>
                  </c:pt>
                  <c:pt idx="7">
                    <c:v>4.2864160277393117E-20</c:v>
                  </c:pt>
                  <c:pt idx="8">
                    <c:v>4.2625780832997821E-20</c:v>
                  </c:pt>
                  <c:pt idx="9">
                    <c:v>3.3893844446652269E-20</c:v>
                  </c:pt>
                </c:numCache>
              </c:numRef>
            </c:plus>
            <c:minus>
              <c:numRef>
                <c:f>'Misura (22)'!$C$61:$C$70</c:f>
                <c:numCache>
                  <c:formatCode>General</c:formatCode>
                  <c:ptCount val="10"/>
                  <c:pt idx="0">
                    <c:v>7.9274907697534007E-20</c:v>
                  </c:pt>
                  <c:pt idx="1">
                    <c:v>6.9315159820453615E-20</c:v>
                  </c:pt>
                  <c:pt idx="2">
                    <c:v>7.8205386611623502E-20</c:v>
                  </c:pt>
                  <c:pt idx="3">
                    <c:v>7.6161173809261215E-20</c:v>
                  </c:pt>
                  <c:pt idx="4">
                    <c:v>7.4801081943060945E-20</c:v>
                  </c:pt>
                  <c:pt idx="5">
                    <c:v>2.9608602968273747E-20</c:v>
                  </c:pt>
                  <c:pt idx="6">
                    <c:v>3.8955763096103906E-20</c:v>
                  </c:pt>
                  <c:pt idx="7">
                    <c:v>4.2864160277393117E-20</c:v>
                  </c:pt>
                  <c:pt idx="8">
                    <c:v>4.2625780832997821E-20</c:v>
                  </c:pt>
                  <c:pt idx="9">
                    <c:v>3.3893844446652269E-20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(22)'!$A$61:$A$70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(22)'!$B$61:$B$70</c:f>
              <c:numCache>
                <c:formatCode>0.00E+00</c:formatCode>
                <c:ptCount val="10"/>
                <c:pt idx="0">
                  <c:v>5.1199404624120645E-19</c:v>
                </c:pt>
                <c:pt idx="1">
                  <c:v>4.4975760896644138E-19</c:v>
                </c:pt>
                <c:pt idx="2">
                  <c:v>5.0537059405323505E-19</c:v>
                </c:pt>
                <c:pt idx="3">
                  <c:v>4.9266907199622926E-19</c:v>
                </c:pt>
                <c:pt idx="4">
                  <c:v>4.8418866841959694E-19</c:v>
                </c:pt>
                <c:pt idx="5">
                  <c:v>1.49379607193673E-19</c:v>
                </c:pt>
                <c:pt idx="6">
                  <c:v>2.0206829431512281E-19</c:v>
                </c:pt>
                <c:pt idx="7">
                  <c:v>2.2344526011081656E-19</c:v>
                </c:pt>
                <c:pt idx="8">
                  <c:v>2.2215134339858021E-19</c:v>
                </c:pt>
                <c:pt idx="9">
                  <c:v>1.7383344002051928E-19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0-40D8-B65C-17302AF6A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61936"/>
        <c:axId val="458066528"/>
      </c:scatterChart>
      <c:valAx>
        <c:axId val="45806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6528"/>
        <c:crosses val="autoZero"/>
        <c:crossBetween val="midCat"/>
      </c:valAx>
      <c:valAx>
        <c:axId val="458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0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29</xdr:row>
      <xdr:rowOff>28574</xdr:rowOff>
    </xdr:from>
    <xdr:to>
      <xdr:col>26</xdr:col>
      <xdr:colOff>276224</xdr:colOff>
      <xdr:row>44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2524D6-1673-4F7B-A073-AF2257EB3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29</xdr:row>
      <xdr:rowOff>28574</xdr:rowOff>
    </xdr:from>
    <xdr:to>
      <xdr:col>26</xdr:col>
      <xdr:colOff>276224</xdr:colOff>
      <xdr:row>44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7A7E5-6403-45B7-A574-5AB9896D3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29</xdr:row>
      <xdr:rowOff>28574</xdr:rowOff>
    </xdr:from>
    <xdr:to>
      <xdr:col>26</xdr:col>
      <xdr:colOff>276224</xdr:colOff>
      <xdr:row>44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24274-EE7B-4144-B936-0A483BA7D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29</xdr:row>
      <xdr:rowOff>28574</xdr:rowOff>
    </xdr:from>
    <xdr:to>
      <xdr:col>26</xdr:col>
      <xdr:colOff>276224</xdr:colOff>
      <xdr:row>44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ED361-3A84-450A-8EBA-A44491245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AD4557-A8CF-48D7-A04E-79AC41C28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F4013-1CC0-4D60-BB02-4A201D905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3D173B-6DEA-4285-9D35-A43C740FC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81EACA-C900-4790-B0FC-52E0A7481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D944E-735C-4C1D-A491-7106C44B0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50A1F5-27FF-431F-829D-F9870038E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D4ACFC-B94F-4C8B-86ED-E08045EB8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E3640-45CE-4D7A-8E83-34655F700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0F1393-FFBD-497D-9C39-0028AFB0C0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3F0BE-D48A-43F6-A477-80CDA85E9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91C04-EB2A-43A9-A4D2-0FC5EA63A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C0BA9-4AE4-4508-83E5-E685A4BF1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F105C-04D6-408D-8446-63A2FDD99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B9685-F6C6-41E5-9D4E-50D7AFE67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F0DF8-AB9E-40F6-BD57-3E794E17A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8EFBD3-21AC-4B08-BF62-239E98812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DB0A0-1C44-4925-9596-7186DC2E1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F9E915-3F76-4E2B-A981-31825C1B5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95249</xdr:rowOff>
    </xdr:from>
    <xdr:to>
      <xdr:col>25</xdr:col>
      <xdr:colOff>561974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E901D9-6F53-4550-87D1-9CCE35C82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ssa\Documents\Scuola\Corsi\Fisica\Laboratorio\LaboratorioOtticaElettronicaFModerna\Git\Millikan\Analysis\Excel\Analysis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Misura prova"/>
      <sheetName val="Misura (1)"/>
      <sheetName val="Misura (2)"/>
      <sheetName val="Misura (3)"/>
      <sheetName val="Misura (4)"/>
      <sheetName val="Misura (5)"/>
      <sheetName val="Misura (6)"/>
      <sheetName val="Misura (7)"/>
      <sheetName val="Misura (8)"/>
      <sheetName val="Misura (9)"/>
      <sheetName val="Misura (10)"/>
      <sheetName val="Misura (11)"/>
      <sheetName val="Misura (12)"/>
      <sheetName val="Misura (13)"/>
      <sheetName val="Misura (14)"/>
      <sheetName val="Misura (15)"/>
      <sheetName val="Misura (16)"/>
      <sheetName val="Misura (17)"/>
      <sheetName val="Misura (18)"/>
      <sheetName val="Misura (19)"/>
      <sheetName val="Misura (20)"/>
      <sheetName val="Misura (21)"/>
      <sheetName val="Misura (22)"/>
      <sheetName val="Sheet21"/>
    </sheetNames>
    <sheetDataSet>
      <sheetData sheetId="0">
        <row r="1">
          <cell r="A1" t="str">
            <v>Costanti varie</v>
          </cell>
        </row>
        <row r="5">
          <cell r="A5" t="str">
            <v>d</v>
          </cell>
          <cell r="C5">
            <v>1.0000000000000001E-5</v>
          </cell>
        </row>
        <row r="6">
          <cell r="A6" t="str">
            <v>g</v>
          </cell>
          <cell r="B6">
            <v>9.8059999999999992</v>
          </cell>
          <cell r="C6">
            <v>0</v>
          </cell>
        </row>
        <row r="7">
          <cell r="A7" t="str">
            <v>pressione</v>
          </cell>
          <cell r="B7">
            <v>101325</v>
          </cell>
          <cell r="C7">
            <v>0</v>
          </cell>
        </row>
        <row r="8">
          <cell r="A8" t="str">
            <v>densità aria</v>
          </cell>
          <cell r="C8">
            <v>0</v>
          </cell>
        </row>
        <row r="9">
          <cell r="A9" t="str">
            <v>densità olio</v>
          </cell>
          <cell r="C9">
            <v>0</v>
          </cell>
        </row>
        <row r="10">
          <cell r="A10" t="str">
            <v>cst corr vis</v>
          </cell>
          <cell r="B10">
            <v>8.2000000000000007E-3</v>
          </cell>
          <cell r="C10">
            <v>0</v>
          </cell>
        </row>
        <row r="11">
          <cell r="A11" t="str">
            <v>e</v>
          </cell>
          <cell r="B11">
            <v>1.6021766200000001E-19</v>
          </cell>
          <cell r="C11">
            <v>0</v>
          </cell>
        </row>
        <row r="12">
          <cell r="A12" t="str">
            <v>deltax</v>
          </cell>
          <cell r="B12">
            <v>5.0000000000000001E-4</v>
          </cell>
          <cell r="C12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ables/table1.xml><?xml version="1.0" encoding="utf-8"?>
<table xmlns="http://schemas.openxmlformats.org/spreadsheetml/2006/main" id="1" name="Table1" displayName="Table1" ref="L35:S45" totalsRowShown="0">
  <autoFilter ref="L35:S45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3" workbookViewId="0">
      <selection activeCell="A15" sqref="A15"/>
    </sheetView>
  </sheetViews>
  <sheetFormatPr defaultRowHeight="15" x14ac:dyDescent="0.25"/>
  <sheetData>
    <row r="1" spans="1:9" x14ac:dyDescent="0.25">
      <c r="A1" s="193" t="s">
        <v>0</v>
      </c>
      <c r="B1" s="193"/>
      <c r="C1" s="193"/>
    </row>
    <row r="2" spans="1:9" x14ac:dyDescent="0.25">
      <c r="A2" s="193"/>
      <c r="B2" s="193"/>
      <c r="C2" s="193"/>
    </row>
    <row r="4" spans="1:9" x14ac:dyDescent="0.25">
      <c r="B4" t="s">
        <v>1</v>
      </c>
      <c r="C4" t="s">
        <v>2</v>
      </c>
    </row>
    <row r="5" spans="1:9" x14ac:dyDescent="0.25">
      <c r="A5" t="s">
        <v>3</v>
      </c>
      <c r="B5">
        <f>AVERAGE(G8:G14)</f>
        <v>7.4300000000000008E-3</v>
      </c>
      <c r="C5" s="1">
        <f>MAX(G15:G16)</f>
        <v>1.0000000000000001E-5</v>
      </c>
    </row>
    <row r="6" spans="1:9" x14ac:dyDescent="0.25">
      <c r="A6" t="s">
        <v>4</v>
      </c>
      <c r="B6">
        <v>9.8059999999999992</v>
      </c>
      <c r="C6">
        <v>0</v>
      </c>
      <c r="F6" s="194" t="s">
        <v>5</v>
      </c>
      <c r="G6" s="194"/>
    </row>
    <row r="7" spans="1:9" x14ac:dyDescent="0.25">
      <c r="A7" t="s">
        <v>6</v>
      </c>
      <c r="B7">
        <v>101325</v>
      </c>
      <c r="C7">
        <v>0</v>
      </c>
      <c r="F7" t="s">
        <v>7</v>
      </c>
      <c r="G7" t="s">
        <v>3</v>
      </c>
      <c r="H7" t="s">
        <v>8</v>
      </c>
      <c r="I7" t="s">
        <v>9</v>
      </c>
    </row>
    <row r="8" spans="1:9" x14ac:dyDescent="0.25">
      <c r="A8" t="s">
        <v>10</v>
      </c>
      <c r="B8">
        <v>860</v>
      </c>
      <c r="C8">
        <v>0</v>
      </c>
      <c r="F8">
        <v>1</v>
      </c>
      <c r="G8">
        <f>I8-H8</f>
        <v>7.43E-3</v>
      </c>
      <c r="H8" s="1">
        <v>0</v>
      </c>
      <c r="I8" s="1">
        <v>7.43E-3</v>
      </c>
    </row>
    <row r="9" spans="1:9" x14ac:dyDescent="0.25">
      <c r="A9" t="s">
        <v>11</v>
      </c>
      <c r="B9">
        <v>1293</v>
      </c>
      <c r="C9">
        <v>0</v>
      </c>
      <c r="F9">
        <v>2</v>
      </c>
      <c r="G9">
        <f t="shared" ref="G9:G14" si="0">I9-H9</f>
        <v>7.43E-3</v>
      </c>
      <c r="H9" s="1">
        <v>0</v>
      </c>
      <c r="I9" s="1">
        <v>7.43E-3</v>
      </c>
    </row>
    <row r="10" spans="1:9" x14ac:dyDescent="0.25">
      <c r="A10" t="s">
        <v>12</v>
      </c>
      <c r="B10" s="1">
        <v>8.2000000000000007E-3</v>
      </c>
      <c r="C10">
        <v>0</v>
      </c>
      <c r="F10">
        <v>3</v>
      </c>
      <c r="G10">
        <f t="shared" si="0"/>
        <v>7.4200000000000004E-3</v>
      </c>
      <c r="H10" s="1">
        <v>0</v>
      </c>
      <c r="I10" s="1">
        <v>7.4200000000000004E-3</v>
      </c>
    </row>
    <row r="11" spans="1:9" x14ac:dyDescent="0.25">
      <c r="A11" t="s">
        <v>13</v>
      </c>
      <c r="B11" s="2">
        <v>1.6021766200000001E-19</v>
      </c>
      <c r="C11">
        <v>0</v>
      </c>
      <c r="F11">
        <v>4</v>
      </c>
      <c r="G11">
        <f t="shared" si="0"/>
        <v>7.4200000000000004E-3</v>
      </c>
      <c r="H11" s="1">
        <v>0</v>
      </c>
      <c r="I11" s="1">
        <v>7.4200000000000004E-3</v>
      </c>
    </row>
    <row r="12" spans="1:9" x14ac:dyDescent="0.25">
      <c r="A12" t="s">
        <v>14</v>
      </c>
      <c r="B12" s="1">
        <v>5.0000000000000001E-4</v>
      </c>
      <c r="C12">
        <v>0</v>
      </c>
      <c r="F12">
        <v>5</v>
      </c>
      <c r="G12">
        <f t="shared" si="0"/>
        <v>7.43E-3</v>
      </c>
      <c r="H12" s="1">
        <v>0</v>
      </c>
      <c r="I12" s="1">
        <v>7.43E-3</v>
      </c>
    </row>
    <row r="13" spans="1:9" x14ac:dyDescent="0.25">
      <c r="A13" t="s">
        <v>33</v>
      </c>
      <c r="B13">
        <v>0.25</v>
      </c>
      <c r="F13">
        <v>6</v>
      </c>
      <c r="G13">
        <f t="shared" si="0"/>
        <v>7.4400000000000004E-3</v>
      </c>
      <c r="H13" s="1">
        <v>0</v>
      </c>
      <c r="I13" s="1">
        <v>7.4400000000000004E-3</v>
      </c>
    </row>
    <row r="14" spans="1:9" x14ac:dyDescent="0.25">
      <c r="A14" t="s">
        <v>46</v>
      </c>
      <c r="B14">
        <v>0.4</v>
      </c>
      <c r="F14">
        <v>7</v>
      </c>
      <c r="G14">
        <f t="shared" si="0"/>
        <v>7.4400000000000004E-3</v>
      </c>
      <c r="H14" s="1">
        <v>0</v>
      </c>
      <c r="I14" s="1">
        <v>7.4400000000000004E-3</v>
      </c>
    </row>
    <row r="15" spans="1:9" x14ac:dyDescent="0.25">
      <c r="F15" t="s">
        <v>15</v>
      </c>
      <c r="G15" s="1">
        <v>1.0000000000000001E-5</v>
      </c>
    </row>
    <row r="16" spans="1:9" x14ac:dyDescent="0.25">
      <c r="F16" t="s">
        <v>16</v>
      </c>
      <c r="G16">
        <f>_xlfn.STDEV.S(G8:G14)/SQRT(7)</f>
        <v>3.0860669992418463E-6</v>
      </c>
    </row>
  </sheetData>
  <mergeCells count="2">
    <mergeCell ref="A1:C2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F10" workbookViewId="0">
      <selection activeCell="H54" sqref="H54"/>
    </sheetView>
  </sheetViews>
  <sheetFormatPr defaultRowHeight="15" x14ac:dyDescent="0.25"/>
  <cols>
    <col min="1" max="1" width="13.140625" bestFit="1" customWidth="1"/>
    <col min="3" max="5" width="12" bestFit="1" customWidth="1"/>
    <col min="6" max="7" width="12.140625" bestFit="1" customWidth="1"/>
    <col min="8" max="9" width="12" bestFit="1" customWidth="1"/>
    <col min="11" max="11" width="12" bestFit="1" customWidth="1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t="s">
        <v>1</v>
      </c>
      <c r="C4" t="s">
        <v>2</v>
      </c>
    </row>
    <row r="5" spans="1:5" x14ac:dyDescent="0.25">
      <c r="A5" t="str">
        <f>[1]Dati!A5</f>
        <v>d</v>
      </c>
      <c r="B5" s="1">
        <v>7.6</v>
      </c>
      <c r="C5">
        <f>[1]Dati!C5</f>
        <v>1.0000000000000001E-5</v>
      </c>
    </row>
    <row r="6" spans="1:5" x14ac:dyDescent="0.25">
      <c r="A6" t="str">
        <f>[1]Dati!A6</f>
        <v>g</v>
      </c>
      <c r="B6">
        <f>[1]Dati!B6</f>
        <v>9.8059999999999992</v>
      </c>
      <c r="C6">
        <f>[1]Dati!C6</f>
        <v>0</v>
      </c>
    </row>
    <row r="7" spans="1:5" x14ac:dyDescent="0.25">
      <c r="A7" t="str">
        <f>[1]Dati!A7</f>
        <v>pressione</v>
      </c>
      <c r="B7">
        <f>[1]Dati!B7</f>
        <v>101325</v>
      </c>
      <c r="C7">
        <f>[1]Dati!C7</f>
        <v>0</v>
      </c>
    </row>
    <row r="8" spans="1:5" x14ac:dyDescent="0.25">
      <c r="A8" t="str">
        <f>[1]Dati!A8</f>
        <v>densità aria</v>
      </c>
      <c r="B8">
        <v>0</v>
      </c>
      <c r="C8">
        <f>[1]Dati!C8</f>
        <v>0</v>
      </c>
    </row>
    <row r="9" spans="1:5" x14ac:dyDescent="0.25">
      <c r="A9" t="str">
        <f>[1]Dati!A9</f>
        <v>densità olio</v>
      </c>
      <c r="B9">
        <v>858.7</v>
      </c>
      <c r="C9">
        <f>[1]Dati!C9</f>
        <v>0</v>
      </c>
    </row>
    <row r="10" spans="1:5" x14ac:dyDescent="0.25">
      <c r="A10" t="str">
        <f>[1]Dati!A10</f>
        <v>cst corr vis</v>
      </c>
      <c r="B10">
        <f>[1]Dati!B10</f>
        <v>8.2000000000000007E-3</v>
      </c>
      <c r="C10">
        <f>[1]Dati!C10</f>
        <v>0</v>
      </c>
    </row>
    <row r="11" spans="1:5" x14ac:dyDescent="0.25">
      <c r="A11" t="str">
        <f>[1]Dati!A11</f>
        <v>e</v>
      </c>
      <c r="B11">
        <f>[1]Dati!B11</f>
        <v>1.6021766200000001E-19</v>
      </c>
      <c r="C11">
        <f>[1]Dati!C11</f>
        <v>0</v>
      </c>
    </row>
    <row r="12" spans="1:5" x14ac:dyDescent="0.25">
      <c r="A12" t="str">
        <f>[1]Dati!A12</f>
        <v>deltax</v>
      </c>
      <c r="B12">
        <f>[1]Dati!B12</f>
        <v>5.0000000000000001E-4</v>
      </c>
      <c r="C12">
        <f>[1]Dati!C12</f>
        <v>0</v>
      </c>
    </row>
    <row r="13" spans="1:5" x14ac:dyDescent="0.25">
      <c r="A13" t="s">
        <v>30</v>
      </c>
      <c r="B13">
        <f>Dati!B13</f>
        <v>0.25</v>
      </c>
    </row>
    <row r="14" spans="1:5" x14ac:dyDescent="0.25">
      <c r="A14" s="193" t="s">
        <v>17</v>
      </c>
      <c r="B14" s="193"/>
      <c r="C14" s="193"/>
      <c r="D14" s="3"/>
    </row>
    <row r="15" spans="1:5" x14ac:dyDescent="0.25">
      <c r="A15" s="193"/>
      <c r="B15" s="193"/>
      <c r="C15" s="193"/>
      <c r="D15" s="3"/>
    </row>
    <row r="16" spans="1:5" x14ac:dyDescent="0.25">
      <c r="A16" t="s">
        <v>18</v>
      </c>
      <c r="B16">
        <v>300</v>
      </c>
      <c r="C16">
        <f>B16/100</f>
        <v>3</v>
      </c>
      <c r="D16" t="s">
        <v>19</v>
      </c>
      <c r="E16">
        <f>(1.8+(B18-15)*0.004765)*0.00001</f>
        <v>1.8333550000000003E-5</v>
      </c>
    </row>
    <row r="17" spans="1:10" x14ac:dyDescent="0.25">
      <c r="A17" t="s">
        <v>20</v>
      </c>
      <c r="E17" s="4"/>
    </row>
    <row r="18" spans="1:10" x14ac:dyDescent="0.25">
      <c r="A18" t="s">
        <v>21</v>
      </c>
      <c r="B18">
        <v>22</v>
      </c>
      <c r="C18">
        <v>0.5</v>
      </c>
      <c r="D18" t="s">
        <v>22</v>
      </c>
      <c r="E18" s="1">
        <f>B16/B5</f>
        <v>39.473684210526315</v>
      </c>
      <c r="F18">
        <f>SQRT((C16/B5)^2+(B16*C5/B5^2)^2)</f>
        <v>0.39473684552230642</v>
      </c>
      <c r="G18" s="11"/>
    </row>
    <row r="21" spans="1:10" x14ac:dyDescent="0.25">
      <c r="B21" t="s">
        <v>23</v>
      </c>
      <c r="C21" t="s">
        <v>27</v>
      </c>
      <c r="D21" t="s">
        <v>24</v>
      </c>
      <c r="E21" t="s">
        <v>29</v>
      </c>
      <c r="F21" t="s">
        <v>25</v>
      </c>
      <c r="G21" t="s">
        <v>26</v>
      </c>
      <c r="H21" t="s">
        <v>28</v>
      </c>
      <c r="I21" t="s">
        <v>31</v>
      </c>
      <c r="J21" t="s">
        <v>32</v>
      </c>
    </row>
    <row r="22" spans="1:10" x14ac:dyDescent="0.25">
      <c r="A22">
        <v>1</v>
      </c>
      <c r="B22">
        <v>15.2</v>
      </c>
      <c r="C22">
        <f>B22</f>
        <v>15.2</v>
      </c>
      <c r="D22" s="1">
        <f>B12/B22</f>
        <v>3.2894736842105262E-5</v>
      </c>
      <c r="E22" s="1">
        <f>SQRT(2)*D22*$B$13/C22</f>
        <v>7.6513458836840755E-7</v>
      </c>
      <c r="F22" s="5">
        <f>(($B$10/(2*$B$7))^2+9*$E$16*D22/(2*$B$6*($B$9-$B$8)))^(1/2)-$B$10/(2*$B$7)</f>
        <v>5.2868574672021356E-7</v>
      </c>
      <c r="G22">
        <f>(($B$10/(2*$B$7))^2+9*$E$16*D22/(2*$B$6*($B$9-$B$8)))^(-1/2)*(9*$E$16)/(4*$B$6*$B$9)</f>
        <v>8.607346732763926E-3</v>
      </c>
      <c r="H22">
        <f>(($B$10/(2*$B$7))^2+9*$E$16*D22/(2*$B$6*($B$9-$B$8)))^(-1/2)*((9*D22)/(4*$B$6*$B$9))*0.00000004765</f>
        <v>7.3588856117860884E-10</v>
      </c>
      <c r="I22">
        <f>SQRT(G22^2*E22^2+H22^2*$C$18^2+$F$28^2)</f>
        <v>1.0440017662720302E-8</v>
      </c>
      <c r="J22" s="1">
        <f>I22/F22</f>
        <v>1.9747113909324428E-2</v>
      </c>
    </row>
    <row r="23" spans="1:10" x14ac:dyDescent="0.25">
      <c r="A23">
        <v>2</v>
      </c>
      <c r="B23">
        <v>30.8</v>
      </c>
      <c r="C23">
        <f>B23-B22</f>
        <v>15.600000000000001</v>
      </c>
      <c r="D23" s="1">
        <f>$B$12/(B23-B22)</f>
        <v>3.2051282051282051E-5</v>
      </c>
      <c r="E23" s="1">
        <f t="shared" ref="E23:E25" si="0">SQRT(2)*D23*$B$13/C23</f>
        <v>7.2639996423667352E-7</v>
      </c>
      <c r="F23" s="5">
        <f>(($B$10/(2*$B$7))^2+9*E16*D23/(2*$B$6*($B$9-$B$8)))^(1/2)-$B$10/(2*$B$7)</f>
        <v>5.2137893602708232E-7</v>
      </c>
      <c r="G23">
        <f t="shared" ref="G23:G26" si="1">(($B$10/(2*$B$7))^2+9*$E$16*D23/(2*$B$6*($B$9-$B$8)))^(-1/2)*(9*$E$16)/(4*$B$6*$B$9)</f>
        <v>8.7192859696288375E-3</v>
      </c>
      <c r="H23">
        <f t="shared" ref="H23:H26" si="2">(($B$10/(2*$B$7))^2+9*$E$16*D23/(2*$B$6*($B$9-$B$8)))^(-1/2)*((9*D23)/(4*$B$6*$B$9))*0.00000004765</f>
        <v>7.2634452161511861E-10</v>
      </c>
      <c r="I23">
        <f t="shared" ref="I23:I26" si="3">SQRT(G23^2*E23^2+H23^2*$C$18^2+$F$28^2)</f>
        <v>1.0282685222098369E-8</v>
      </c>
      <c r="J23" s="1">
        <f t="shared" ref="J23:J26" si="4">I23/F23</f>
        <v>1.9722095603732347E-2</v>
      </c>
    </row>
    <row r="24" spans="1:10" x14ac:dyDescent="0.25">
      <c r="A24">
        <v>3</v>
      </c>
      <c r="B24">
        <v>45.7</v>
      </c>
      <c r="C24">
        <f t="shared" ref="C24:C26" si="5">B24-B23</f>
        <v>14.900000000000002</v>
      </c>
      <c r="D24" s="1">
        <f>$B$12/(B24-B23)</f>
        <v>3.3557046979865769E-5</v>
      </c>
      <c r="E24" s="1">
        <f t="shared" si="0"/>
        <v>7.9625555288787372E-7</v>
      </c>
      <c r="F24" s="5">
        <f>(($B$10/(2*$B$7))^2+9*E16*D24/(2*$B$6*($B$9-$B$8)))^(1/2)-$B$10/(2*$B$7)</f>
        <v>5.343582122273456E-7</v>
      </c>
      <c r="G24">
        <f t="shared" si="1"/>
        <v>8.5224076179949582E-3</v>
      </c>
      <c r="H24">
        <f t="shared" si="2"/>
        <v>7.4329699287957716E-10</v>
      </c>
      <c r="I24">
        <f t="shared" si="3"/>
        <v>1.0567602312323305E-8</v>
      </c>
      <c r="J24" s="1">
        <f t="shared" si="4"/>
        <v>1.9776251343223038E-2</v>
      </c>
    </row>
    <row r="25" spans="1:10" x14ac:dyDescent="0.25">
      <c r="A25">
        <v>4</v>
      </c>
      <c r="B25">
        <v>60.6</v>
      </c>
      <c r="C25">
        <f t="shared" si="5"/>
        <v>14.899999999999999</v>
      </c>
      <c r="D25" s="1">
        <f>$B$12/(B25-B24)</f>
        <v>3.3557046979865775E-5</v>
      </c>
      <c r="E25" s="1">
        <f t="shared" si="0"/>
        <v>7.9625555288787404E-7</v>
      </c>
      <c r="F25" s="5">
        <f>(($B$10/(2*$B$7))^2+9*E16*D25/(2*$B$6*($B$9-$B$8)))^(1/2)-$B$10/(2*$B$7)</f>
        <v>5.3435821222734571E-7</v>
      </c>
      <c r="G25">
        <f t="shared" si="1"/>
        <v>8.5224076179949565E-3</v>
      </c>
      <c r="H25">
        <f t="shared" si="2"/>
        <v>7.4329699287957705E-10</v>
      </c>
      <c r="I25">
        <f t="shared" si="3"/>
        <v>1.0567602312323305E-8</v>
      </c>
      <c r="J25" s="1">
        <f t="shared" si="4"/>
        <v>1.9776251343223035E-2</v>
      </c>
    </row>
    <row r="26" spans="1:10" x14ac:dyDescent="0.25">
      <c r="A26">
        <v>5</v>
      </c>
      <c r="B26">
        <v>76.5</v>
      </c>
      <c r="C26">
        <f t="shared" si="5"/>
        <v>15.899999999999999</v>
      </c>
      <c r="D26" s="1">
        <f>$B$12/(B26-B25)</f>
        <v>3.144654088050315E-5</v>
      </c>
      <c r="E26" s="1">
        <f>SQRT(2)*D26*$B$13/C26</f>
        <v>6.9924724218439512E-7</v>
      </c>
      <c r="F26" s="5">
        <f>(($B$10/(2*$B$7))^2+9*E16*D26/(2*$B$6*($B$9-$B$8)))^(1/2)-$B$10/(2*$B$7)</f>
        <v>5.1608104663133366E-7</v>
      </c>
      <c r="G26">
        <f t="shared" si="1"/>
        <v>8.8022870224279213E-3</v>
      </c>
      <c r="H26">
        <f t="shared" si="2"/>
        <v>7.1942370461297702E-10</v>
      </c>
      <c r="I26">
        <f t="shared" si="3"/>
        <v>1.0173456328911264E-8</v>
      </c>
      <c r="J26" s="1">
        <f t="shared" si="4"/>
        <v>1.9712904388404614E-2</v>
      </c>
    </row>
    <row r="27" spans="1:10" x14ac:dyDescent="0.25">
      <c r="A27" s="7" t="s">
        <v>34</v>
      </c>
      <c r="B27" s="7"/>
      <c r="C27" s="7">
        <f>AVERAGE(C22:C26)</f>
        <v>15.3</v>
      </c>
      <c r="D27" s="7">
        <f>AVERAGE(D22:D26)</f>
        <v>3.2701330746724399E-5</v>
      </c>
      <c r="E27" s="8">
        <f>SQRT(2)*D27*$B$13/C27</f>
        <v>7.5566446813179641E-7</v>
      </c>
      <c r="F27" s="9">
        <f>AVERAGE(F22:F26)</f>
        <v>5.2697243076666417E-7</v>
      </c>
      <c r="G27" s="7">
        <f t="shared" ref="G27" si="6">(($B$10/(2*$B$7))^2+9*$E$16*D27/(2*$B$6*($B$9-$B$8)))^(-1/2)*(9*$E$16)/(4*$B$6*$B$9)</f>
        <v>8.6326334735427734E-3</v>
      </c>
      <c r="H27" s="7">
        <f t="shared" ref="H27" si="7">(($B$10/(2*$B$7))^2+9*$E$16*D27/(2*$B$6*($B$9-$B$8)))^(-1/2)*((9*D27)/(4*$B$6*$B$9))*0.00000004765</f>
        <v>7.3371106010344101E-10</v>
      </c>
      <c r="I27" s="7">
        <f t="shared" ref="I27" si="8">SQRT(G27^2*E27^2+H27^2*$C$18^2+$F$28^2)</f>
        <v>1.040072598621311E-8</v>
      </c>
      <c r="J27" s="8">
        <f t="shared" ref="J27" si="9">I27/F27</f>
        <v>1.9736755433451512E-2</v>
      </c>
    </row>
    <row r="28" spans="1:10" x14ac:dyDescent="0.25">
      <c r="A28" t="s">
        <v>35</v>
      </c>
      <c r="C28" s="6">
        <f>_xlfn.STDEV.S(C22:C26)</f>
        <v>0.44158804331639195</v>
      </c>
      <c r="D28" s="1">
        <f>_xlfn.STDEV.S(D22:D26)</f>
        <v>9.3527634631049435E-7</v>
      </c>
      <c r="E28" s="8">
        <f>SQRT(2)*D28*$B$13/C28</f>
        <v>7.4882037316133461E-7</v>
      </c>
      <c r="F28" s="1">
        <f>_xlfn.STDEV.S(F22:F26)</f>
        <v>8.0923485298094775E-9</v>
      </c>
    </row>
    <row r="30" spans="1:10" x14ac:dyDescent="0.25">
      <c r="A30" t="s">
        <v>31</v>
      </c>
      <c r="C30">
        <f t="array" ref="C30:G31">TRANSPOSE(A32:B36)</f>
        <v>1.0440017662720302E-8</v>
      </c>
      <c r="D30">
        <v>1.0282685222098369E-8</v>
      </c>
      <c r="E30">
        <v>1.0567602312323305E-8</v>
      </c>
      <c r="F30">
        <v>1.0567602312323305E-8</v>
      </c>
      <c r="G30">
        <v>1.0173456328911264E-8</v>
      </c>
    </row>
    <row r="31" spans="1:10" x14ac:dyDescent="0.25">
      <c r="B31" t="s">
        <v>25</v>
      </c>
      <c r="C31">
        <v>5.2868574672021356E-7</v>
      </c>
      <c r="D31">
        <v>5.2137893602708232E-7</v>
      </c>
      <c r="E31">
        <v>5.343582122273456E-7</v>
      </c>
      <c r="F31">
        <v>5.3435821222734571E-7</v>
      </c>
      <c r="G31">
        <v>5.1608104663133366E-7</v>
      </c>
    </row>
    <row r="32" spans="1:10" x14ac:dyDescent="0.25">
      <c r="A32">
        <f>I22</f>
        <v>1.0440017662720302E-8</v>
      </c>
      <c r="B32" s="5">
        <f>F22</f>
        <v>5.2868574672021356E-7</v>
      </c>
      <c r="C32">
        <f t="shared" ref="C32:G36" si="10">(C$31-$B32)/SQRT(C$30^2+$A32^2)</f>
        <v>0</v>
      </c>
      <c r="D32">
        <f t="shared" si="10"/>
        <v>-0.49863635204038947</v>
      </c>
      <c r="E32">
        <f t="shared" si="10"/>
        <v>0.38185809344407851</v>
      </c>
      <c r="F32">
        <f t="shared" si="10"/>
        <v>0.38185809344408567</v>
      </c>
      <c r="G32">
        <f t="shared" si="10"/>
        <v>-0.8646891633506778</v>
      </c>
    </row>
    <row r="33" spans="1:12" x14ac:dyDescent="0.25">
      <c r="A33">
        <f>I23</f>
        <v>1.0282685222098369E-8</v>
      </c>
      <c r="B33" s="5">
        <f>F23</f>
        <v>5.2137893602708232E-7</v>
      </c>
      <c r="C33">
        <f t="shared" si="10"/>
        <v>0.49863635204038947</v>
      </c>
      <c r="D33">
        <f t="shared" si="10"/>
        <v>0</v>
      </c>
      <c r="E33">
        <f t="shared" si="10"/>
        <v>0.88026387589458432</v>
      </c>
      <c r="F33">
        <f t="shared" si="10"/>
        <v>0.88026387589459154</v>
      </c>
      <c r="G33">
        <f t="shared" si="10"/>
        <v>-0.36625872030344875</v>
      </c>
    </row>
    <row r="34" spans="1:12" x14ac:dyDescent="0.25">
      <c r="A34">
        <f>I24</f>
        <v>1.0567602312323305E-8</v>
      </c>
      <c r="B34" s="5">
        <f>F24</f>
        <v>5.343582122273456E-7</v>
      </c>
      <c r="C34">
        <f t="shared" si="10"/>
        <v>-0.38185809344407851</v>
      </c>
      <c r="D34">
        <f t="shared" si="10"/>
        <v>-0.88026387589458432</v>
      </c>
      <c r="E34">
        <f t="shared" si="10"/>
        <v>0</v>
      </c>
      <c r="F34">
        <f t="shared" si="10"/>
        <v>7.0846574652214608E-15</v>
      </c>
      <c r="G34">
        <f t="shared" si="10"/>
        <v>-1.2459899028210077</v>
      </c>
    </row>
    <row r="35" spans="1:12" x14ac:dyDescent="0.25">
      <c r="A35">
        <f>I25</f>
        <v>1.0567602312323305E-8</v>
      </c>
      <c r="B35" s="5">
        <f>F25</f>
        <v>5.3435821222734571E-7</v>
      </c>
      <c r="C35">
        <f t="shared" si="10"/>
        <v>-0.38185809344408567</v>
      </c>
      <c r="D35">
        <f t="shared" si="10"/>
        <v>-0.88026387589459154</v>
      </c>
      <c r="E35">
        <f t="shared" si="10"/>
        <v>-7.0846574652214608E-15</v>
      </c>
      <c r="F35">
        <f t="shared" si="10"/>
        <v>0</v>
      </c>
      <c r="G35">
        <f t="shared" si="10"/>
        <v>-1.2459899028210151</v>
      </c>
    </row>
    <row r="36" spans="1:12" x14ac:dyDescent="0.25">
      <c r="A36">
        <f>I26</f>
        <v>1.0173456328911264E-8</v>
      </c>
      <c r="B36" s="5">
        <f>F26</f>
        <v>5.1608104663133366E-7</v>
      </c>
      <c r="C36">
        <f t="shared" si="10"/>
        <v>0.8646891633506778</v>
      </c>
      <c r="D36">
        <f t="shared" si="10"/>
        <v>0.36625872030344875</v>
      </c>
      <c r="E36">
        <f t="shared" si="10"/>
        <v>1.2459899028210077</v>
      </c>
      <c r="F36">
        <f t="shared" si="10"/>
        <v>1.2459899028210151</v>
      </c>
      <c r="G36">
        <f t="shared" si="10"/>
        <v>0</v>
      </c>
    </row>
    <row r="38" spans="1:12" x14ac:dyDescent="0.25">
      <c r="E38" s="10"/>
    </row>
    <row r="39" spans="1:12" x14ac:dyDescent="0.25">
      <c r="A39" s="10" t="s">
        <v>7</v>
      </c>
      <c r="B39" s="10"/>
      <c r="C39" s="10"/>
      <c r="D39" s="10"/>
      <c r="E39" s="10"/>
      <c r="F39" s="10"/>
    </row>
    <row r="40" spans="1:12" x14ac:dyDescent="0.25">
      <c r="A40" s="10"/>
      <c r="B40" s="10" t="s">
        <v>36</v>
      </c>
      <c r="C40" s="10" t="s">
        <v>27</v>
      </c>
      <c r="D40" s="10" t="s">
        <v>24</v>
      </c>
      <c r="E40" s="10" t="s">
        <v>29</v>
      </c>
      <c r="F40" s="10" t="s">
        <v>37</v>
      </c>
      <c r="G40" t="s">
        <v>39</v>
      </c>
      <c r="H40" t="s">
        <v>40</v>
      </c>
      <c r="I40" t="s">
        <v>41</v>
      </c>
      <c r="J40" t="s">
        <v>42</v>
      </c>
      <c r="K40" t="s">
        <v>2</v>
      </c>
      <c r="L40" t="s">
        <v>43</v>
      </c>
    </row>
    <row r="41" spans="1:12" x14ac:dyDescent="0.25">
      <c r="A41" s="12">
        <v>1</v>
      </c>
      <c r="B41" s="10">
        <v>10.3</v>
      </c>
      <c r="C41" s="10">
        <f>B41</f>
        <v>10.3</v>
      </c>
      <c r="D41" s="11">
        <f>$B$12/C41</f>
        <v>4.8543689320388346E-5</v>
      </c>
      <c r="E41" s="11">
        <f>SQRT(2)*D41*$B$13/C41</f>
        <v>1.666289898167941E-6</v>
      </c>
      <c r="F41" s="11">
        <f>(4*PI()/3)*$F$27^3*($B$9-$B$8)*($B$6/$E$18)*(1+ABS(D41)/$D$27)</f>
        <v>3.2486977540370734E-16</v>
      </c>
      <c r="G41" s="11">
        <f>F41*3/$F$27</f>
        <v>1.8494503114578777E-9</v>
      </c>
      <c r="H41" s="11">
        <f>F41/$E$18</f>
        <v>8.2300343102272521E-18</v>
      </c>
      <c r="I41">
        <f>(4*PI()/3)*$F$27^3*($B$9-$B$8)*($B$6/$E$18)*(1/$D$27)</f>
        <v>3.9986423184503804E-12</v>
      </c>
      <c r="J41" s="11">
        <f>(4*PI()/3)*$F$27^3*($B$9-$B$8)*($B$6/$E$18)*(ABS(D41)/$D$27^2)</f>
        <v>5.9358089098455408E-12</v>
      </c>
      <c r="K41">
        <f>SQRT(G41^2*$I$27^2+H41^2*$F$18^2+I41^2*E41^2+J41^2*$E$28^2)</f>
        <v>2.1088249686831988E-17</v>
      </c>
      <c r="L41" s="11">
        <f>K41/F41</f>
        <v>6.4912932145276242E-2</v>
      </c>
    </row>
    <row r="42" spans="1:12" x14ac:dyDescent="0.25">
      <c r="A42" s="12">
        <v>2</v>
      </c>
      <c r="B42" s="10">
        <v>20.7</v>
      </c>
      <c r="C42" s="10">
        <f>B42-B41</f>
        <v>10.399999999999999</v>
      </c>
      <c r="D42" s="11">
        <f t="shared" ref="D42:D45" si="11">$B$12/C42</f>
        <v>4.8076923076923084E-5</v>
      </c>
      <c r="E42" s="11">
        <f t="shared" ref="E42:E44" si="12">SQRT(2)*D42*$B$13/C42</f>
        <v>1.6343999195325163E-6</v>
      </c>
      <c r="F42" s="11">
        <f t="shared" ref="F42:F45" si="13">(4*PI()/3)*$F$27^3*($B$9-$B$8)*($B$6/$E$18)*(1+ABS(D42)/$D$27)</f>
        <v>3.2300334414976302E-16</v>
      </c>
      <c r="G42" s="11">
        <f t="shared" ref="G42:G45" si="14">F42*3/$F$27</f>
        <v>1.8388249097576657E-9</v>
      </c>
      <c r="H42" s="14">
        <f t="shared" ref="H42:H45" si="15">F42/$E$18</f>
        <v>8.1827513851273298E-18</v>
      </c>
      <c r="I42" s="13">
        <f t="shared" ref="I42:I45" si="16">(4*PI()/3)*$F$27^3*($B$9-$B$8)*($B$6/$E$18)*(1/$D$27)</f>
        <v>3.9986423184503804E-12</v>
      </c>
      <c r="J42" s="14">
        <f t="shared" ref="J42:J45" si="17">(4*PI()/3)*$F$27^3*($B$9-$B$8)*($B$6/$E$18)*(ABS(D42)/$D$27^2)</f>
        <v>5.8787338241739504E-12</v>
      </c>
      <c r="K42" s="13">
        <f t="shared" ref="K42:K45" si="18">SQRT(G42^2*$I$27^2+H42^2*$F$18^2+I42^2*E42^2+J42^2*$E$28^2)</f>
        <v>2.0935446628475073E-17</v>
      </c>
      <c r="L42" s="14">
        <f t="shared" ref="L42:L45" si="19">K42/F42</f>
        <v>6.4814953181315027E-2</v>
      </c>
    </row>
    <row r="43" spans="1:12" x14ac:dyDescent="0.25">
      <c r="A43" s="12">
        <v>3</v>
      </c>
      <c r="B43" s="10">
        <v>31.1</v>
      </c>
      <c r="C43" s="10">
        <f>B43-B42</f>
        <v>10.400000000000002</v>
      </c>
      <c r="D43" s="11">
        <f t="shared" si="11"/>
        <v>4.807692307692307E-5</v>
      </c>
      <c r="E43" s="11">
        <f t="shared" si="12"/>
        <v>1.634399919532515E-6</v>
      </c>
      <c r="F43" s="11">
        <f t="shared" si="13"/>
        <v>3.2300334414976297E-16</v>
      </c>
      <c r="G43" s="11">
        <f t="shared" si="14"/>
        <v>1.8388249097576653E-9</v>
      </c>
      <c r="H43" s="14">
        <f t="shared" si="15"/>
        <v>8.1827513851273283E-18</v>
      </c>
      <c r="I43" s="13">
        <f t="shared" si="16"/>
        <v>3.9986423184503804E-12</v>
      </c>
      <c r="J43" s="14">
        <f t="shared" si="17"/>
        <v>5.8787338241739488E-12</v>
      </c>
      <c r="K43" s="13">
        <f t="shared" si="18"/>
        <v>2.0935446628475067E-17</v>
      </c>
      <c r="L43" s="14">
        <f t="shared" si="19"/>
        <v>6.4814953181315013E-2</v>
      </c>
    </row>
    <row r="44" spans="1:12" x14ac:dyDescent="0.25">
      <c r="A44" s="12">
        <v>4</v>
      </c>
      <c r="B44" s="10">
        <v>41.6</v>
      </c>
      <c r="C44" s="10">
        <f>B44-B43</f>
        <v>10.5</v>
      </c>
      <c r="D44" s="11">
        <f t="shared" si="11"/>
        <v>4.761904761904762E-5</v>
      </c>
      <c r="E44" s="11">
        <f t="shared" si="12"/>
        <v>1.6034167373844617E-6</v>
      </c>
      <c r="F44" s="11">
        <f t="shared" si="13"/>
        <v>3.2117246396732235E-16</v>
      </c>
      <c r="G44" s="11">
        <f t="shared" si="14"/>
        <v>1.8284018966612672E-9</v>
      </c>
      <c r="H44" s="14">
        <f t="shared" si="15"/>
        <v>8.1363690871721659E-18</v>
      </c>
      <c r="I44" s="13">
        <f t="shared" si="16"/>
        <v>3.9986423184503804E-12</v>
      </c>
      <c r="J44" s="14">
        <f t="shared" si="17"/>
        <v>5.8227458829913402E-12</v>
      </c>
      <c r="K44" s="13">
        <f t="shared" si="18"/>
        <v>2.0786264518502469E-17</v>
      </c>
      <c r="L44" s="14">
        <f t="shared" si="19"/>
        <v>6.4719945980852719E-2</v>
      </c>
    </row>
    <row r="45" spans="1:12" x14ac:dyDescent="0.25">
      <c r="A45" s="12">
        <v>5</v>
      </c>
      <c r="B45" s="10">
        <v>52</v>
      </c>
      <c r="C45" s="10">
        <f>B45-B44</f>
        <v>10.399999999999999</v>
      </c>
      <c r="D45" s="11">
        <f t="shared" si="11"/>
        <v>4.8076923076923084E-5</v>
      </c>
      <c r="E45" s="11">
        <f>SQRT(2)*D45*$B$13/C45</f>
        <v>1.6343999195325163E-6</v>
      </c>
      <c r="F45" s="11">
        <f t="shared" si="13"/>
        <v>3.2300334414976302E-16</v>
      </c>
      <c r="G45" s="11">
        <f t="shared" si="14"/>
        <v>1.8388249097576657E-9</v>
      </c>
      <c r="H45" s="14">
        <f t="shared" si="15"/>
        <v>8.1827513851273298E-18</v>
      </c>
      <c r="I45" s="13">
        <f t="shared" si="16"/>
        <v>3.9986423184503804E-12</v>
      </c>
      <c r="J45" s="14">
        <f t="shared" si="17"/>
        <v>5.8787338241739504E-12</v>
      </c>
      <c r="K45" s="13">
        <f t="shared" si="18"/>
        <v>2.0935446628475073E-17</v>
      </c>
      <c r="L45" s="14">
        <f t="shared" si="19"/>
        <v>6.4814953181315027E-2</v>
      </c>
    </row>
    <row r="46" spans="1:12" x14ac:dyDescent="0.25">
      <c r="C46" s="10"/>
      <c r="E46" s="10"/>
    </row>
    <row r="49" spans="1:12" x14ac:dyDescent="0.25">
      <c r="A49" s="10" t="s">
        <v>7</v>
      </c>
      <c r="B49" s="10"/>
      <c r="C49" s="10"/>
      <c r="D49" s="10"/>
      <c r="E49" s="10"/>
      <c r="F49" s="10"/>
      <c r="G49" s="10"/>
    </row>
    <row r="50" spans="1:12" x14ac:dyDescent="0.25">
      <c r="A50" s="10"/>
      <c r="B50" s="10" t="s">
        <v>23</v>
      </c>
      <c r="C50" s="10" t="s">
        <v>27</v>
      </c>
      <c r="D50" s="10" t="s">
        <v>24</v>
      </c>
      <c r="E50" s="10" t="s">
        <v>29</v>
      </c>
      <c r="F50" s="10" t="s">
        <v>37</v>
      </c>
      <c r="G50" s="10" t="s">
        <v>39</v>
      </c>
      <c r="H50" s="13" t="s">
        <v>40</v>
      </c>
      <c r="I50" s="13" t="s">
        <v>41</v>
      </c>
      <c r="J50" s="13" t="s">
        <v>42</v>
      </c>
      <c r="K50" s="13" t="s">
        <v>2</v>
      </c>
      <c r="L50" s="13" t="s">
        <v>43</v>
      </c>
    </row>
    <row r="51" spans="1:12" x14ac:dyDescent="0.25">
      <c r="A51" s="12">
        <v>6</v>
      </c>
      <c r="B51" s="13">
        <v>4.3</v>
      </c>
      <c r="C51" s="10">
        <f>B51</f>
        <v>4.3</v>
      </c>
      <c r="D51" s="11">
        <f>$B$12/C51</f>
        <v>1.1627906976744187E-4</v>
      </c>
      <c r="E51" s="11">
        <f>SQRT(2)*D51*$B$13/C51</f>
        <v>9.560664970072304E-6</v>
      </c>
      <c r="F51" s="11">
        <f>-(4*PI()/3)*$F$27^3*($B$9-$B$8)*($B$6/$E$18)*(1-ABS(D51)/$D$27)</f>
        <v>3.3419748412864248E-16</v>
      </c>
      <c r="G51" s="11">
        <f>F51*3/$F$27</f>
        <v>1.9025520005426264E-9</v>
      </c>
      <c r="H51" s="14">
        <f>F51/$E$18</f>
        <v>8.4663362645922756E-18</v>
      </c>
      <c r="I51">
        <f>-(4*PI()/3)*$F$27^3*($B$9-$B$8)*($B$6/$E$18)*(-1/$D$27)</f>
        <v>3.9986423184503804E-12</v>
      </c>
      <c r="J51" s="11">
        <f>-(4*PI()/3)*$F$27^3*($B$9-$B$8)*($B$6/$E$18)*(-ABS(D51)/$D$27^2)</f>
        <v>1.4218332970095133E-11</v>
      </c>
      <c r="K51" s="13">
        <f>SQRT(G51^2*$I$27^2+H51^2*$F$18^2+I51^2*E51^2+J51^2*$E$28^2)</f>
        <v>4.4470183044618965E-17</v>
      </c>
      <c r="L51" s="14">
        <f>K51/F51</f>
        <v>0.13306558294586407</v>
      </c>
    </row>
    <row r="52" spans="1:12" x14ac:dyDescent="0.25">
      <c r="A52" s="12">
        <v>7</v>
      </c>
      <c r="B52" s="13">
        <v>8.6999999999999993</v>
      </c>
      <c r="C52" s="10">
        <f>B52-B51</f>
        <v>4.3999999999999995</v>
      </c>
      <c r="D52" s="11">
        <f t="shared" ref="D52:D55" si="20">$B$12/C52</f>
        <v>1.1363636363636365E-4</v>
      </c>
      <c r="E52" s="11">
        <f t="shared" ref="E52:E54" si="21">SQRT(2)*D52*$B$13/C52</f>
        <v>9.1310276496196759E-6</v>
      </c>
      <c r="F52" s="14">
        <f t="shared" ref="F52:F55" si="22">-(4*PI()/3)*$F$27^3*($B$9-$B$8)*($B$6/$E$18)*(1-ABS(D52)/$D$27)</f>
        <v>3.2363024755768481E-16</v>
      </c>
      <c r="G52" s="11">
        <f t="shared" ref="G52:G55" si="23">F52*3/$F$27</f>
        <v>1.8423938065612982E-9</v>
      </c>
      <c r="H52" s="14">
        <f t="shared" ref="H52:H55" si="24">F52/$E$18</f>
        <v>8.198632938128015E-18</v>
      </c>
      <c r="I52" s="13">
        <f t="shared" ref="I52:I55" si="25">-(4*PI()/3)*$F$27^3*($B$9-$B$8)*($B$6/$E$18)*(-1/$D$27)</f>
        <v>3.9986423184503804E-12</v>
      </c>
      <c r="J52" s="14">
        <f t="shared" ref="J52:J55" si="26">-(4*PI()/3)*$F$27^3*($B$9-$B$8)*($B$6/$E$18)*(-ABS(D52)/$D$27^2)</f>
        <v>1.3895189038956607E-11</v>
      </c>
      <c r="K52" s="13">
        <f t="shared" ref="K52:K55" si="27">SQRT(G52^2*$I$27^2+H52^2*$F$18^2+I52^2*E52^2+J52^2*$E$28^2)</f>
        <v>4.2650135979265237E-17</v>
      </c>
      <c r="L52" s="14">
        <f t="shared" ref="L52:L55" si="28">K52/F52</f>
        <v>0.13178661852879853</v>
      </c>
    </row>
    <row r="53" spans="1:12" x14ac:dyDescent="0.25">
      <c r="A53" s="17">
        <v>8</v>
      </c>
      <c r="B53" s="13">
        <v>13.2</v>
      </c>
      <c r="C53" s="10">
        <f>B53-B52</f>
        <v>4.5</v>
      </c>
      <c r="D53" s="11">
        <f t="shared" si="20"/>
        <v>1.1111111111111112E-4</v>
      </c>
      <c r="E53" s="11">
        <f t="shared" si="21"/>
        <v>8.7297133479820693E-6</v>
      </c>
      <c r="F53" s="14">
        <f t="shared" si="22"/>
        <v>3.1353266594543639E-16</v>
      </c>
      <c r="G53" s="11">
        <f t="shared" si="23"/>
        <v>1.784909310090251E-9</v>
      </c>
      <c r="H53" s="14">
        <f t="shared" si="24"/>
        <v>7.9428275372843893E-18</v>
      </c>
      <c r="I53" s="13">
        <f t="shared" si="25"/>
        <v>3.9986423184503804E-12</v>
      </c>
      <c r="J53" s="14">
        <f t="shared" si="26"/>
        <v>1.3586407060313128E-11</v>
      </c>
      <c r="K53" s="13">
        <f t="shared" si="27"/>
        <v>4.0944718387439781E-17</v>
      </c>
      <c r="L53" s="14">
        <f t="shared" si="28"/>
        <v>0.13059155499467265</v>
      </c>
    </row>
    <row r="54" spans="1:12" x14ac:dyDescent="0.25">
      <c r="A54" s="17">
        <v>9</v>
      </c>
      <c r="B54" s="13">
        <v>17.399999999999999</v>
      </c>
      <c r="C54" s="10">
        <f>B54-B53</f>
        <v>4.1999999999999993</v>
      </c>
      <c r="D54" s="11">
        <f t="shared" si="20"/>
        <v>1.1904761904761907E-4</v>
      </c>
      <c r="E54" s="11">
        <f t="shared" si="21"/>
        <v>1.002135460865289E-5</v>
      </c>
      <c r="F54" s="14">
        <f t="shared" si="22"/>
        <v>3.4526792244107438E-16</v>
      </c>
      <c r="G54" s="11">
        <f t="shared" si="23"/>
        <v>1.9655748704278272E-9</v>
      </c>
      <c r="H54" s="14">
        <f t="shared" si="24"/>
        <v>8.7467873685072173E-18</v>
      </c>
      <c r="I54" s="13">
        <f t="shared" si="25"/>
        <v>3.9986423184503804E-12</v>
      </c>
      <c r="J54" s="14">
        <f t="shared" si="26"/>
        <v>1.4556864707478355E-11</v>
      </c>
      <c r="K54" s="13">
        <f t="shared" si="27"/>
        <v>4.6415777391789195E-17</v>
      </c>
      <c r="L54" s="14">
        <f t="shared" si="28"/>
        <v>0.13443408545927346</v>
      </c>
    </row>
    <row r="55" spans="1:12" x14ac:dyDescent="0.25">
      <c r="A55" s="17">
        <v>10</v>
      </c>
      <c r="B55" s="13">
        <v>21.7</v>
      </c>
      <c r="C55" s="10">
        <f>B55-B54</f>
        <v>4.3000000000000007</v>
      </c>
      <c r="D55" s="11">
        <f t="shared" si="20"/>
        <v>1.1627906976744184E-4</v>
      </c>
      <c r="E55" s="11">
        <f>SQRT(2)*D55*$B$13/C55</f>
        <v>9.5606649700723006E-6</v>
      </c>
      <c r="F55" s="14">
        <f t="shared" si="22"/>
        <v>3.3419748412864238E-16</v>
      </c>
      <c r="G55" s="11">
        <f t="shared" si="23"/>
        <v>1.9025520005426255E-9</v>
      </c>
      <c r="H55" s="14">
        <f t="shared" si="24"/>
        <v>8.4663362645922741E-18</v>
      </c>
      <c r="I55" s="13">
        <f t="shared" si="25"/>
        <v>3.9986423184503804E-12</v>
      </c>
      <c r="J55" s="14">
        <f t="shared" si="26"/>
        <v>1.4218332970095131E-11</v>
      </c>
      <c r="K55" s="13">
        <f t="shared" si="27"/>
        <v>4.4470183044618946E-17</v>
      </c>
      <c r="L55" s="14">
        <f t="shared" si="28"/>
        <v>0.13306558294586404</v>
      </c>
    </row>
    <row r="59" spans="1:12" x14ac:dyDescent="0.25">
      <c r="B59" t="s">
        <v>38</v>
      </c>
    </row>
    <row r="60" spans="1:12" x14ac:dyDescent="0.25">
      <c r="A60" s="11"/>
      <c r="B60" t="s">
        <v>44</v>
      </c>
      <c r="C60" t="s">
        <v>45</v>
      </c>
    </row>
    <row r="61" spans="1:12" x14ac:dyDescent="0.25">
      <c r="A61">
        <v>1</v>
      </c>
      <c r="B61" s="11">
        <f>F41</f>
        <v>3.2486977540370734E-16</v>
      </c>
      <c r="C61">
        <f>K41</f>
        <v>2.1088249686831988E-17</v>
      </c>
    </row>
    <row r="62" spans="1:12" x14ac:dyDescent="0.25">
      <c r="A62">
        <v>2</v>
      </c>
      <c r="B62" s="14">
        <f t="shared" ref="B62:B65" si="29">F42</f>
        <v>3.2300334414976302E-16</v>
      </c>
      <c r="C62" s="13">
        <f t="shared" ref="C62:C65" si="30">K42</f>
        <v>2.0935446628475073E-17</v>
      </c>
    </row>
    <row r="63" spans="1:12" x14ac:dyDescent="0.25">
      <c r="A63">
        <v>3</v>
      </c>
      <c r="B63" s="14">
        <f t="shared" si="29"/>
        <v>3.2300334414976297E-16</v>
      </c>
      <c r="C63" s="13">
        <f t="shared" si="30"/>
        <v>2.0935446628475067E-17</v>
      </c>
    </row>
    <row r="64" spans="1:12" x14ac:dyDescent="0.25">
      <c r="A64">
        <v>4</v>
      </c>
      <c r="B64" s="14">
        <f t="shared" si="29"/>
        <v>3.2117246396732235E-16</v>
      </c>
      <c r="C64" s="13">
        <f t="shared" si="30"/>
        <v>2.0786264518502469E-17</v>
      </c>
    </row>
    <row r="65" spans="1:3" x14ac:dyDescent="0.25">
      <c r="A65">
        <v>5</v>
      </c>
      <c r="B65" s="14">
        <f t="shared" si="29"/>
        <v>3.2300334414976302E-16</v>
      </c>
      <c r="C65" s="13">
        <f t="shared" si="30"/>
        <v>2.0935446628475073E-17</v>
      </c>
    </row>
    <row r="66" spans="1:3" x14ac:dyDescent="0.25">
      <c r="A66">
        <v>6</v>
      </c>
      <c r="B66" s="11">
        <f>F51</f>
        <v>3.3419748412864248E-16</v>
      </c>
      <c r="C66">
        <f>K51</f>
        <v>4.4470183044618965E-17</v>
      </c>
    </row>
    <row r="67" spans="1:3" x14ac:dyDescent="0.25">
      <c r="A67">
        <v>7</v>
      </c>
      <c r="B67" s="14">
        <f t="shared" ref="B67:B70" si="31">F52</f>
        <v>3.2363024755768481E-16</v>
      </c>
      <c r="C67" s="13">
        <f t="shared" ref="C67:C70" si="32">K52</f>
        <v>4.2650135979265237E-17</v>
      </c>
    </row>
    <row r="68" spans="1:3" x14ac:dyDescent="0.25">
      <c r="A68">
        <v>8</v>
      </c>
      <c r="B68" s="14">
        <f t="shared" si="31"/>
        <v>3.1353266594543639E-16</v>
      </c>
      <c r="C68" s="13">
        <f t="shared" si="32"/>
        <v>4.0944718387439781E-17</v>
      </c>
    </row>
    <row r="69" spans="1:3" x14ac:dyDescent="0.25">
      <c r="A69">
        <v>9</v>
      </c>
      <c r="B69" s="14">
        <f t="shared" si="31"/>
        <v>3.4526792244107438E-16</v>
      </c>
      <c r="C69" s="13">
        <f t="shared" si="32"/>
        <v>4.6415777391789195E-17</v>
      </c>
    </row>
    <row r="70" spans="1:3" x14ac:dyDescent="0.25">
      <c r="A70">
        <v>10</v>
      </c>
      <c r="B70" s="14">
        <f t="shared" si="31"/>
        <v>3.3419748412864238E-16</v>
      </c>
      <c r="C70" s="13">
        <f t="shared" si="32"/>
        <v>4.4470183044618946E-17</v>
      </c>
    </row>
  </sheetData>
  <mergeCells count="2">
    <mergeCell ref="A1:C2"/>
    <mergeCell ref="A14:C15"/>
  </mergeCells>
  <conditionalFormatting sqref="C32:G36">
    <cfRule type="cellIs" dxfId="67" priority="1" operator="notBetween">
      <formula>-1.96</formula>
      <formula>1.96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3" workbookViewId="0">
      <selection activeCell="A33" sqref="A33"/>
    </sheetView>
  </sheetViews>
  <sheetFormatPr defaultRowHeight="15" x14ac:dyDescent="0.25"/>
  <cols>
    <col min="1" max="1" width="13.140625" style="13" customWidth="1"/>
    <col min="2" max="2" width="9.140625" style="13"/>
    <col min="3" max="5" width="12" style="13" customWidth="1"/>
    <col min="6" max="7" width="12.140625" style="13" customWidth="1"/>
    <col min="8" max="9" width="12" style="13" customWidth="1"/>
    <col min="10" max="10" width="9.140625" style="13"/>
    <col min="11" max="11" width="12" style="13" customWidth="1"/>
    <col min="12" max="16384" width="9.140625" style="13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13" t="s">
        <v>1</v>
      </c>
      <c r="C4" s="13" t="s">
        <v>2</v>
      </c>
    </row>
    <row r="5" spans="1:5" x14ac:dyDescent="0.25">
      <c r="A5" s="13" t="str">
        <f>[1]Dati!A5</f>
        <v>d</v>
      </c>
      <c r="B5" s="14">
        <f>Dati!B5</f>
        <v>7.4300000000000008E-3</v>
      </c>
      <c r="C5" s="13">
        <f>[1]Dati!C5</f>
        <v>1.0000000000000001E-5</v>
      </c>
    </row>
    <row r="6" spans="1:5" x14ac:dyDescent="0.25">
      <c r="A6" s="13" t="str">
        <f>[1]Dati!A6</f>
        <v>g</v>
      </c>
      <c r="B6" s="13">
        <f>[1]Dati!B6</f>
        <v>9.8059999999999992</v>
      </c>
      <c r="C6" s="13">
        <f>[1]Dati!C6</f>
        <v>0</v>
      </c>
    </row>
    <row r="7" spans="1:5" x14ac:dyDescent="0.25">
      <c r="A7" s="13" t="str">
        <f>[1]Dati!A7</f>
        <v>pressione</v>
      </c>
      <c r="B7" s="13">
        <f>[1]Dati!B7</f>
        <v>101325</v>
      </c>
      <c r="C7" s="13">
        <f>[1]Dati!C7</f>
        <v>0</v>
      </c>
    </row>
    <row r="8" spans="1:5" x14ac:dyDescent="0.25">
      <c r="A8" s="13" t="str">
        <f>[1]Dati!A8</f>
        <v>densità aria</v>
      </c>
      <c r="B8" s="13">
        <v>0</v>
      </c>
      <c r="C8" s="13">
        <f>[1]Dati!C8</f>
        <v>0</v>
      </c>
    </row>
    <row r="9" spans="1:5" x14ac:dyDescent="0.25">
      <c r="A9" s="13" t="str">
        <f>[1]Dati!A9</f>
        <v>densità olio</v>
      </c>
      <c r="B9" s="13">
        <v>858.7</v>
      </c>
      <c r="C9" s="13">
        <f>[1]Dati!C9</f>
        <v>0</v>
      </c>
    </row>
    <row r="10" spans="1:5" x14ac:dyDescent="0.25">
      <c r="A10" s="13" t="str">
        <f>[1]Dati!A10</f>
        <v>cst corr vis</v>
      </c>
      <c r="B10" s="13">
        <f>[1]Dati!B10</f>
        <v>8.2000000000000007E-3</v>
      </c>
      <c r="C10" s="13">
        <f>[1]Dati!C10</f>
        <v>0</v>
      </c>
    </row>
    <row r="11" spans="1:5" x14ac:dyDescent="0.25">
      <c r="A11" s="13" t="str">
        <f>[1]Dati!A11</f>
        <v>e</v>
      </c>
      <c r="B11" s="13">
        <f>[1]Dati!B11</f>
        <v>1.6021766200000001E-19</v>
      </c>
      <c r="C11" s="13">
        <f>[1]Dati!C11</f>
        <v>0</v>
      </c>
    </row>
    <row r="12" spans="1:5" x14ac:dyDescent="0.25">
      <c r="A12" s="13" t="str">
        <f>[1]Dati!A12</f>
        <v>deltax</v>
      </c>
      <c r="B12" s="13">
        <f>[1]Dati!B12</f>
        <v>5.0000000000000001E-4</v>
      </c>
      <c r="C12" s="13">
        <f>[1]Dati!C12</f>
        <v>0</v>
      </c>
    </row>
    <row r="13" spans="1:5" x14ac:dyDescent="0.25">
      <c r="A13" s="13" t="s">
        <v>30</v>
      </c>
      <c r="B13" s="13">
        <f>Dati!B13</f>
        <v>0.25</v>
      </c>
    </row>
    <row r="14" spans="1:5" x14ac:dyDescent="0.25">
      <c r="A14" s="193" t="s">
        <v>17</v>
      </c>
      <c r="B14" s="193"/>
      <c r="C14" s="193"/>
      <c r="D14" s="16"/>
    </row>
    <row r="15" spans="1:5" x14ac:dyDescent="0.25">
      <c r="A15" s="193"/>
      <c r="B15" s="193"/>
      <c r="C15" s="193"/>
      <c r="D15" s="16"/>
    </row>
    <row r="16" spans="1:5" x14ac:dyDescent="0.25">
      <c r="A16" s="13" t="s">
        <v>18</v>
      </c>
      <c r="B16" s="13">
        <v>304</v>
      </c>
      <c r="C16" s="13">
        <f>B16/100</f>
        <v>3.04</v>
      </c>
      <c r="D16" s="13" t="s">
        <v>19</v>
      </c>
      <c r="E16" s="13">
        <f>(1.8+(B18-15)*0.004765)*0.00001</f>
        <v>1.8238250000000001E-5</v>
      </c>
    </row>
    <row r="17" spans="1:10" x14ac:dyDescent="0.25">
      <c r="A17" s="13" t="s">
        <v>20</v>
      </c>
      <c r="E17" s="15"/>
    </row>
    <row r="18" spans="1:10" x14ac:dyDescent="0.25">
      <c r="A18" s="13" t="s">
        <v>21</v>
      </c>
      <c r="B18" s="13">
        <v>20</v>
      </c>
      <c r="C18" s="13">
        <v>0.5</v>
      </c>
      <c r="D18" s="13" t="s">
        <v>22</v>
      </c>
      <c r="E18" s="14">
        <f>B16/B5</f>
        <v>40915.208613728122</v>
      </c>
      <c r="F18" s="13">
        <f>SQRT((C16/B5)^2+(B16*C5/B5^2)^2)</f>
        <v>412.84121337929804</v>
      </c>
      <c r="G18" s="14"/>
    </row>
    <row r="21" spans="1:10" x14ac:dyDescent="0.25">
      <c r="B21" s="13" t="s">
        <v>23</v>
      </c>
      <c r="C21" s="13" t="s">
        <v>27</v>
      </c>
      <c r="D21" s="13" t="s">
        <v>24</v>
      </c>
      <c r="E21" s="13" t="s">
        <v>29</v>
      </c>
      <c r="F21" s="13" t="s">
        <v>25</v>
      </c>
      <c r="G21" s="13" t="s">
        <v>26</v>
      </c>
      <c r="H21" s="13" t="s">
        <v>28</v>
      </c>
      <c r="I21" s="13" t="s">
        <v>31</v>
      </c>
      <c r="J21" s="13" t="s">
        <v>32</v>
      </c>
    </row>
    <row r="22" spans="1:10" x14ac:dyDescent="0.25">
      <c r="A22" s="13">
        <v>1</v>
      </c>
      <c r="B22" s="18">
        <v>12.8</v>
      </c>
      <c r="C22" s="13">
        <f>B22</f>
        <v>12.8</v>
      </c>
      <c r="D22" s="14">
        <f>B12/B22</f>
        <v>3.9062500000000001E-5</v>
      </c>
      <c r="E22" s="14">
        <f>SQRT(2)*D22*$B$13/C22</f>
        <v>1.0789593218788872E-6</v>
      </c>
      <c r="F22" s="5">
        <f>(($B$10/(2*$B$7))^2+9*$E$16*D22/(2*$B$6*($B$9-$B$8)))^(1/2)-$B$10/(2*$B$7)</f>
        <v>5.7789844826097423E-7</v>
      </c>
      <c r="G22" s="13">
        <f>(($B$10/(2*$B$7))^2+9*$E$16*D22/(2*$B$6*($B$9-$B$8)))^(-1/2)*(9*$E$16)/(4*$B$6*$B$9)</f>
        <v>7.8811451360458508E-3</v>
      </c>
      <c r="H22" s="13">
        <f>(($B$10/(2*$B$7))^2+9*$E$16*D22/(2*$B$6*($B$9-$B$8)))^(-1/2)*((9*D22)/(4*$B$6*$B$9))*0.00000004765</f>
        <v>8.0432043090368305E-10</v>
      </c>
      <c r="I22" s="13">
        <f>SQRT(G22^2*E22^2+H22^2*$C$18^2+$F$28^2)</f>
        <v>1.095590799270341E-7</v>
      </c>
      <c r="J22" s="14">
        <f>I22/F22</f>
        <v>0.18958188978828702</v>
      </c>
    </row>
    <row r="23" spans="1:10" x14ac:dyDescent="0.25">
      <c r="A23" s="13">
        <v>2</v>
      </c>
      <c r="B23" s="18">
        <v>20.170000000000002</v>
      </c>
      <c r="C23" s="13">
        <f>B23-B22</f>
        <v>7.370000000000001</v>
      </c>
      <c r="D23" s="14">
        <f>$B$12/(B23-B22)</f>
        <v>6.7842605156037984E-5</v>
      </c>
      <c r="E23" s="14">
        <f t="shared" ref="E23:E25" si="0">SQRT(2)*D23*$B$13/C23</f>
        <v>3.2545431586971428E-6</v>
      </c>
      <c r="F23" s="5">
        <f>(($B$10/(2*$B$7))^2+9*E16*D23/(2*$B$6*($B$9-$B$8)))^(1/2)-$B$10/(2*$B$7)</f>
        <v>7.7371428461082599E-7</v>
      </c>
      <c r="G23" s="13">
        <f t="shared" ref="G23:G27" si="1">(($B$10/(2*$B$7))^2+9*$E$16*D23/(2*$B$6*($B$9-$B$8)))^(-1/2)*(9*$E$16)/(4*$B$6*$B$9)</f>
        <v>5.9856717093519623E-3</v>
      </c>
      <c r="H23" s="13">
        <f t="shared" ref="H23:H27" si="2">(($B$10/(2*$B$7))^2+9*$E$16*D23/(2*$B$6*($B$9-$B$8)))^(-1/2)*((9*D23)/(4*$B$6*$B$9))*0.00000004765</f>
        <v>1.0609505707504398E-9</v>
      </c>
      <c r="I23" s="13">
        <f t="shared" ref="I23:I27" si="3">SQRT(G23^2*E23^2+H23^2*$C$18^2+$F$28^2)</f>
        <v>1.1095268398525001E-7</v>
      </c>
      <c r="J23" s="14">
        <f t="shared" ref="J23:J27" si="4">I23/F23</f>
        <v>0.14340265675857156</v>
      </c>
    </row>
    <row r="24" spans="1:10" x14ac:dyDescent="0.25">
      <c r="A24" s="13">
        <v>3</v>
      </c>
      <c r="B24" s="18">
        <v>30.06</v>
      </c>
      <c r="C24" s="13">
        <f t="shared" ref="C24:C26" si="5">B24-B23</f>
        <v>9.889999999999997</v>
      </c>
      <c r="D24" s="14">
        <f>$B$12/(B24-B23)</f>
        <v>5.0556117290192128E-5</v>
      </c>
      <c r="E24" s="14">
        <f t="shared" si="0"/>
        <v>1.8073090680665991E-6</v>
      </c>
      <c r="F24" s="5">
        <f>(($B$10/(2*$B$7))^2+9*E16*D24/(2*$B$6*($B$9-$B$8)))^(1/2)-$B$10/(2*$B$7)</f>
        <v>6.6267055419642709E-7</v>
      </c>
      <c r="G24" s="13">
        <f t="shared" si="1"/>
        <v>6.9309693764201905E-3</v>
      </c>
      <c r="H24" s="13">
        <f t="shared" si="2"/>
        <v>9.1547699037672096E-10</v>
      </c>
      <c r="I24" s="13">
        <f t="shared" si="3"/>
        <v>1.0994472325412362E-7</v>
      </c>
      <c r="J24" s="14">
        <f t="shared" si="4"/>
        <v>0.16591158692337804</v>
      </c>
    </row>
    <row r="25" spans="1:10" x14ac:dyDescent="0.25">
      <c r="A25" s="13">
        <v>4</v>
      </c>
      <c r="B25" s="18">
        <v>41.69</v>
      </c>
      <c r="C25" s="13">
        <f t="shared" si="5"/>
        <v>11.629999999999999</v>
      </c>
      <c r="D25" s="14">
        <f>$B$12/(B25-B24)</f>
        <v>4.2992261392949275E-5</v>
      </c>
      <c r="E25" s="14">
        <f t="shared" si="0"/>
        <v>1.3069698869088153E-6</v>
      </c>
      <c r="F25" s="5">
        <f>(($B$10/(2*$B$7))^2+9*E16*D25/(2*$B$6*($B$9-$B$8)))^(1/2)-$B$10/(2*$B$7)</f>
        <v>6.0813044074815428E-7</v>
      </c>
      <c r="G25" s="13">
        <f t="shared" si="1"/>
        <v>7.5137926593183526E-3</v>
      </c>
      <c r="H25" s="13">
        <f t="shared" si="2"/>
        <v>8.4397432860316015E-10</v>
      </c>
      <c r="I25" s="13">
        <f t="shared" si="3"/>
        <v>1.0966922191051032E-7</v>
      </c>
      <c r="J25" s="14">
        <f t="shared" si="4"/>
        <v>0.18033831981110734</v>
      </c>
    </row>
    <row r="26" spans="1:10" x14ac:dyDescent="0.25">
      <c r="A26" s="13">
        <v>5</v>
      </c>
      <c r="B26" s="18">
        <v>59.98</v>
      </c>
      <c r="C26" s="13">
        <f t="shared" si="5"/>
        <v>18.29</v>
      </c>
      <c r="D26" s="14">
        <f>$B$12/(B26-B25)</f>
        <v>2.7337342810278844E-5</v>
      </c>
      <c r="E26" s="14">
        <f>SQRT(2)*D26*$B$13/C26</f>
        <v>5.2844233134963045E-7</v>
      </c>
      <c r="F26" s="5">
        <f>(($B$10/(2*$B$7))^2+9*E16*D26/(2*$B$6*($B$9-$B$8)))^(1/2)-$B$10/(2*$B$7)</f>
        <v>4.7730936201059357E-7</v>
      </c>
      <c r="G26" s="13">
        <f t="shared" si="1"/>
        <v>9.4122347394220134E-3</v>
      </c>
      <c r="H26" s="13">
        <f t="shared" si="2"/>
        <v>6.7224687061895355E-10</v>
      </c>
      <c r="I26" s="13">
        <f t="shared" si="3"/>
        <v>1.0934154631930479E-7</v>
      </c>
      <c r="J26" s="14">
        <f t="shared" si="4"/>
        <v>0.22907898948120364</v>
      </c>
    </row>
    <row r="27" spans="1:10" x14ac:dyDescent="0.25">
      <c r="A27" s="7" t="s">
        <v>34</v>
      </c>
      <c r="B27" s="7"/>
      <c r="C27" s="7">
        <f>AVERAGE(C22:C26)</f>
        <v>11.995999999999999</v>
      </c>
      <c r="D27" s="7">
        <f>AVERAGE(D22:D26)</f>
        <v>4.5558165329891643E-5</v>
      </c>
      <c r="E27" s="8">
        <f>SQRT(2)*D27*$B$13/C27</f>
        <v>1.3427178910963759E-6</v>
      </c>
      <c r="F27" s="9">
        <f>AVERAGE(F22:F26)</f>
        <v>6.1994461796539495E-7</v>
      </c>
      <c r="G27" s="7">
        <f t="shared" si="1"/>
        <v>7.2999325041683081E-3</v>
      </c>
      <c r="H27" s="7">
        <f t="shared" si="2"/>
        <v>8.688900248697602E-10</v>
      </c>
      <c r="I27" s="7">
        <f t="shared" si="3"/>
        <v>1.096676109875008E-7</v>
      </c>
      <c r="J27" s="8">
        <f t="shared" si="4"/>
        <v>0.17689904518797259</v>
      </c>
    </row>
    <row r="28" spans="1:10" x14ac:dyDescent="0.25">
      <c r="A28" s="13" t="s">
        <v>35</v>
      </c>
      <c r="C28" s="6">
        <f>_xlfn.STDEV.S(C22:C26)</f>
        <v>4.069088349987009</v>
      </c>
      <c r="D28" s="14">
        <f>_xlfn.STDEV.S(D22:D26)</f>
        <v>1.5019584602656379E-5</v>
      </c>
      <c r="E28" s="8">
        <f>SQRT(2)*D28*$B$13/C28</f>
        <v>1.3050159163019019E-6</v>
      </c>
      <c r="F28" s="14">
        <f>_xlfn.STDEV.S(F22:F26)</f>
        <v>1.0922784376990401E-7</v>
      </c>
    </row>
    <row r="30" spans="1:10" x14ac:dyDescent="0.25">
      <c r="A30" s="13" t="s">
        <v>31</v>
      </c>
      <c r="C30" s="13">
        <f t="array" ref="C30:G31">TRANSPOSE(A32:B36)</f>
        <v>1.0922784376990401E-7</v>
      </c>
      <c r="D30" s="13">
        <v>1.0922784376990401E-7</v>
      </c>
      <c r="E30" s="13">
        <v>1.0994472325412362E-7</v>
      </c>
      <c r="F30" s="13">
        <v>1.0966922191051032E-7</v>
      </c>
      <c r="G30" s="13">
        <v>1.0934154631930479E-7</v>
      </c>
    </row>
    <row r="31" spans="1:10" x14ac:dyDescent="0.25">
      <c r="B31" s="13" t="s">
        <v>25</v>
      </c>
      <c r="C31" s="13">
        <v>5.7789844826097423E-7</v>
      </c>
      <c r="D31" s="13">
        <v>7.7371428461082599E-7</v>
      </c>
      <c r="E31" s="13">
        <v>6.6267055419642709E-7</v>
      </c>
      <c r="F31" s="13">
        <v>6.0813044074815428E-7</v>
      </c>
      <c r="G31" s="13">
        <v>4.7730936201059357E-7</v>
      </c>
    </row>
    <row r="32" spans="1:10" x14ac:dyDescent="0.25">
      <c r="A32" s="179">
        <f>F28</f>
        <v>1.0922784376990401E-7</v>
      </c>
      <c r="B32" s="5">
        <f>F22</f>
        <v>5.7789844826097423E-7</v>
      </c>
      <c r="C32" s="13">
        <f t="shared" ref="C32:G36" si="6">(C$31-$B32)/SQRT(C$30^2+$A32^2)</f>
        <v>0</v>
      </c>
      <c r="D32" s="13">
        <f t="shared" si="6"/>
        <v>1.267650270917887</v>
      </c>
      <c r="E32" s="13">
        <f t="shared" si="6"/>
        <v>0.54699008303259167</v>
      </c>
      <c r="F32" s="13">
        <f t="shared" si="6"/>
        <v>0.19531740521756141</v>
      </c>
      <c r="G32" s="13">
        <f t="shared" si="6"/>
        <v>-0.65084333490347102</v>
      </c>
    </row>
    <row r="33" spans="1:12" x14ac:dyDescent="0.25">
      <c r="A33" s="179">
        <f>A32</f>
        <v>1.0922784376990401E-7</v>
      </c>
      <c r="B33" s="5">
        <f>F23</f>
        <v>7.7371428461082599E-7</v>
      </c>
      <c r="C33" s="13">
        <f t="shared" si="6"/>
        <v>-1.267650270917887</v>
      </c>
      <c r="D33" s="13">
        <f t="shared" si="6"/>
        <v>0</v>
      </c>
      <c r="E33" s="13">
        <f t="shared" si="6"/>
        <v>-0.71650714169905438</v>
      </c>
      <c r="F33" s="13">
        <f t="shared" si="6"/>
        <v>-1.0697742380996329</v>
      </c>
      <c r="G33" s="13">
        <f t="shared" si="6"/>
        <v>-1.9178339867483432</v>
      </c>
    </row>
    <row r="34" spans="1:12" x14ac:dyDescent="0.25">
      <c r="A34" s="13">
        <f>I24</f>
        <v>1.0994472325412362E-7</v>
      </c>
      <c r="B34" s="5">
        <f>F24</f>
        <v>6.6267055419642709E-7</v>
      </c>
      <c r="C34" s="13">
        <f t="shared" si="6"/>
        <v>-0.54699008303259167</v>
      </c>
      <c r="D34" s="13">
        <f t="shared" si="6"/>
        <v>0.71650714169905438</v>
      </c>
      <c r="E34" s="13">
        <f t="shared" si="6"/>
        <v>0</v>
      </c>
      <c r="F34" s="13">
        <f t="shared" si="6"/>
        <v>-0.35121315899386651</v>
      </c>
      <c r="G34" s="13">
        <f t="shared" si="6"/>
        <v>-1.1954205831722731</v>
      </c>
    </row>
    <row r="35" spans="1:12" x14ac:dyDescent="0.25">
      <c r="A35" s="13">
        <f>I25</f>
        <v>1.0966922191051032E-7</v>
      </c>
      <c r="B35" s="5">
        <f>F25</f>
        <v>6.0813044074815428E-7</v>
      </c>
      <c r="C35" s="13">
        <f t="shared" si="6"/>
        <v>-0.19531740521756141</v>
      </c>
      <c r="D35" s="13">
        <f>(D$31-$B35)/SQRT(D$30^2+$A35^2)</f>
        <v>1.0697742380996329</v>
      </c>
      <c r="E35" s="13">
        <f t="shared" si="6"/>
        <v>0.35121315899386651</v>
      </c>
      <c r="F35" s="13">
        <f t="shared" si="6"/>
        <v>0</v>
      </c>
      <c r="G35" s="13">
        <f t="shared" si="6"/>
        <v>-0.84474721594427815</v>
      </c>
    </row>
    <row r="36" spans="1:12" x14ac:dyDescent="0.25">
      <c r="A36" s="13">
        <f>I26</f>
        <v>1.0934154631930479E-7</v>
      </c>
      <c r="B36" s="5">
        <f>F26</f>
        <v>4.7730936201059357E-7</v>
      </c>
      <c r="C36" s="13">
        <f t="shared" si="6"/>
        <v>0.65084333490347102</v>
      </c>
      <c r="D36" s="13">
        <f t="shared" si="6"/>
        <v>1.9178339867483432</v>
      </c>
      <c r="E36" s="13">
        <f t="shared" si="6"/>
        <v>1.1954205831722731</v>
      </c>
      <c r="F36" s="13">
        <f t="shared" si="6"/>
        <v>0.84474721594427815</v>
      </c>
      <c r="G36" s="13">
        <f t="shared" si="6"/>
        <v>0</v>
      </c>
    </row>
    <row r="39" spans="1:12" x14ac:dyDescent="0.25">
      <c r="A39" s="13" t="s">
        <v>7</v>
      </c>
    </row>
    <row r="40" spans="1:12" x14ac:dyDescent="0.25">
      <c r="B40" s="13" t="s">
        <v>36</v>
      </c>
      <c r="C40" s="13" t="s">
        <v>27</v>
      </c>
      <c r="D40" s="13" t="s">
        <v>24</v>
      </c>
      <c r="E40" s="13" t="s">
        <v>29</v>
      </c>
      <c r="F40" s="13" t="s">
        <v>37</v>
      </c>
      <c r="G40" s="13" t="s">
        <v>39</v>
      </c>
      <c r="H40" s="13" t="s">
        <v>40</v>
      </c>
      <c r="I40" s="13" t="s">
        <v>41</v>
      </c>
      <c r="J40" s="13" t="s">
        <v>42</v>
      </c>
      <c r="K40" s="13" t="s">
        <v>2</v>
      </c>
      <c r="L40" s="13" t="s">
        <v>43</v>
      </c>
    </row>
    <row r="41" spans="1:12" x14ac:dyDescent="0.25">
      <c r="A41" s="17">
        <v>1</v>
      </c>
      <c r="B41" s="19">
        <v>61.69</v>
      </c>
      <c r="C41" s="13">
        <f>B41-B26</f>
        <v>1.7100000000000009</v>
      </c>
      <c r="D41" s="14">
        <f>$B$12/C41</f>
        <v>2.9239766081871329E-4</v>
      </c>
      <c r="E41" s="14">
        <f>SQRT(2)*D41*$B$13/C41</f>
        <v>6.0455078587133379E-5</v>
      </c>
      <c r="F41" s="14">
        <f>(4*PI()/3)*$F$27^3*($B$9-$B$8)*($B$6/$E$18)*(1+ABS(D41)/$D$27)</f>
        <v>1.5236653275269429E-18</v>
      </c>
      <c r="G41" s="14">
        <f>F41*3/$F$27</f>
        <v>7.3732327858292342E-12</v>
      </c>
      <c r="H41" s="14">
        <f>F41/$E$18</f>
        <v>3.7239583498438115E-23</v>
      </c>
      <c r="I41" s="13">
        <f>(4*PI()/3)*$F$27^3*($B$9-$B$8)*($B$6/$E$18)*(1/$D$27)</f>
        <v>4.5084748053935347E-15</v>
      </c>
      <c r="J41" s="14">
        <f>(4*PI()/3)*$F$27^3*($B$9-$B$8)*($B$6/$E$18)*(ABS(D41)/$D$27^2)</f>
        <v>2.8935921308758912E-14</v>
      </c>
      <c r="K41" s="13">
        <f>SQRT(G41^2*$I$27^2+H41^2*$F$18^2+I41^2*E41^2+J41^2*$E$28^2)</f>
        <v>8.5427931150038163E-19</v>
      </c>
      <c r="L41" s="45">
        <f>K41/F41</f>
        <v>0.56067385407198311</v>
      </c>
    </row>
    <row r="42" spans="1:12" x14ac:dyDescent="0.25">
      <c r="A42" s="17">
        <v>2</v>
      </c>
      <c r="B42" s="19">
        <v>62.33</v>
      </c>
      <c r="C42" s="13">
        <f>B42-B41</f>
        <v>0.64000000000000057</v>
      </c>
      <c r="D42" s="14">
        <f t="shared" ref="D42:D45" si="7">$B$12/C42</f>
        <v>7.8124999999999928E-4</v>
      </c>
      <c r="E42" s="14">
        <f t="shared" ref="E42:E44" si="8">SQRT(2)*D42*$B$13/C42</f>
        <v>4.3158372875155414E-4</v>
      </c>
      <c r="F42" s="14">
        <f t="shared" ref="F42:F45" si="9">(4*PI()/3)*$F$27^3*($B$9-$B$8)*($B$6/$E$18)*(1+ABS(D42)/$D$27)</f>
        <v>3.7276437822834661E-18</v>
      </c>
      <c r="G42" s="14">
        <f t="shared" ref="G42:G45" si="10">F42*3/$F$27</f>
        <v>1.803859735657004E-11</v>
      </c>
      <c r="H42" s="14">
        <f t="shared" ref="H42:H45" si="11">F42/$E$18</f>
        <v>9.110655691567815E-23</v>
      </c>
      <c r="I42" s="13">
        <f t="shared" ref="I42:I45" si="12">(4*PI()/3)*$F$27^3*($B$9-$B$8)*($B$6/$E$18)*(1/$D$27)</f>
        <v>4.5084748053935347E-15</v>
      </c>
      <c r="J42" s="14">
        <f t="shared" ref="J42:J45" si="13">(4*PI()/3)*$F$27^3*($B$9-$B$8)*($B$6/$E$18)*(ABS(D42)/$D$27^2)</f>
        <v>7.731316474684019E-14</v>
      </c>
      <c r="K42" s="13">
        <f t="shared" ref="K42:K45" si="14">SQRT(G42^2*$I$27^2+H42^2*$F$18^2+I42^2*E42^2+J42^2*$E$28^2)</f>
        <v>2.7768946450124004E-18</v>
      </c>
      <c r="L42" s="45">
        <f t="shared" ref="L42:L45" si="15">K42/F42</f>
        <v>0.74494635410450638</v>
      </c>
    </row>
    <row r="43" spans="1:12" x14ac:dyDescent="0.25">
      <c r="A43" s="17">
        <v>3</v>
      </c>
      <c r="B43" s="19">
        <v>63.13</v>
      </c>
      <c r="C43" s="13">
        <f>B43-B42</f>
        <v>0.80000000000000426</v>
      </c>
      <c r="D43" s="14">
        <f t="shared" si="7"/>
        <v>6.2499999999999665E-4</v>
      </c>
      <c r="E43" s="14">
        <f t="shared" si="8"/>
        <v>2.762135864009922E-4</v>
      </c>
      <c r="F43" s="14">
        <f t="shared" si="9"/>
        <v>3.0231945939407138E-18</v>
      </c>
      <c r="G43" s="14">
        <f t="shared" si="10"/>
        <v>1.46296677461089E-11</v>
      </c>
      <c r="H43" s="14">
        <f t="shared" si="11"/>
        <v>7.3889262608485225E-23</v>
      </c>
      <c r="I43" s="13">
        <f t="shared" si="12"/>
        <v>4.5084748053935347E-15</v>
      </c>
      <c r="J43" s="14">
        <f t="shared" si="13"/>
        <v>6.1850531797471879E-14</v>
      </c>
      <c r="K43" s="13">
        <f t="shared" si="14"/>
        <v>2.0328119168151799E-18</v>
      </c>
      <c r="L43" s="45">
        <f t="shared" si="15"/>
        <v>0.67240525002574292</v>
      </c>
    </row>
    <row r="44" spans="1:12" x14ac:dyDescent="0.25">
      <c r="A44" s="17">
        <v>4</v>
      </c>
      <c r="B44" s="19">
        <v>64.150000000000006</v>
      </c>
      <c r="C44" s="13">
        <f>B44-B43</f>
        <v>1.0200000000000031</v>
      </c>
      <c r="D44" s="14">
        <f t="shared" si="7"/>
        <v>4.9019607843137102E-4</v>
      </c>
      <c r="E44" s="14">
        <f t="shared" si="8"/>
        <v>1.6991224076954613E-4</v>
      </c>
      <c r="F44" s="14">
        <f t="shared" si="9"/>
        <v>2.4154345098803191E-18</v>
      </c>
      <c r="G44" s="14">
        <f t="shared" si="10"/>
        <v>1.1688630435122905E-11</v>
      </c>
      <c r="H44" s="14">
        <f t="shared" si="11"/>
        <v>5.9035126343456497E-23</v>
      </c>
      <c r="I44" s="13">
        <f t="shared" si="12"/>
        <v>4.5084748053935347E-15</v>
      </c>
      <c r="J44" s="14">
        <f t="shared" si="13"/>
        <v>4.8510221017625113E-14</v>
      </c>
      <c r="K44" s="13">
        <f t="shared" si="14"/>
        <v>1.4948586960424845E-18</v>
      </c>
      <c r="L44" s="45">
        <f t="shared" si="15"/>
        <v>0.61887775881638474</v>
      </c>
    </row>
    <row r="45" spans="1:12" x14ac:dyDescent="0.25">
      <c r="A45" s="17">
        <v>5</v>
      </c>
      <c r="B45" s="19">
        <v>66.78</v>
      </c>
      <c r="C45" s="13">
        <f>B45-B44</f>
        <v>2.6299999999999955</v>
      </c>
      <c r="D45" s="14">
        <f t="shared" si="7"/>
        <v>1.9011406844106498E-4</v>
      </c>
      <c r="E45" s="14">
        <f>SQRT(2)*D45*$B$13/C45</f>
        <v>2.5557214257346138E-5</v>
      </c>
      <c r="F45" s="14">
        <f t="shared" si="9"/>
        <v>1.0625223282871733E-18</v>
      </c>
      <c r="G45" s="14">
        <f t="shared" si="10"/>
        <v>5.1416963588180528E-12</v>
      </c>
      <c r="H45" s="14">
        <f t="shared" si="11"/>
        <v>2.5968884536755591E-23</v>
      </c>
      <c r="I45" s="13">
        <f t="shared" si="12"/>
        <v>4.5084748053935347E-15</v>
      </c>
      <c r="J45" s="14">
        <f t="shared" si="13"/>
        <v>1.8813849976417437E-14</v>
      </c>
      <c r="K45" s="13">
        <f t="shared" si="14"/>
        <v>5.7615296660513704E-19</v>
      </c>
      <c r="L45" s="45">
        <f t="shared" si="15"/>
        <v>0.542250220316704</v>
      </c>
    </row>
    <row r="49" spans="1:12" x14ac:dyDescent="0.25">
      <c r="A49" s="13" t="s">
        <v>7</v>
      </c>
    </row>
    <row r="50" spans="1:12" x14ac:dyDescent="0.25">
      <c r="B50" s="13" t="s">
        <v>23</v>
      </c>
      <c r="C50" s="13" t="s">
        <v>27</v>
      </c>
      <c r="D50" s="13" t="s">
        <v>24</v>
      </c>
      <c r="E50" s="13" t="s">
        <v>29</v>
      </c>
      <c r="F50" s="13" t="s">
        <v>37</v>
      </c>
      <c r="G50" s="13" t="s">
        <v>39</v>
      </c>
      <c r="H50" s="13" t="s">
        <v>40</v>
      </c>
      <c r="I50" s="13" t="s">
        <v>41</v>
      </c>
      <c r="J50" s="13" t="s">
        <v>42</v>
      </c>
      <c r="K50" s="13" t="s">
        <v>2</v>
      </c>
      <c r="L50" s="13" t="s">
        <v>43</v>
      </c>
    </row>
    <row r="51" spans="1:12" x14ac:dyDescent="0.25">
      <c r="A51" s="17">
        <v>6</v>
      </c>
      <c r="B51" s="20">
        <v>67.819999999999993</v>
      </c>
      <c r="C51" s="19">
        <f>B51-B45</f>
        <v>1.039999999999992</v>
      </c>
      <c r="D51" s="14">
        <f>$B$12/C51</f>
        <v>4.8076923076923448E-4</v>
      </c>
      <c r="E51" s="14">
        <f>SQRT(2)*D51*$B$13/C51</f>
        <v>1.6343999195325408E-4</v>
      </c>
      <c r="F51" s="14">
        <f>-(4*PI()/3)*$F$27^3*($B$9-$B$8)*($B$6/$E$18)*(1-ABS(D51)/$D$27)</f>
        <v>1.9621381235617542E-18</v>
      </c>
      <c r="G51" s="14">
        <f>F51*3/$F$27</f>
        <v>9.4950648817695505E-12</v>
      </c>
      <c r="H51" s="14">
        <f>F51/$E$18</f>
        <v>4.795620479626262E-23</v>
      </c>
      <c r="I51" s="13">
        <f>-(4*PI()/3)*$F$27^3*($B$9-$B$8)*($B$6/$E$18)*(-1/$D$27)</f>
        <v>4.5084748053935347E-15</v>
      </c>
      <c r="J51" s="14">
        <f>-(4*PI()/3)*$F$27^3*($B$9-$B$8)*($B$6/$E$18)*(-ABS(D51)/$D$27^2)</f>
        <v>4.757733215190207E-14</v>
      </c>
      <c r="K51" s="13">
        <f>SQRT(G51^2*$I$27^2+H51^2*$F$18^2+I51^2*E51^2+J51^2*$E$28^2)</f>
        <v>1.277311683200391E-18</v>
      </c>
      <c r="L51" s="53">
        <f>K51/F51</f>
        <v>0.65097949418655709</v>
      </c>
    </row>
    <row r="52" spans="1:12" x14ac:dyDescent="0.25">
      <c r="A52" s="17">
        <v>7</v>
      </c>
      <c r="B52" s="20">
        <v>68.650000000000006</v>
      </c>
      <c r="C52" s="19">
        <f>B52-B51</f>
        <v>0.83000000000001251</v>
      </c>
      <c r="D52" s="14">
        <f t="shared" ref="D52:D55" si="16">$B$12/C52</f>
        <v>6.0240963855420781E-4</v>
      </c>
      <c r="E52" s="14">
        <f t="shared" ref="E52:E54" si="17">SQRT(2)*D52*$B$13/C52</f>
        <v>2.5660719305651268E-4</v>
      </c>
      <c r="F52" s="14">
        <f t="shared" ref="F52:F55" si="18">-(4*PI()/3)*$F$27^3*($B$9-$B$8)*($B$6/$E$18)*(1-ABS(D52)/$D$27)</f>
        <v>2.510550837378102E-18</v>
      </c>
      <c r="G52" s="14">
        <f t="shared" ref="G52:G55" si="19">F52*3/$F$27</f>
        <v>1.2148911844500792E-11</v>
      </c>
      <c r="H52" s="14">
        <f t="shared" ref="H52:H55" si="20">F52/$E$18</f>
        <v>6.1359844479339805E-23</v>
      </c>
      <c r="I52" s="13">
        <f t="shared" ref="I52:I55" si="21">-(4*PI()/3)*$F$27^3*($B$9-$B$8)*($B$6/$E$18)*(-1/$D$27)</f>
        <v>4.5084748053935347E-15</v>
      </c>
      <c r="J52" s="14">
        <f t="shared" ref="J52:J55" si="22">-(4*PI()/3)*$F$27^3*($B$9-$B$8)*($B$6/$E$18)*(-ABS(D52)/$D$27^2)</f>
        <v>5.9614970407201239E-14</v>
      </c>
      <c r="K52" s="13">
        <f t="shared" ref="K52:K55" si="23">SQRT(G52^2*$I$27^2+H52^2*$F$18^2+I52^2*E52^2+J52^2*$E$28^2)</f>
        <v>1.7664268559790732E-18</v>
      </c>
      <c r="L52" s="53">
        <f t="shared" ref="L52:L55" si="24">K52/F52</f>
        <v>0.7036013091946961</v>
      </c>
    </row>
    <row r="53" spans="1:12" x14ac:dyDescent="0.25">
      <c r="A53" s="17">
        <v>8</v>
      </c>
      <c r="B53" s="20">
        <v>69.44</v>
      </c>
      <c r="C53" s="19">
        <f>B53-B52</f>
        <v>0.78999999999999204</v>
      </c>
      <c r="D53" s="14">
        <f t="shared" si="16"/>
        <v>6.329113924050697E-4</v>
      </c>
      <c r="E53" s="14">
        <f t="shared" si="17"/>
        <v>2.8325059332901854E-4</v>
      </c>
      <c r="F53" s="14">
        <f t="shared" si="18"/>
        <v>2.6480672261350282E-18</v>
      </c>
      <c r="G53" s="14">
        <f t="shared" si="19"/>
        <v>1.2814373168489264E-11</v>
      </c>
      <c r="H53" s="14">
        <f t="shared" si="20"/>
        <v>6.4720853586129152E-23</v>
      </c>
      <c r="I53" s="13">
        <f t="shared" si="21"/>
        <v>4.5084748053935347E-15</v>
      </c>
      <c r="J53" s="14">
        <f t="shared" si="22"/>
        <v>6.2633449921491481E-14</v>
      </c>
      <c r="K53" s="13">
        <f t="shared" si="23"/>
        <v>1.9008221798404304E-18</v>
      </c>
      <c r="L53" s="53">
        <f t="shared" si="24"/>
        <v>0.71781492595063945</v>
      </c>
    </row>
    <row r="54" spans="1:12" x14ac:dyDescent="0.25">
      <c r="A54" s="17">
        <v>9</v>
      </c>
      <c r="B54" s="20">
        <v>70.099999999999994</v>
      </c>
      <c r="C54" s="19">
        <f>B54-B53</f>
        <v>0.65999999999999659</v>
      </c>
      <c r="D54" s="14">
        <f t="shared" si="16"/>
        <v>7.5757575757576148E-4</v>
      </c>
      <c r="E54" s="14">
        <f t="shared" si="17"/>
        <v>4.0582345109421188E-4</v>
      </c>
      <c r="F54" s="14">
        <f t="shared" si="18"/>
        <v>3.210113375637471E-18</v>
      </c>
      <c r="G54" s="14">
        <f t="shared" si="19"/>
        <v>1.5534194261607373E-11</v>
      </c>
      <c r="H54" s="14">
        <f t="shared" si="20"/>
        <v>7.8457705200613203E-23</v>
      </c>
      <c r="I54" s="13">
        <f t="shared" si="21"/>
        <v>4.5084748053935347E-15</v>
      </c>
      <c r="J54" s="14">
        <f t="shared" si="22"/>
        <v>7.4970341572693974E-14</v>
      </c>
      <c r="K54" s="13">
        <f t="shared" si="23"/>
        <v>2.5020926220843045E-18</v>
      </c>
      <c r="L54" s="53">
        <f t="shared" si="24"/>
        <v>0.77944057710654335</v>
      </c>
    </row>
    <row r="55" spans="1:12" x14ac:dyDescent="0.25">
      <c r="A55" s="17">
        <v>10</v>
      </c>
      <c r="B55" s="20">
        <v>70.81</v>
      </c>
      <c r="C55" s="19">
        <f>B55-B54</f>
        <v>0.71000000000000796</v>
      </c>
      <c r="D55" s="14">
        <f t="shared" si="16"/>
        <v>7.0422535211266818E-4</v>
      </c>
      <c r="E55" s="14">
        <f>SQRT(2)*D55*$B$13/C55</f>
        <v>3.5067783236784948E-4</v>
      </c>
      <c r="F55" s="14">
        <f t="shared" si="18"/>
        <v>2.9695844167495857E-18</v>
      </c>
      <c r="G55" s="14">
        <f t="shared" si="19"/>
        <v>1.4370240489362617E-11</v>
      </c>
      <c r="H55" s="14">
        <f t="shared" si="20"/>
        <v>7.257898755410995E-23</v>
      </c>
      <c r="I55" s="13">
        <f t="shared" si="21"/>
        <v>4.5084748053935347E-15</v>
      </c>
      <c r="J55" s="14">
        <f t="shared" si="22"/>
        <v>6.9690740053489032E-14</v>
      </c>
      <c r="K55" s="13">
        <f t="shared" si="23"/>
        <v>2.2343720825460396E-18</v>
      </c>
      <c r="L55" s="53">
        <f t="shared" si="24"/>
        <v>0.75241911627207203</v>
      </c>
    </row>
    <row r="56" spans="1:12" x14ac:dyDescent="0.25">
      <c r="B56" s="20"/>
      <c r="L56" s="53"/>
    </row>
    <row r="59" spans="1:12" x14ac:dyDescent="0.25">
      <c r="B59" s="13" t="s">
        <v>38</v>
      </c>
    </row>
    <row r="60" spans="1:12" x14ac:dyDescent="0.25">
      <c r="A60" s="14"/>
      <c r="B60" s="13" t="s">
        <v>44</v>
      </c>
      <c r="C60" s="13" t="s">
        <v>45</v>
      </c>
    </row>
    <row r="61" spans="1:12" x14ac:dyDescent="0.25">
      <c r="A61" s="13">
        <v>1</v>
      </c>
      <c r="B61" s="14">
        <f>F41</f>
        <v>1.5236653275269429E-18</v>
      </c>
      <c r="C61" s="13">
        <f>K41</f>
        <v>8.5427931150038163E-19</v>
      </c>
    </row>
    <row r="62" spans="1:12" x14ac:dyDescent="0.25">
      <c r="A62" s="13">
        <v>2</v>
      </c>
      <c r="B62" s="14">
        <f t="shared" ref="B62:B65" si="25">F42</f>
        <v>3.7276437822834661E-18</v>
      </c>
      <c r="C62" s="13">
        <f t="shared" ref="C62:C65" si="26">K42</f>
        <v>2.7768946450124004E-18</v>
      </c>
    </row>
    <row r="63" spans="1:12" x14ac:dyDescent="0.25">
      <c r="A63" s="13">
        <v>3</v>
      </c>
      <c r="B63" s="14">
        <f t="shared" si="25"/>
        <v>3.0231945939407138E-18</v>
      </c>
      <c r="C63" s="13">
        <f t="shared" si="26"/>
        <v>2.0328119168151799E-18</v>
      </c>
    </row>
    <row r="64" spans="1:12" x14ac:dyDescent="0.25">
      <c r="A64" s="13">
        <v>4</v>
      </c>
      <c r="B64" s="14">
        <f t="shared" si="25"/>
        <v>2.4154345098803191E-18</v>
      </c>
      <c r="C64" s="13">
        <f t="shared" si="26"/>
        <v>1.4948586960424845E-18</v>
      </c>
    </row>
    <row r="65" spans="1:3" x14ac:dyDescent="0.25">
      <c r="A65" s="13">
        <v>5</v>
      </c>
      <c r="B65" s="14">
        <f t="shared" si="25"/>
        <v>1.0625223282871733E-18</v>
      </c>
      <c r="C65" s="13">
        <f t="shared" si="26"/>
        <v>5.7615296660513704E-19</v>
      </c>
    </row>
    <row r="66" spans="1:3" x14ac:dyDescent="0.25">
      <c r="A66" s="13">
        <v>6</v>
      </c>
      <c r="B66" s="14">
        <f>F51</f>
        <v>1.9621381235617542E-18</v>
      </c>
      <c r="C66" s="13">
        <f>K51</f>
        <v>1.277311683200391E-18</v>
      </c>
    </row>
    <row r="67" spans="1:3" x14ac:dyDescent="0.25">
      <c r="A67" s="13">
        <v>7</v>
      </c>
      <c r="B67" s="14">
        <f t="shared" ref="B67:B70" si="27">F52</f>
        <v>2.510550837378102E-18</v>
      </c>
      <c r="C67" s="13">
        <f t="shared" ref="C67:C70" si="28">K52</f>
        <v>1.7664268559790732E-18</v>
      </c>
    </row>
    <row r="68" spans="1:3" x14ac:dyDescent="0.25">
      <c r="A68" s="13">
        <v>8</v>
      </c>
      <c r="B68" s="14">
        <f t="shared" si="27"/>
        <v>2.6480672261350282E-18</v>
      </c>
      <c r="C68" s="13">
        <f t="shared" si="28"/>
        <v>1.9008221798404304E-18</v>
      </c>
    </row>
    <row r="69" spans="1:3" x14ac:dyDescent="0.25">
      <c r="A69" s="13">
        <v>9</v>
      </c>
      <c r="B69" s="14">
        <f t="shared" si="27"/>
        <v>3.210113375637471E-18</v>
      </c>
      <c r="C69" s="13">
        <f t="shared" si="28"/>
        <v>2.5020926220843045E-18</v>
      </c>
    </row>
    <row r="70" spans="1:3" x14ac:dyDescent="0.25">
      <c r="A70" s="13">
        <v>10</v>
      </c>
      <c r="B70" s="14">
        <f t="shared" si="27"/>
        <v>2.9695844167495857E-18</v>
      </c>
      <c r="C70" s="13">
        <f t="shared" si="28"/>
        <v>2.2343720825460396E-18</v>
      </c>
    </row>
  </sheetData>
  <mergeCells count="2">
    <mergeCell ref="A1:C2"/>
    <mergeCell ref="A14:C15"/>
  </mergeCells>
  <conditionalFormatting sqref="C32:G36">
    <cfRule type="cellIs" dxfId="66" priority="7" operator="notBetween">
      <formula>-1.96</formula>
      <formula>1.96</formula>
    </cfRule>
  </conditionalFormatting>
  <conditionalFormatting sqref="L41:L45">
    <cfRule type="cellIs" priority="6" operator="greaterThan">
      <formula>0.04</formula>
    </cfRule>
  </conditionalFormatting>
  <conditionalFormatting sqref="L51:L56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greaterThan" id="{546B101D-A7DA-401D-88E3-FB33458B79B9}">
            <xm:f>Dati!$B$14</xm:f>
            <x14:dxf>
              <fill>
                <patternFill>
                  <bgColor theme="5"/>
                </patternFill>
              </fill>
            </x14:dxf>
          </x14:cfRule>
          <xm:sqref>L41:L45</xm:sqref>
        </x14:conditionalFormatting>
        <x14:conditionalFormatting xmlns:xm="http://schemas.microsoft.com/office/excel/2006/main">
          <x14:cfRule type="cellIs" priority="1" operator="greaterThan" id="{F45E56B6-95C3-455E-8266-D135D6376C18}">
            <xm:f>Dati!$B$14</xm:f>
            <x14:dxf>
              <fill>
                <patternFill>
                  <bgColor theme="5"/>
                </patternFill>
              </fill>
            </x14:dxf>
          </x14:cfRule>
          <xm:sqref>L51:L56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3" workbookViewId="0">
      <selection activeCell="A30" sqref="A30:G36"/>
    </sheetView>
  </sheetViews>
  <sheetFormatPr defaultRowHeight="15" x14ac:dyDescent="0.25"/>
  <cols>
    <col min="1" max="1" width="13.140625" style="20" customWidth="1"/>
    <col min="2" max="2" width="9.140625" style="20"/>
    <col min="3" max="5" width="12" style="20" customWidth="1"/>
    <col min="6" max="7" width="12.140625" style="20" customWidth="1"/>
    <col min="8" max="9" width="12" style="20" customWidth="1"/>
    <col min="10" max="10" width="9.140625" style="20"/>
    <col min="11" max="11" width="12" style="20" customWidth="1"/>
    <col min="12" max="16384" width="9.140625" style="20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20" t="s">
        <v>1</v>
      </c>
      <c r="C4" s="20" t="s">
        <v>2</v>
      </c>
    </row>
    <row r="5" spans="1:5" x14ac:dyDescent="0.25">
      <c r="A5" s="20" t="str">
        <f>[1]Dati!A5</f>
        <v>d</v>
      </c>
      <c r="B5" s="21">
        <f>Dati!B5</f>
        <v>7.4300000000000008E-3</v>
      </c>
      <c r="C5" s="179">
        <f>Dati!C5</f>
        <v>1.0000000000000001E-5</v>
      </c>
    </row>
    <row r="6" spans="1:5" x14ac:dyDescent="0.25">
      <c r="A6" s="20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20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20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20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20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20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20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20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23"/>
    </row>
    <row r="15" spans="1:5" x14ac:dyDescent="0.25">
      <c r="A15" s="193"/>
      <c r="B15" s="193"/>
      <c r="C15" s="193"/>
      <c r="D15" s="23"/>
    </row>
    <row r="16" spans="1:5" x14ac:dyDescent="0.25">
      <c r="A16" s="20" t="s">
        <v>18</v>
      </c>
      <c r="B16" s="20">
        <v>304</v>
      </c>
      <c r="C16" s="20">
        <f>B16/100</f>
        <v>3.04</v>
      </c>
      <c r="D16" s="20" t="s">
        <v>19</v>
      </c>
      <c r="E16" s="20">
        <f>(1.8+(B18-15)*0.004765)*0.00001</f>
        <v>1.8285900000000001E-5</v>
      </c>
    </row>
    <row r="17" spans="1:10" x14ac:dyDescent="0.25">
      <c r="A17" s="20" t="s">
        <v>20</v>
      </c>
      <c r="E17" s="22"/>
    </row>
    <row r="18" spans="1:10" x14ac:dyDescent="0.25">
      <c r="A18" s="20" t="s">
        <v>21</v>
      </c>
      <c r="B18" s="20">
        <v>21</v>
      </c>
      <c r="C18" s="20">
        <v>0.5</v>
      </c>
      <c r="D18" s="20" t="s">
        <v>22</v>
      </c>
      <c r="E18" s="21">
        <f>B16/B5</f>
        <v>40915.208613728122</v>
      </c>
      <c r="F18" s="20">
        <f>SQRT((C16/B5)^2+(B16*C5/B5^2)^2)</f>
        <v>412.84121337929804</v>
      </c>
      <c r="G18" s="21"/>
    </row>
    <row r="21" spans="1:10" x14ac:dyDescent="0.25">
      <c r="B21" s="20" t="s">
        <v>23</v>
      </c>
      <c r="C21" s="20" t="s">
        <v>27</v>
      </c>
      <c r="D21" s="20" t="s">
        <v>24</v>
      </c>
      <c r="E21" s="20" t="s">
        <v>29</v>
      </c>
      <c r="F21" s="20" t="s">
        <v>25</v>
      </c>
      <c r="G21" s="20" t="s">
        <v>26</v>
      </c>
      <c r="H21" s="20" t="s">
        <v>28</v>
      </c>
      <c r="I21" s="20" t="s">
        <v>31</v>
      </c>
      <c r="J21" s="20" t="s">
        <v>32</v>
      </c>
    </row>
    <row r="22" spans="1:10" x14ac:dyDescent="0.25">
      <c r="A22" s="20">
        <v>1</v>
      </c>
      <c r="B22" s="25">
        <v>3.7</v>
      </c>
      <c r="C22" s="20">
        <f>B22</f>
        <v>3.7</v>
      </c>
      <c r="D22" s="21">
        <f>B12/B22</f>
        <v>1.3513513513513514E-4</v>
      </c>
      <c r="E22" s="21">
        <f>SQRT(2)*D22*$B$13/C22</f>
        <v>1.2912833841974937E-5</v>
      </c>
      <c r="F22" s="5">
        <f>(($B$10/(2*$B$7))^2+9*$E$16*D22/(2*$B$6*($B$9-$B$8)))^(1/2)-$B$10/(2*$B$7)</f>
        <v>1.5783406053399425E-6</v>
      </c>
      <c r="G22" s="20">
        <f>(($B$10/(2*$B$7))^2+9*$E$16*D22/(2*$B$6*($B$9-$B$8)))^(-1/2)*(9*$E$16)/(4*$B$6*$B$9)</f>
        <v>2.0045368880795365E-3</v>
      </c>
      <c r="H22" s="20">
        <f>(($B$10/(2*$B$7))^2+9*$E$16*D22/(2*$B$6*($B$9-$B$8)))^(-1/2)*((9*D22)/(4*$B$6*$B$9))*0.00000004765</f>
        <v>7.0587678260587057E-10</v>
      </c>
      <c r="I22" s="20">
        <f>SQRT(G22^2*E22^2+H22^2*$C$18^2+$F$28^2)</f>
        <v>1.9402522246178349E-7</v>
      </c>
      <c r="J22" s="21">
        <f>I22/F22</f>
        <v>0.12292988079084134</v>
      </c>
    </row>
    <row r="23" spans="1:10" x14ac:dyDescent="0.25">
      <c r="A23" s="20">
        <v>2</v>
      </c>
      <c r="B23" s="25">
        <v>7.61</v>
      </c>
      <c r="C23" s="20">
        <f>B23-B22</f>
        <v>3.91</v>
      </c>
      <c r="D23" s="21">
        <f>$B$12/(B23-B22)</f>
        <v>1.2787723785166239E-4</v>
      </c>
      <c r="E23" s="21">
        <f t="shared" ref="E23:E25" si="0">SQRT(2)*D23*$B$13/C23</f>
        <v>1.1563025836868995E-5</v>
      </c>
      <c r="F23" s="5">
        <f>(($B$10/(2*$B$7))^2+9*E16*D23/(2*$B$6*($B$9-$B$8)))^(1/2)-$B$10/(2*$B$7)</f>
        <v>1.534296874384064E-6</v>
      </c>
      <c r="G23" s="20">
        <f t="shared" ref="G23:G27" si="1">(($B$10/(2*$B$7))^2+9*$E$16*D23/(2*$B$6*($B$9-$B$8)))^(-1/2)*(9*$E$16)/(4*$B$6*$B$9)</f>
        <v>2.0606008232552176E-3</v>
      </c>
      <c r="H23" s="20">
        <f t="shared" ref="H23:H27" si="2">(($B$10/(2*$B$7))^2+9*$E$16*D23/(2*$B$6*($B$9-$B$8)))^(-1/2)*((9*D23)/(4*$B$6*$B$9))*0.00000004765</f>
        <v>6.8664724278783122E-10</v>
      </c>
      <c r="I23" s="20">
        <f t="shared" ref="I23:I27" si="3">SQRT(G23^2*E23^2+H23^2*$C$18^2+$F$28^2)</f>
        <v>1.9376145447240527E-7</v>
      </c>
      <c r="J23" s="21">
        <f t="shared" ref="J23:J27" si="4">I23/F23</f>
        <v>0.12628680779278123</v>
      </c>
    </row>
    <row r="24" spans="1:10" x14ac:dyDescent="0.25">
      <c r="A24" s="20">
        <v>3</v>
      </c>
      <c r="B24" s="25">
        <v>10.51</v>
      </c>
      <c r="C24" s="20">
        <f t="shared" ref="C24:C26" si="5">B24-B23</f>
        <v>2.8999999999999995</v>
      </c>
      <c r="D24" s="21">
        <f>$B$12/(B24-B23)</f>
        <v>1.7241379310344832E-4</v>
      </c>
      <c r="E24" s="21">
        <f t="shared" si="0"/>
        <v>2.1019821081645298E-5</v>
      </c>
      <c r="F24" s="5">
        <f>(($B$10/(2*$B$7))^2+9*E16*D24/(2*$B$6*($B$9-$B$8)))^(1/2)-$B$10/(2*$B$7)</f>
        <v>1.7879180656758398E-6</v>
      </c>
      <c r="G24" s="20">
        <f t="shared" si="1"/>
        <v>1.7747677432158268E-3</v>
      </c>
      <c r="H24" s="20">
        <f t="shared" si="2"/>
        <v>7.973703779323675E-10</v>
      </c>
      <c r="I24" s="20">
        <f t="shared" si="3"/>
        <v>1.958762677966687E-7</v>
      </c>
      <c r="J24" s="21">
        <f t="shared" si="4"/>
        <v>0.10955550567840296</v>
      </c>
    </row>
    <row r="25" spans="1:10" x14ac:dyDescent="0.25">
      <c r="A25" s="20">
        <v>4</v>
      </c>
      <c r="B25" s="25">
        <v>15.71</v>
      </c>
      <c r="C25" s="20">
        <f t="shared" si="5"/>
        <v>5.2000000000000011</v>
      </c>
      <c r="D25" s="21">
        <f>$B$12/(B25-B24)</f>
        <v>9.615384615384614E-5</v>
      </c>
      <c r="E25" s="21">
        <f t="shared" si="0"/>
        <v>6.53759967813006E-6</v>
      </c>
      <c r="F25" s="5">
        <f>(($B$10/(2*$B$7))^2+9*E16*D25/(2*$B$6*($B$9-$B$8)))^(1/2)-$B$10/(2*$B$7)</f>
        <v>1.3252149806120837E-6</v>
      </c>
      <c r="G25" s="20">
        <f t="shared" si="1"/>
        <v>2.3760734743174805E-3</v>
      </c>
      <c r="H25" s="20">
        <f t="shared" si="2"/>
        <v>5.9535100526818245E-10</v>
      </c>
      <c r="I25" s="20">
        <f t="shared" si="3"/>
        <v>1.9291722572977217E-7</v>
      </c>
      <c r="J25" s="21">
        <f t="shared" si="4"/>
        <v>0.14557428685319307</v>
      </c>
    </row>
    <row r="26" spans="1:10" x14ac:dyDescent="0.25">
      <c r="A26" s="20">
        <v>5</v>
      </c>
      <c r="B26" s="25">
        <v>20.85</v>
      </c>
      <c r="C26" s="20">
        <f t="shared" si="5"/>
        <v>5.1400000000000006</v>
      </c>
      <c r="D26" s="21">
        <f>$B$12/(B26-B25)</f>
        <v>9.7276264591439682E-5</v>
      </c>
      <c r="E26" s="21">
        <f>SQRT(2)*D26*$B$13/C26</f>
        <v>6.6911192938816967E-6</v>
      </c>
      <c r="F26" s="5">
        <f>(($B$10/(2*$B$7))^2+9*E16*D26/(2*$B$6*($B$9-$B$8)))^(1/2)-$B$10/(2*$B$7)</f>
        <v>1.3331557851403451E-6</v>
      </c>
      <c r="G26" s="20">
        <f t="shared" si="1"/>
        <v>2.3623375502904785E-3</v>
      </c>
      <c r="H26" s="20">
        <f t="shared" si="2"/>
        <v>5.9881876769620729E-10</v>
      </c>
      <c r="I26" s="20">
        <f t="shared" si="3"/>
        <v>1.929393913891372E-7</v>
      </c>
      <c r="J26" s="21">
        <f t="shared" si="4"/>
        <v>0.14472381513074703</v>
      </c>
    </row>
    <row r="27" spans="1:10" x14ac:dyDescent="0.25">
      <c r="A27" s="7" t="s">
        <v>34</v>
      </c>
      <c r="B27" s="7"/>
      <c r="C27" s="7">
        <f>AVERAGE(C22:C26)</f>
        <v>4.17</v>
      </c>
      <c r="D27" s="7">
        <f>AVERAGE(D22:D26)</f>
        <v>1.2577125536710634E-4</v>
      </c>
      <c r="E27" s="8">
        <f>SQRT(2)*D27*$B$13/C27</f>
        <v>1.0663514094535476E-5</v>
      </c>
      <c r="F27" s="9">
        <f>AVERAGE(F22:F26)</f>
        <v>1.511785262230455E-6</v>
      </c>
      <c r="G27" s="7">
        <f t="shared" si="1"/>
        <v>2.0777696293423947E-3</v>
      </c>
      <c r="H27" s="7">
        <f t="shared" si="2"/>
        <v>6.8096588354326644E-10</v>
      </c>
      <c r="I27" s="7">
        <f t="shared" si="3"/>
        <v>1.9356313335638628E-7</v>
      </c>
      <c r="J27" s="8">
        <f t="shared" si="4"/>
        <v>0.12803612933149477</v>
      </c>
    </row>
    <row r="28" spans="1:10" x14ac:dyDescent="0.25">
      <c r="A28" s="20" t="s">
        <v>35</v>
      </c>
      <c r="C28" s="6">
        <f>_xlfn.STDEV.S(C22:C26)</f>
        <v>0.98782589559091816</v>
      </c>
      <c r="D28" s="21">
        <f>_xlfn.STDEV.S(D22:D26)</f>
        <v>3.1451546706133863E-5</v>
      </c>
      <c r="E28" s="8">
        <f>SQRT(2)*D28*$B$13/C28</f>
        <v>1.1256842958854066E-5</v>
      </c>
      <c r="F28" s="21">
        <f>_xlfn.STDEV.S(F22:F26)</f>
        <v>1.9229058192318476E-7</v>
      </c>
    </row>
    <row r="30" spans="1:10" x14ac:dyDescent="0.25">
      <c r="A30" s="20" t="s">
        <v>31</v>
      </c>
      <c r="C30" s="20">
        <f t="array" ref="C30:G31">TRANSPOSE(A32:B36)</f>
        <v>1.9402522246178349E-7</v>
      </c>
      <c r="D30" s="20">
        <v>1.9376145447240527E-7</v>
      </c>
      <c r="E30" s="20">
        <v>1.958762677966687E-7</v>
      </c>
      <c r="F30" s="20">
        <v>1.9291722572977217E-7</v>
      </c>
      <c r="G30" s="20">
        <v>1.929393913891372E-7</v>
      </c>
    </row>
    <row r="31" spans="1:10" x14ac:dyDescent="0.25">
      <c r="B31" s="20" t="s">
        <v>25</v>
      </c>
      <c r="C31" s="20">
        <v>1.5783406053399425E-6</v>
      </c>
      <c r="D31" s="20">
        <v>1.534296874384064E-6</v>
      </c>
      <c r="E31" s="20">
        <v>1.7879180656758398E-6</v>
      </c>
      <c r="F31" s="20">
        <v>1.3252149806120837E-6</v>
      </c>
      <c r="G31" s="20">
        <v>1.3331557851403451E-6</v>
      </c>
    </row>
    <row r="32" spans="1:10" x14ac:dyDescent="0.25">
      <c r="A32" s="20">
        <f>I22</f>
        <v>1.9402522246178349E-7</v>
      </c>
      <c r="B32" s="5">
        <f>F22</f>
        <v>1.5783406053399425E-6</v>
      </c>
      <c r="C32" s="20">
        <f t="shared" ref="C32:G36" si="6">(C$31-$B32)/SQRT(C$30^2+$A32^2)</f>
        <v>0</v>
      </c>
      <c r="D32" s="20">
        <f t="shared" si="6"/>
        <v>-0.16062240131344396</v>
      </c>
      <c r="E32" s="20">
        <f t="shared" si="6"/>
        <v>0.76015084368514696</v>
      </c>
      <c r="F32" s="20">
        <f t="shared" si="6"/>
        <v>-0.9251304052176601</v>
      </c>
      <c r="G32" s="20">
        <f t="shared" si="6"/>
        <v>-0.89605695333180224</v>
      </c>
    </row>
    <row r="33" spans="1:12" x14ac:dyDescent="0.25">
      <c r="A33" s="20">
        <f>I23</f>
        <v>1.9376145447240527E-7</v>
      </c>
      <c r="B33" s="5">
        <f>F23</f>
        <v>1.534296874384064E-6</v>
      </c>
      <c r="C33" s="20">
        <f t="shared" si="6"/>
        <v>0.16062240131344396</v>
      </c>
      <c r="D33" s="20">
        <f t="shared" si="6"/>
        <v>0</v>
      </c>
      <c r="E33" s="20">
        <f t="shared" si="6"/>
        <v>0.92051981854298792</v>
      </c>
      <c r="F33" s="20">
        <f t="shared" si="6"/>
        <v>-0.76468075493422327</v>
      </c>
      <c r="G33" s="20">
        <f t="shared" si="6"/>
        <v>-0.73559656424290443</v>
      </c>
    </row>
    <row r="34" spans="1:12" x14ac:dyDescent="0.25">
      <c r="A34" s="20">
        <f>I24</f>
        <v>1.958762677966687E-7</v>
      </c>
      <c r="B34" s="5">
        <f>F24</f>
        <v>1.7879180656758398E-6</v>
      </c>
      <c r="C34" s="20">
        <f t="shared" si="6"/>
        <v>-0.76015084368514696</v>
      </c>
      <c r="D34" s="20">
        <f t="shared" si="6"/>
        <v>-0.92051981854298792</v>
      </c>
      <c r="E34" s="20">
        <f t="shared" si="6"/>
        <v>0</v>
      </c>
      <c r="F34" s="20">
        <f t="shared" si="6"/>
        <v>-1.6830066297751896</v>
      </c>
      <c r="G34" s="20">
        <f t="shared" si="6"/>
        <v>-1.6540296767322713</v>
      </c>
    </row>
    <row r="35" spans="1:12" x14ac:dyDescent="0.25">
      <c r="A35" s="20">
        <f>I25</f>
        <v>1.9291722572977217E-7</v>
      </c>
      <c r="B35" s="5">
        <f>F25</f>
        <v>1.3252149806120837E-6</v>
      </c>
      <c r="C35" s="20">
        <f t="shared" si="6"/>
        <v>0.9251304052176601</v>
      </c>
      <c r="D35" s="20">
        <f t="shared" si="6"/>
        <v>0.76468075493422327</v>
      </c>
      <c r="E35" s="20">
        <f t="shared" si="6"/>
        <v>1.6830066297751896</v>
      </c>
      <c r="F35" s="20">
        <f t="shared" si="6"/>
        <v>0</v>
      </c>
      <c r="G35" s="20">
        <f t="shared" si="6"/>
        <v>2.9104058200020131E-2</v>
      </c>
    </row>
    <row r="36" spans="1:12" x14ac:dyDescent="0.25">
      <c r="A36" s="20">
        <f>I26</f>
        <v>1.929393913891372E-7</v>
      </c>
      <c r="B36" s="5">
        <f>F26</f>
        <v>1.3331557851403451E-6</v>
      </c>
      <c r="C36" s="20">
        <f t="shared" si="6"/>
        <v>0.89605695333180224</v>
      </c>
      <c r="D36" s="20">
        <f t="shared" si="6"/>
        <v>0.73559656424290443</v>
      </c>
      <c r="E36" s="20">
        <f t="shared" si="6"/>
        <v>1.6540296767322713</v>
      </c>
      <c r="F36" s="20">
        <f t="shared" si="6"/>
        <v>-2.9104058200020131E-2</v>
      </c>
      <c r="G36" s="20">
        <f t="shared" si="6"/>
        <v>0</v>
      </c>
    </row>
    <row r="39" spans="1:12" x14ac:dyDescent="0.25">
      <c r="A39" s="20" t="s">
        <v>7</v>
      </c>
    </row>
    <row r="40" spans="1:12" x14ac:dyDescent="0.25">
      <c r="B40" s="20" t="s">
        <v>36</v>
      </c>
      <c r="C40" s="20" t="s">
        <v>27</v>
      </c>
      <c r="D40" s="20" t="s">
        <v>24</v>
      </c>
      <c r="E40" s="20" t="s">
        <v>29</v>
      </c>
      <c r="F40" s="20" t="s">
        <v>37</v>
      </c>
      <c r="G40" s="20" t="s">
        <v>39</v>
      </c>
      <c r="H40" s="20" t="s">
        <v>40</v>
      </c>
      <c r="I40" s="20" t="s">
        <v>41</v>
      </c>
      <c r="J40" s="20" t="s">
        <v>42</v>
      </c>
      <c r="K40" s="20" t="s">
        <v>2</v>
      </c>
      <c r="L40" s="20" t="s">
        <v>43</v>
      </c>
    </row>
    <row r="41" spans="1:12" x14ac:dyDescent="0.25">
      <c r="A41" s="24">
        <v>1</v>
      </c>
      <c r="B41" s="26">
        <v>21.37</v>
      </c>
      <c r="C41" s="20">
        <f>B41-B26</f>
        <v>0.51999999999999957</v>
      </c>
      <c r="D41" s="21">
        <f>$B$12/C41</f>
        <v>9.6153846153846235E-4</v>
      </c>
      <c r="E41" s="21">
        <f>SQRT(2)*D41*$B$13/C41</f>
        <v>6.5375996781300732E-4</v>
      </c>
      <c r="F41" s="21">
        <f>(4*PI()/3)*$F$27^3*($B$9-$B$8)*($B$6/$E$18)*(1+ABS(D41)/$D$27)</f>
        <v>1.2984517616241682E-17</v>
      </c>
      <c r="G41" s="21">
        <f>F41*3/$F$27</f>
        <v>2.5766591209689282E-11</v>
      </c>
      <c r="H41" s="21">
        <f>F41/$E$18</f>
        <v>3.1735186147590696E-22</v>
      </c>
      <c r="I41" s="20">
        <f>(4*PI()/3)*$F$27^3*($B$9-$B$8)*($B$6/$E$18)*(1/$D$27)</f>
        <v>1.1941875819150222E-14</v>
      </c>
      <c r="J41" s="21">
        <f>(4*PI()/3)*$F$27^3*($B$9-$B$8)*($B$6/$E$18)*(ABS(D41)/$D$27^2)</f>
        <v>9.1297275116744754E-14</v>
      </c>
      <c r="K41" s="20">
        <f>SQRT(G41^2*$I$27^2+H41^2*$F$18^2+I41^2*E41^2+J41^2*$E$28^2)</f>
        <v>9.3219782438308847E-18</v>
      </c>
      <c r="L41" s="53">
        <f>K41/F41</f>
        <v>0.71793027044535629</v>
      </c>
    </row>
    <row r="42" spans="1:12" x14ac:dyDescent="0.25">
      <c r="A42" s="24">
        <v>2</v>
      </c>
      <c r="B42" s="26">
        <v>21.86</v>
      </c>
      <c r="C42" s="20">
        <f>B42-B41</f>
        <v>0.48999999999999844</v>
      </c>
      <c r="D42" s="21">
        <f t="shared" ref="D42:D45" si="7">$B$12/C42</f>
        <v>1.0204081632653095E-3</v>
      </c>
      <c r="E42" s="21">
        <f t="shared" ref="E42:E44" si="8">SQRT(2)*D42*$B$13/C42</f>
        <v>7.3626278757450247E-4</v>
      </c>
      <c r="F42" s="21">
        <f t="shared" ref="F42:F45" si="9">(4*PI()/3)*$F$27^3*($B$9-$B$8)*($B$6/$E$18)*(1+ABS(D42)/$D$27)</f>
        <v>1.3687532283774105E-17</v>
      </c>
      <c r="G42" s="21">
        <f t="shared" ref="G42:G45" si="10">F42*3/$F$27</f>
        <v>2.7161659712662799E-11</v>
      </c>
      <c r="H42" s="21">
        <f t="shared" ref="H42:H45" si="11">F42/$E$18</f>
        <v>3.34534094961979E-22</v>
      </c>
      <c r="I42" s="20">
        <f t="shared" ref="I42:I45" si="12">(4*PI()/3)*$F$27^3*($B$9-$B$8)*($B$6/$E$18)*(1/$D$27)</f>
        <v>1.1941875819150222E-14</v>
      </c>
      <c r="J42" s="21">
        <f t="shared" ref="J42:J45" si="13">(4*PI()/3)*$F$27^3*($B$9-$B$8)*($B$6/$E$18)*(ABS(D42)/$D$27^2)</f>
        <v>9.6886904205525283E-14</v>
      </c>
      <c r="K42" s="20">
        <f t="shared" ref="K42:K45" si="14">SQRT(G42^2*$I$27^2+H42^2*$F$18^2+I42^2*E42^2+J42^2*$E$28^2)</f>
        <v>1.0303174655072034E-17</v>
      </c>
      <c r="L42" s="53">
        <f t="shared" ref="L42:L45" si="15">K42/F42</f>
        <v>0.75274157835491939</v>
      </c>
    </row>
    <row r="43" spans="1:12" x14ac:dyDescent="0.25">
      <c r="A43" s="24">
        <v>3</v>
      </c>
      <c r="B43" s="26">
        <v>22.39</v>
      </c>
      <c r="C43" s="20">
        <f>B43-B42</f>
        <v>0.53000000000000114</v>
      </c>
      <c r="D43" s="21">
        <f t="shared" si="7"/>
        <v>9.4339622641509229E-4</v>
      </c>
      <c r="E43" s="21">
        <f t="shared" si="8"/>
        <v>6.2932251796595266E-4</v>
      </c>
      <c r="F43" s="21">
        <f t="shared" si="9"/>
        <v>1.2767865297316572E-17</v>
      </c>
      <c r="G43" s="21">
        <f t="shared" si="10"/>
        <v>2.5336664438332616E-11</v>
      </c>
      <c r="H43" s="21">
        <f t="shared" si="11"/>
        <v>3.1205670776007283E-22</v>
      </c>
      <c r="I43" s="20">
        <f t="shared" si="12"/>
        <v>1.1941875819150222E-14</v>
      </c>
      <c r="J43" s="21">
        <f t="shared" si="13"/>
        <v>8.9574685020202134E-14</v>
      </c>
      <c r="K43" s="20">
        <f t="shared" si="14"/>
        <v>9.0313087532448305E-18</v>
      </c>
      <c r="L43" s="53">
        <f t="shared" si="15"/>
        <v>0.70734680723354315</v>
      </c>
    </row>
    <row r="44" spans="1:12" x14ac:dyDescent="0.25">
      <c r="A44" s="24">
        <v>4</v>
      </c>
      <c r="B44" s="26">
        <v>22.92</v>
      </c>
      <c r="C44" s="20">
        <f>B44-B43</f>
        <v>0.53000000000000114</v>
      </c>
      <c r="D44" s="21">
        <f t="shared" si="7"/>
        <v>9.4339622641509229E-4</v>
      </c>
      <c r="E44" s="21">
        <f t="shared" si="8"/>
        <v>6.2932251796595266E-4</v>
      </c>
      <c r="F44" s="21">
        <f t="shared" si="9"/>
        <v>1.2767865297316572E-17</v>
      </c>
      <c r="G44" s="21">
        <f t="shared" si="10"/>
        <v>2.5336664438332616E-11</v>
      </c>
      <c r="H44" s="21">
        <f t="shared" si="11"/>
        <v>3.1205670776007283E-22</v>
      </c>
      <c r="I44" s="20">
        <f t="shared" si="12"/>
        <v>1.1941875819150222E-14</v>
      </c>
      <c r="J44" s="21">
        <f t="shared" si="13"/>
        <v>8.9574685020202134E-14</v>
      </c>
      <c r="K44" s="20">
        <f t="shared" si="14"/>
        <v>9.0313087532448305E-18</v>
      </c>
      <c r="L44" s="53">
        <f t="shared" si="15"/>
        <v>0.70734680723354315</v>
      </c>
    </row>
    <row r="45" spans="1:12" x14ac:dyDescent="0.25">
      <c r="A45" s="24">
        <v>5</v>
      </c>
      <c r="B45" s="26">
        <v>23.74</v>
      </c>
      <c r="C45" s="20">
        <f>B45-B44</f>
        <v>0.81999999999999673</v>
      </c>
      <c r="D45" s="21">
        <f t="shared" si="7"/>
        <v>6.097560975609781E-4</v>
      </c>
      <c r="E45" s="21">
        <f>SQRT(2)*D45*$B$13/C45</f>
        <v>2.629040679604972E-4</v>
      </c>
      <c r="F45" s="21">
        <f t="shared" si="9"/>
        <v>8.783576310255462E-18</v>
      </c>
      <c r="G45" s="21">
        <f t="shared" si="10"/>
        <v>1.7430206252896721E-11</v>
      </c>
      <c r="H45" s="21">
        <f t="shared" si="11"/>
        <v>2.1467753942499374E-22</v>
      </c>
      <c r="I45" s="20">
        <f t="shared" si="12"/>
        <v>1.1941875819150222E-14</v>
      </c>
      <c r="J45" s="21">
        <f t="shared" si="13"/>
        <v>5.7895833000862708E-14</v>
      </c>
      <c r="K45" s="20">
        <f t="shared" si="14"/>
        <v>4.6553536216567855E-18</v>
      </c>
      <c r="L45" s="53">
        <f t="shared" si="15"/>
        <v>0.53000662340934213</v>
      </c>
    </row>
    <row r="46" spans="1:12" x14ac:dyDescent="0.25">
      <c r="L46" s="53"/>
    </row>
    <row r="49" spans="1:12" x14ac:dyDescent="0.25">
      <c r="A49" s="20" t="s">
        <v>7</v>
      </c>
    </row>
    <row r="50" spans="1:12" x14ac:dyDescent="0.25">
      <c r="B50" s="20" t="s">
        <v>23</v>
      </c>
      <c r="C50" s="20" t="s">
        <v>27</v>
      </c>
      <c r="D50" s="20" t="s">
        <v>24</v>
      </c>
      <c r="E50" s="20" t="s">
        <v>29</v>
      </c>
      <c r="F50" s="20" t="s">
        <v>37</v>
      </c>
      <c r="G50" s="20" t="s">
        <v>39</v>
      </c>
      <c r="H50" s="20" t="s">
        <v>40</v>
      </c>
      <c r="I50" s="20" t="s">
        <v>41</v>
      </c>
      <c r="J50" s="20" t="s">
        <v>42</v>
      </c>
      <c r="K50" s="20" t="s">
        <v>2</v>
      </c>
      <c r="L50" s="20" t="s">
        <v>43</v>
      </c>
    </row>
    <row r="51" spans="1:12" x14ac:dyDescent="0.25">
      <c r="A51" s="24">
        <v>6</v>
      </c>
      <c r="B51" s="27">
        <v>24.28</v>
      </c>
      <c r="C51" s="20">
        <f>B51-B45</f>
        <v>0.5400000000000027</v>
      </c>
      <c r="D51" s="21">
        <f>$B$12/C51</f>
        <v>9.259259259259213E-4</v>
      </c>
      <c r="E51" s="21">
        <f>SQRT(2)*D51*$B$13/C51</f>
        <v>6.062300936098598E-4</v>
      </c>
      <c r="F51" s="21">
        <f>-(4*PI()/3)*$F$27^3*($B$9-$B$8)*($B$6/$E$18)*(1-ABS(D51)/$D$27)</f>
        <v>9.5553477119264247E-18</v>
      </c>
      <c r="G51" s="21">
        <f>F51*3/$F$27</f>
        <v>1.8961716225150934E-11</v>
      </c>
      <c r="H51" s="21">
        <f>F51/$E$18</f>
        <v>2.3354024177504392E-22</v>
      </c>
      <c r="I51" s="20">
        <f>-(4*PI()/3)*$F$27^3*($B$9-$B$8)*($B$6/$E$18)*(-1/$D$27)</f>
        <v>1.1941875819150222E-14</v>
      </c>
      <c r="J51" s="21">
        <f>-(4*PI()/3)*$F$27^3*($B$9-$B$8)*($B$6/$E$18)*(-ABS(D51)/$D$27^2)</f>
        <v>8.7915894556864802E-14</v>
      </c>
      <c r="K51" s="20">
        <f>SQRT(G51^2*$I$27^2+H51^2*$F$18^2+I51^2*E51^2+J51^2*$E$28^2)</f>
        <v>8.1774355081123171E-18</v>
      </c>
      <c r="L51" s="53">
        <f>K51/F51</f>
        <v>0.85579674907127889</v>
      </c>
    </row>
    <row r="52" spans="1:12" x14ac:dyDescent="0.25">
      <c r="A52" s="24">
        <v>7</v>
      </c>
      <c r="B52" s="27">
        <v>24.91</v>
      </c>
      <c r="C52" s="20">
        <f>B52-B51</f>
        <v>0.62999999999999901</v>
      </c>
      <c r="D52" s="21">
        <f t="shared" ref="D52:D55" si="16">$B$12/C52</f>
        <v>7.9365079365079495E-4</v>
      </c>
      <c r="E52" s="21">
        <f t="shared" ref="E52:E54" si="17">SQRT(2)*D52*$B$13/C52</f>
        <v>4.453935381623519E-4</v>
      </c>
      <c r="F52" s="21">
        <f t="shared" ref="F52:F55" si="18">-(4*PI()/3)*$F$27^3*($B$9-$B$8)*($B$6/$E$18)*(1-ABS(D52)/$D$27)</f>
        <v>7.975734508335196E-18</v>
      </c>
      <c r="G52" s="21">
        <f t="shared" ref="G52:G55" si="19">F52*3/$F$27</f>
        <v>1.5827117860445282E-11</v>
      </c>
      <c r="H52" s="21">
        <f t="shared" ref="H52:H55" si="20">F52/$E$18</f>
        <v>1.949332480162188E-22</v>
      </c>
      <c r="I52" s="20">
        <f t="shared" ref="I52:I55" si="21">-(4*PI()/3)*$F$27^3*($B$9-$B$8)*($B$6/$E$18)*(-1/$D$27)</f>
        <v>1.1941875819150222E-14</v>
      </c>
      <c r="J52" s="21">
        <f t="shared" ref="J52:J55" si="22">-(4*PI()/3)*$F$27^3*($B$9-$B$8)*($B$6/$E$18)*(-ABS(D52)/$D$27^2)</f>
        <v>7.5356481048741762E-14</v>
      </c>
      <c r="K52" s="20">
        <f t="shared" ref="K52:K55" si="23">SQRT(G52^2*$I$27^2+H52^2*$F$18^2+I52^2*E52^2+J52^2*$E$28^2)</f>
        <v>6.1968834611198649E-18</v>
      </c>
      <c r="L52" s="53">
        <f t="shared" ref="L52:L55" si="24">K52/F52</f>
        <v>0.77696711878306524</v>
      </c>
    </row>
    <row r="53" spans="1:12" x14ac:dyDescent="0.25">
      <c r="A53" s="24">
        <v>8</v>
      </c>
      <c r="B53" s="27">
        <v>25.47</v>
      </c>
      <c r="C53" s="20">
        <f>B53-B52</f>
        <v>0.55999999999999872</v>
      </c>
      <c r="D53" s="21">
        <f t="shared" si="16"/>
        <v>8.9285714285714489E-4</v>
      </c>
      <c r="E53" s="21">
        <f t="shared" si="17"/>
        <v>5.6370119673672739E-4</v>
      </c>
      <c r="F53" s="21">
        <f t="shared" si="18"/>
        <v>9.1604444110286788E-18</v>
      </c>
      <c r="G53" s="21">
        <f t="shared" si="19"/>
        <v>1.8178066633974638E-11</v>
      </c>
      <c r="H53" s="21">
        <f t="shared" si="20"/>
        <v>2.2388849333533912E-22</v>
      </c>
      <c r="I53" s="20">
        <f t="shared" si="21"/>
        <v>1.1941875819150222E-14</v>
      </c>
      <c r="J53" s="21">
        <f t="shared" si="22"/>
        <v>8.4776041179834543E-14</v>
      </c>
      <c r="K53" s="20">
        <f t="shared" si="23"/>
        <v>7.6560388234115906E-18</v>
      </c>
      <c r="L53" s="53">
        <f t="shared" si="24"/>
        <v>0.83577154992547464</v>
      </c>
    </row>
    <row r="54" spans="1:12" x14ac:dyDescent="0.25">
      <c r="A54" s="24">
        <v>9</v>
      </c>
      <c r="B54" s="27">
        <v>26.08</v>
      </c>
      <c r="C54" s="20">
        <f>B54-B53</f>
        <v>0.60999999999999943</v>
      </c>
      <c r="D54" s="21">
        <f t="shared" si="16"/>
        <v>8.1967213114754174E-4</v>
      </c>
      <c r="E54" s="21">
        <f t="shared" si="17"/>
        <v>4.7507846088857089E-4</v>
      </c>
      <c r="F54" s="21">
        <f t="shared" si="18"/>
        <v>8.2864780893695432E-18</v>
      </c>
      <c r="G54" s="21">
        <f t="shared" si="19"/>
        <v>1.6443760161698865E-11</v>
      </c>
      <c r="H54" s="21">
        <f t="shared" si="20"/>
        <v>2.0252806646057801E-22</v>
      </c>
      <c r="I54" s="20">
        <f t="shared" si="21"/>
        <v>1.1941875819150222E-14</v>
      </c>
      <c r="J54" s="21">
        <f t="shared" si="22"/>
        <v>7.7827185345421759E-14</v>
      </c>
      <c r="K54" s="20">
        <f t="shared" si="23"/>
        <v>6.5644543733298541E-18</v>
      </c>
      <c r="L54" s="53">
        <f t="shared" si="24"/>
        <v>0.79218870822227627</v>
      </c>
    </row>
    <row r="55" spans="1:12" x14ac:dyDescent="0.25">
      <c r="A55" s="24">
        <v>10</v>
      </c>
      <c r="B55" s="27">
        <v>26.81</v>
      </c>
      <c r="C55" s="20">
        <f>B55-B54</f>
        <v>0.73000000000000043</v>
      </c>
      <c r="D55" s="21">
        <f t="shared" si="16"/>
        <v>6.8493150684931464E-4</v>
      </c>
      <c r="E55" s="21">
        <f>SQRT(2)*D55*$B$13/C55</f>
        <v>3.3172583091881531E-4</v>
      </c>
      <c r="F55" s="21">
        <f t="shared" si="18"/>
        <v>6.6774222862053405E-18</v>
      </c>
      <c r="G55" s="21">
        <f t="shared" si="19"/>
        <v>1.3250735642878839E-11</v>
      </c>
      <c r="H55" s="21">
        <f t="shared" si="20"/>
        <v>1.6320147232403188E-22</v>
      </c>
      <c r="I55" s="20">
        <f t="shared" si="21"/>
        <v>1.1941875819150222E-14</v>
      </c>
      <c r="J55" s="21">
        <f t="shared" si="22"/>
        <v>6.5033675425626307E-14</v>
      </c>
      <c r="K55" s="20">
        <f t="shared" si="23"/>
        <v>4.7761767635607534E-18</v>
      </c>
      <c r="L55" s="53">
        <f t="shared" si="24"/>
        <v>0.71527253464674456</v>
      </c>
    </row>
    <row r="56" spans="1:12" x14ac:dyDescent="0.25">
      <c r="L56" s="53"/>
    </row>
    <row r="59" spans="1:12" x14ac:dyDescent="0.25">
      <c r="B59" s="20" t="s">
        <v>38</v>
      </c>
    </row>
    <row r="60" spans="1:12" x14ac:dyDescent="0.25">
      <c r="A60" s="21"/>
      <c r="B60" s="20" t="s">
        <v>44</v>
      </c>
      <c r="C60" s="20" t="s">
        <v>45</v>
      </c>
    </row>
    <row r="61" spans="1:12" x14ac:dyDescent="0.25">
      <c r="A61" s="20">
        <v>1</v>
      </c>
      <c r="B61" s="21">
        <f>F41</f>
        <v>1.2984517616241682E-17</v>
      </c>
      <c r="C61" s="20">
        <f>K41</f>
        <v>9.3219782438308847E-18</v>
      </c>
    </row>
    <row r="62" spans="1:12" x14ac:dyDescent="0.25">
      <c r="A62" s="20">
        <v>2</v>
      </c>
      <c r="B62" s="21">
        <f t="shared" ref="B62:B65" si="25">F42</f>
        <v>1.3687532283774105E-17</v>
      </c>
      <c r="C62" s="20">
        <f t="shared" ref="C62:C65" si="26">K42</f>
        <v>1.0303174655072034E-17</v>
      </c>
    </row>
    <row r="63" spans="1:12" x14ac:dyDescent="0.25">
      <c r="A63" s="20">
        <v>3</v>
      </c>
      <c r="B63" s="21">
        <f t="shared" si="25"/>
        <v>1.2767865297316572E-17</v>
      </c>
      <c r="C63" s="20">
        <f t="shared" si="26"/>
        <v>9.0313087532448305E-18</v>
      </c>
    </row>
    <row r="64" spans="1:12" x14ac:dyDescent="0.25">
      <c r="A64" s="20">
        <v>4</v>
      </c>
      <c r="B64" s="21">
        <f t="shared" si="25"/>
        <v>1.2767865297316572E-17</v>
      </c>
      <c r="C64" s="20">
        <f t="shared" si="26"/>
        <v>9.0313087532448305E-18</v>
      </c>
    </row>
    <row r="65" spans="1:3" x14ac:dyDescent="0.25">
      <c r="A65" s="20">
        <v>5</v>
      </c>
      <c r="B65" s="21">
        <f t="shared" si="25"/>
        <v>8.783576310255462E-18</v>
      </c>
      <c r="C65" s="20">
        <f t="shared" si="26"/>
        <v>4.6553536216567855E-18</v>
      </c>
    </row>
    <row r="66" spans="1:3" x14ac:dyDescent="0.25">
      <c r="A66" s="20">
        <v>6</v>
      </c>
      <c r="B66" s="21">
        <f>F51</f>
        <v>9.5553477119264247E-18</v>
      </c>
      <c r="C66" s="20">
        <f>K51</f>
        <v>8.1774355081123171E-18</v>
      </c>
    </row>
    <row r="67" spans="1:3" x14ac:dyDescent="0.25">
      <c r="A67" s="20">
        <v>7</v>
      </c>
      <c r="B67" s="21">
        <f t="shared" ref="B67:B70" si="27">F52</f>
        <v>7.975734508335196E-18</v>
      </c>
      <c r="C67" s="20">
        <f t="shared" ref="C67:C70" si="28">K52</f>
        <v>6.1968834611198649E-18</v>
      </c>
    </row>
    <row r="68" spans="1:3" x14ac:dyDescent="0.25">
      <c r="A68" s="20">
        <v>8</v>
      </c>
      <c r="B68" s="21">
        <f t="shared" si="27"/>
        <v>9.1604444110286788E-18</v>
      </c>
      <c r="C68" s="20">
        <f t="shared" si="28"/>
        <v>7.6560388234115906E-18</v>
      </c>
    </row>
    <row r="69" spans="1:3" x14ac:dyDescent="0.25">
      <c r="A69" s="20">
        <v>9</v>
      </c>
      <c r="B69" s="21">
        <f t="shared" si="27"/>
        <v>8.2864780893695432E-18</v>
      </c>
      <c r="C69" s="20">
        <f t="shared" si="28"/>
        <v>6.5644543733298541E-18</v>
      </c>
    </row>
    <row r="70" spans="1:3" x14ac:dyDescent="0.25">
      <c r="A70" s="20">
        <v>10</v>
      </c>
      <c r="B70" s="21">
        <f t="shared" si="27"/>
        <v>6.6774222862053405E-18</v>
      </c>
      <c r="C70" s="20">
        <f t="shared" si="28"/>
        <v>4.7761767635607534E-18</v>
      </c>
    </row>
  </sheetData>
  <mergeCells count="2">
    <mergeCell ref="A1:C2"/>
    <mergeCell ref="A14:C15"/>
  </mergeCells>
  <conditionalFormatting sqref="C32:G36">
    <cfRule type="cellIs" dxfId="63" priority="9" operator="notBetween">
      <formula>-1.96</formula>
      <formula>1.96</formula>
    </cfRule>
  </conditionalFormatting>
  <conditionalFormatting sqref="L41:L46">
    <cfRule type="cellIs" priority="4" operator="greaterThan">
      <formula>0.04</formula>
    </cfRule>
  </conditionalFormatting>
  <conditionalFormatting sqref="L51:L56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D2523383-E959-4D00-B8AD-DFD8062E2020}">
            <xm:f>Dati!$B$14</xm:f>
            <x14:dxf>
              <fill>
                <patternFill>
                  <bgColor theme="5"/>
                </patternFill>
              </fill>
            </x14:dxf>
          </x14:cfRule>
          <xm:sqref>L41:L46</xm:sqref>
        </x14:conditionalFormatting>
        <x14:conditionalFormatting xmlns:xm="http://schemas.microsoft.com/office/excel/2006/main">
          <x14:cfRule type="cellIs" priority="1" operator="greaterThan" id="{C080FF38-1B2C-4B70-B1C5-27FFB77F924E}">
            <xm:f>Dati!$B$14</xm:f>
            <x14:dxf>
              <fill>
                <patternFill>
                  <bgColor theme="5"/>
                </patternFill>
              </fill>
            </x14:dxf>
          </x14:cfRule>
          <xm:sqref>L51:L56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H25" zoomScale="115" zoomScaleNormal="115" workbookViewId="0">
      <selection activeCell="V51" sqref="V51"/>
    </sheetView>
  </sheetViews>
  <sheetFormatPr defaultRowHeight="15" x14ac:dyDescent="0.25"/>
  <cols>
    <col min="1" max="1" width="13.140625" style="27" customWidth="1"/>
    <col min="2" max="2" width="9.140625" style="27"/>
    <col min="3" max="5" width="12" style="27" customWidth="1"/>
    <col min="6" max="7" width="12.140625" style="27" customWidth="1"/>
    <col min="8" max="9" width="12" style="27" customWidth="1"/>
    <col min="10" max="10" width="9.140625" style="27"/>
    <col min="11" max="11" width="12" style="27" customWidth="1"/>
    <col min="12" max="16384" width="9.140625" style="27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27" t="s">
        <v>1</v>
      </c>
      <c r="C4" s="27" t="s">
        <v>2</v>
      </c>
    </row>
    <row r="5" spans="1:5" x14ac:dyDescent="0.25">
      <c r="A5" s="27" t="str">
        <f>[1]Dati!A5</f>
        <v>d</v>
      </c>
      <c r="B5" s="28">
        <f>Dati!B5</f>
        <v>7.4300000000000008E-3</v>
      </c>
      <c r="C5" s="179">
        <f>Dati!C5</f>
        <v>1.0000000000000001E-5</v>
      </c>
    </row>
    <row r="6" spans="1:5" x14ac:dyDescent="0.25">
      <c r="A6" s="27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27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27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27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27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27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27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27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30"/>
    </row>
    <row r="15" spans="1:5" x14ac:dyDescent="0.25">
      <c r="A15" s="193"/>
      <c r="B15" s="193"/>
      <c r="C15" s="193"/>
      <c r="D15" s="30"/>
    </row>
    <row r="16" spans="1:5" x14ac:dyDescent="0.25">
      <c r="A16" s="27" t="s">
        <v>18</v>
      </c>
      <c r="B16" s="27">
        <v>304</v>
      </c>
      <c r="C16" s="27">
        <f>B16/100</f>
        <v>3.04</v>
      </c>
      <c r="D16" s="27" t="s">
        <v>19</v>
      </c>
      <c r="E16" s="27">
        <f>(1.8+(B18-15)*0.004765)*0.00001</f>
        <v>1.8285900000000001E-5</v>
      </c>
    </row>
    <row r="17" spans="1:10" x14ac:dyDescent="0.25">
      <c r="A17" s="27" t="s">
        <v>20</v>
      </c>
      <c r="E17" s="29"/>
    </row>
    <row r="18" spans="1:10" x14ac:dyDescent="0.25">
      <c r="A18" s="27" t="s">
        <v>21</v>
      </c>
      <c r="B18" s="27">
        <v>21</v>
      </c>
      <c r="C18" s="27">
        <v>0.5</v>
      </c>
      <c r="D18" s="27" t="s">
        <v>22</v>
      </c>
      <c r="E18" s="28">
        <f>B16/B5</f>
        <v>40915.208613728122</v>
      </c>
      <c r="F18" s="27">
        <f>SQRT((C16/B5)^2+(B16*C5/B5^2)^2)</f>
        <v>412.84121337929804</v>
      </c>
      <c r="G18" s="28"/>
    </row>
    <row r="21" spans="1:10" x14ac:dyDescent="0.25">
      <c r="B21" s="27" t="s">
        <v>23</v>
      </c>
      <c r="C21" s="27" t="s">
        <v>27</v>
      </c>
      <c r="D21" s="27" t="s">
        <v>24</v>
      </c>
      <c r="E21" s="27" t="s">
        <v>29</v>
      </c>
      <c r="F21" s="27" t="s">
        <v>25</v>
      </c>
      <c r="G21" s="27" t="s">
        <v>26</v>
      </c>
      <c r="H21" s="27" t="s">
        <v>28</v>
      </c>
      <c r="I21" s="27" t="s">
        <v>31</v>
      </c>
      <c r="J21" s="27" t="s">
        <v>32</v>
      </c>
    </row>
    <row r="22" spans="1:10" x14ac:dyDescent="0.25">
      <c r="A22" s="27">
        <v>1</v>
      </c>
      <c r="B22" s="32">
        <v>6.61</v>
      </c>
      <c r="C22" s="27">
        <f>B22</f>
        <v>6.61</v>
      </c>
      <c r="D22" s="28">
        <f>B12/B22</f>
        <v>7.5642965204236E-5</v>
      </c>
      <c r="E22" s="28">
        <f>SQRT(2)*D22*$B$13/C22</f>
        <v>4.0459647235229454E-6</v>
      </c>
      <c r="F22" s="5">
        <f>(($B$10/(2*$B$7))^2+9*$E$16*D22/(2*$B$6*($B$9-$B$8)))^(1/2)-$B$10/(2*$B$7)</f>
        <v>1.1709741806275223E-6</v>
      </c>
      <c r="G22" s="27">
        <f>(($B$10/(2*$B$7))^2+9*$E$16*D22/(2*$B$6*($B$9-$B$8)))^(-1/2)*(9*$E$16)/(4*$B$6*$B$9)</f>
        <v>2.6785961482345693E-3</v>
      </c>
      <c r="H22" s="27">
        <f>(($B$10/(2*$B$7))^2+9*$E$16*D22/(2*$B$6*($B$9-$B$8)))^(-1/2)*((9*D22)/(4*$B$6*$B$9))*0.00000004765</f>
        <v>5.27985929981472E-10</v>
      </c>
      <c r="I22" s="27">
        <f>SQRT(G22^2*E22^2+H22^2*$C$18^2+$F$28^2)</f>
        <v>1.4875642278460811E-7</v>
      </c>
      <c r="J22" s="28">
        <f>I22/F22</f>
        <v>0.12703646693976625</v>
      </c>
    </row>
    <row r="23" spans="1:10" x14ac:dyDescent="0.25">
      <c r="A23" s="27">
        <v>2</v>
      </c>
      <c r="B23" s="32">
        <v>11.51</v>
      </c>
      <c r="C23" s="27">
        <f>B23-B22</f>
        <v>4.8999999999999995</v>
      </c>
      <c r="D23" s="28">
        <f>$B$12/(B23-B22)</f>
        <v>1.0204081632653063E-4</v>
      </c>
      <c r="E23" s="28">
        <f t="shared" ref="E23:E25" si="0">SQRT(2)*D23*$B$13/C23</f>
        <v>7.3626278757449791E-6</v>
      </c>
      <c r="F23" s="5">
        <f>(($B$10/(2*$B$7))^2+9*E16*D23/(2*$B$6*($B$9-$B$8)))^(1/2)-$B$10/(2*$B$7)</f>
        <v>1.3663648226971185E-6</v>
      </c>
      <c r="G23" s="27">
        <f t="shared" ref="G23:G27" si="1">(($B$10/(2*$B$7))^2+9*$E$16*D23/(2*$B$6*($B$9-$B$8)))^(-1/2)*(9*$E$16)/(4*$B$6*$B$9)</f>
        <v>2.306573150735331E-3</v>
      </c>
      <c r="H23" s="27">
        <f t="shared" ref="H23:H27" si="2">(($B$10/(2*$B$7))^2+9*$E$16*D23/(2*$B$6*($B$9-$B$8)))^(-1/2)*((9*D23)/(4*$B$6*$B$9))*0.00000004765</f>
        <v>6.1332083922216053E-10</v>
      </c>
      <c r="I23" s="27">
        <f t="shared" ref="I23:I27" si="3">SQRT(G23^2*E23^2+H23^2*$C$18^2+$F$28^2)</f>
        <v>1.4933000168349244E-7</v>
      </c>
      <c r="J23" s="28">
        <f t="shared" ref="J23:J27" si="4">I23/F23</f>
        <v>0.1092899928356794</v>
      </c>
    </row>
    <row r="24" spans="1:10" x14ac:dyDescent="0.25">
      <c r="A24" s="27">
        <v>3</v>
      </c>
      <c r="B24" s="32">
        <v>16.2</v>
      </c>
      <c r="C24" s="27">
        <f t="shared" ref="C24:C26" si="5">B24-B23</f>
        <v>4.6899999999999995</v>
      </c>
      <c r="D24" s="28">
        <f>$B$12/(B24-B23)</f>
        <v>1.0660980810234542E-4</v>
      </c>
      <c r="E24" s="28">
        <f t="shared" si="0"/>
        <v>8.0367290245378463E-6</v>
      </c>
      <c r="F24" s="5">
        <f>(($B$10/(2*$B$7))^2+9*E16*D24/(2*$B$6*($B$9-$B$8)))^(1/2)-$B$10/(2*$B$7)</f>
        <v>1.3974906053483847E-6</v>
      </c>
      <c r="G24" s="27">
        <f t="shared" si="1"/>
        <v>2.2566453563635986E-3</v>
      </c>
      <c r="H24" s="27">
        <f t="shared" si="2"/>
        <v>6.2691265828401787E-10</v>
      </c>
      <c r="I24" s="27">
        <f t="shared" si="3"/>
        <v>1.4946560328559406E-7</v>
      </c>
      <c r="J24" s="28">
        <f t="shared" si="4"/>
        <v>0.10695285013979276</v>
      </c>
    </row>
    <row r="25" spans="1:10" x14ac:dyDescent="0.25">
      <c r="A25" s="27">
        <v>4</v>
      </c>
      <c r="B25" s="32">
        <v>24.31</v>
      </c>
      <c r="C25" s="27">
        <f t="shared" si="5"/>
        <v>8.11</v>
      </c>
      <c r="D25" s="28">
        <f>$B$12/(B25-B24)</f>
        <v>6.1652281134401985E-5</v>
      </c>
      <c r="E25" s="28">
        <f t="shared" si="0"/>
        <v>2.6877155404287979E-6</v>
      </c>
      <c r="F25" s="5">
        <f>(($B$10/(2*$B$7))^2+9*E16*D25/(2*$B$6*($B$9-$B$8)))^(1/2)-$B$10/(2*$B$7)</f>
        <v>1.0533576995976291E-6</v>
      </c>
      <c r="G25" s="27">
        <f t="shared" si="1"/>
        <v>2.9666203255219806E-3</v>
      </c>
      <c r="H25" s="27">
        <f t="shared" si="2"/>
        <v>4.7660399964642425E-10</v>
      </c>
      <c r="I25" s="27">
        <f t="shared" si="3"/>
        <v>1.4857518130544785E-7</v>
      </c>
      <c r="J25" s="28">
        <f t="shared" si="4"/>
        <v>0.14104912449228019</v>
      </c>
    </row>
    <row r="26" spans="1:10" x14ac:dyDescent="0.25">
      <c r="A26" s="27">
        <v>5</v>
      </c>
      <c r="B26" s="32">
        <v>31.18</v>
      </c>
      <c r="C26" s="27">
        <f t="shared" si="5"/>
        <v>6.870000000000001</v>
      </c>
      <c r="D26" s="28">
        <f>$B$12/(B26-B25)</f>
        <v>7.2780203784570589E-5</v>
      </c>
      <c r="E26" s="28">
        <f>SQRT(2)*D26*$B$13/C26</f>
        <v>3.7455149659540534E-6</v>
      </c>
      <c r="F26" s="5">
        <f>(($B$10/(2*$B$7))^2+9*E16*D26/(2*$B$6*($B$9-$B$8)))^(1/2)-$B$10/(2*$B$7)</f>
        <v>1.1478552935033531E-6</v>
      </c>
      <c r="G26" s="27">
        <f t="shared" si="1"/>
        <v>2.7307085476146048E-3</v>
      </c>
      <c r="H26" s="27">
        <f t="shared" si="2"/>
        <v>5.1788720521492429E-10</v>
      </c>
      <c r="I26" s="27">
        <f t="shared" si="3"/>
        <v>1.4871324517570182E-7</v>
      </c>
      <c r="J26" s="28">
        <f t="shared" si="4"/>
        <v>0.1295574851790039</v>
      </c>
    </row>
    <row r="27" spans="1:10" x14ac:dyDescent="0.25">
      <c r="A27" s="7" t="s">
        <v>34</v>
      </c>
      <c r="B27" s="7"/>
      <c r="C27" s="7">
        <f>AVERAGE(C22:C26)</f>
        <v>6.2359999999999998</v>
      </c>
      <c r="D27" s="7">
        <f>AVERAGE(D22:D26)</f>
        <v>8.3745214910416928E-5</v>
      </c>
      <c r="E27" s="8">
        <f>SQRT(2)*D27*$B$13/C27</f>
        <v>4.7479802241084502E-6</v>
      </c>
      <c r="F27" s="9">
        <f>AVERAGE(F22:F26)</f>
        <v>1.2272085203548016E-6</v>
      </c>
      <c r="G27" s="7">
        <f t="shared" si="1"/>
        <v>2.5458625442203024E-3</v>
      </c>
      <c r="H27" s="7">
        <f t="shared" si="2"/>
        <v>5.5557349384197365E-10</v>
      </c>
      <c r="I27" s="7">
        <f t="shared" si="3"/>
        <v>1.4885275234056669E-7</v>
      </c>
      <c r="J27" s="8">
        <f t="shared" si="4"/>
        <v>0.12129377352883067</v>
      </c>
    </row>
    <row r="28" spans="1:10" x14ac:dyDescent="0.25">
      <c r="A28" s="27" t="s">
        <v>35</v>
      </c>
      <c r="C28" s="6">
        <f>_xlfn.STDEV.S(C22:C26)</f>
        <v>1.4342872794527635</v>
      </c>
      <c r="D28" s="28">
        <f>_xlfn.STDEV.S(D22:D26)</f>
        <v>1.9567155485227721E-5</v>
      </c>
      <c r="E28" s="8">
        <f>SQRT(2)*D28*$B$13/C28</f>
        <v>4.8233253304090765E-6</v>
      </c>
      <c r="F28" s="28">
        <f>_xlfn.STDEV.S(F22:F26)</f>
        <v>1.4836088467449164E-7</v>
      </c>
    </row>
    <row r="30" spans="1:10" x14ac:dyDescent="0.25">
      <c r="A30" s="27" t="s">
        <v>31</v>
      </c>
      <c r="C30" s="27">
        <f t="array" ref="C30:G31">TRANSPOSE(A32:B36)</f>
        <v>1.4875642278460811E-7</v>
      </c>
      <c r="D30" s="27">
        <v>1.4933000168349244E-7</v>
      </c>
      <c r="E30" s="27">
        <v>1.4946560328559406E-7</v>
      </c>
      <c r="F30" s="27">
        <v>1.4857518130544785E-7</v>
      </c>
      <c r="G30" s="27">
        <v>1.4871324517570182E-7</v>
      </c>
    </row>
    <row r="31" spans="1:10" x14ac:dyDescent="0.25">
      <c r="B31" s="27" t="s">
        <v>25</v>
      </c>
      <c r="C31" s="27">
        <v>1.1709741806275223E-6</v>
      </c>
      <c r="D31" s="27">
        <v>1.3663648226971185E-6</v>
      </c>
      <c r="E31" s="27">
        <v>1.3974906053483847E-6</v>
      </c>
      <c r="F31" s="27">
        <v>1.0533576995976291E-6</v>
      </c>
      <c r="G31" s="27">
        <v>1.1478552935033531E-6</v>
      </c>
    </row>
    <row r="32" spans="1:10" x14ac:dyDescent="0.25">
      <c r="A32" s="27">
        <f>I22</f>
        <v>1.4875642278460811E-7</v>
      </c>
      <c r="B32" s="5">
        <f>F22</f>
        <v>1.1709741806275223E-6</v>
      </c>
      <c r="C32" s="27">
        <f t="shared" ref="C32:G36" si="6">(C$31-$B32)/SQRT(C$30^2+$A32^2)</f>
        <v>0</v>
      </c>
      <c r="D32" s="27">
        <f t="shared" si="6"/>
        <v>0.92699150897939453</v>
      </c>
      <c r="E32" s="27">
        <f t="shared" si="6"/>
        <v>1.0741718121687218</v>
      </c>
      <c r="F32" s="27">
        <f t="shared" si="6"/>
        <v>-0.55942519880505936</v>
      </c>
      <c r="G32" s="27">
        <f t="shared" si="6"/>
        <v>-0.10991051154136082</v>
      </c>
    </row>
    <row r="33" spans="1:12" x14ac:dyDescent="0.25">
      <c r="A33" s="27">
        <f>I23</f>
        <v>1.4933000168349244E-7</v>
      </c>
      <c r="B33" s="5">
        <f>F23</f>
        <v>1.3663648226971185E-6</v>
      </c>
      <c r="C33" s="27">
        <f t="shared" si="6"/>
        <v>-0.92699150897939453</v>
      </c>
      <c r="D33" s="27">
        <f t="shared" si="6"/>
        <v>0</v>
      </c>
      <c r="E33" s="27">
        <f t="shared" si="6"/>
        <v>0.1473197687644851</v>
      </c>
      <c r="F33" s="27">
        <f t="shared" si="6"/>
        <v>-1.4859006253262608</v>
      </c>
      <c r="G33" s="27">
        <f t="shared" si="6"/>
        <v>-1.0368242907977339</v>
      </c>
    </row>
    <row r="34" spans="1:12" x14ac:dyDescent="0.25">
      <c r="A34" s="27">
        <f>I24</f>
        <v>1.4946560328559406E-7</v>
      </c>
      <c r="B34" s="5">
        <f>F24</f>
        <v>1.3974906053483847E-6</v>
      </c>
      <c r="C34" s="27">
        <f t="shared" si="6"/>
        <v>-1.0741718121687218</v>
      </c>
      <c r="D34" s="27">
        <f t="shared" si="6"/>
        <v>-0.1473197687644851</v>
      </c>
      <c r="E34" s="27">
        <f t="shared" si="6"/>
        <v>0</v>
      </c>
      <c r="F34" s="27">
        <f t="shared" si="6"/>
        <v>-1.6329149424810068</v>
      </c>
      <c r="G34" s="27">
        <f t="shared" si="6"/>
        <v>-1.1839757303108589</v>
      </c>
    </row>
    <row r="35" spans="1:12" x14ac:dyDescent="0.25">
      <c r="A35" s="27">
        <f>I25</f>
        <v>1.4857518130544785E-7</v>
      </c>
      <c r="B35" s="5">
        <f>F25</f>
        <v>1.0533576995976291E-6</v>
      </c>
      <c r="C35" s="27">
        <f t="shared" si="6"/>
        <v>0.55942519880505936</v>
      </c>
      <c r="D35" s="27">
        <f t="shared" si="6"/>
        <v>1.4859006253262608</v>
      </c>
      <c r="E35" s="27">
        <f t="shared" si="6"/>
        <v>1.6329149424810068</v>
      </c>
      <c r="F35" s="27">
        <f t="shared" si="6"/>
        <v>0</v>
      </c>
      <c r="G35" s="27">
        <f t="shared" si="6"/>
        <v>0.44952898464096319</v>
      </c>
    </row>
    <row r="36" spans="1:12" x14ac:dyDescent="0.25">
      <c r="A36" s="27">
        <f>I26</f>
        <v>1.4871324517570182E-7</v>
      </c>
      <c r="B36" s="5">
        <f>F26</f>
        <v>1.1478552935033531E-6</v>
      </c>
      <c r="C36" s="27">
        <f t="shared" si="6"/>
        <v>0.10991051154136082</v>
      </c>
      <c r="D36" s="27">
        <f t="shared" si="6"/>
        <v>1.0368242907977339</v>
      </c>
      <c r="E36" s="27">
        <f t="shared" si="6"/>
        <v>1.1839757303108589</v>
      </c>
      <c r="F36" s="27">
        <f t="shared" si="6"/>
        <v>-0.44952898464096319</v>
      </c>
      <c r="G36" s="27">
        <f t="shared" si="6"/>
        <v>0</v>
      </c>
    </row>
    <row r="39" spans="1:12" x14ac:dyDescent="0.25">
      <c r="A39" s="27" t="s">
        <v>7</v>
      </c>
    </row>
    <row r="40" spans="1:12" x14ac:dyDescent="0.25">
      <c r="B40" s="27" t="s">
        <v>36</v>
      </c>
      <c r="C40" s="27" t="s">
        <v>27</v>
      </c>
      <c r="D40" s="27" t="s">
        <v>24</v>
      </c>
      <c r="E40" s="27" t="s">
        <v>29</v>
      </c>
      <c r="F40" s="27" t="s">
        <v>37</v>
      </c>
      <c r="G40" s="27" t="s">
        <v>39</v>
      </c>
      <c r="H40" s="27" t="s">
        <v>40</v>
      </c>
      <c r="I40" s="27" t="s">
        <v>41</v>
      </c>
      <c r="J40" s="27" t="s">
        <v>42</v>
      </c>
      <c r="K40" s="27" t="s">
        <v>2</v>
      </c>
      <c r="L40" s="27" t="s">
        <v>43</v>
      </c>
    </row>
    <row r="41" spans="1:12" x14ac:dyDescent="0.25">
      <c r="A41" s="31">
        <v>1</v>
      </c>
      <c r="B41" s="33">
        <v>33.299999999999997</v>
      </c>
      <c r="C41" s="27">
        <f>B41-B26</f>
        <v>2.1199999999999974</v>
      </c>
      <c r="D41" s="28">
        <f>$B$12/C41</f>
        <v>2.3584905660377388E-4</v>
      </c>
      <c r="E41" s="28">
        <f>SQRT(2)*D41*$B$13/C41</f>
        <v>3.9332657372872319E-5</v>
      </c>
      <c r="F41" s="28">
        <f>(4*PI()/3)*$F$27^3*($B$9-$B$8)*($B$6/$E$18)*(1+ABS(D41)/$D$27)</f>
        <v>3.06603914432093E-18</v>
      </c>
      <c r="G41" s="28">
        <f>F41*3/$F$27</f>
        <v>7.4951544748919255E-12</v>
      </c>
      <c r="H41" s="28">
        <f>F41/$E$18</f>
        <v>7.4936417244422742E-23</v>
      </c>
      <c r="I41" s="27">
        <f>(4*PI()/3)*$F$27^3*($B$9-$B$8)*($B$6/$E$18)*(1/$D$27)</f>
        <v>9.5935359848425497E-15</v>
      </c>
      <c r="J41" s="28">
        <f>(4*PI()/3)*$F$27^3*($B$9-$B$8)*($B$6/$E$18)*(ABS(D41)/$D$27^2)</f>
        <v>2.7017978447363539E-14</v>
      </c>
      <c r="K41" s="27">
        <f>SQRT(G41^2*$I$27^2+H41^2*$F$18^2+I41^2*E41^2+J41^2*$E$28^2)</f>
        <v>1.185349612767346E-18</v>
      </c>
      <c r="L41" s="53">
        <f>K41/F41</f>
        <v>0.38660615764247808</v>
      </c>
    </row>
    <row r="42" spans="1:12" x14ac:dyDescent="0.25">
      <c r="A42" s="31">
        <v>2</v>
      </c>
      <c r="B42" s="33">
        <v>34.369999999999997</v>
      </c>
      <c r="C42" s="27">
        <f>B42-B41</f>
        <v>1.0700000000000003</v>
      </c>
      <c r="D42" s="28">
        <f t="shared" ref="D42:D45" si="7">$B$12/C42</f>
        <v>4.6728971962616814E-4</v>
      </c>
      <c r="E42" s="28">
        <f t="shared" ref="E42:E44" si="8">SQRT(2)*D42*$B$13/C42</f>
        <v>1.5440361192823549E-4</v>
      </c>
      <c r="F42" s="28">
        <f t="shared" ref="F42:F45" si="9">(4*PI()/3)*$F$27^3*($B$9-$B$8)*($B$6/$E$18)*(1+ABS(D42)/$D$27)</f>
        <v>5.2863734733820871E-18</v>
      </c>
      <c r="G42" s="28">
        <f t="shared" ref="G42:G45" si="10">F42*3/$F$27</f>
        <v>1.2922922353538736E-11</v>
      </c>
      <c r="H42" s="28">
        <f t="shared" ref="H42:H45" si="11">F42/$E$18</f>
        <v>1.2920314114220039E-22</v>
      </c>
      <c r="I42" s="27">
        <f t="shared" ref="I42:I45" si="12">(4*PI()/3)*$F$27^3*($B$9-$B$8)*($B$6/$E$18)*(1/$D$27)</f>
        <v>9.5935359848425497E-15</v>
      </c>
      <c r="J42" s="28">
        <f t="shared" ref="J42:J45" si="13">(4*PI()/3)*$F$27^3*($B$9-$B$8)*($B$6/$E$18)*(ABS(D42)/$D$27^2)</f>
        <v>5.3530947951785623E-14</v>
      </c>
      <c r="K42" s="27">
        <f t="shared" ref="K42:K45" si="14">SQRT(G42^2*$I$27^2+H42^2*$F$18^2+I42^2*E42^2+J42^2*$E$28^2)</f>
        <v>2.4421254367992744E-18</v>
      </c>
      <c r="L42" s="53">
        <f t="shared" ref="L42:L45" si="15">K42/F42</f>
        <v>0.46196611894635298</v>
      </c>
    </row>
    <row r="43" spans="1:12" x14ac:dyDescent="0.25">
      <c r="A43" s="31">
        <v>3</v>
      </c>
      <c r="B43" s="33">
        <v>36.19</v>
      </c>
      <c r="C43" s="27">
        <f>B43-B42</f>
        <v>1.8200000000000003</v>
      </c>
      <c r="D43" s="28">
        <f t="shared" si="7"/>
        <v>2.7472527472527467E-4</v>
      </c>
      <c r="E43" s="28">
        <f t="shared" si="8"/>
        <v>5.3368160637796408E-5</v>
      </c>
      <c r="F43" s="28">
        <f t="shared" si="9"/>
        <v>3.4389995418241354E-18</v>
      </c>
      <c r="G43" s="28">
        <f t="shared" si="10"/>
        <v>8.4068831452454632E-12</v>
      </c>
      <c r="H43" s="28">
        <f t="shared" si="11"/>
        <v>8.4051863801820167E-23</v>
      </c>
      <c r="I43" s="27">
        <f t="shared" si="12"/>
        <v>9.5935359848425497E-15</v>
      </c>
      <c r="J43" s="28">
        <f t="shared" si="13"/>
        <v>3.147149137824759E-14</v>
      </c>
      <c r="K43" s="27">
        <f t="shared" si="14"/>
        <v>1.361010938522967E-18</v>
      </c>
      <c r="L43" s="53">
        <f t="shared" si="15"/>
        <v>0.39575781327410448</v>
      </c>
    </row>
    <row r="44" spans="1:12" x14ac:dyDescent="0.25">
      <c r="A44" s="31">
        <v>4</v>
      </c>
      <c r="B44" s="33">
        <v>38.049999999999997</v>
      </c>
      <c r="C44" s="27">
        <f>B44-B43</f>
        <v>1.8599999999999994</v>
      </c>
      <c r="D44" s="28">
        <f t="shared" si="7"/>
        <v>2.6881720430107538E-4</v>
      </c>
      <c r="E44" s="28">
        <f t="shared" si="8"/>
        <v>5.1097437650779578E-5</v>
      </c>
      <c r="F44" s="28">
        <f t="shared" si="9"/>
        <v>3.3823202556085956E-18</v>
      </c>
      <c r="G44" s="28">
        <f t="shared" si="10"/>
        <v>8.268326530109301E-12</v>
      </c>
      <c r="H44" s="28">
        <f t="shared" si="11"/>
        <v>8.266657729990747E-23</v>
      </c>
      <c r="I44" s="27">
        <f t="shared" si="12"/>
        <v>9.5935359848425497E-15</v>
      </c>
      <c r="J44" s="28">
        <f t="shared" si="13"/>
        <v>3.0794685112048739E-14</v>
      </c>
      <c r="K44" s="27">
        <f t="shared" si="14"/>
        <v>1.333531299224933E-18</v>
      </c>
      <c r="L44" s="53">
        <f t="shared" si="15"/>
        <v>0.39426523760239995</v>
      </c>
    </row>
    <row r="45" spans="1:12" x14ac:dyDescent="0.25">
      <c r="A45" s="31">
        <v>5</v>
      </c>
      <c r="B45" s="33">
        <v>39.89</v>
      </c>
      <c r="C45" s="27">
        <f>B45-B44</f>
        <v>1.8400000000000034</v>
      </c>
      <c r="D45" s="28">
        <f t="shared" si="7"/>
        <v>2.7173913043478212E-4</v>
      </c>
      <c r="E45" s="28">
        <f>SQRT(2)*D45*$B$13/C45</f>
        <v>5.2214288544611373E-5</v>
      </c>
      <c r="F45" s="28">
        <f t="shared" si="9"/>
        <v>3.4103518591173628E-18</v>
      </c>
      <c r="G45" s="28">
        <f t="shared" si="10"/>
        <v>8.3368518125951082E-12</v>
      </c>
      <c r="H45" s="28">
        <f t="shared" si="11"/>
        <v>8.335169181987503E-23</v>
      </c>
      <c r="I45" s="27">
        <f t="shared" si="12"/>
        <v>9.5935359848425497E-15</v>
      </c>
      <c r="J45" s="28">
        <f t="shared" si="13"/>
        <v>3.1129409950223111E-14</v>
      </c>
      <c r="K45" s="27">
        <f t="shared" si="14"/>
        <v>1.3470853089191838E-18</v>
      </c>
      <c r="L45" s="53">
        <f t="shared" si="15"/>
        <v>0.39499892227185746</v>
      </c>
    </row>
    <row r="46" spans="1:12" x14ac:dyDescent="0.25">
      <c r="L46" s="53"/>
    </row>
    <row r="49" spans="1:12" x14ac:dyDescent="0.25">
      <c r="A49" s="27" t="s">
        <v>7</v>
      </c>
    </row>
    <row r="50" spans="1:12" x14ac:dyDescent="0.25">
      <c r="B50" s="27" t="s">
        <v>23</v>
      </c>
      <c r="C50" s="27" t="s">
        <v>27</v>
      </c>
      <c r="D50" s="27" t="s">
        <v>24</v>
      </c>
      <c r="E50" s="27" t="s">
        <v>29</v>
      </c>
      <c r="F50" s="27" t="s">
        <v>37</v>
      </c>
      <c r="G50" s="27" t="s">
        <v>39</v>
      </c>
      <c r="H50" s="27" t="s">
        <v>40</v>
      </c>
      <c r="I50" s="27" t="s">
        <v>41</v>
      </c>
      <c r="J50" s="27" t="s">
        <v>42</v>
      </c>
      <c r="K50" s="27" t="s">
        <v>2</v>
      </c>
      <c r="L50" s="27" t="s">
        <v>43</v>
      </c>
    </row>
    <row r="51" spans="1:12" x14ac:dyDescent="0.25">
      <c r="A51" s="31">
        <v>6</v>
      </c>
      <c r="B51" s="34">
        <v>40.67</v>
      </c>
      <c r="C51" s="27">
        <f>B51-B45</f>
        <v>0.78000000000000114</v>
      </c>
      <c r="D51" s="28">
        <f>$B$12/C51</f>
        <v>6.4102564102564016E-4</v>
      </c>
      <c r="E51" s="28">
        <f>SQRT(2)*D51*$B$13/C51</f>
        <v>2.9055998569466865E-4</v>
      </c>
      <c r="F51" s="28">
        <f>-(4*PI()/3)*$F$27^3*($B$9-$B$8)*($B$6/$E$18)*(1-ABS(D51)/$D$27)</f>
        <v>5.3462898215847844E-18</v>
      </c>
      <c r="G51" s="28">
        <f>F51*3/$F$27</f>
        <v>1.3069392200860301E-11</v>
      </c>
      <c r="H51" s="28">
        <f>F51/$E$18</f>
        <v>1.3066754399465447E-22</v>
      </c>
      <c r="I51" s="27">
        <f>-(4*PI()/3)*$F$27^3*($B$9-$B$8)*($B$6/$E$18)*(-1/$D$27)</f>
        <v>9.5935359848425497E-15</v>
      </c>
      <c r="J51" s="28">
        <f>-(4*PI()/3)*$F$27^3*($B$9-$B$8)*($B$6/$E$18)*(-ABS(D51)/$D$27^2)</f>
        <v>7.3433479882577626E-14</v>
      </c>
      <c r="K51" s="27">
        <f>SQRT(G51^2*$I$27^2+H51^2*$F$18^2+I51^2*E51^2+J51^2*$E$28^2)</f>
        <v>3.41806172703656E-18</v>
      </c>
      <c r="L51" s="53">
        <f>K51/F51</f>
        <v>0.63933341459280535</v>
      </c>
    </row>
    <row r="52" spans="1:12" x14ac:dyDescent="0.25">
      <c r="A52" s="31">
        <v>7</v>
      </c>
      <c r="B52" s="34">
        <v>41.44</v>
      </c>
      <c r="C52" s="27">
        <f>B52-B51</f>
        <v>0.76999999999999602</v>
      </c>
      <c r="D52" s="28">
        <f t="shared" ref="D52:D55" si="16">$B$12/C52</f>
        <v>6.4935064935065271E-4</v>
      </c>
      <c r="E52" s="28">
        <f t="shared" ref="E52:E54" si="17">SQRT(2)*D52*$B$13/C52</f>
        <v>2.9815600488554346E-4</v>
      </c>
      <c r="F52" s="28">
        <f t="shared" ref="F52:F55" si="18">-(4*PI()/3)*$F$27^3*($B$9-$B$8)*($B$6/$E$18)*(1-ABS(D52)/$D$27)</f>
        <v>5.4261560885249057E-18</v>
      </c>
      <c r="G52" s="28">
        <f t="shared" ref="G52:G55" si="19">F52*3/$F$27</f>
        <v>1.326463106764318E-11</v>
      </c>
      <c r="H52" s="28">
        <f t="shared" ref="H52:H55" si="20">F52/$E$18</f>
        <v>1.3261953861098704E-22</v>
      </c>
      <c r="I52" s="27">
        <f t="shared" ref="I52:I55" si="21">-(4*PI()/3)*$F$27^3*($B$9-$B$8)*($B$6/$E$18)*(-1/$D$27)</f>
        <v>9.5935359848425497E-15</v>
      </c>
      <c r="J52" s="28">
        <f t="shared" ref="J52:J55" si="22">-(4*PI()/3)*$F$27^3*($B$9-$B$8)*($B$6/$E$18)*(-ABS(D52)/$D$27^2)</f>
        <v>7.4387161439494705E-14</v>
      </c>
      <c r="K52" s="27">
        <f t="shared" ref="K52:K55" si="23">SQRT(G52^2*$I$27^2+H52^2*$F$18^2+I52^2*E52^2+J52^2*$E$28^2)</f>
        <v>3.4945683316532932E-18</v>
      </c>
      <c r="L52" s="53">
        <f t="shared" ref="L52:L55" si="24">K52/F52</f>
        <v>0.6440228173759166</v>
      </c>
    </row>
    <row r="53" spans="1:12" x14ac:dyDescent="0.25">
      <c r="A53" s="31">
        <v>8</v>
      </c>
      <c r="B53" s="34">
        <v>42.71</v>
      </c>
      <c r="C53" s="27">
        <f>B53-B52</f>
        <v>1.2700000000000031</v>
      </c>
      <c r="D53" s="28">
        <f t="shared" si="16"/>
        <v>3.9370078740157382E-4</v>
      </c>
      <c r="E53" s="28">
        <f t="shared" si="17"/>
        <v>1.0960177028745491E-4</v>
      </c>
      <c r="F53" s="28">
        <f t="shared" si="18"/>
        <v>2.9735699383963876E-18</v>
      </c>
      <c r="G53" s="28">
        <f t="shared" si="19"/>
        <v>7.2691068121088919E-12</v>
      </c>
      <c r="H53" s="28">
        <f t="shared" si="20"/>
        <v>7.2676396849622242E-23</v>
      </c>
      <c r="I53" s="27">
        <f t="shared" si="21"/>
        <v>9.5935359848425497E-15</v>
      </c>
      <c r="J53" s="28">
        <f t="shared" si="22"/>
        <v>4.5100877408197229E-14</v>
      </c>
      <c r="K53" s="27">
        <f t="shared" si="23"/>
        <v>1.5246605395124083E-18</v>
      </c>
      <c r="L53" s="53">
        <f t="shared" si="24"/>
        <v>0.51273740692127134</v>
      </c>
    </row>
    <row r="54" spans="1:12" x14ac:dyDescent="0.25">
      <c r="A54" s="31">
        <v>9</v>
      </c>
      <c r="B54" s="34">
        <v>43.68</v>
      </c>
      <c r="C54" s="27">
        <f>B54-B53</f>
        <v>0.96999999999999886</v>
      </c>
      <c r="D54" s="28">
        <f t="shared" si="16"/>
        <v>5.1546391752577386E-4</v>
      </c>
      <c r="E54" s="28">
        <f t="shared" si="17"/>
        <v>1.8788042862858683E-4</v>
      </c>
      <c r="F54" s="28">
        <f t="shared" si="18"/>
        <v>4.1417089088699658E-18</v>
      </c>
      <c r="G54" s="28">
        <f t="shared" si="19"/>
        <v>1.0124707024538613E-11</v>
      </c>
      <c r="H54" s="28">
        <f t="shared" si="20"/>
        <v>1.0122663550297319E-22</v>
      </c>
      <c r="I54" s="27">
        <f t="shared" si="21"/>
        <v>9.5935359848425497E-15</v>
      </c>
      <c r="J54" s="28">
        <f t="shared" si="22"/>
        <v>5.9049602379804852E-14</v>
      </c>
      <c r="K54" s="27">
        <f t="shared" si="23"/>
        <v>2.3670592671651135E-18</v>
      </c>
      <c r="L54" s="53">
        <f t="shared" si="24"/>
        <v>0.57151753521252358</v>
      </c>
    </row>
    <row r="55" spans="1:12" x14ac:dyDescent="0.25">
      <c r="A55" s="31">
        <v>10</v>
      </c>
      <c r="B55" s="34">
        <v>44.83</v>
      </c>
      <c r="C55" s="27">
        <f>B55-B54</f>
        <v>1.1499999999999986</v>
      </c>
      <c r="D55" s="28">
        <f t="shared" si="16"/>
        <v>4.3478260869565273E-4</v>
      </c>
      <c r="E55" s="28">
        <f>SQRT(2)*D55*$B$13/C55</f>
        <v>1.3366857867420592E-4</v>
      </c>
      <c r="F55" s="28">
        <f t="shared" si="18"/>
        <v>3.3676898693040043E-18</v>
      </c>
      <c r="G55" s="28">
        <f t="shared" si="19"/>
        <v>8.2325614924765087E-12</v>
      </c>
      <c r="H55" s="28">
        <f t="shared" si="20"/>
        <v>8.2308999108318275E-23</v>
      </c>
      <c r="I55" s="27">
        <f t="shared" si="21"/>
        <v>9.5935359848425497E-15</v>
      </c>
      <c r="J55" s="28">
        <f t="shared" si="22"/>
        <v>4.9807055920357131E-14</v>
      </c>
      <c r="K55" s="27">
        <f t="shared" si="23"/>
        <v>1.7902520080131185E-18</v>
      </c>
      <c r="L55" s="53">
        <f t="shared" si="24"/>
        <v>0.53159645854893023</v>
      </c>
    </row>
    <row r="56" spans="1:12" x14ac:dyDescent="0.25">
      <c r="L56" s="53"/>
    </row>
    <row r="57" spans="1:12" x14ac:dyDescent="0.25">
      <c r="L57" s="53"/>
    </row>
    <row r="59" spans="1:12" x14ac:dyDescent="0.25">
      <c r="B59" s="27" t="s">
        <v>38</v>
      </c>
    </row>
    <row r="60" spans="1:12" x14ac:dyDescent="0.25">
      <c r="A60" s="28"/>
      <c r="B60" s="27" t="s">
        <v>44</v>
      </c>
      <c r="C60" s="27" t="s">
        <v>45</v>
      </c>
    </row>
    <row r="61" spans="1:12" x14ac:dyDescent="0.25">
      <c r="A61" s="27">
        <v>1</v>
      </c>
      <c r="B61" s="28">
        <f>F41</f>
        <v>3.06603914432093E-18</v>
      </c>
      <c r="C61" s="27">
        <f>K41</f>
        <v>1.185349612767346E-18</v>
      </c>
    </row>
    <row r="62" spans="1:12" x14ac:dyDescent="0.25">
      <c r="A62" s="27">
        <v>2</v>
      </c>
      <c r="B62" s="28">
        <f t="shared" ref="B62:B65" si="25">F42</f>
        <v>5.2863734733820871E-18</v>
      </c>
      <c r="C62" s="27">
        <f t="shared" ref="C62:C65" si="26">K42</f>
        <v>2.4421254367992744E-18</v>
      </c>
    </row>
    <row r="63" spans="1:12" x14ac:dyDescent="0.25">
      <c r="A63" s="27">
        <v>3</v>
      </c>
      <c r="B63" s="28">
        <f t="shared" si="25"/>
        <v>3.4389995418241354E-18</v>
      </c>
      <c r="C63" s="27">
        <f t="shared" si="26"/>
        <v>1.361010938522967E-18</v>
      </c>
    </row>
    <row r="64" spans="1:12" x14ac:dyDescent="0.25">
      <c r="A64" s="27">
        <v>4</v>
      </c>
      <c r="B64" s="28">
        <f t="shared" si="25"/>
        <v>3.3823202556085956E-18</v>
      </c>
      <c r="C64" s="27">
        <f t="shared" si="26"/>
        <v>1.333531299224933E-18</v>
      </c>
    </row>
    <row r="65" spans="1:3" x14ac:dyDescent="0.25">
      <c r="A65" s="27">
        <v>5</v>
      </c>
      <c r="B65" s="28">
        <f t="shared" si="25"/>
        <v>3.4103518591173628E-18</v>
      </c>
      <c r="C65" s="27">
        <f t="shared" si="26"/>
        <v>1.3470853089191838E-18</v>
      </c>
    </row>
    <row r="66" spans="1:3" x14ac:dyDescent="0.25">
      <c r="A66" s="27">
        <v>6</v>
      </c>
      <c r="B66" s="28">
        <f>F51</f>
        <v>5.3462898215847844E-18</v>
      </c>
      <c r="C66" s="27">
        <f>K51</f>
        <v>3.41806172703656E-18</v>
      </c>
    </row>
    <row r="67" spans="1:3" x14ac:dyDescent="0.25">
      <c r="A67" s="27">
        <v>7</v>
      </c>
      <c r="B67" s="28">
        <f t="shared" ref="B67:B70" si="27">F52</f>
        <v>5.4261560885249057E-18</v>
      </c>
      <c r="C67" s="27">
        <f t="shared" ref="C67:C70" si="28">K52</f>
        <v>3.4945683316532932E-18</v>
      </c>
    </row>
    <row r="68" spans="1:3" x14ac:dyDescent="0.25">
      <c r="A68" s="27">
        <v>8</v>
      </c>
      <c r="B68" s="28">
        <f t="shared" si="27"/>
        <v>2.9735699383963876E-18</v>
      </c>
      <c r="C68" s="27">
        <f t="shared" si="28"/>
        <v>1.5246605395124083E-18</v>
      </c>
    </row>
    <row r="69" spans="1:3" x14ac:dyDescent="0.25">
      <c r="A69" s="27">
        <v>9</v>
      </c>
      <c r="B69" s="28">
        <f t="shared" si="27"/>
        <v>4.1417089088699658E-18</v>
      </c>
      <c r="C69" s="27">
        <f t="shared" si="28"/>
        <v>2.3670592671651135E-18</v>
      </c>
    </row>
    <row r="70" spans="1:3" x14ac:dyDescent="0.25">
      <c r="A70" s="27">
        <v>10</v>
      </c>
      <c r="B70" s="28">
        <f t="shared" si="27"/>
        <v>3.3676898693040043E-18</v>
      </c>
      <c r="C70" s="27">
        <f t="shared" si="28"/>
        <v>1.7902520080131185E-18</v>
      </c>
    </row>
  </sheetData>
  <mergeCells count="2">
    <mergeCell ref="A1:C2"/>
    <mergeCell ref="A14:C15"/>
  </mergeCells>
  <conditionalFormatting sqref="C32:G36">
    <cfRule type="cellIs" dxfId="60" priority="9" operator="notBetween">
      <formula>-1.96</formula>
      <formula>1.96</formula>
    </cfRule>
  </conditionalFormatting>
  <conditionalFormatting sqref="L57">
    <cfRule type="cellIs" dxfId="59" priority="5" operator="greaterThan">
      <formula>0.4</formula>
    </cfRule>
    <cfRule type="cellIs" priority="6" operator="greaterThan">
      <formula>0.04</formula>
    </cfRule>
  </conditionalFormatting>
  <conditionalFormatting sqref="L41:L46">
    <cfRule type="cellIs" priority="4" operator="greaterThan">
      <formula>0.04</formula>
    </cfRule>
  </conditionalFormatting>
  <conditionalFormatting sqref="L51:L56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8B0BC9E1-B01E-4471-9679-BF5CF223A990}">
            <xm:f>Dati!$B$14</xm:f>
            <x14:dxf>
              <fill>
                <patternFill>
                  <bgColor theme="5"/>
                </patternFill>
              </fill>
            </x14:dxf>
          </x14:cfRule>
          <xm:sqref>L41:L46</xm:sqref>
        </x14:conditionalFormatting>
        <x14:conditionalFormatting xmlns:xm="http://schemas.microsoft.com/office/excel/2006/main">
          <x14:cfRule type="cellIs" priority="1" operator="greaterThan" id="{3D9B23EB-A3E4-478B-B760-547D71C2DFF7}">
            <xm:f>Dati!$B$14</xm:f>
            <x14:dxf>
              <fill>
                <patternFill>
                  <bgColor theme="5"/>
                </patternFill>
              </fill>
            </x14:dxf>
          </x14:cfRule>
          <xm:sqref>L51:L56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9" workbookViewId="0">
      <selection activeCell="A30" sqref="A30:G36"/>
    </sheetView>
  </sheetViews>
  <sheetFormatPr defaultRowHeight="15" x14ac:dyDescent="0.25"/>
  <cols>
    <col min="1" max="1" width="13.140625" style="34" customWidth="1"/>
    <col min="2" max="2" width="9.140625" style="34"/>
    <col min="3" max="5" width="12" style="34" customWidth="1"/>
    <col min="6" max="7" width="12.140625" style="34" customWidth="1"/>
    <col min="8" max="9" width="12" style="34" customWidth="1"/>
    <col min="10" max="10" width="9.140625" style="34"/>
    <col min="11" max="11" width="12" style="34" customWidth="1"/>
    <col min="12" max="16384" width="9.140625" style="34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34" t="s">
        <v>1</v>
      </c>
      <c r="C4" s="34" t="s">
        <v>2</v>
      </c>
    </row>
    <row r="5" spans="1:5" x14ac:dyDescent="0.25">
      <c r="A5" s="34" t="str">
        <f>[1]Dati!A5</f>
        <v>d</v>
      </c>
      <c r="B5" s="35">
        <f>Dati!B5</f>
        <v>7.4300000000000008E-3</v>
      </c>
      <c r="C5" s="179">
        <f>Dati!C5</f>
        <v>1.0000000000000001E-5</v>
      </c>
    </row>
    <row r="6" spans="1:5" x14ac:dyDescent="0.25">
      <c r="A6" s="34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34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34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34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34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34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34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34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37"/>
    </row>
    <row r="15" spans="1:5" x14ac:dyDescent="0.25">
      <c r="A15" s="193"/>
      <c r="B15" s="193"/>
      <c r="C15" s="193"/>
      <c r="D15" s="37"/>
    </row>
    <row r="16" spans="1:5" x14ac:dyDescent="0.25">
      <c r="A16" s="34" t="s">
        <v>18</v>
      </c>
      <c r="B16" s="34">
        <v>304</v>
      </c>
      <c r="C16" s="34">
        <f>B16/100</f>
        <v>3.04</v>
      </c>
      <c r="D16" s="34" t="s">
        <v>19</v>
      </c>
      <c r="E16" s="34">
        <f>(1.8+(B18-15)*0.004765)*0.00001</f>
        <v>1.8238250000000001E-5</v>
      </c>
    </row>
    <row r="17" spans="1:10" x14ac:dyDescent="0.25">
      <c r="A17" s="34" t="s">
        <v>20</v>
      </c>
      <c r="E17" s="36"/>
    </row>
    <row r="18" spans="1:10" x14ac:dyDescent="0.25">
      <c r="A18" s="34" t="s">
        <v>21</v>
      </c>
      <c r="B18" s="34">
        <v>20</v>
      </c>
      <c r="C18" s="34">
        <v>0.5</v>
      </c>
      <c r="D18" s="34" t="s">
        <v>22</v>
      </c>
      <c r="E18" s="35">
        <f>B16/B5</f>
        <v>40915.208613728122</v>
      </c>
      <c r="F18" s="34">
        <f>SQRT((C16/B5)^2+(B16*C5/B5^2)^2)</f>
        <v>412.84121337929804</v>
      </c>
      <c r="G18" s="35"/>
    </row>
    <row r="21" spans="1:10" x14ac:dyDescent="0.25">
      <c r="B21" s="34" t="s">
        <v>23</v>
      </c>
      <c r="C21" s="34" t="s">
        <v>27</v>
      </c>
      <c r="D21" s="34" t="s">
        <v>24</v>
      </c>
      <c r="E21" s="34" t="s">
        <v>29</v>
      </c>
      <c r="F21" s="34" t="s">
        <v>25</v>
      </c>
      <c r="G21" s="34" t="s">
        <v>26</v>
      </c>
      <c r="H21" s="34" t="s">
        <v>28</v>
      </c>
      <c r="I21" s="34" t="s">
        <v>31</v>
      </c>
      <c r="J21" s="34" t="s">
        <v>32</v>
      </c>
    </row>
    <row r="22" spans="1:10" x14ac:dyDescent="0.25">
      <c r="A22" s="34">
        <v>1</v>
      </c>
      <c r="B22" s="39">
        <v>5.94</v>
      </c>
      <c r="C22" s="34">
        <f>B22</f>
        <v>5.94</v>
      </c>
      <c r="D22" s="35">
        <f>B12/B22</f>
        <v>8.4175084175084166E-5</v>
      </c>
      <c r="E22" s="35">
        <f>SQRT(2)*D22*$B$13/C22</f>
        <v>5.0101660628914529E-6</v>
      </c>
      <c r="F22" s="5">
        <f>(($B$10/(2*$B$7))^2+9*$E$16*D22/(2*$B$6*($B$9-$B$8)))^(1/2)-$B$10/(2*$B$7)</f>
        <v>1.2357343684958167E-6</v>
      </c>
      <c r="G22" s="34">
        <f>(($B$10/(2*$B$7))^2+9*$E$16*D22/(2*$B$6*($B$9-$B$8)))^(-1/2)*(9*$E$16)/(4*$B$6*$B$9)</f>
        <v>2.5360460391978886E-3</v>
      </c>
      <c r="H22" s="34">
        <f>(($B$10/(2*$B$7))^2+9*$E$16*D22/(2*$B$6*($B$9-$B$8)))^(-1/2)*((9*D22)/(4*$B$6*$B$9))*0.00000004765</f>
        <v>5.5772541237993389E-10</v>
      </c>
      <c r="I22" s="34">
        <f>SQRT(G22^2*E22^2+H22^2*$C$18^2+$F$28^2)</f>
        <v>7.7332069066119914E-8</v>
      </c>
      <c r="J22" s="35">
        <f>I22/F22</f>
        <v>6.2579848094903662E-2</v>
      </c>
    </row>
    <row r="23" spans="1:10" x14ac:dyDescent="0.25">
      <c r="A23" s="34">
        <v>2</v>
      </c>
      <c r="B23" s="39">
        <v>13.44</v>
      </c>
      <c r="C23" s="34">
        <f>B23-B22</f>
        <v>7.4999999999999991</v>
      </c>
      <c r="D23" s="35">
        <f>$B$12/(B23-B22)</f>
        <v>6.666666666666667E-5</v>
      </c>
      <c r="E23" s="35">
        <f t="shared" ref="E23:E25" si="0">SQRT(2)*D23*$B$13/C23</f>
        <v>3.1426968052735456E-6</v>
      </c>
      <c r="F23" s="5">
        <f>(($B$10/(2*$B$7))^2+9*E16*D23/(2*$B$6*($B$9-$B$8)))^(1/2)-$B$10/(2*$B$7)</f>
        <v>1.0954307848443851E-6</v>
      </c>
      <c r="G23" s="34">
        <f t="shared" ref="G23:G27" si="1">(($B$10/(2*$B$7))^2+9*$E$16*D23/(2*$B$6*($B$9-$B$8)))^(-1/2)*(9*$E$16)/(4*$B$6*$B$9)</f>
        <v>2.849293708001683E-3</v>
      </c>
      <c r="H23" s="34">
        <f t="shared" ref="H23:H27" si="2">(($B$10/(2*$B$7))^2+9*$E$16*D23/(2*$B$6*($B$9-$B$8)))^(-1/2)*((9*D23)/(4*$B$6*$B$9))*0.00000004765</f>
        <v>4.9627877377226513E-10</v>
      </c>
      <c r="I23" s="34">
        <f t="shared" ref="I23:I27" si="3">SQRT(G23^2*E23^2+H23^2*$C$18^2+$F$28^2)</f>
        <v>7.6804768370652232E-8</v>
      </c>
      <c r="J23" s="35">
        <f t="shared" ref="J23:J27" si="4">I23/F23</f>
        <v>7.0113757467171217E-2</v>
      </c>
    </row>
    <row r="24" spans="1:10" x14ac:dyDescent="0.25">
      <c r="A24" s="34">
        <v>3</v>
      </c>
      <c r="B24" s="39">
        <v>20.309999999999999</v>
      </c>
      <c r="C24" s="34">
        <f t="shared" ref="C24:C26" si="5">B24-B23</f>
        <v>6.8699999999999992</v>
      </c>
      <c r="D24" s="35">
        <f>$B$12/(B24-B23)</f>
        <v>7.2780203784570603E-5</v>
      </c>
      <c r="E24" s="35">
        <f t="shared" si="0"/>
        <v>3.7455149659540547E-6</v>
      </c>
      <c r="F24" s="5">
        <f>(($B$10/(2*$B$7))^2+9*E16*D24/(2*$B$6*($B$9-$B$8)))^(1/2)-$B$10/(2*$B$7)</f>
        <v>1.1463078005396403E-6</v>
      </c>
      <c r="G24" s="34">
        <f t="shared" si="1"/>
        <v>2.7271442109558322E-3</v>
      </c>
      <c r="H24" s="34">
        <f t="shared" si="2"/>
        <v>5.1856250513723475E-10</v>
      </c>
      <c r="I24" s="34">
        <f t="shared" si="3"/>
        <v>7.6961892241849099E-8</v>
      </c>
      <c r="J24" s="35">
        <f t="shared" si="4"/>
        <v>6.7138941395686408E-2</v>
      </c>
    </row>
    <row r="25" spans="1:10" x14ac:dyDescent="0.25">
      <c r="A25" s="34">
        <v>4</v>
      </c>
      <c r="B25" s="39">
        <v>27.48</v>
      </c>
      <c r="C25" s="34">
        <f t="shared" si="5"/>
        <v>7.1700000000000017</v>
      </c>
      <c r="D25" s="35">
        <f>$B$12/(B25-B24)</f>
        <v>6.9735006973500684E-5</v>
      </c>
      <c r="E25" s="35">
        <f t="shared" si="0"/>
        <v>3.4386399105337173E-6</v>
      </c>
      <c r="F25" s="5">
        <f>(($B$10/(2*$B$7))^2+9*E16*D25/(2*$B$6*($B$9-$B$8)))^(1/2)-$B$10/(2*$B$7)</f>
        <v>1.1212441424230129E-6</v>
      </c>
      <c r="G25" s="34">
        <f t="shared" si="1"/>
        <v>2.7859818968049453E-3</v>
      </c>
      <c r="H25" s="34">
        <f t="shared" si="2"/>
        <v>5.0758511658919517E-10</v>
      </c>
      <c r="I25" s="34">
        <f t="shared" si="3"/>
        <v>7.6880225005427264E-8</v>
      </c>
      <c r="J25" s="35">
        <f t="shared" si="4"/>
        <v>6.8566891095893534E-2</v>
      </c>
    </row>
    <row r="26" spans="1:10" x14ac:dyDescent="0.25">
      <c r="A26" s="34">
        <v>5</v>
      </c>
      <c r="B26" s="39">
        <v>33.090000000000003</v>
      </c>
      <c r="C26" s="34">
        <f t="shared" si="5"/>
        <v>5.610000000000003</v>
      </c>
      <c r="D26" s="35">
        <f>$B$12/(B26-B25)</f>
        <v>8.9126559714794966E-5</v>
      </c>
      <c r="E26" s="35">
        <f>SQRT(2)*D26*$B$13/C26</f>
        <v>5.6169335791585784E-6</v>
      </c>
      <c r="F26" s="5">
        <f>(($B$10/(2*$B$7))^2+9*E16*D26/(2*$B$6*($B$9-$B$8)))^(1/2)-$B$10/(2*$B$7)</f>
        <v>1.2726966113584599E-6</v>
      </c>
      <c r="G26" s="34">
        <f t="shared" si="1"/>
        <v>2.4646625700110491E-3</v>
      </c>
      <c r="H26" s="34">
        <f t="shared" si="2"/>
        <v>5.739107415018794E-10</v>
      </c>
      <c r="I26" s="34">
        <f t="shared" si="3"/>
        <v>7.7527174718821804E-8</v>
      </c>
      <c r="J26" s="35">
        <f t="shared" si="4"/>
        <v>6.0915676231800685E-2</v>
      </c>
    </row>
    <row r="27" spans="1:10" x14ac:dyDescent="0.25">
      <c r="A27" s="7" t="s">
        <v>34</v>
      </c>
      <c r="B27" s="7"/>
      <c r="C27" s="7">
        <f>AVERAGE(C22:C26)</f>
        <v>6.6180000000000003</v>
      </c>
      <c r="D27" s="7">
        <f>AVERAGE(D22:D26)</f>
        <v>7.6496704262923418E-5</v>
      </c>
      <c r="E27" s="8">
        <f>SQRT(2)*D27*$B$13/C27</f>
        <v>4.0866831612824893E-6</v>
      </c>
      <c r="F27" s="9">
        <f>AVERAGE(F22:F26)</f>
        <v>1.1742827415322629E-6</v>
      </c>
      <c r="G27" s="7">
        <f t="shared" si="1"/>
        <v>2.6601470217728711E-3</v>
      </c>
      <c r="H27" s="7">
        <f t="shared" si="2"/>
        <v>5.31652799636737E-10</v>
      </c>
      <c r="I27" s="7">
        <f t="shared" si="3"/>
        <v>7.7051811019923125E-8</v>
      </c>
      <c r="J27" s="8">
        <f t="shared" si="4"/>
        <v>6.5616063572033825E-2</v>
      </c>
    </row>
    <row r="28" spans="1:10" x14ac:dyDescent="0.25">
      <c r="A28" s="34" t="s">
        <v>35</v>
      </c>
      <c r="C28" s="6">
        <f>_xlfn.STDEV.S(C22:C26)</f>
        <v>0.8096110177115885</v>
      </c>
      <c r="D28" s="35">
        <f>_xlfn.STDEV.S(D22:D26)</f>
        <v>9.677723544225777E-6</v>
      </c>
      <c r="E28" s="8">
        <f>SQRT(2)*D28*$B$13/C28</f>
        <v>4.2262171554392899E-6</v>
      </c>
      <c r="F28" s="35">
        <f>_xlfn.STDEV.S(F22:F26)</f>
        <v>7.6280589967492426E-8</v>
      </c>
    </row>
    <row r="30" spans="1:10" x14ac:dyDescent="0.25">
      <c r="A30" s="34" t="s">
        <v>31</v>
      </c>
      <c r="C30" s="34">
        <f t="array" ref="C30:G31">TRANSPOSE(A32:B36)</f>
        <v>7.7332069066119914E-8</v>
      </c>
      <c r="D30" s="34">
        <v>7.6804768370652232E-8</v>
      </c>
      <c r="E30" s="34">
        <v>7.6961892241849099E-8</v>
      </c>
      <c r="F30" s="34">
        <v>7.6880225005427264E-8</v>
      </c>
      <c r="G30" s="34">
        <v>7.7527174718821804E-8</v>
      </c>
    </row>
    <row r="31" spans="1:10" x14ac:dyDescent="0.25">
      <c r="B31" s="34" t="s">
        <v>25</v>
      </c>
      <c r="C31" s="34">
        <v>1.2357343684958167E-6</v>
      </c>
      <c r="D31" s="34">
        <v>1.0954307848443851E-6</v>
      </c>
      <c r="E31" s="34">
        <v>1.1463078005396403E-6</v>
      </c>
      <c r="F31" s="34">
        <v>1.1212441424230129E-6</v>
      </c>
      <c r="G31" s="34">
        <v>1.2726966113584599E-6</v>
      </c>
    </row>
    <row r="32" spans="1:10" x14ac:dyDescent="0.25">
      <c r="A32" s="34">
        <f>I22</f>
        <v>7.7332069066119914E-8</v>
      </c>
      <c r="B32" s="5">
        <f>F22</f>
        <v>1.2357343684958167E-6</v>
      </c>
      <c r="C32" s="34">
        <f t="shared" ref="C32:G36" si="6">(C$31-$B32)/SQRT(C$30^2+$A32^2)</f>
        <v>0</v>
      </c>
      <c r="D32" s="34">
        <f t="shared" si="6"/>
        <v>-1.2872852011980869</v>
      </c>
      <c r="E32" s="34">
        <f t="shared" si="6"/>
        <v>-0.81965554707446397</v>
      </c>
      <c r="F32" s="34">
        <f t="shared" si="6"/>
        <v>-1.0499353273886192</v>
      </c>
      <c r="G32" s="34">
        <f t="shared" si="6"/>
        <v>0.33754823017238222</v>
      </c>
    </row>
    <row r="33" spans="1:12" x14ac:dyDescent="0.25">
      <c r="A33" s="34">
        <f>I23</f>
        <v>7.6804768370652232E-8</v>
      </c>
      <c r="B33" s="5">
        <f>F23</f>
        <v>1.0954307848443851E-6</v>
      </c>
      <c r="C33" s="34">
        <f t="shared" si="6"/>
        <v>1.2872852011980869</v>
      </c>
      <c r="D33" s="34">
        <f t="shared" si="6"/>
        <v>0</v>
      </c>
      <c r="E33" s="34">
        <f t="shared" si="6"/>
        <v>0.46792281083023279</v>
      </c>
      <c r="F33" s="34">
        <f t="shared" si="6"/>
        <v>0.23753520220846566</v>
      </c>
      <c r="G33" s="34">
        <f t="shared" si="6"/>
        <v>1.6243493384637586</v>
      </c>
    </row>
    <row r="34" spans="1:12" x14ac:dyDescent="0.25">
      <c r="A34" s="34">
        <f>I24</f>
        <v>7.6961892241849099E-8</v>
      </c>
      <c r="B34" s="5">
        <f>F24</f>
        <v>1.1463078005396403E-6</v>
      </c>
      <c r="C34" s="34">
        <f t="shared" si="6"/>
        <v>0.81965554707446397</v>
      </c>
      <c r="D34" s="34">
        <f t="shared" si="6"/>
        <v>-0.46792281083023279</v>
      </c>
      <c r="E34" s="34">
        <f t="shared" si="6"/>
        <v>0</v>
      </c>
      <c r="F34" s="34">
        <f t="shared" si="6"/>
        <v>-0.23040088677370901</v>
      </c>
      <c r="G34" s="34">
        <f t="shared" si="6"/>
        <v>1.1569723176871554</v>
      </c>
    </row>
    <row r="35" spans="1:12" x14ac:dyDescent="0.25">
      <c r="A35" s="34">
        <f>I25</f>
        <v>7.6880225005427264E-8</v>
      </c>
      <c r="B35" s="5">
        <f>F25</f>
        <v>1.1212441424230129E-6</v>
      </c>
      <c r="C35" s="34">
        <f t="shared" si="6"/>
        <v>1.0499353273886192</v>
      </c>
      <c r="D35" s="34">
        <f t="shared" si="6"/>
        <v>-0.23753520220846566</v>
      </c>
      <c r="E35" s="34">
        <f t="shared" si="6"/>
        <v>0.23040088677370901</v>
      </c>
      <c r="F35" s="34">
        <f t="shared" si="6"/>
        <v>0</v>
      </c>
      <c r="G35" s="34">
        <f t="shared" si="6"/>
        <v>1.3871372485680591</v>
      </c>
    </row>
    <row r="36" spans="1:12" x14ac:dyDescent="0.25">
      <c r="A36" s="34">
        <f>I26</f>
        <v>7.7527174718821804E-8</v>
      </c>
      <c r="B36" s="5">
        <f>F26</f>
        <v>1.2726966113584599E-6</v>
      </c>
      <c r="C36" s="34">
        <f t="shared" si="6"/>
        <v>-0.33754823017238222</v>
      </c>
      <c r="D36" s="34">
        <f t="shared" si="6"/>
        <v>-1.6243493384637586</v>
      </c>
      <c r="E36" s="34">
        <f t="shared" si="6"/>
        <v>-1.1569723176871554</v>
      </c>
      <c r="F36" s="34">
        <f t="shared" si="6"/>
        <v>-1.3871372485680591</v>
      </c>
      <c r="G36" s="34">
        <f t="shared" si="6"/>
        <v>0</v>
      </c>
    </row>
    <row r="39" spans="1:12" x14ac:dyDescent="0.25">
      <c r="A39" s="34" t="s">
        <v>7</v>
      </c>
    </row>
    <row r="40" spans="1:12" x14ac:dyDescent="0.25">
      <c r="B40" s="34" t="s">
        <v>36</v>
      </c>
      <c r="C40" s="34" t="s">
        <v>27</v>
      </c>
      <c r="D40" s="34" t="s">
        <v>24</v>
      </c>
      <c r="E40" s="34" t="s">
        <v>29</v>
      </c>
      <c r="F40" s="34" t="s">
        <v>37</v>
      </c>
      <c r="G40" s="34" t="s">
        <v>39</v>
      </c>
      <c r="H40" s="34" t="s">
        <v>40</v>
      </c>
      <c r="I40" s="34" t="s">
        <v>41</v>
      </c>
      <c r="J40" s="34" t="s">
        <v>42</v>
      </c>
      <c r="K40" s="34" t="s">
        <v>2</v>
      </c>
      <c r="L40" s="34" t="s">
        <v>43</v>
      </c>
    </row>
    <row r="41" spans="1:12" x14ac:dyDescent="0.25">
      <c r="A41" s="38">
        <v>1</v>
      </c>
      <c r="B41" s="40">
        <v>34</v>
      </c>
      <c r="C41" s="34">
        <f>B41-B26</f>
        <v>0.90999999999999659</v>
      </c>
      <c r="D41" s="35">
        <f>$B$12/C41</f>
        <v>5.4945054945055151E-4</v>
      </c>
      <c r="E41" s="35">
        <f>SQRT(2)*D41*$B$13/C41</f>
        <v>2.1347264255118734E-4</v>
      </c>
      <c r="F41" s="35">
        <f>(4*PI()/3)*$F$27^3*($B$9-$B$8)*($B$6/$E$18)*(1+ABS(D41)/$D$27)</f>
        <v>5.7596576847421954E-18</v>
      </c>
      <c r="G41" s="35">
        <f>F41*3/$F$27</f>
        <v>1.471449118947292E-11</v>
      </c>
      <c r="H41" s="35">
        <f>F41/$E$18</f>
        <v>1.4077058091327144E-22</v>
      </c>
      <c r="I41" s="34">
        <f>(4*PI()/3)*$F$27^3*($B$9-$B$8)*($B$6/$E$18)*(1/$D$27)</f>
        <v>9.2015064377591441E-15</v>
      </c>
      <c r="J41" s="35">
        <f>(4*PI()/3)*$F$27^3*($B$9-$B$8)*($B$6/$E$18)*(ABS(D41)/$D$27^2)</f>
        <v>6.6091380232834306E-14</v>
      </c>
      <c r="K41" s="34">
        <f>SQRT(G41^2*$I$27^2+H41^2*$F$18^2+I41^2*E41^2+J41^2*$E$28^2)</f>
        <v>2.2858705982671473E-18</v>
      </c>
      <c r="L41" s="53">
        <f>K41/F41</f>
        <v>0.39687612066297023</v>
      </c>
    </row>
    <row r="42" spans="1:12" x14ac:dyDescent="0.25">
      <c r="A42" s="38">
        <v>2</v>
      </c>
      <c r="B42" s="40">
        <v>34.799999999999997</v>
      </c>
      <c r="C42" s="34">
        <f>B42-B41</f>
        <v>0.79999999999999716</v>
      </c>
      <c r="D42" s="35">
        <f t="shared" ref="D42:D45" si="7">$B$12/C42</f>
        <v>6.2500000000000218E-4</v>
      </c>
      <c r="E42" s="35">
        <f t="shared" ref="E42:E44" si="8">SQRT(2)*D42*$B$13/C42</f>
        <v>2.7621358640099708E-4</v>
      </c>
      <c r="F42" s="35">
        <f t="shared" ref="F42:F45" si="9">(4*PI()/3)*$F$27^3*($B$9-$B$8)*($B$6/$E$18)*(1+ABS(D42)/$D$27)</f>
        <v>6.4548264403421312E-18</v>
      </c>
      <c r="G42" s="35">
        <f t="shared" ref="G42:G45" si="10">F42*3/$F$27</f>
        <v>1.649047425814898E-11</v>
      </c>
      <c r="H42" s="35">
        <f t="shared" ref="H42:H45" si="11">F42/$E$18</f>
        <v>1.5776105411757251E-22</v>
      </c>
      <c r="I42" s="34">
        <f t="shared" ref="I42:I45" si="12">(4*PI()/3)*$F$27^3*($B$9-$B$8)*($B$6/$E$18)*(1/$D$27)</f>
        <v>9.2015064377591441E-15</v>
      </c>
      <c r="J42" s="35">
        <f t="shared" ref="J42:J45" si="13">(4*PI()/3)*$F$27^3*($B$9-$B$8)*($B$6/$E$18)*(ABS(D42)/$D$27^2)</f>
        <v>7.5178945014849008E-14</v>
      </c>
      <c r="K42" s="34">
        <f t="shared" ref="K42:K45" si="14">SQRT(G42^2*$I$27^2+H42^2*$F$18^2+I42^2*E42^2+J42^2*$E$28^2)</f>
        <v>2.8599478159990953E-18</v>
      </c>
      <c r="L42" s="53">
        <f t="shared" ref="L42:L45" si="15">K42/F42</f>
        <v>0.44307121847996689</v>
      </c>
    </row>
    <row r="43" spans="1:12" x14ac:dyDescent="0.25">
      <c r="A43" s="38">
        <v>3</v>
      </c>
      <c r="B43" s="40">
        <v>35.630000000000003</v>
      </c>
      <c r="C43" s="34">
        <f>B43-B42</f>
        <v>0.8300000000000054</v>
      </c>
      <c r="D43" s="35">
        <f t="shared" si="7"/>
        <v>6.0240963855421291E-4</v>
      </c>
      <c r="E43" s="35">
        <f t="shared" si="8"/>
        <v>2.5660719305651701E-4</v>
      </c>
      <c r="F43" s="35">
        <f t="shared" si="9"/>
        <v>6.2469610840673973E-18</v>
      </c>
      <c r="G43" s="35">
        <f t="shared" si="10"/>
        <v>1.5959430032794444E-11</v>
      </c>
      <c r="H43" s="35">
        <f t="shared" si="11"/>
        <v>1.5268066070598936E-22</v>
      </c>
      <c r="I43" s="34">
        <f t="shared" si="12"/>
        <v>9.2015064377591441E-15</v>
      </c>
      <c r="J43" s="35">
        <f t="shared" si="13"/>
        <v>7.2461633749251319E-14</v>
      </c>
      <c r="K43" s="34">
        <f t="shared" si="14"/>
        <v>2.680496476644232E-18</v>
      </c>
      <c r="L43" s="53">
        <f t="shared" si="15"/>
        <v>0.42908807027479678</v>
      </c>
    </row>
    <row r="44" spans="1:12" x14ac:dyDescent="0.25">
      <c r="A44" s="38">
        <v>4</v>
      </c>
      <c r="B44" s="40">
        <v>36.42</v>
      </c>
      <c r="C44" s="34">
        <f>B44-B43</f>
        <v>0.78999999999999915</v>
      </c>
      <c r="D44" s="35">
        <f t="shared" si="7"/>
        <v>6.3291139240506395E-4</v>
      </c>
      <c r="E44" s="35">
        <f t="shared" si="8"/>
        <v>2.8325059332901339E-4</v>
      </c>
      <c r="F44" s="35">
        <f t="shared" si="9"/>
        <v>6.5276231684889467E-18</v>
      </c>
      <c r="G44" s="35">
        <f t="shared" si="10"/>
        <v>1.6676451771669686E-11</v>
      </c>
      <c r="H44" s="35">
        <f t="shared" si="11"/>
        <v>1.5954026362458186E-22</v>
      </c>
      <c r="I44" s="34">
        <f t="shared" si="12"/>
        <v>9.2015064377591441E-15</v>
      </c>
      <c r="J44" s="35">
        <f t="shared" si="13"/>
        <v>7.6130577230226648E-14</v>
      </c>
      <c r="K44" s="34">
        <f t="shared" si="14"/>
        <v>2.9243671968725648E-18</v>
      </c>
      <c r="L44" s="53">
        <f t="shared" si="15"/>
        <v>0.44799877710304697</v>
      </c>
    </row>
    <row r="45" spans="1:12" x14ac:dyDescent="0.25">
      <c r="A45" s="38">
        <v>5</v>
      </c>
      <c r="B45" s="40">
        <v>37.65</v>
      </c>
      <c r="C45" s="34">
        <f>B45-B44</f>
        <v>1.2299999999999969</v>
      </c>
      <c r="D45" s="35">
        <f t="shared" si="7"/>
        <v>4.0650406504065144E-4</v>
      </c>
      <c r="E45" s="35">
        <f>SQRT(2)*D45*$B$13/C45</f>
        <v>1.1684625242688729E-4</v>
      </c>
      <c r="F45" s="35">
        <f t="shared" si="9"/>
        <v>4.4443346881894631E-18</v>
      </c>
      <c r="G45" s="35">
        <f t="shared" si="10"/>
        <v>1.1354168457905477E-11</v>
      </c>
      <c r="H45" s="35">
        <f t="shared" si="11"/>
        <v>1.0862304846463065E-22</v>
      </c>
      <c r="I45" s="34">
        <f t="shared" si="12"/>
        <v>9.2015064377591441E-15</v>
      </c>
      <c r="J45" s="35">
        <f t="shared" si="13"/>
        <v>4.8896874806405809E-14</v>
      </c>
      <c r="K45" s="34">
        <f t="shared" si="14"/>
        <v>1.4021646698128225E-18</v>
      </c>
      <c r="L45" s="53">
        <f t="shared" si="15"/>
        <v>0.31549484190265553</v>
      </c>
    </row>
    <row r="46" spans="1:12" x14ac:dyDescent="0.25">
      <c r="L46" s="53"/>
    </row>
    <row r="49" spans="1:12" x14ac:dyDescent="0.25">
      <c r="A49" s="34" t="s">
        <v>7</v>
      </c>
    </row>
    <row r="50" spans="1:12" x14ac:dyDescent="0.25">
      <c r="B50" s="34" t="s">
        <v>23</v>
      </c>
      <c r="C50" s="34" t="s">
        <v>27</v>
      </c>
      <c r="D50" s="34" t="s">
        <v>24</v>
      </c>
      <c r="E50" s="34" t="s">
        <v>29</v>
      </c>
      <c r="F50" s="34" t="s">
        <v>37</v>
      </c>
      <c r="G50" s="34" t="s">
        <v>39</v>
      </c>
      <c r="H50" s="34" t="s">
        <v>40</v>
      </c>
      <c r="I50" s="34" t="s">
        <v>41</v>
      </c>
      <c r="J50" s="34" t="s">
        <v>42</v>
      </c>
      <c r="K50" s="34" t="s">
        <v>2</v>
      </c>
      <c r="L50" s="34" t="s">
        <v>43</v>
      </c>
    </row>
    <row r="51" spans="1:12" x14ac:dyDescent="0.25">
      <c r="A51" s="38">
        <v>6</v>
      </c>
      <c r="B51" s="41">
        <v>38.380000000000003</v>
      </c>
      <c r="C51" s="34">
        <f>B51-B45</f>
        <v>0.73000000000000398</v>
      </c>
      <c r="D51" s="35">
        <f>$B$12/C51</f>
        <v>6.8493150684931139E-4</v>
      </c>
      <c r="E51" s="35">
        <f>SQRT(2)*D51*$B$13/C51</f>
        <v>3.3172583091881211E-4</v>
      </c>
      <c r="F51" s="35">
        <f>-(4*PI()/3)*$F$27^3*($B$9-$B$8)*($B$6/$E$18)*(1-ABS(D51)/$D$27)</f>
        <v>5.5985167529553624E-18</v>
      </c>
      <c r="G51" s="35">
        <f>F51*3/$F$27</f>
        <v>1.4302816233976506E-11</v>
      </c>
      <c r="H51" s="35">
        <f>F51/$E$18</f>
        <v>1.3683216932387616E-22</v>
      </c>
      <c r="I51" s="34">
        <f>-(4*PI()/3)*$F$27^3*($B$9-$B$8)*($B$6/$E$18)*(-1/$D$27)</f>
        <v>9.2015064377591441E-15</v>
      </c>
      <c r="J51" s="35">
        <f>-(4*PI()/3)*$F$27^3*($B$9-$B$8)*($B$6/$E$18)*(-ABS(D51)/$D$27^2)</f>
        <v>8.2387884947778997E-14</v>
      </c>
      <c r="K51" s="34">
        <f>SQRT(G51^2*$I$27^2+H51^2*$F$18^2+I51^2*E51^2+J51^2*$E$28^2)</f>
        <v>3.2643477084717552E-18</v>
      </c>
      <c r="L51" s="53">
        <f>K51/F51</f>
        <v>0.58307366978022546</v>
      </c>
    </row>
    <row r="52" spans="1:12" x14ac:dyDescent="0.25">
      <c r="A52" s="38">
        <v>7</v>
      </c>
      <c r="B52" s="41">
        <v>39.11</v>
      </c>
      <c r="C52" s="34">
        <f>B52-B51</f>
        <v>0.72999999999999687</v>
      </c>
      <c r="D52" s="35">
        <f t="shared" ref="D52:D55" si="16">$B$12/C52</f>
        <v>6.84931506849318E-4</v>
      </c>
      <c r="E52" s="35">
        <f t="shared" ref="E52:E54" si="17">SQRT(2)*D52*$B$13/C52</f>
        <v>3.3172583091881856E-4</v>
      </c>
      <c r="F52" s="35">
        <f t="shared" ref="F52:F55" si="18">-(4*PI()/3)*$F$27^3*($B$9-$B$8)*($B$6/$E$18)*(1-ABS(D52)/$D$27)</f>
        <v>5.5985167529554241E-18</v>
      </c>
      <c r="G52" s="35">
        <f t="shared" ref="G52:G55" si="19">F52*3/$F$27</f>
        <v>1.4302816233976662E-11</v>
      </c>
      <c r="H52" s="35">
        <f t="shared" ref="H52:H55" si="20">F52/$E$18</f>
        <v>1.3683216932387767E-22</v>
      </c>
      <c r="I52" s="34">
        <f t="shared" ref="I52:I55" si="21">-(4*PI()/3)*$F$27^3*($B$9-$B$8)*($B$6/$E$18)*(-1/$D$27)</f>
        <v>9.2015064377591441E-15</v>
      </c>
      <c r="J52" s="35">
        <f t="shared" ref="J52:J55" si="22">-(4*PI()/3)*$F$27^3*($B$9-$B$8)*($B$6/$E$18)*(-ABS(D52)/$D$27^2)</f>
        <v>8.2387884947779805E-14</v>
      </c>
      <c r="K52" s="34">
        <f t="shared" ref="K52:K55" si="23">SQRT(G52^2*$I$27^2+H52^2*$F$18^2+I52^2*E52^2+J52^2*$E$28^2)</f>
        <v>3.2643477084718153E-18</v>
      </c>
      <c r="L52" s="53">
        <f t="shared" ref="L52:L55" si="24">K52/F52</f>
        <v>0.58307366978022979</v>
      </c>
    </row>
    <row r="53" spans="1:12" x14ac:dyDescent="0.25">
      <c r="A53" s="38">
        <v>8</v>
      </c>
      <c r="B53" s="41">
        <v>39.82</v>
      </c>
      <c r="C53" s="34">
        <f>B53-B52</f>
        <v>0.71000000000000085</v>
      </c>
      <c r="D53" s="35">
        <f t="shared" si="16"/>
        <v>7.0422535211267523E-4</v>
      </c>
      <c r="E53" s="35">
        <f t="shared" si="17"/>
        <v>3.5067783236785647E-4</v>
      </c>
      <c r="F53" s="35">
        <f t="shared" si="18"/>
        <v>5.7760491943553342E-18</v>
      </c>
      <c r="G53" s="35">
        <f t="shared" si="19"/>
        <v>1.475636741493396E-11</v>
      </c>
      <c r="H53" s="35">
        <f t="shared" si="20"/>
        <v>1.4117120234888204E-22</v>
      </c>
      <c r="I53" s="34">
        <f t="shared" si="21"/>
        <v>9.2015064377591441E-15</v>
      </c>
      <c r="J53" s="35">
        <f t="shared" si="22"/>
        <v>8.47086704392661E-14</v>
      </c>
      <c r="K53" s="34">
        <f t="shared" si="23"/>
        <v>3.4403992175504175E-18</v>
      </c>
      <c r="L53" s="53">
        <f t="shared" si="24"/>
        <v>0.59563191063409926</v>
      </c>
    </row>
    <row r="54" spans="1:12" x14ac:dyDescent="0.25">
      <c r="A54" s="38">
        <v>9</v>
      </c>
      <c r="B54" s="41">
        <v>40.53</v>
      </c>
      <c r="C54" s="34">
        <f>B54-B53</f>
        <v>0.71000000000000085</v>
      </c>
      <c r="D54" s="35">
        <f t="shared" si="16"/>
        <v>7.0422535211267523E-4</v>
      </c>
      <c r="E54" s="35">
        <f t="shared" si="17"/>
        <v>3.5067783236785647E-4</v>
      </c>
      <c r="F54" s="35">
        <f t="shared" si="18"/>
        <v>5.7760491943553342E-18</v>
      </c>
      <c r="G54" s="35">
        <f t="shared" si="19"/>
        <v>1.475636741493396E-11</v>
      </c>
      <c r="H54" s="35">
        <f t="shared" si="20"/>
        <v>1.4117120234888204E-22</v>
      </c>
      <c r="I54" s="34">
        <f t="shared" si="21"/>
        <v>9.2015064377591441E-15</v>
      </c>
      <c r="J54" s="35">
        <f t="shared" si="22"/>
        <v>8.47086704392661E-14</v>
      </c>
      <c r="K54" s="34">
        <f t="shared" si="23"/>
        <v>3.4403992175504175E-18</v>
      </c>
      <c r="L54" s="53">
        <f t="shared" si="24"/>
        <v>0.59563191063409926</v>
      </c>
    </row>
    <row r="55" spans="1:12" x14ac:dyDescent="0.25">
      <c r="A55" s="38">
        <v>10</v>
      </c>
      <c r="B55" s="41">
        <v>41.26</v>
      </c>
      <c r="C55" s="34">
        <f>B55-B54</f>
        <v>0.72999999999999687</v>
      </c>
      <c r="D55" s="35">
        <f t="shared" si="16"/>
        <v>6.84931506849318E-4</v>
      </c>
      <c r="E55" s="35">
        <f>SQRT(2)*D55*$B$13/C55</f>
        <v>3.3172583091881856E-4</v>
      </c>
      <c r="F55" s="35">
        <f t="shared" si="18"/>
        <v>5.5985167529554241E-18</v>
      </c>
      <c r="G55" s="35">
        <f t="shared" si="19"/>
        <v>1.4302816233976662E-11</v>
      </c>
      <c r="H55" s="35">
        <f t="shared" si="20"/>
        <v>1.3683216932387767E-22</v>
      </c>
      <c r="I55" s="34">
        <f t="shared" si="21"/>
        <v>9.2015064377591441E-15</v>
      </c>
      <c r="J55" s="35">
        <f t="shared" si="22"/>
        <v>8.2387884947779805E-14</v>
      </c>
      <c r="K55" s="34">
        <f t="shared" si="23"/>
        <v>3.2643477084718153E-18</v>
      </c>
      <c r="L55" s="53">
        <f t="shared" si="24"/>
        <v>0.58307366978022979</v>
      </c>
    </row>
    <row r="56" spans="1:12" x14ac:dyDescent="0.25">
      <c r="L56" s="53"/>
    </row>
    <row r="59" spans="1:12" x14ac:dyDescent="0.25">
      <c r="B59" s="34" t="s">
        <v>38</v>
      </c>
    </row>
    <row r="60" spans="1:12" x14ac:dyDescent="0.25">
      <c r="A60" s="35"/>
      <c r="B60" s="34" t="s">
        <v>44</v>
      </c>
      <c r="C60" s="34" t="s">
        <v>45</v>
      </c>
    </row>
    <row r="61" spans="1:12" x14ac:dyDescent="0.25">
      <c r="A61" s="34">
        <v>1</v>
      </c>
      <c r="B61" s="35">
        <f>F41</f>
        <v>5.7596576847421954E-18</v>
      </c>
      <c r="C61" s="34">
        <f>K41</f>
        <v>2.2858705982671473E-18</v>
      </c>
    </row>
    <row r="62" spans="1:12" x14ac:dyDescent="0.25">
      <c r="A62" s="34">
        <v>2</v>
      </c>
      <c r="B62" s="35">
        <f t="shared" ref="B62:B65" si="25">F42</f>
        <v>6.4548264403421312E-18</v>
      </c>
      <c r="C62" s="34">
        <f t="shared" ref="C62:C65" si="26">K42</f>
        <v>2.8599478159990953E-18</v>
      </c>
    </row>
    <row r="63" spans="1:12" x14ac:dyDescent="0.25">
      <c r="A63" s="34">
        <v>3</v>
      </c>
      <c r="B63" s="35">
        <f t="shared" si="25"/>
        <v>6.2469610840673973E-18</v>
      </c>
      <c r="C63" s="34">
        <f t="shared" si="26"/>
        <v>2.680496476644232E-18</v>
      </c>
    </row>
    <row r="64" spans="1:12" x14ac:dyDescent="0.25">
      <c r="A64" s="34">
        <v>4</v>
      </c>
      <c r="B64" s="35">
        <f t="shared" si="25"/>
        <v>6.5276231684889467E-18</v>
      </c>
      <c r="C64" s="34">
        <f t="shared" si="26"/>
        <v>2.9243671968725648E-18</v>
      </c>
    </row>
    <row r="65" spans="1:3" x14ac:dyDescent="0.25">
      <c r="A65" s="34">
        <v>5</v>
      </c>
      <c r="B65" s="35">
        <f t="shared" si="25"/>
        <v>4.4443346881894631E-18</v>
      </c>
      <c r="C65" s="34">
        <f t="shared" si="26"/>
        <v>1.4021646698128225E-18</v>
      </c>
    </row>
    <row r="66" spans="1:3" x14ac:dyDescent="0.25">
      <c r="A66" s="34">
        <v>6</v>
      </c>
      <c r="B66" s="35">
        <f>F51</f>
        <v>5.5985167529553624E-18</v>
      </c>
      <c r="C66" s="34">
        <f>K51</f>
        <v>3.2643477084717552E-18</v>
      </c>
    </row>
    <row r="67" spans="1:3" x14ac:dyDescent="0.25">
      <c r="A67" s="34">
        <v>7</v>
      </c>
      <c r="B67" s="35">
        <f t="shared" ref="B67:B70" si="27">F52</f>
        <v>5.5985167529554241E-18</v>
      </c>
      <c r="C67" s="34">
        <f t="shared" ref="C67:C70" si="28">K52</f>
        <v>3.2643477084718153E-18</v>
      </c>
    </row>
    <row r="68" spans="1:3" x14ac:dyDescent="0.25">
      <c r="A68" s="34">
        <v>8</v>
      </c>
      <c r="B68" s="35">
        <f t="shared" si="27"/>
        <v>5.7760491943553342E-18</v>
      </c>
      <c r="C68" s="34">
        <f t="shared" si="28"/>
        <v>3.4403992175504175E-18</v>
      </c>
    </row>
    <row r="69" spans="1:3" x14ac:dyDescent="0.25">
      <c r="A69" s="34">
        <v>9</v>
      </c>
      <c r="B69" s="35">
        <f t="shared" si="27"/>
        <v>5.7760491943553342E-18</v>
      </c>
      <c r="C69" s="34">
        <f t="shared" si="28"/>
        <v>3.4403992175504175E-18</v>
      </c>
    </row>
    <row r="70" spans="1:3" x14ac:dyDescent="0.25">
      <c r="A70" s="34">
        <v>10</v>
      </c>
      <c r="B70" s="35">
        <f t="shared" si="27"/>
        <v>5.5985167529554241E-18</v>
      </c>
      <c r="C70" s="34">
        <f t="shared" si="28"/>
        <v>3.2643477084718153E-18</v>
      </c>
    </row>
  </sheetData>
  <mergeCells count="2">
    <mergeCell ref="A1:C2"/>
    <mergeCell ref="A14:C15"/>
  </mergeCells>
  <conditionalFormatting sqref="C32:G36">
    <cfRule type="cellIs" dxfId="56" priority="5" operator="notBetween">
      <formula>-1.96</formula>
      <formula>1.96</formula>
    </cfRule>
  </conditionalFormatting>
  <conditionalFormatting sqref="L41:L46">
    <cfRule type="cellIs" priority="4" operator="greaterThan">
      <formula>0.04</formula>
    </cfRule>
  </conditionalFormatting>
  <conditionalFormatting sqref="L51:L56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8FC14681-6F88-40DF-8822-71B5359DDF11}">
            <xm:f>Dati!$B$14</xm:f>
            <x14:dxf>
              <fill>
                <patternFill>
                  <bgColor theme="5"/>
                </patternFill>
              </fill>
            </x14:dxf>
          </x14:cfRule>
          <xm:sqref>L41:L46</xm:sqref>
        </x14:conditionalFormatting>
        <x14:conditionalFormatting xmlns:xm="http://schemas.microsoft.com/office/excel/2006/main">
          <x14:cfRule type="cellIs" priority="1" operator="greaterThan" id="{3C2B257C-3E8D-4308-9EDC-A3F979ABB1AB}">
            <xm:f>Dati!$B$14</xm:f>
            <x14:dxf>
              <fill>
                <patternFill>
                  <bgColor theme="5"/>
                </patternFill>
              </fill>
            </x14:dxf>
          </x14:cfRule>
          <xm:sqref>L51:L56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3" workbookViewId="0">
      <selection activeCell="F43" sqref="F43"/>
    </sheetView>
  </sheetViews>
  <sheetFormatPr defaultRowHeight="15" x14ac:dyDescent="0.25"/>
  <cols>
    <col min="1" max="1" width="13.140625" style="41" customWidth="1"/>
    <col min="2" max="2" width="9.140625" style="41"/>
    <col min="3" max="5" width="12" style="41" customWidth="1"/>
    <col min="6" max="7" width="12.140625" style="41" customWidth="1"/>
    <col min="8" max="9" width="12" style="41" customWidth="1"/>
    <col min="10" max="10" width="9.140625" style="41"/>
    <col min="11" max="11" width="12" style="41" customWidth="1"/>
    <col min="12" max="16384" width="9.140625" style="41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41" t="s">
        <v>1</v>
      </c>
      <c r="C4" s="41" t="s">
        <v>2</v>
      </c>
    </row>
    <row r="5" spans="1:5" x14ac:dyDescent="0.25">
      <c r="A5" s="41" t="str">
        <f>[1]Dati!A5</f>
        <v>d</v>
      </c>
      <c r="B5" s="42">
        <f>Dati!B5</f>
        <v>7.4300000000000008E-3</v>
      </c>
      <c r="C5" s="179">
        <f>Dati!C5</f>
        <v>1.0000000000000001E-5</v>
      </c>
    </row>
    <row r="6" spans="1:5" x14ac:dyDescent="0.25">
      <c r="A6" s="41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41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41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41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41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41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41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41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44"/>
    </row>
    <row r="15" spans="1:5" x14ac:dyDescent="0.25">
      <c r="A15" s="193"/>
      <c r="B15" s="193"/>
      <c r="C15" s="193"/>
      <c r="D15" s="44"/>
    </row>
    <row r="16" spans="1:5" x14ac:dyDescent="0.25">
      <c r="A16" s="41" t="s">
        <v>18</v>
      </c>
      <c r="B16" s="41">
        <v>304</v>
      </c>
      <c r="C16" s="41">
        <f>B16/100</f>
        <v>3.04</v>
      </c>
      <c r="D16" s="41" t="s">
        <v>19</v>
      </c>
      <c r="E16" s="41">
        <f>(1.8+(B18-15)*0.004765)*0.00001</f>
        <v>1.8238250000000001E-5</v>
      </c>
    </row>
    <row r="17" spans="1:10" x14ac:dyDescent="0.25">
      <c r="A17" s="41" t="s">
        <v>20</v>
      </c>
      <c r="E17" s="43"/>
    </row>
    <row r="18" spans="1:10" x14ac:dyDescent="0.25">
      <c r="A18" s="41" t="s">
        <v>21</v>
      </c>
      <c r="B18" s="41">
        <v>20</v>
      </c>
      <c r="C18" s="41">
        <v>0.5</v>
      </c>
      <c r="D18" s="41" t="s">
        <v>22</v>
      </c>
      <c r="E18" s="42">
        <f>B16/B5</f>
        <v>40915.208613728122</v>
      </c>
      <c r="F18" s="41">
        <f>SQRT((C16/B5)^2+(B16*C5/B5^2)^2)</f>
        <v>412.84121337929804</v>
      </c>
      <c r="G18" s="42"/>
    </row>
    <row r="21" spans="1:10" x14ac:dyDescent="0.25">
      <c r="B21" s="41" t="s">
        <v>23</v>
      </c>
      <c r="C21" s="41" t="s">
        <v>27</v>
      </c>
      <c r="D21" s="41" t="s">
        <v>24</v>
      </c>
      <c r="E21" s="41" t="s">
        <v>29</v>
      </c>
      <c r="F21" s="41" t="s">
        <v>25</v>
      </c>
      <c r="G21" s="41" t="s">
        <v>26</v>
      </c>
      <c r="H21" s="41" t="s">
        <v>28</v>
      </c>
      <c r="I21" s="41" t="s">
        <v>31</v>
      </c>
      <c r="J21" s="41" t="s">
        <v>32</v>
      </c>
    </row>
    <row r="22" spans="1:10" x14ac:dyDescent="0.25">
      <c r="A22" s="41">
        <v>1</v>
      </c>
      <c r="B22" s="47">
        <v>5.97</v>
      </c>
      <c r="C22" s="41">
        <f>B22</f>
        <v>5.97</v>
      </c>
      <c r="D22" s="42">
        <f>B12/B22</f>
        <v>8.3752093802345063E-5</v>
      </c>
      <c r="E22" s="42">
        <f>SQRT(2)*D22*$B$13/C22</f>
        <v>4.9599391512738711E-6</v>
      </c>
      <c r="F22" s="5">
        <f>(($B$10/(2*$B$7))^2+9*$E$16*D22/(2*$B$6*($B$9-$B$8)))^(1/2)-$B$10/(2*$B$7)</f>
        <v>1.2325270335112538E-6</v>
      </c>
      <c r="G22" s="41">
        <f>(($B$10/(2*$B$7))^2+9*$E$16*D22/(2*$B$6*($B$9-$B$8)))^(-1/2)*(9*$E$16)/(4*$B$6*$B$9)</f>
        <v>2.5424356758120955E-3</v>
      </c>
      <c r="H22" s="41">
        <f>(($B$10/(2*$B$7))^2+9*$E$16*D22/(2*$B$6*($B$9-$B$8)))^(-1/2)*((9*D22)/(4*$B$6*$B$9))*0.00000004765</f>
        <v>5.5632091505575429E-10</v>
      </c>
      <c r="I22" s="41">
        <f>SQRT(G22^2*E22^2+H22^2*$C$18^2+$F$28^2)</f>
        <v>1.1214936577242341E-7</v>
      </c>
      <c r="J22" s="42">
        <f>I22/F22</f>
        <v>9.0991404426180811E-2</v>
      </c>
    </row>
    <row r="23" spans="1:10" x14ac:dyDescent="0.25">
      <c r="A23" s="41">
        <v>2</v>
      </c>
      <c r="B23" s="47">
        <v>14.3</v>
      </c>
      <c r="C23" s="41">
        <f>B23-B22</f>
        <v>8.3300000000000018</v>
      </c>
      <c r="D23" s="42">
        <f>$B$12/(B23-B22)</f>
        <v>6.0024009603841526E-5</v>
      </c>
      <c r="E23" s="42">
        <f t="shared" ref="E23:E25" si="0">SQRT(2)*D23*$B$13/C23</f>
        <v>2.5476221023339011E-6</v>
      </c>
      <c r="F23" s="5">
        <f>(($B$10/(2*$B$7))^2+9*E16*D23/(2*$B$6*($B$9-$B$8)))^(1/2)-$B$10/(2*$B$7)</f>
        <v>1.037431682886818E-6</v>
      </c>
      <c r="G23" s="41">
        <f t="shared" ref="G23:G27" si="1">(($B$10/(2*$B$7))^2+9*$E$16*D23/(2*$B$6*($B$9-$B$8)))^(-1/2)*(9*$E$16)/(4*$B$6*$B$9)</f>
        <v>3.0026077079507402E-3</v>
      </c>
      <c r="H23" s="41">
        <f t="shared" ref="H23:H27" si="2">(($B$10/(2*$B$7))^2+9*$E$16*D23/(2*$B$6*($B$9-$B$8)))^(-1/2)*((9*D23)/(4*$B$6*$B$9))*0.00000004765</f>
        <v>4.7087251207042745E-10</v>
      </c>
      <c r="I23" s="41">
        <f t="shared" ref="I23:I27" si="3">SQRT(G23^2*E23^2+H23^2*$C$18^2+$F$28^2)</f>
        <v>1.1170028187813534E-7</v>
      </c>
      <c r="J23" s="42">
        <f t="shared" ref="J23:J27" si="4">I23/F23</f>
        <v>0.10767001212774956</v>
      </c>
    </row>
    <row r="24" spans="1:10" x14ac:dyDescent="0.25">
      <c r="A24" s="41">
        <v>3</v>
      </c>
      <c r="B24" s="47">
        <v>20.73</v>
      </c>
      <c r="C24" s="41">
        <f t="shared" ref="C24:C26" si="5">B24-B23</f>
        <v>6.43</v>
      </c>
      <c r="D24" s="42">
        <f>$B$12/(B24-B23)</f>
        <v>7.7760497667185078E-5</v>
      </c>
      <c r="E24" s="42">
        <f t="shared" si="0"/>
        <v>4.2756590364624635E-6</v>
      </c>
      <c r="F24" s="5">
        <f>(($B$10/(2*$B$7))^2+9*E16*D24/(2*$B$6*($B$9-$B$8)))^(1/2)-$B$10/(2*$B$7)</f>
        <v>1.1861952277313472E-6</v>
      </c>
      <c r="G24" s="41">
        <f t="shared" si="1"/>
        <v>2.6384653206418386E-3</v>
      </c>
      <c r="H24" s="41">
        <f t="shared" si="2"/>
        <v>5.3603131528357884E-10</v>
      </c>
      <c r="I24" s="41">
        <f t="shared" si="3"/>
        <v>1.1200767542154752E-7</v>
      </c>
      <c r="J24" s="42">
        <f t="shared" si="4"/>
        <v>9.4426004086837656E-2</v>
      </c>
    </row>
    <row r="25" spans="1:10" x14ac:dyDescent="0.25">
      <c r="A25" s="41">
        <v>4</v>
      </c>
      <c r="B25" s="47">
        <v>25.99</v>
      </c>
      <c r="C25" s="41">
        <f t="shared" si="5"/>
        <v>5.259999999999998</v>
      </c>
      <c r="D25" s="42">
        <f>$B$12/(B25-B24)</f>
        <v>9.5057034220532354E-5</v>
      </c>
      <c r="E25" s="42">
        <f t="shared" si="0"/>
        <v>6.3893035643365175E-6</v>
      </c>
      <c r="F25" s="5">
        <f>(($B$10/(2*$B$7))^2+9*E16*D25/(2*$B$6*($B$9-$B$8)))^(1/2)-$B$10/(2*$B$7)</f>
        <v>1.3156416975690987E-6</v>
      </c>
      <c r="G25" s="41">
        <f t="shared" si="1"/>
        <v>2.3866117527779548E-3</v>
      </c>
      <c r="H25" s="41">
        <f t="shared" si="2"/>
        <v>5.9271480544283746E-10</v>
      </c>
      <c r="I25" s="41">
        <f t="shared" si="3"/>
        <v>1.1247664590423448E-7</v>
      </c>
      <c r="J25" s="42">
        <f t="shared" si="4"/>
        <v>8.5491852464129658E-2</v>
      </c>
    </row>
    <row r="26" spans="1:10" x14ac:dyDescent="0.25">
      <c r="A26" s="41">
        <v>5</v>
      </c>
      <c r="B26" s="47">
        <v>31.39</v>
      </c>
      <c r="C26" s="41">
        <f t="shared" si="5"/>
        <v>5.4000000000000021</v>
      </c>
      <c r="D26" s="42">
        <f>$B$12/(B26-B25)</f>
        <v>9.2592592592592561E-5</v>
      </c>
      <c r="E26" s="42">
        <f>SQRT(2)*D26*$B$13/C26</f>
        <v>6.0623009360986543E-6</v>
      </c>
      <c r="F26" s="5">
        <f>(($B$10/(2*$B$7))^2+9*E16*D26/(2*$B$6*($B$9-$B$8)))^(1/2)-$B$10/(2*$B$7)</f>
        <v>1.2979629691979083E-6</v>
      </c>
      <c r="G26" s="41">
        <f t="shared" si="1"/>
        <v>2.418135523951398E-3</v>
      </c>
      <c r="H26" s="41">
        <f t="shared" si="2"/>
        <v>5.8497407877666582E-10</v>
      </c>
      <c r="I26" s="41">
        <f t="shared" si="3"/>
        <v>1.1239825626731069E-7</v>
      </c>
      <c r="J26" s="42">
        <f t="shared" si="4"/>
        <v>8.6595888276202931E-2</v>
      </c>
    </row>
    <row r="27" spans="1:10" x14ac:dyDescent="0.25">
      <c r="A27" s="7" t="s">
        <v>34</v>
      </c>
      <c r="B27" s="7"/>
      <c r="C27" s="7">
        <f>AVERAGE(C22:C26)</f>
        <v>6.2780000000000005</v>
      </c>
      <c r="D27" s="7">
        <f>AVERAGE(D22:D26)</f>
        <v>8.1837245577299323E-5</v>
      </c>
      <c r="E27" s="8">
        <f>SQRT(2)*D27*$B$13/C27</f>
        <v>4.6087664304983394E-6</v>
      </c>
      <c r="F27" s="9">
        <f>AVERAGE(F22:F26)</f>
        <v>1.213951722179285E-6</v>
      </c>
      <c r="G27" s="7">
        <f t="shared" si="1"/>
        <v>2.5719775602474366E-3</v>
      </c>
      <c r="H27" s="7">
        <f t="shared" si="2"/>
        <v>5.4991797988858807E-10</v>
      </c>
      <c r="I27" s="7">
        <f t="shared" si="3"/>
        <v>1.120667971192093E-7</v>
      </c>
      <c r="J27" s="8">
        <f t="shared" si="4"/>
        <v>9.2315695156333796E-2</v>
      </c>
    </row>
    <row r="28" spans="1:10" x14ac:dyDescent="0.25">
      <c r="A28" s="41" t="s">
        <v>35</v>
      </c>
      <c r="C28" s="6">
        <f>_xlfn.STDEV.S(C22:C26)</f>
        <v>1.2385354254118062</v>
      </c>
      <c r="D28" s="42">
        <f>_xlfn.STDEV.S(D22:D26)</f>
        <v>1.4022696620768642E-5</v>
      </c>
      <c r="E28" s="8">
        <f>SQRT(2)*D28*$B$13/C28</f>
        <v>4.0029310698845482E-6</v>
      </c>
      <c r="F28" s="42">
        <f>_xlfn.STDEV.S(F22:F26)</f>
        <v>1.1143779673806493E-7</v>
      </c>
    </row>
    <row r="30" spans="1:10" x14ac:dyDescent="0.25">
      <c r="A30" s="41" t="s">
        <v>31</v>
      </c>
      <c r="C30" s="41">
        <f t="array" ref="C30:G31">TRANSPOSE(A32:B36)</f>
        <v>1.1214936577242341E-7</v>
      </c>
      <c r="D30" s="41">
        <v>1.1170028187813534E-7</v>
      </c>
      <c r="E30" s="41">
        <v>1.1200767542154752E-7</v>
      </c>
      <c r="F30" s="41">
        <v>1.1247664590423448E-7</v>
      </c>
      <c r="G30" s="41">
        <v>1.1239825626731069E-7</v>
      </c>
    </row>
    <row r="31" spans="1:10" x14ac:dyDescent="0.25">
      <c r="B31" s="41" t="s">
        <v>25</v>
      </c>
      <c r="C31" s="41">
        <v>1.2325270335112538E-6</v>
      </c>
      <c r="D31" s="41">
        <v>1.037431682886818E-6</v>
      </c>
      <c r="E31" s="41">
        <v>1.1861952277313472E-6</v>
      </c>
      <c r="F31" s="41">
        <v>1.3156416975690987E-6</v>
      </c>
      <c r="G31" s="41">
        <v>1.2979629691979083E-6</v>
      </c>
    </row>
    <row r="32" spans="1:10" x14ac:dyDescent="0.25">
      <c r="A32" s="41">
        <f>I22</f>
        <v>1.1214936577242341E-7</v>
      </c>
      <c r="B32" s="5">
        <f>F22</f>
        <v>1.2325270335112538E-6</v>
      </c>
      <c r="C32" s="41">
        <f t="shared" ref="C32:G36" si="6">(C$31-$B32)/SQRT(C$30^2+$A32^2)</f>
        <v>0</v>
      </c>
      <c r="D32" s="41">
        <f t="shared" si="6"/>
        <v>-1.2325502339407262</v>
      </c>
      <c r="E32" s="41">
        <f t="shared" si="6"/>
        <v>-0.29230870761036515</v>
      </c>
      <c r="F32" s="41">
        <f t="shared" si="6"/>
        <v>0.52327760041531823</v>
      </c>
      <c r="G32" s="41">
        <f t="shared" si="6"/>
        <v>0.4121189528881864</v>
      </c>
    </row>
    <row r="33" spans="1:12" x14ac:dyDescent="0.25">
      <c r="A33" s="41">
        <f>I23</f>
        <v>1.1170028187813534E-7</v>
      </c>
      <c r="B33" s="5">
        <f>F23</f>
        <v>1.037431682886818E-6</v>
      </c>
      <c r="C33" s="41">
        <f t="shared" si="6"/>
        <v>1.2325502339407262</v>
      </c>
      <c r="D33" s="41">
        <f t="shared" si="6"/>
        <v>0</v>
      </c>
      <c r="E33" s="41">
        <f t="shared" si="6"/>
        <v>0.9404369278249054</v>
      </c>
      <c r="F33" s="41">
        <f t="shared" si="6"/>
        <v>1.7550691787818895</v>
      </c>
      <c r="G33" s="41">
        <f t="shared" si="6"/>
        <v>1.644120905465424</v>
      </c>
    </row>
    <row r="34" spans="1:12" x14ac:dyDescent="0.25">
      <c r="A34" s="41">
        <f>I24</f>
        <v>1.1200767542154752E-7</v>
      </c>
      <c r="B34" s="5">
        <f>F24</f>
        <v>1.1861952277313472E-6</v>
      </c>
      <c r="C34" s="41">
        <f t="shared" si="6"/>
        <v>0.29230870761036515</v>
      </c>
      <c r="D34" s="41">
        <f t="shared" si="6"/>
        <v>-0.9404369278249054</v>
      </c>
      <c r="E34" s="41">
        <f t="shared" si="6"/>
        <v>0</v>
      </c>
      <c r="F34" s="41">
        <f t="shared" si="6"/>
        <v>0.81548926306650482</v>
      </c>
      <c r="G34" s="41">
        <f t="shared" si="6"/>
        <v>0.70436291595304423</v>
      </c>
    </row>
    <row r="35" spans="1:12" x14ac:dyDescent="0.25">
      <c r="A35" s="41">
        <f>I25</f>
        <v>1.1247664590423448E-7</v>
      </c>
      <c r="B35" s="5">
        <f>F25</f>
        <v>1.3156416975690987E-6</v>
      </c>
      <c r="C35" s="41">
        <f t="shared" si="6"/>
        <v>-0.52327760041531823</v>
      </c>
      <c r="D35" s="41">
        <f t="shared" si="6"/>
        <v>-1.7550691787818895</v>
      </c>
      <c r="E35" s="41">
        <f t="shared" si="6"/>
        <v>-0.81548926306650482</v>
      </c>
      <c r="F35" s="41">
        <f t="shared" si="6"/>
        <v>0</v>
      </c>
      <c r="G35" s="41">
        <f t="shared" si="6"/>
        <v>-0.11117957436587445</v>
      </c>
    </row>
    <row r="36" spans="1:12" x14ac:dyDescent="0.25">
      <c r="A36" s="41">
        <f>I26</f>
        <v>1.1239825626731069E-7</v>
      </c>
      <c r="B36" s="5">
        <f>F26</f>
        <v>1.2979629691979083E-6</v>
      </c>
      <c r="C36" s="41">
        <f t="shared" si="6"/>
        <v>-0.4121189528881864</v>
      </c>
      <c r="D36" s="41">
        <f t="shared" si="6"/>
        <v>-1.644120905465424</v>
      </c>
      <c r="E36" s="41">
        <f t="shared" si="6"/>
        <v>-0.70436291595304423</v>
      </c>
      <c r="F36" s="41">
        <f t="shared" si="6"/>
        <v>0.11117957436587445</v>
      </c>
      <c r="G36" s="41">
        <f t="shared" si="6"/>
        <v>0</v>
      </c>
    </row>
    <row r="39" spans="1:12" x14ac:dyDescent="0.25">
      <c r="A39" s="41" t="s">
        <v>7</v>
      </c>
    </row>
    <row r="40" spans="1:12" x14ac:dyDescent="0.25">
      <c r="B40" s="41" t="s">
        <v>36</v>
      </c>
      <c r="C40" s="41" t="s">
        <v>27</v>
      </c>
      <c r="D40" s="41" t="s">
        <v>24</v>
      </c>
      <c r="E40" s="41" t="s">
        <v>29</v>
      </c>
      <c r="F40" s="41" t="s">
        <v>37</v>
      </c>
      <c r="G40" s="41" t="s">
        <v>39</v>
      </c>
      <c r="H40" s="41" t="s">
        <v>40</v>
      </c>
      <c r="I40" s="41" t="s">
        <v>41</v>
      </c>
      <c r="J40" s="41" t="s">
        <v>42</v>
      </c>
      <c r="K40" s="41" t="s">
        <v>2</v>
      </c>
      <c r="L40" s="41" t="s">
        <v>43</v>
      </c>
    </row>
    <row r="41" spans="1:12" x14ac:dyDescent="0.25">
      <c r="A41" s="46">
        <v>1</v>
      </c>
      <c r="B41" s="48">
        <v>32.01</v>
      </c>
      <c r="C41" s="41">
        <f>B41-B26</f>
        <v>0.61999999999999744</v>
      </c>
      <c r="D41" s="42">
        <f>$B$12/C41</f>
        <v>8.0645161290322917E-4</v>
      </c>
      <c r="E41" s="42">
        <f>SQRT(2)*D41*$B$13/C41</f>
        <v>4.5987693885701965E-4</v>
      </c>
      <c r="F41" s="42">
        <f>(4*PI()/3)*$F$27^3*($B$9-$B$8)*($B$6/$E$18)*(1+ABS(D41)/$D$27)</f>
        <v>8.4409452351177455E-18</v>
      </c>
      <c r="G41" s="42">
        <f>F41*3/$F$27</f>
        <v>2.0859837539415243E-11</v>
      </c>
      <c r="H41" s="42">
        <f>F41/$E$18</f>
        <v>2.0630336545041072E-22</v>
      </c>
      <c r="I41" s="41">
        <f>(4*PI()/3)*$F$27^3*($B$9-$B$8)*($B$6/$E$18)*(1/$D$27)</f>
        <v>9.5024778871554127E-15</v>
      </c>
      <c r="J41" s="42">
        <f>(4*PI()/3)*$F$27^3*($B$9-$B$8)*($B$6/$E$18)*(ABS(D41)/$D$27^2)</f>
        <v>9.364059805061984E-14</v>
      </c>
      <c r="K41" s="41">
        <f>SQRT(G41^2*$I$27^2+H41^2*$F$18^2+I41^2*E41^2+J41^2*$E$28^2)</f>
        <v>4.9708366618353498E-18</v>
      </c>
      <c r="L41" s="53">
        <f>K41/F41</f>
        <v>0.58889573660005035</v>
      </c>
    </row>
    <row r="42" spans="1:12" x14ac:dyDescent="0.25">
      <c r="A42" s="46">
        <v>2</v>
      </c>
      <c r="B42" s="48">
        <v>32.67</v>
      </c>
      <c r="C42" s="41">
        <f>B42-B41</f>
        <v>0.66000000000000369</v>
      </c>
      <c r="D42" s="42">
        <f t="shared" ref="D42:D45" si="7">$B$12/C42</f>
        <v>7.5757575757575335E-4</v>
      </c>
      <c r="E42" s="42">
        <f t="shared" ref="E42:E44" si="8">SQRT(2)*D42*$B$13/C42</f>
        <v>4.058234510942032E-4</v>
      </c>
      <c r="F42" s="42">
        <f t="shared" ref="F42:F45" si="9">(4*PI()/3)*$F$27^3*($B$9-$B$8)*($B$6/$E$18)*(1+ABS(D42)/$D$27)</f>
        <v>7.9765035006526003E-18</v>
      </c>
      <c r="G42" s="42">
        <f t="shared" ref="G42:G45" si="10">F42*3/$F$27</f>
        <v>1.9712077560217604E-11</v>
      </c>
      <c r="H42" s="42">
        <f t="shared" ref="H42:H45" si="11">F42/$E$18</f>
        <v>1.9495204279555537E-22</v>
      </c>
      <c r="I42" s="41">
        <f t="shared" ref="I42:I45" si="12">(4*PI()/3)*$F$27^3*($B$9-$B$8)*($B$6/$E$18)*(1/$D$27)</f>
        <v>9.5024778871554127E-15</v>
      </c>
      <c r="J42" s="42">
        <f t="shared" ref="J42:J45" si="13">(4*PI()/3)*$F$27^3*($B$9-$B$8)*($B$6/$E$18)*(ABS(D42)/$D$27^2)</f>
        <v>8.7965410289975357E-14</v>
      </c>
      <c r="K42" s="41">
        <f t="shared" ref="K42:K45" si="14">SQRT(G42^2*$I$27^2+H42^2*$F$18^2+I42^2*E42^2+J42^2*$E$28^2)</f>
        <v>4.4588924560035079E-18</v>
      </c>
      <c r="L42" s="53">
        <f t="shared" ref="L42:L45" si="15">K42/F42</f>
        <v>0.55900338483380618</v>
      </c>
    </row>
    <row r="43" spans="1:12" x14ac:dyDescent="0.25">
      <c r="A43" s="46">
        <v>3</v>
      </c>
      <c r="B43" s="48">
        <v>33.83</v>
      </c>
      <c r="C43" s="41">
        <f>B43-B42</f>
        <v>1.1599999999999966</v>
      </c>
      <c r="D43" s="42">
        <f t="shared" si="7"/>
        <v>4.3103448275862198E-4</v>
      </c>
      <c r="E43" s="42">
        <f t="shared" si="8"/>
        <v>1.3137388176028385E-4</v>
      </c>
      <c r="F43" s="42">
        <f t="shared" si="9"/>
        <v>4.8735522574592706E-18</v>
      </c>
      <c r="G43" s="42">
        <f t="shared" si="10"/>
        <v>1.2043853561269159E-11</v>
      </c>
      <c r="H43" s="42">
        <f t="shared" si="11"/>
        <v>1.1911346471356049E-22</v>
      </c>
      <c r="I43" s="41">
        <f t="shared" si="12"/>
        <v>9.5024778871554127E-15</v>
      </c>
      <c r="J43" s="42">
        <f t="shared" si="13"/>
        <v>5.0049285164986404E-14</v>
      </c>
      <c r="K43" s="41">
        <f t="shared" si="14"/>
        <v>1.8500636505657337E-18</v>
      </c>
      <c r="L43" s="53">
        <f t="shared" si="15"/>
        <v>0.37961297075128264</v>
      </c>
    </row>
    <row r="44" spans="1:12" x14ac:dyDescent="0.25">
      <c r="A44" s="46">
        <v>4</v>
      </c>
      <c r="B44" s="48">
        <v>34.770000000000003</v>
      </c>
      <c r="C44" s="41">
        <f>B44-B43</f>
        <v>0.94000000000000483</v>
      </c>
      <c r="D44" s="42">
        <f t="shared" si="7"/>
        <v>5.3191489361701857E-4</v>
      </c>
      <c r="E44" s="42">
        <f t="shared" si="8"/>
        <v>2.0006416398442179E-4</v>
      </c>
      <c r="F44" s="42">
        <f t="shared" si="9"/>
        <v>5.8321661308883369E-18</v>
      </c>
      <c r="G44" s="42">
        <f t="shared" si="10"/>
        <v>1.4412845315837859E-11</v>
      </c>
      <c r="H44" s="42">
        <f t="shared" si="11"/>
        <v>1.4254274458059326E-22</v>
      </c>
      <c r="I44" s="41">
        <f t="shared" si="12"/>
        <v>9.5024778871554127E-15</v>
      </c>
      <c r="J44" s="42">
        <f t="shared" si="13"/>
        <v>6.1762947650408256E-14</v>
      </c>
      <c r="K44" s="41">
        <f t="shared" si="14"/>
        <v>2.5075214934046786E-18</v>
      </c>
      <c r="L44" s="53">
        <f t="shared" si="15"/>
        <v>0.42994685630169815</v>
      </c>
    </row>
    <row r="45" spans="1:12" x14ac:dyDescent="0.25">
      <c r="A45" s="46">
        <v>5</v>
      </c>
      <c r="B45" s="48">
        <v>35.67</v>
      </c>
      <c r="C45" s="41">
        <f>B45-B44</f>
        <v>0.89999999999999858</v>
      </c>
      <c r="D45" s="42">
        <f t="shared" si="7"/>
        <v>5.5555555555555642E-4</v>
      </c>
      <c r="E45" s="42">
        <f>SQRT(2)*D45*$B$13/C45</f>
        <v>2.182428336995524E-4</v>
      </c>
      <c r="F45" s="42">
        <f t="shared" si="9"/>
        <v>6.0568109981970091E-18</v>
      </c>
      <c r="G45" s="42">
        <f t="shared" si="10"/>
        <v>1.4968002979534872E-11</v>
      </c>
      <c r="H45" s="42">
        <f t="shared" si="11"/>
        <v>1.4803324248882825E-22</v>
      </c>
      <c r="I45" s="41">
        <f t="shared" si="12"/>
        <v>9.5024778871554127E-15</v>
      </c>
      <c r="J45" s="42">
        <f t="shared" si="13"/>
        <v>6.4507967545982384E-14</v>
      </c>
      <c r="K45" s="41">
        <f t="shared" si="14"/>
        <v>2.6804817188435181E-18</v>
      </c>
      <c r="L45" s="53">
        <f t="shared" si="15"/>
        <v>0.44255660604919711</v>
      </c>
    </row>
    <row r="46" spans="1:12" x14ac:dyDescent="0.25">
      <c r="L46" s="53"/>
    </row>
    <row r="47" spans="1:12" x14ac:dyDescent="0.25">
      <c r="L47" s="53"/>
    </row>
    <row r="49" spans="1:12" x14ac:dyDescent="0.25">
      <c r="A49" s="41" t="s">
        <v>7</v>
      </c>
    </row>
    <row r="50" spans="1:12" x14ac:dyDescent="0.25">
      <c r="B50" s="41" t="s">
        <v>23</v>
      </c>
      <c r="C50" s="41" t="s">
        <v>27</v>
      </c>
      <c r="D50" s="41" t="s">
        <v>24</v>
      </c>
      <c r="E50" s="41" t="s">
        <v>29</v>
      </c>
      <c r="F50" s="41" t="s">
        <v>37</v>
      </c>
      <c r="G50" s="41" t="s">
        <v>39</v>
      </c>
      <c r="H50" s="41" t="s">
        <v>40</v>
      </c>
      <c r="I50" s="41" t="s">
        <v>41</v>
      </c>
      <c r="J50" s="41" t="s">
        <v>42</v>
      </c>
      <c r="K50" s="41" t="s">
        <v>2</v>
      </c>
      <c r="L50" s="41" t="s">
        <v>43</v>
      </c>
    </row>
    <row r="51" spans="1:12" x14ac:dyDescent="0.25">
      <c r="A51" s="46">
        <v>6</v>
      </c>
      <c r="B51" s="49">
        <v>36.54</v>
      </c>
      <c r="C51" s="41">
        <f>B51-B45</f>
        <v>0.86999999999999744</v>
      </c>
      <c r="D51" s="42">
        <f>$B$12/C51</f>
        <v>5.7471264367816265E-4</v>
      </c>
      <c r="E51" s="42">
        <f>SQRT(2)*D51*$B$13/C51</f>
        <v>2.3355356757383795E-4</v>
      </c>
      <c r="F51" s="42">
        <f>-(4*PI()/3)*$F$27^3*($B$9-$B$8)*($B$6/$E$18)*(1-ABS(D51)/$D$27)</f>
        <v>4.6835375715763744E-18</v>
      </c>
      <c r="G51" s="42">
        <f>F51*3/$F$27</f>
        <v>1.157427635549252E-11</v>
      </c>
      <c r="H51" s="42">
        <f>F51/$E$18</f>
        <v>1.1446935577898837E-22</v>
      </c>
      <c r="I51" s="41">
        <f>-(4*PI()/3)*$F$27^3*($B$9-$B$8)*($B$6/$E$18)*(-1/$D$27)</f>
        <v>9.5024778871554127E-15</v>
      </c>
      <c r="J51" s="42">
        <f>-(4*PI()/3)*$F$27^3*($B$9-$B$8)*($B$6/$E$18)*(-ABS(D51)/$D$27^2)</f>
        <v>6.6732380219981876E-14</v>
      </c>
      <c r="K51" s="41">
        <f>SQRT(G51^2*$I$27^2+H51^2*$F$18^2+I51^2*E51^2+J51^2*$E$28^2)</f>
        <v>2.584859070305887E-18</v>
      </c>
      <c r="L51" s="53">
        <f>K51/F51</f>
        <v>0.55190313535498792</v>
      </c>
    </row>
    <row r="52" spans="1:12" x14ac:dyDescent="0.25">
      <c r="A52" s="46">
        <v>7</v>
      </c>
      <c r="B52" s="49">
        <v>37.47</v>
      </c>
      <c r="C52" s="41">
        <f>B52-B51</f>
        <v>0.92999999999999972</v>
      </c>
      <c r="D52" s="42">
        <f t="shared" ref="D52:D55" si="16">$B$12/C52</f>
        <v>5.3763440860215075E-4</v>
      </c>
      <c r="E52" s="42">
        <f t="shared" ref="E52:E54" si="17">SQRT(2)*D52*$B$13/C52</f>
        <v>2.0438975060311831E-4</v>
      </c>
      <c r="F52" s="42">
        <f t="shared" ref="F52:F55" si="18">-(4*PI()/3)*$F$27^3*($B$9-$B$8)*($B$6/$E$18)*(1-ABS(D52)/$D$27)</f>
        <v>4.3312024626718215E-18</v>
      </c>
      <c r="G52" s="42">
        <f t="shared" ref="G52:G55" si="19">F52*3/$F$27</f>
        <v>1.0703561888515098E-11</v>
      </c>
      <c r="H52" s="42">
        <f t="shared" ref="H52:H55" si="20">F52/$E$18</f>
        <v>1.058580075580646E-22</v>
      </c>
      <c r="I52" s="41">
        <f t="shared" ref="I52:I55" si="21">-(4*PI()/3)*$F$27^3*($B$9-$B$8)*($B$6/$E$18)*(-1/$D$27)</f>
        <v>9.5024778871554127E-15</v>
      </c>
      <c r="J52" s="42">
        <f t="shared" ref="J52:J55" si="22">-(4*PI()/3)*$F$27^3*($B$9-$B$8)*($B$6/$E$18)*(-ABS(D52)/$D$27^2)</f>
        <v>6.2427065367079658E-14</v>
      </c>
      <c r="K52" s="41">
        <f t="shared" ref="K52:K55" si="23">SQRT(G52^2*$I$27^2+H52^2*$F$18^2+I52^2*E52^2+J52^2*$E$28^2)</f>
        <v>2.2968163333129789E-18</v>
      </c>
      <c r="L52" s="53">
        <f t="shared" ref="L52:L55" si="24">K52/F52</f>
        <v>0.53029530554342286</v>
      </c>
    </row>
    <row r="53" spans="1:12" x14ac:dyDescent="0.25">
      <c r="A53" s="46">
        <v>8</v>
      </c>
      <c r="B53" s="49">
        <v>38.14</v>
      </c>
      <c r="C53" s="41">
        <f>B53-B52</f>
        <v>0.67000000000000171</v>
      </c>
      <c r="D53" s="42">
        <f t="shared" si="16"/>
        <v>7.4626865671641607E-4</v>
      </c>
      <c r="E53" s="42">
        <f t="shared" si="17"/>
        <v>3.9379972220235246E-4</v>
      </c>
      <c r="F53" s="42">
        <f t="shared" si="18"/>
        <v>6.3137447918809242E-18</v>
      </c>
      <c r="G53" s="42">
        <f t="shared" si="19"/>
        <v>1.5602955232551987E-11</v>
      </c>
      <c r="H53" s="42">
        <f t="shared" si="20"/>
        <v>1.5431290724893184E-22</v>
      </c>
      <c r="I53" s="41">
        <f t="shared" si="21"/>
        <v>9.5024778871554127E-15</v>
      </c>
      <c r="J53" s="42">
        <f t="shared" si="22"/>
        <v>8.6652493718483444E-14</v>
      </c>
      <c r="K53" s="41">
        <f t="shared" si="23"/>
        <v>4.1454786129422201E-18</v>
      </c>
      <c r="L53" s="53">
        <f t="shared" si="24"/>
        <v>0.65658000910537961</v>
      </c>
    </row>
    <row r="54" spans="1:12" x14ac:dyDescent="0.25">
      <c r="A54" s="46">
        <v>9</v>
      </c>
      <c r="B54" s="49">
        <v>38.700000000000003</v>
      </c>
      <c r="C54" s="41">
        <f>B54-B53</f>
        <v>0.56000000000000227</v>
      </c>
      <c r="D54" s="42">
        <f t="shared" si="16"/>
        <v>8.9285714285713925E-4</v>
      </c>
      <c r="E54" s="42">
        <f t="shared" si="17"/>
        <v>5.6370119673672023E-4</v>
      </c>
      <c r="F54" s="42">
        <f t="shared" si="18"/>
        <v>7.7066986399447327E-18</v>
      </c>
      <c r="G54" s="42">
        <f t="shared" si="19"/>
        <v>1.9045317451610861E-11</v>
      </c>
      <c r="H54" s="42">
        <f t="shared" si="20"/>
        <v>1.8835779899601768E-22</v>
      </c>
      <c r="I54" s="41">
        <f t="shared" si="21"/>
        <v>9.5024778871554127E-15</v>
      </c>
      <c r="J54" s="42">
        <f t="shared" si="22"/>
        <v>1.0367351927032826E-13</v>
      </c>
      <c r="K54" s="41">
        <f t="shared" si="23"/>
        <v>5.7815591076404936E-18</v>
      </c>
      <c r="L54" s="53">
        <f t="shared" si="24"/>
        <v>0.75019919394200618</v>
      </c>
    </row>
    <row r="55" spans="1:12" x14ac:dyDescent="0.25">
      <c r="A55" s="46">
        <v>10</v>
      </c>
      <c r="B55" s="49">
        <v>39.35</v>
      </c>
      <c r="C55" s="41">
        <f>B55-B54</f>
        <v>0.64999999999999858</v>
      </c>
      <c r="D55" s="42">
        <f t="shared" si="16"/>
        <v>7.6923076923077096E-4</v>
      </c>
      <c r="E55" s="42">
        <f>SQRT(2)*D55*$B$13/C55</f>
        <v>4.1840637940032585E-4</v>
      </c>
      <c r="F55" s="42">
        <f t="shared" si="18"/>
        <v>6.5319417582909558E-18</v>
      </c>
      <c r="G55" s="42">
        <f t="shared" si="19"/>
        <v>1.6142178405327734E-11</v>
      </c>
      <c r="H55" s="42">
        <f t="shared" si="20"/>
        <v>1.5964581336875596E-22</v>
      </c>
      <c r="I55" s="41">
        <f t="shared" si="21"/>
        <v>9.5024778871554127E-15</v>
      </c>
      <c r="J55" s="42">
        <f t="shared" si="22"/>
        <v>8.9318724294437203E-14</v>
      </c>
      <c r="K55" s="41">
        <f t="shared" si="23"/>
        <v>4.3831980746175181E-18</v>
      </c>
      <c r="L55" s="53">
        <f t="shared" si="24"/>
        <v>0.67104059356529777</v>
      </c>
    </row>
    <row r="56" spans="1:12" x14ac:dyDescent="0.25">
      <c r="L56" s="53"/>
    </row>
    <row r="57" spans="1:12" x14ac:dyDescent="0.25">
      <c r="L57" s="53"/>
    </row>
    <row r="59" spans="1:12" x14ac:dyDescent="0.25">
      <c r="B59" s="41" t="s">
        <v>38</v>
      </c>
    </row>
    <row r="60" spans="1:12" x14ac:dyDescent="0.25">
      <c r="A60" s="42"/>
      <c r="B60" s="41" t="s">
        <v>44</v>
      </c>
      <c r="C60" s="41" t="s">
        <v>45</v>
      </c>
    </row>
    <row r="61" spans="1:12" x14ac:dyDescent="0.25">
      <c r="A61" s="41">
        <v>1</v>
      </c>
      <c r="B61" s="42">
        <f>F41</f>
        <v>8.4409452351177455E-18</v>
      </c>
      <c r="C61" s="41">
        <f>K41</f>
        <v>4.9708366618353498E-18</v>
      </c>
    </row>
    <row r="62" spans="1:12" x14ac:dyDescent="0.25">
      <c r="A62" s="41">
        <v>2</v>
      </c>
      <c r="B62" s="42">
        <f t="shared" ref="B62:B65" si="25">F42</f>
        <v>7.9765035006526003E-18</v>
      </c>
      <c r="C62" s="41">
        <f t="shared" ref="C62:C65" si="26">K42</f>
        <v>4.4588924560035079E-18</v>
      </c>
    </row>
    <row r="63" spans="1:12" x14ac:dyDescent="0.25">
      <c r="A63" s="41">
        <v>3</v>
      </c>
      <c r="B63" s="42">
        <f t="shared" si="25"/>
        <v>4.8735522574592706E-18</v>
      </c>
      <c r="C63" s="41">
        <f t="shared" si="26"/>
        <v>1.8500636505657337E-18</v>
      </c>
    </row>
    <row r="64" spans="1:12" x14ac:dyDescent="0.25">
      <c r="A64" s="41">
        <v>4</v>
      </c>
      <c r="B64" s="42">
        <f t="shared" si="25"/>
        <v>5.8321661308883369E-18</v>
      </c>
      <c r="C64" s="41">
        <f t="shared" si="26"/>
        <v>2.5075214934046786E-18</v>
      </c>
    </row>
    <row r="65" spans="1:3" x14ac:dyDescent="0.25">
      <c r="A65" s="41">
        <v>5</v>
      </c>
      <c r="B65" s="42">
        <f t="shared" si="25"/>
        <v>6.0568109981970091E-18</v>
      </c>
      <c r="C65" s="41">
        <f t="shared" si="26"/>
        <v>2.6804817188435181E-18</v>
      </c>
    </row>
    <row r="66" spans="1:3" x14ac:dyDescent="0.25">
      <c r="A66" s="41">
        <v>6</v>
      </c>
      <c r="B66" s="42">
        <f>F51</f>
        <v>4.6835375715763744E-18</v>
      </c>
      <c r="C66" s="41">
        <f>K51</f>
        <v>2.584859070305887E-18</v>
      </c>
    </row>
    <row r="67" spans="1:3" x14ac:dyDescent="0.25">
      <c r="A67" s="41">
        <v>7</v>
      </c>
      <c r="B67" s="42">
        <f t="shared" ref="B67:B70" si="27">F52</f>
        <v>4.3312024626718215E-18</v>
      </c>
      <c r="C67" s="41">
        <f t="shared" ref="C67:C70" si="28">K52</f>
        <v>2.2968163333129789E-18</v>
      </c>
    </row>
    <row r="68" spans="1:3" x14ac:dyDescent="0.25">
      <c r="A68" s="41">
        <v>8</v>
      </c>
      <c r="B68" s="42">
        <f t="shared" si="27"/>
        <v>6.3137447918809242E-18</v>
      </c>
      <c r="C68" s="41">
        <f t="shared" si="28"/>
        <v>4.1454786129422201E-18</v>
      </c>
    </row>
    <row r="69" spans="1:3" x14ac:dyDescent="0.25">
      <c r="A69" s="41">
        <v>9</v>
      </c>
      <c r="B69" s="42">
        <f t="shared" si="27"/>
        <v>7.7066986399447327E-18</v>
      </c>
      <c r="C69" s="41">
        <f t="shared" si="28"/>
        <v>5.7815591076404936E-18</v>
      </c>
    </row>
    <row r="70" spans="1:3" x14ac:dyDescent="0.25">
      <c r="A70" s="41">
        <v>10</v>
      </c>
      <c r="B70" s="42">
        <f t="shared" si="27"/>
        <v>6.5319417582909558E-18</v>
      </c>
      <c r="C70" s="41">
        <f t="shared" si="28"/>
        <v>4.3831980746175181E-18</v>
      </c>
    </row>
  </sheetData>
  <mergeCells count="2">
    <mergeCell ref="A1:C2"/>
    <mergeCell ref="A14:C15"/>
  </mergeCells>
  <conditionalFormatting sqref="C32:G36">
    <cfRule type="cellIs" dxfId="53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5EAC3753-4C38-4E43-BF92-0AC06B4473A6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3A84EC04-7522-43C2-9ACE-A06C4C74CF40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3" workbookViewId="0">
      <selection activeCell="F42" sqref="F42:F45"/>
    </sheetView>
  </sheetViews>
  <sheetFormatPr defaultRowHeight="15" x14ac:dyDescent="0.25"/>
  <cols>
    <col min="1" max="1" width="13.140625" style="49" customWidth="1"/>
    <col min="2" max="2" width="9.140625" style="49"/>
    <col min="3" max="5" width="12" style="49" customWidth="1"/>
    <col min="6" max="7" width="12.140625" style="49" customWidth="1"/>
    <col min="8" max="9" width="12" style="49" customWidth="1"/>
    <col min="10" max="10" width="9.140625" style="49"/>
    <col min="11" max="11" width="12" style="49" customWidth="1"/>
    <col min="12" max="16384" width="9.140625" style="49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49" t="s">
        <v>1</v>
      </c>
      <c r="C4" s="49" t="s">
        <v>2</v>
      </c>
    </row>
    <row r="5" spans="1:5" x14ac:dyDescent="0.25">
      <c r="A5" s="49" t="str">
        <f>[1]Dati!A5</f>
        <v>d</v>
      </c>
      <c r="B5" s="50">
        <f>Dati!B5</f>
        <v>7.4300000000000008E-3</v>
      </c>
      <c r="C5" s="179">
        <f>Dati!C5</f>
        <v>1.0000000000000001E-5</v>
      </c>
    </row>
    <row r="6" spans="1:5" x14ac:dyDescent="0.25">
      <c r="A6" s="49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49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49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49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49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49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49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49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52"/>
    </row>
    <row r="15" spans="1:5" x14ac:dyDescent="0.25">
      <c r="A15" s="193"/>
      <c r="B15" s="193"/>
      <c r="C15" s="193"/>
      <c r="D15" s="52"/>
    </row>
    <row r="16" spans="1:5" x14ac:dyDescent="0.25">
      <c r="A16" s="49" t="s">
        <v>18</v>
      </c>
      <c r="B16" s="49">
        <v>304</v>
      </c>
      <c r="C16" s="49">
        <f>B16/100</f>
        <v>3.04</v>
      </c>
      <c r="D16" s="49" t="s">
        <v>19</v>
      </c>
      <c r="E16" s="49">
        <f>(1.8+(B18-15)*0.004765)*0.00001</f>
        <v>1.8262075000000001E-5</v>
      </c>
    </row>
    <row r="17" spans="1:10" x14ac:dyDescent="0.25">
      <c r="A17" s="49" t="s">
        <v>20</v>
      </c>
      <c r="E17" s="51"/>
    </row>
    <row r="18" spans="1:10" x14ac:dyDescent="0.25">
      <c r="A18" s="49" t="s">
        <v>21</v>
      </c>
      <c r="B18" s="49">
        <v>20.5</v>
      </c>
      <c r="C18" s="49">
        <v>0.5</v>
      </c>
      <c r="D18" s="49" t="s">
        <v>22</v>
      </c>
      <c r="E18" s="50">
        <f>B16/B5</f>
        <v>40915.208613728122</v>
      </c>
      <c r="F18" s="49">
        <f>SQRT((C16/B5)^2+(B16*C5/B5^2)^2)</f>
        <v>412.84121337929804</v>
      </c>
      <c r="G18" s="50"/>
    </row>
    <row r="21" spans="1:10" x14ac:dyDescent="0.25">
      <c r="B21" s="49" t="s">
        <v>23</v>
      </c>
      <c r="C21" s="49" t="s">
        <v>27</v>
      </c>
      <c r="D21" s="49" t="s">
        <v>24</v>
      </c>
      <c r="E21" s="49" t="s">
        <v>29</v>
      </c>
      <c r="F21" s="49" t="s">
        <v>25</v>
      </c>
      <c r="G21" s="49" t="s">
        <v>26</v>
      </c>
      <c r="H21" s="49" t="s">
        <v>28</v>
      </c>
      <c r="I21" s="49" t="s">
        <v>31</v>
      </c>
      <c r="J21" s="49" t="s">
        <v>32</v>
      </c>
    </row>
    <row r="22" spans="1:10" x14ac:dyDescent="0.25">
      <c r="A22" s="49">
        <v>1</v>
      </c>
      <c r="B22" s="55">
        <v>2.71</v>
      </c>
      <c r="C22" s="49">
        <f>B22</f>
        <v>2.71</v>
      </c>
      <c r="D22" s="50">
        <f>B12/B22</f>
        <v>1.8450184501845018E-4</v>
      </c>
      <c r="E22" s="50">
        <f>SQRT(2)*D22*$B$13/C22</f>
        <v>2.4070573017338665E-5</v>
      </c>
      <c r="F22" s="5">
        <f>(($B$10/(2*$B$7))^2+9*$E$16*D22/(2*$B$6*($B$9-$B$8)))^(1/2)-$B$10/(2*$B$7)</f>
        <v>1.8496646167097626E-6</v>
      </c>
      <c r="G22" s="49">
        <f>(($B$10/(2*$B$7))^2+9*$E$16*D22/(2*$B$6*($B$9-$B$8)))^(-1/2)*(9*$E$16)/(4*$B$6*$B$9)</f>
        <v>1.7145529526415646E-3</v>
      </c>
      <c r="H22" s="49">
        <f>(($B$10/(2*$B$7))^2+9*$E$16*D22/(2*$B$6*($B$9-$B$8)))^(-1/2)*((9*D22)/(4*$B$6*$B$9))*0.00000004765</f>
        <v>8.2539987525082094E-10</v>
      </c>
      <c r="I22" s="49">
        <f>SQRT(G22^2*E22^2+H22^2*$C$18^2+$F$28^2)</f>
        <v>9.6206592716049875E-8</v>
      </c>
      <c r="J22" s="50">
        <f>I22/F22</f>
        <v>5.201299297555087E-2</v>
      </c>
    </row>
    <row r="23" spans="1:10" x14ac:dyDescent="0.25">
      <c r="A23" s="49">
        <v>2</v>
      </c>
      <c r="B23" s="55">
        <v>5.33</v>
      </c>
      <c r="C23" s="49">
        <f>B23-B22</f>
        <v>2.62</v>
      </c>
      <c r="D23" s="50">
        <f>$B$12/(B23-B22)</f>
        <v>1.9083969465648855E-4</v>
      </c>
      <c r="E23" s="50">
        <f t="shared" ref="E23:E25" si="0">SQRT(2)*D23*$B$13/C23</f>
        <v>2.5752679811292596E-5</v>
      </c>
      <c r="F23" s="5">
        <f>(($B$10/(2*$B$7))^2+9*E16*D23/(2*$B$6*($B$9-$B$8)))^(1/2)-$B$10/(2*$B$7)</f>
        <v>1.8818399199086484E-6</v>
      </c>
      <c r="G23" s="49">
        <f t="shared" ref="G23:G27" si="1">(($B$10/(2*$B$7))^2+9*$E$16*D23/(2*$B$6*($B$9-$B$8)))^(-1/2)*(9*$E$16)/(4*$B$6*$B$9)</f>
        <v>1.6858549591961935E-3</v>
      </c>
      <c r="H23" s="49">
        <f t="shared" ref="H23:H27" si="2">(($B$10/(2*$B$7))^2+9*$E$16*D23/(2*$B$6*($B$9-$B$8)))^(-1/2)*((9*D23)/(4*$B$6*$B$9))*0.00000004765</f>
        <v>8.3946327978246302E-10</v>
      </c>
      <c r="I23" s="49">
        <f t="shared" ref="I23:I27" si="3">SQRT(G23^2*E23^2+H23^2*$C$18^2+$F$28^2)</f>
        <v>9.7146105309874641E-8</v>
      </c>
      <c r="J23" s="50">
        <f t="shared" ref="J23:J27" si="4">I23/F23</f>
        <v>5.1622937892926872E-2</v>
      </c>
    </row>
    <row r="24" spans="1:10" x14ac:dyDescent="0.25">
      <c r="A24" s="49">
        <v>3</v>
      </c>
      <c r="B24" s="55">
        <v>7.49</v>
      </c>
      <c r="C24" s="49">
        <f t="shared" ref="C24:C26" si="5">B24-B23</f>
        <v>2.16</v>
      </c>
      <c r="D24" s="50">
        <f>$B$12/(B24-B23)</f>
        <v>2.3148148148148146E-4</v>
      </c>
      <c r="E24" s="50">
        <f t="shared" si="0"/>
        <v>3.788938085061661E-5</v>
      </c>
      <c r="F24" s="5">
        <f>(($B$10/(2*$B$7))^2+9*E16*D24/(2*$B$6*($B$9-$B$8)))^(1/2)-$B$10/(2*$B$7)</f>
        <v>2.0765753241791327E-6</v>
      </c>
      <c r="G24" s="49">
        <f t="shared" si="1"/>
        <v>1.530781944764376E-3</v>
      </c>
      <c r="H24" s="49">
        <f t="shared" si="2"/>
        <v>9.2457547074031983E-10</v>
      </c>
      <c r="I24" s="49">
        <f t="shared" si="3"/>
        <v>1.0448234591957182E-7</v>
      </c>
      <c r="J24" s="50">
        <f t="shared" si="4"/>
        <v>5.0314739226169677E-2</v>
      </c>
    </row>
    <row r="25" spans="1:10" x14ac:dyDescent="0.25">
      <c r="A25" s="49">
        <v>4</v>
      </c>
      <c r="B25" s="55">
        <v>9.98</v>
      </c>
      <c r="C25" s="49">
        <f t="shared" si="5"/>
        <v>2.4900000000000002</v>
      </c>
      <c r="D25" s="50">
        <f>$B$12/(B25-B24)</f>
        <v>2.008032128514056E-4</v>
      </c>
      <c r="E25" s="50">
        <f t="shared" si="0"/>
        <v>2.8511910339613372E-5</v>
      </c>
      <c r="F25" s="5">
        <f>(($B$10/(2*$B$7))^2+9*E16*D25/(2*$B$6*($B$9-$B$8)))^(1/2)-$B$10/(2*$B$7)</f>
        <v>1.9313604559103911E-6</v>
      </c>
      <c r="G25" s="49">
        <f t="shared" si="1"/>
        <v>1.6435162778117847E-3</v>
      </c>
      <c r="H25" s="49">
        <f t="shared" si="2"/>
        <v>8.611076549547484E-10</v>
      </c>
      <c r="I25" s="49">
        <f t="shared" si="3"/>
        <v>9.8733621352501646E-8</v>
      </c>
      <c r="J25" s="50">
        <f t="shared" si="4"/>
        <v>5.1121281400556218E-2</v>
      </c>
    </row>
    <row r="26" spans="1:10" x14ac:dyDescent="0.25">
      <c r="A26" s="49">
        <v>5</v>
      </c>
      <c r="B26" s="55">
        <v>12.48</v>
      </c>
      <c r="C26" s="49">
        <f t="shared" si="5"/>
        <v>2.5</v>
      </c>
      <c r="D26" s="50">
        <f>$B$12/(B26-B25)</f>
        <v>2.0000000000000001E-4</v>
      </c>
      <c r="E26" s="50">
        <f>SQRT(2)*D26*$B$13/C26</f>
        <v>2.8284271247461902E-5</v>
      </c>
      <c r="F26" s="5">
        <f>(($B$10/(2*$B$7))^2+9*E16*D26/(2*$B$6*($B$9-$B$8)))^(1/2)-$B$10/(2*$B$7)</f>
        <v>1.9274145197851756E-6</v>
      </c>
      <c r="G26" s="49">
        <f t="shared" si="1"/>
        <v>1.6468118118953955E-3</v>
      </c>
      <c r="H26" s="49">
        <f t="shared" si="2"/>
        <v>8.5938298727626078E-10</v>
      </c>
      <c r="I26" s="49">
        <f t="shared" si="3"/>
        <v>9.8600602211483847E-8</v>
      </c>
      <c r="J26" s="50">
        <f t="shared" si="4"/>
        <v>5.1156926130489874E-2</v>
      </c>
    </row>
    <row r="27" spans="1:10" x14ac:dyDescent="0.25">
      <c r="A27" s="7" t="s">
        <v>34</v>
      </c>
      <c r="B27" s="7"/>
      <c r="C27" s="7">
        <f>AVERAGE(C22:C26)</f>
        <v>2.496</v>
      </c>
      <c r="D27" s="7">
        <f>AVERAGE(D22:D26)</f>
        <v>2.0152524680156517E-4</v>
      </c>
      <c r="E27" s="8">
        <f>SQRT(2)*D27*$B$13/C27</f>
        <v>2.8545646753541532E-5</v>
      </c>
      <c r="F27" s="9">
        <f>AVERAGE(F22:F26)</f>
        <v>1.9333709672986221E-6</v>
      </c>
      <c r="G27" s="7">
        <f t="shared" si="1"/>
        <v>1.6405706405588595E-3</v>
      </c>
      <c r="H27" s="7">
        <f t="shared" si="2"/>
        <v>8.6265507145827274E-10</v>
      </c>
      <c r="I27" s="7">
        <f t="shared" si="3"/>
        <v>9.8720035750126126E-8</v>
      </c>
      <c r="J27" s="8">
        <f t="shared" si="4"/>
        <v>5.1061093509675193E-2</v>
      </c>
    </row>
    <row r="28" spans="1:10" x14ac:dyDescent="0.25">
      <c r="A28" s="49" t="s">
        <v>35</v>
      </c>
      <c r="C28" s="6">
        <f>_xlfn.STDEV.S(C22:C26)</f>
        <v>0.20863844324572589</v>
      </c>
      <c r="D28" s="50">
        <f>_xlfn.STDEV.S(D22:D26)</f>
        <v>1.8056861160952099E-5</v>
      </c>
      <c r="E28" s="8">
        <f>SQRT(2)*D28*$B$13/C28</f>
        <v>3.0598696901738866E-5</v>
      </c>
      <c r="F28" s="50">
        <f>_xlfn.STDEV.S(F22:F26)</f>
        <v>8.6903986137857984E-8</v>
      </c>
    </row>
    <row r="30" spans="1:10" x14ac:dyDescent="0.25">
      <c r="A30" s="49" t="s">
        <v>31</v>
      </c>
      <c r="C30" s="49">
        <f t="array" ref="C30:G31">TRANSPOSE(A32:B36)</f>
        <v>9.6206592716049875E-8</v>
      </c>
      <c r="D30" s="49">
        <v>9.7146105309874641E-8</v>
      </c>
      <c r="E30" s="49">
        <v>1.0448234591957182E-7</v>
      </c>
      <c r="F30" s="49">
        <v>9.8733621352501646E-8</v>
      </c>
      <c r="G30" s="49">
        <v>9.8600602211483847E-8</v>
      </c>
    </row>
    <row r="31" spans="1:10" x14ac:dyDescent="0.25">
      <c r="B31" s="49" t="s">
        <v>25</v>
      </c>
      <c r="C31" s="49">
        <v>1.8496646167097626E-6</v>
      </c>
      <c r="D31" s="49">
        <v>1.8818399199086484E-6</v>
      </c>
      <c r="E31" s="49">
        <v>2.0765753241791327E-6</v>
      </c>
      <c r="F31" s="49">
        <v>1.9313604559103911E-6</v>
      </c>
      <c r="G31" s="49">
        <v>1.9274145197851756E-6</v>
      </c>
    </row>
    <row r="32" spans="1:10" x14ac:dyDescent="0.25">
      <c r="A32" s="49">
        <f>I22</f>
        <v>9.6206592716049875E-8</v>
      </c>
      <c r="B32" s="5">
        <f>F22</f>
        <v>1.8496646167097626E-6</v>
      </c>
      <c r="C32" s="49">
        <f t="shared" ref="C32:G36" si="6">(C$31-$B32)/SQRT(C$30^2+$A32^2)</f>
        <v>0</v>
      </c>
      <c r="D32" s="49">
        <f t="shared" si="6"/>
        <v>0.23533270267555992</v>
      </c>
      <c r="E32" s="49">
        <f t="shared" si="6"/>
        <v>1.5976351737005157</v>
      </c>
      <c r="F32" s="49">
        <f t="shared" si="6"/>
        <v>0.59262096419770238</v>
      </c>
      <c r="G32" s="49">
        <f t="shared" si="6"/>
        <v>0.56438708819141803</v>
      </c>
    </row>
    <row r="33" spans="1:12" x14ac:dyDescent="0.25">
      <c r="A33" s="49">
        <f>I23</f>
        <v>9.7146105309874641E-8</v>
      </c>
      <c r="B33" s="5">
        <f>F23</f>
        <v>1.8818399199086484E-6</v>
      </c>
      <c r="C33" s="49">
        <f t="shared" si="6"/>
        <v>-0.23533270267555992</v>
      </c>
      <c r="D33" s="49">
        <f t="shared" si="6"/>
        <v>0</v>
      </c>
      <c r="E33" s="49">
        <f t="shared" si="6"/>
        <v>1.3649628039865334</v>
      </c>
      <c r="F33" s="49">
        <f t="shared" si="6"/>
        <v>0.35751690559009736</v>
      </c>
      <c r="G33" s="49">
        <f t="shared" si="6"/>
        <v>0.32925426360378257</v>
      </c>
    </row>
    <row r="34" spans="1:12" x14ac:dyDescent="0.25">
      <c r="A34" s="49">
        <f>I24</f>
        <v>1.0448234591957182E-7</v>
      </c>
      <c r="B34" s="5">
        <f>F24</f>
        <v>2.0765753241791327E-6</v>
      </c>
      <c r="C34" s="49">
        <f t="shared" si="6"/>
        <v>-1.5976351737005157</v>
      </c>
      <c r="D34" s="49">
        <f t="shared" si="6"/>
        <v>-1.3649628039865334</v>
      </c>
      <c r="E34" s="49">
        <f t="shared" si="6"/>
        <v>0</v>
      </c>
      <c r="F34" s="49">
        <f t="shared" si="6"/>
        <v>-1.0101701961999623</v>
      </c>
      <c r="G34" s="49">
        <f t="shared" si="6"/>
        <v>-1.0382792759413728</v>
      </c>
    </row>
    <row r="35" spans="1:12" x14ac:dyDescent="0.25">
      <c r="A35" s="49">
        <f>I25</f>
        <v>9.8733621352501646E-8</v>
      </c>
      <c r="B35" s="5">
        <f>F25</f>
        <v>1.9313604559103911E-6</v>
      </c>
      <c r="C35" s="49">
        <f t="shared" si="6"/>
        <v>-0.59262096419770238</v>
      </c>
      <c r="D35" s="49">
        <f t="shared" si="6"/>
        <v>-0.35751690559009736</v>
      </c>
      <c r="E35" s="49">
        <f t="shared" si="6"/>
        <v>1.0101701961999623</v>
      </c>
      <c r="F35" s="49">
        <f t="shared" si="6"/>
        <v>0</v>
      </c>
      <c r="G35" s="49">
        <f t="shared" si="6"/>
        <v>-2.8278901732957516E-2</v>
      </c>
    </row>
    <row r="36" spans="1:12" x14ac:dyDescent="0.25">
      <c r="A36" s="49">
        <f>I26</f>
        <v>9.8600602211483847E-8</v>
      </c>
      <c r="B36" s="5">
        <f>F26</f>
        <v>1.9274145197851756E-6</v>
      </c>
      <c r="C36" s="49">
        <f t="shared" si="6"/>
        <v>-0.56438708819141803</v>
      </c>
      <c r="D36" s="49">
        <f t="shared" si="6"/>
        <v>-0.32925426360378257</v>
      </c>
      <c r="E36" s="49">
        <f t="shared" si="6"/>
        <v>1.0382792759413728</v>
      </c>
      <c r="F36" s="49">
        <f t="shared" si="6"/>
        <v>2.8278901732957516E-2</v>
      </c>
      <c r="G36" s="49">
        <f t="shared" si="6"/>
        <v>0</v>
      </c>
    </row>
    <row r="39" spans="1:12" x14ac:dyDescent="0.25">
      <c r="A39" s="49" t="s">
        <v>7</v>
      </c>
    </row>
    <row r="40" spans="1:12" x14ac:dyDescent="0.25">
      <c r="B40" s="49" t="s">
        <v>36</v>
      </c>
      <c r="C40" s="49" t="s">
        <v>27</v>
      </c>
      <c r="D40" s="49" t="s">
        <v>24</v>
      </c>
      <c r="E40" s="49" t="s">
        <v>29</v>
      </c>
      <c r="F40" s="49" t="s">
        <v>37</v>
      </c>
      <c r="G40" s="49" t="s">
        <v>39</v>
      </c>
      <c r="H40" s="49" t="s">
        <v>40</v>
      </c>
      <c r="I40" s="49" t="s">
        <v>41</v>
      </c>
      <c r="J40" s="49" t="s">
        <v>42</v>
      </c>
      <c r="K40" s="49" t="s">
        <v>2</v>
      </c>
      <c r="L40" s="49" t="s">
        <v>43</v>
      </c>
    </row>
    <row r="41" spans="1:12" x14ac:dyDescent="0.25">
      <c r="A41" s="54">
        <v>1</v>
      </c>
      <c r="B41" s="56">
        <v>13.04</v>
      </c>
      <c r="C41" s="49">
        <f>B41-B26</f>
        <v>0.55999999999999872</v>
      </c>
      <c r="D41" s="50">
        <f>$B$12/C41</f>
        <v>8.9285714285714489E-4</v>
      </c>
      <c r="E41" s="50">
        <f>SQRT(2)*D41*$B$13/C41</f>
        <v>5.6370119673672739E-4</v>
      </c>
      <c r="F41" s="50">
        <f>(4*PI()/3)*$F$27^3*($B$9-$B$8)*($B$6/$E$18)*(1+ABS(D41)/$D$27)</f>
        <v>1.7059599726032109E-17</v>
      </c>
      <c r="G41" s="50">
        <f>F41*3/$F$27</f>
        <v>2.6471277392566442E-11</v>
      </c>
      <c r="H41" s="50">
        <f>F41/$E$18</f>
        <v>4.1695008540927168E-22</v>
      </c>
      <c r="I41" s="49">
        <f>(4*PI()/3)*$F$27^3*($B$9-$B$8)*($B$6/$E$18)*(1/$D$27)</f>
        <v>1.5588335381888091E-14</v>
      </c>
      <c r="J41" s="50">
        <f>(4*PI()/3)*$F$27^3*($B$9-$B$8)*($B$6/$E$18)*(ABS(D41)/$D$27^2)</f>
        <v>6.9064084088065952E-14</v>
      </c>
      <c r="K41" s="49">
        <f>SQRT(G41^2*$I$27^2+H41^2*$F$18^2+I41^2*E41^2+J41^2*$E$28^2)</f>
        <v>9.409507702985663E-18</v>
      </c>
      <c r="L41" s="53">
        <f>K41/F41</f>
        <v>0.55156673392677658</v>
      </c>
    </row>
    <row r="42" spans="1:12" x14ac:dyDescent="0.25">
      <c r="A42" s="54">
        <v>2</v>
      </c>
      <c r="B42" s="56">
        <v>14.1</v>
      </c>
      <c r="C42" s="49">
        <f>B42-B41</f>
        <v>1.0600000000000005</v>
      </c>
      <c r="D42" s="50">
        <f t="shared" ref="D42:D45" si="7">$B$12/C42</f>
        <v>4.7169811320754696E-4</v>
      </c>
      <c r="E42" s="50">
        <f t="shared" ref="E42:E44" si="8">SQRT(2)*D42*$B$13/C42</f>
        <v>1.5733062949148873E-4</v>
      </c>
      <c r="F42" s="50">
        <f t="shared" ref="F42:F45" si="9">(4*PI()/3)*$F$27^3*($B$9-$B$8)*($B$6/$E$18)*(1+ABS(D42)/$D$27)</f>
        <v>1.0494431522743627E-17</v>
      </c>
      <c r="G42" s="50">
        <f t="shared" ref="G42:G45" si="10">F42*3/$F$27</f>
        <v>1.628414572306344E-11</v>
      </c>
      <c r="H42" s="50">
        <f t="shared" ref="H42:H45" si="11">F42/$E$18</f>
        <v>2.5649219149337222E-22</v>
      </c>
      <c r="I42" s="49">
        <f t="shared" ref="I42:I45" si="12">(4*PI()/3)*$F$27^3*($B$9-$B$8)*($B$6/$E$18)*(1/$D$27)</f>
        <v>1.5588335381888091E-14</v>
      </c>
      <c r="J42" s="50">
        <f t="shared" ref="J42:J45" si="13">(4*PI()/3)*$F$27^3*($B$9-$B$8)*($B$6/$E$18)*(ABS(D42)/$D$27^2)</f>
        <v>3.6486685933317766E-14</v>
      </c>
      <c r="K42" s="49">
        <f t="shared" ref="K42:K45" si="14">SQRT(G42^2*$I$27^2+H42^2*$F$18^2+I42^2*E42^2+J42^2*$E$28^2)</f>
        <v>3.1395565766085026E-18</v>
      </c>
      <c r="L42" s="53">
        <f t="shared" ref="L42:L45" si="15">K42/F42</f>
        <v>0.2991640442652303</v>
      </c>
    </row>
    <row r="43" spans="1:12" x14ac:dyDescent="0.25">
      <c r="A43" s="54">
        <v>3</v>
      </c>
      <c r="B43" s="56">
        <v>15.15</v>
      </c>
      <c r="C43" s="49">
        <f>B43-B42</f>
        <v>1.0500000000000007</v>
      </c>
      <c r="D43" s="50">
        <f t="shared" si="7"/>
        <v>4.7619047619047586E-4</v>
      </c>
      <c r="E43" s="50">
        <f t="shared" si="8"/>
        <v>1.6034167373844594E-4</v>
      </c>
      <c r="F43" s="50">
        <f t="shared" si="9"/>
        <v>1.0564459983578702E-17</v>
      </c>
      <c r="G43" s="50">
        <f t="shared" si="10"/>
        <v>1.6392808460871465E-11</v>
      </c>
      <c r="H43" s="50">
        <f t="shared" si="11"/>
        <v>2.5820374236180846E-22</v>
      </c>
      <c r="I43" s="49">
        <f t="shared" si="12"/>
        <v>1.5588335381888091E-14</v>
      </c>
      <c r="J43" s="50">
        <f t="shared" si="13"/>
        <v>3.6834178180301731E-14</v>
      </c>
      <c r="K43" s="49">
        <f t="shared" si="14"/>
        <v>3.1855701437904711E-18</v>
      </c>
      <c r="L43" s="53">
        <f t="shared" si="15"/>
        <v>0.30153648636485836</v>
      </c>
    </row>
    <row r="44" spans="1:12" x14ac:dyDescent="0.25">
      <c r="A44" s="54">
        <v>4</v>
      </c>
      <c r="B44" s="56">
        <v>16.57</v>
      </c>
      <c r="C44" s="49">
        <f>B44-B43</f>
        <v>1.42</v>
      </c>
      <c r="D44" s="50">
        <f t="shared" si="7"/>
        <v>3.5211267605633805E-4</v>
      </c>
      <c r="E44" s="50">
        <f t="shared" si="8"/>
        <v>8.7669458091964349E-5</v>
      </c>
      <c r="F44" s="50">
        <f t="shared" si="9"/>
        <v>8.6302936216408836E-18</v>
      </c>
      <c r="G44" s="50">
        <f t="shared" si="10"/>
        <v>1.3391574251835566E-11</v>
      </c>
      <c r="H44" s="50">
        <f t="shared" si="11"/>
        <v>2.1093118950260454E-22</v>
      </c>
      <c r="I44" s="49">
        <f t="shared" si="12"/>
        <v>1.5588335381888091E-14</v>
      </c>
      <c r="J44" s="50">
        <f t="shared" si="13"/>
        <v>2.7236540203744259E-14</v>
      </c>
      <c r="K44" s="49">
        <f t="shared" si="14"/>
        <v>2.0778652328481081E-18</v>
      </c>
      <c r="L44" s="53">
        <f t="shared" si="15"/>
        <v>0.24076414128457455</v>
      </c>
    </row>
    <row r="45" spans="1:12" x14ac:dyDescent="0.25">
      <c r="A45" s="54">
        <v>5</v>
      </c>
      <c r="B45" s="56">
        <v>17.760000000000002</v>
      </c>
      <c r="C45" s="49">
        <f>B45-B44</f>
        <v>1.1900000000000013</v>
      </c>
      <c r="D45" s="50">
        <f t="shared" si="7"/>
        <v>4.2016806722689029E-4</v>
      </c>
      <c r="E45" s="50">
        <f>SQRT(2)*D45*$B$13/C45</f>
        <v>1.2483348301436093E-4</v>
      </c>
      <c r="F45" s="50">
        <f t="shared" si="9"/>
        <v>9.6911638837530367E-18</v>
      </c>
      <c r="G45" s="50">
        <f t="shared" si="10"/>
        <v>1.5037720201147781E-11</v>
      </c>
      <c r="H45" s="50">
        <f t="shared" si="11"/>
        <v>2.3685969623777983E-22</v>
      </c>
      <c r="I45" s="49">
        <f t="shared" si="12"/>
        <v>1.5588335381888091E-14</v>
      </c>
      <c r="J45" s="50">
        <f t="shared" si="13"/>
        <v>3.2500745453207398E-14</v>
      </c>
      <c r="K45" s="49">
        <f t="shared" si="14"/>
        <v>2.6436853663463277E-18</v>
      </c>
      <c r="L45" s="53">
        <f t="shared" si="15"/>
        <v>0.27279338148211402</v>
      </c>
    </row>
    <row r="46" spans="1:12" x14ac:dyDescent="0.25">
      <c r="L46" s="53"/>
    </row>
    <row r="47" spans="1:12" x14ac:dyDescent="0.25">
      <c r="L47" s="53"/>
    </row>
    <row r="49" spans="1:12" x14ac:dyDescent="0.25">
      <c r="A49" s="49" t="s">
        <v>7</v>
      </c>
    </row>
    <row r="50" spans="1:12" x14ac:dyDescent="0.25">
      <c r="B50" s="49" t="s">
        <v>23</v>
      </c>
      <c r="C50" s="49" t="s">
        <v>27</v>
      </c>
      <c r="D50" s="49" t="s">
        <v>24</v>
      </c>
      <c r="E50" s="49" t="s">
        <v>29</v>
      </c>
      <c r="F50" s="49" t="s">
        <v>37</v>
      </c>
      <c r="G50" s="49" t="s">
        <v>39</v>
      </c>
      <c r="H50" s="49" t="s">
        <v>40</v>
      </c>
      <c r="I50" s="49" t="s">
        <v>41</v>
      </c>
      <c r="J50" s="49" t="s">
        <v>42</v>
      </c>
      <c r="K50" s="49" t="s">
        <v>2</v>
      </c>
      <c r="L50" s="49" t="s">
        <v>43</v>
      </c>
    </row>
    <row r="51" spans="1:12" x14ac:dyDescent="0.25">
      <c r="A51" s="54">
        <v>6</v>
      </c>
      <c r="B51" s="57">
        <v>19.13</v>
      </c>
      <c r="C51" s="49">
        <f>B51-B45</f>
        <v>1.3699999999999974</v>
      </c>
      <c r="D51" s="50">
        <f>$B$12/C51</f>
        <v>3.6496350364963572E-4</v>
      </c>
      <c r="E51" s="50">
        <f>SQRT(2)*D51*$B$13/C51</f>
        <v>9.4185462889145708E-5</v>
      </c>
      <c r="F51" s="50">
        <f>-(4*PI()/3)*$F$27^3*($B$9-$B$8)*($B$6/$E$18)*(1-ABS(D51)/$D$27)</f>
        <v>2.5477303619788916E-18</v>
      </c>
      <c r="G51" s="50">
        <f>F51*3/$F$27</f>
        <v>3.9532977453447669E-12</v>
      </c>
      <c r="H51" s="50">
        <f>F51/$E$18</f>
        <v>6.2268541412839363E-23</v>
      </c>
      <c r="I51" s="49">
        <f>-(4*PI()/3)*$F$27^3*($B$9-$B$8)*($B$6/$E$18)*(-1/$D$27)</f>
        <v>1.5588335381888091E-14</v>
      </c>
      <c r="J51" s="50">
        <f>-(4*PI()/3)*$F$27^3*($B$9-$B$8)*($B$6/$E$18)*(-ABS(D51)/$D$27^2)</f>
        <v>2.8230574517749576E-14</v>
      </c>
      <c r="K51" s="49">
        <f>SQRT(G51^2*$I$27^2+H51^2*$F$18^2+I51^2*E51^2+J51^2*$E$28^2)</f>
        <v>1.7477841766293257E-18</v>
      </c>
      <c r="L51" s="53">
        <f>K51/F51</f>
        <v>0.68601615096810087</v>
      </c>
    </row>
    <row r="52" spans="1:12" x14ac:dyDescent="0.25">
      <c r="A52" s="54">
        <v>7</v>
      </c>
      <c r="B52" s="57">
        <v>19.760000000000002</v>
      </c>
      <c r="C52" s="49">
        <f>B52-B51</f>
        <v>0.63000000000000256</v>
      </c>
      <c r="D52" s="50">
        <f t="shared" ref="D52:D55" si="16">$B$12/C52</f>
        <v>7.936507936507904E-4</v>
      </c>
      <c r="E52" s="50">
        <f t="shared" ref="E52:E54" si="17">SQRT(2)*D52*$B$13/C52</f>
        <v>4.4539353816234681E-4</v>
      </c>
      <c r="F52" s="50">
        <f t="shared" ref="F52:F55" si="18">-(4*PI()/3)*$F$27^3*($B$9-$B$8)*($B$6/$E$18)*(1-ABS(D52)/$D$27)</f>
        <v>9.2302516124696117E-18</v>
      </c>
      <c r="G52" s="50">
        <f t="shared" ref="G52:G55" si="19">F52*3/$F$27</f>
        <v>1.432252542619867E-11</v>
      </c>
      <c r="H52" s="50">
        <f t="shared" ref="H52:H55" si="20">F52/$E$18</f>
        <v>2.2559463644950405E-22</v>
      </c>
      <c r="I52" s="49">
        <f t="shared" ref="I52:I55" si="21">-(4*PI()/3)*$F$27^3*($B$9-$B$8)*($B$6/$E$18)*(-1/$D$27)</f>
        <v>1.5588335381888091E-14</v>
      </c>
      <c r="J52" s="50">
        <f t="shared" ref="J52:J55" si="22">-(4*PI()/3)*$F$27^3*($B$9-$B$8)*($B$6/$E$18)*(-ABS(D52)/$D$27^2)</f>
        <v>6.1390296967169346E-14</v>
      </c>
      <c r="K52" s="49">
        <f t="shared" ref="K52:K55" si="23">SQRT(G52^2*$I$27^2+H52^2*$F$18^2+I52^2*E52^2+J52^2*$E$28^2)</f>
        <v>7.3308210562758626E-18</v>
      </c>
      <c r="L52" s="53">
        <f t="shared" ref="L52:L55" si="24">K52/F52</f>
        <v>0.7942168170553755</v>
      </c>
    </row>
    <row r="53" spans="1:12" x14ac:dyDescent="0.25">
      <c r="A53" s="54">
        <v>8</v>
      </c>
      <c r="B53" s="57">
        <v>20.41</v>
      </c>
      <c r="C53" s="49">
        <f>B53-B52</f>
        <v>0.64999999999999858</v>
      </c>
      <c r="D53" s="50">
        <f t="shared" si="16"/>
        <v>7.6923076923077096E-4</v>
      </c>
      <c r="E53" s="50">
        <f t="shared" si="17"/>
        <v>4.1840637940032585E-4</v>
      </c>
      <c r="F53" s="50">
        <f t="shared" si="18"/>
        <v>8.8495840817764518E-18</v>
      </c>
      <c r="G53" s="50">
        <f t="shared" si="19"/>
        <v>1.3731845928370519E-11</v>
      </c>
      <c r="H53" s="50">
        <f t="shared" si="20"/>
        <v>2.1629082147236531E-22</v>
      </c>
      <c r="I53" s="49">
        <f t="shared" si="21"/>
        <v>1.5588335381888091E-14</v>
      </c>
      <c r="J53" s="50">
        <f t="shared" si="22"/>
        <v>5.9501364752795276E-14</v>
      </c>
      <c r="K53" s="49">
        <f t="shared" si="23"/>
        <v>6.9065423739762004E-18</v>
      </c>
      <c r="L53" s="53">
        <f t="shared" si="24"/>
        <v>0.78043694598015412</v>
      </c>
    </row>
    <row r="54" spans="1:12" x14ac:dyDescent="0.25">
      <c r="A54" s="54">
        <v>9</v>
      </c>
      <c r="B54" s="57">
        <v>21.06</v>
      </c>
      <c r="C54" s="49">
        <f>B54-B53</f>
        <v>0.64999999999999858</v>
      </c>
      <c r="D54" s="50">
        <f t="shared" si="16"/>
        <v>7.6923076923077096E-4</v>
      </c>
      <c r="E54" s="50">
        <f t="shared" si="17"/>
        <v>4.1840637940032585E-4</v>
      </c>
      <c r="F54" s="50">
        <f t="shared" si="18"/>
        <v>8.8495840817764518E-18</v>
      </c>
      <c r="G54" s="50">
        <f t="shared" si="19"/>
        <v>1.3731845928370519E-11</v>
      </c>
      <c r="H54" s="50">
        <f t="shared" si="20"/>
        <v>2.1629082147236531E-22</v>
      </c>
      <c r="I54" s="49">
        <f t="shared" si="21"/>
        <v>1.5588335381888091E-14</v>
      </c>
      <c r="J54" s="50">
        <f t="shared" si="22"/>
        <v>5.9501364752795276E-14</v>
      </c>
      <c r="K54" s="49">
        <f t="shared" si="23"/>
        <v>6.9065423739762004E-18</v>
      </c>
      <c r="L54" s="53">
        <f t="shared" si="24"/>
        <v>0.78043694598015412</v>
      </c>
    </row>
    <row r="55" spans="1:12" x14ac:dyDescent="0.25">
      <c r="A55" s="54">
        <v>10</v>
      </c>
      <c r="B55" s="57">
        <v>21.69</v>
      </c>
      <c r="C55" s="49">
        <f>B55-B54</f>
        <v>0.63000000000000256</v>
      </c>
      <c r="D55" s="50">
        <f t="shared" si="16"/>
        <v>7.936507936507904E-4</v>
      </c>
      <c r="E55" s="50">
        <f>SQRT(2)*D55*$B$13/C55</f>
        <v>4.4539353816234681E-4</v>
      </c>
      <c r="F55" s="50">
        <f t="shared" si="18"/>
        <v>9.2302516124696117E-18</v>
      </c>
      <c r="G55" s="50">
        <f t="shared" si="19"/>
        <v>1.432252542619867E-11</v>
      </c>
      <c r="H55" s="50">
        <f t="shared" si="20"/>
        <v>2.2559463644950405E-22</v>
      </c>
      <c r="I55" s="49">
        <f t="shared" si="21"/>
        <v>1.5588335381888091E-14</v>
      </c>
      <c r="J55" s="50">
        <f t="shared" si="22"/>
        <v>6.1390296967169346E-14</v>
      </c>
      <c r="K55" s="49">
        <f t="shared" si="23"/>
        <v>7.3308210562758626E-18</v>
      </c>
      <c r="L55" s="53">
        <f t="shared" si="24"/>
        <v>0.7942168170553755</v>
      </c>
    </row>
    <row r="56" spans="1:12" x14ac:dyDescent="0.25">
      <c r="L56" s="53"/>
    </row>
    <row r="57" spans="1:12" x14ac:dyDescent="0.25">
      <c r="L57" s="53"/>
    </row>
    <row r="59" spans="1:12" x14ac:dyDescent="0.25">
      <c r="B59" s="49" t="s">
        <v>38</v>
      </c>
    </row>
    <row r="60" spans="1:12" x14ac:dyDescent="0.25">
      <c r="A60" s="50"/>
      <c r="B60" s="49" t="s">
        <v>44</v>
      </c>
      <c r="C60" s="49" t="s">
        <v>45</v>
      </c>
    </row>
    <row r="61" spans="1:12" x14ac:dyDescent="0.25">
      <c r="A61" s="49">
        <v>1</v>
      </c>
      <c r="B61" s="50">
        <f>F41</f>
        <v>1.7059599726032109E-17</v>
      </c>
      <c r="C61" s="49">
        <f>K41</f>
        <v>9.409507702985663E-18</v>
      </c>
    </row>
    <row r="62" spans="1:12" x14ac:dyDescent="0.25">
      <c r="A62" s="49">
        <v>2</v>
      </c>
      <c r="B62" s="50">
        <f t="shared" ref="B62:B65" si="25">F42</f>
        <v>1.0494431522743627E-17</v>
      </c>
      <c r="C62" s="49">
        <f t="shared" ref="C62:C65" si="26">K42</f>
        <v>3.1395565766085026E-18</v>
      </c>
    </row>
    <row r="63" spans="1:12" x14ac:dyDescent="0.25">
      <c r="A63" s="49">
        <v>3</v>
      </c>
      <c r="B63" s="50">
        <f t="shared" si="25"/>
        <v>1.0564459983578702E-17</v>
      </c>
      <c r="C63" s="49">
        <f t="shared" si="26"/>
        <v>3.1855701437904711E-18</v>
      </c>
    </row>
    <row r="64" spans="1:12" x14ac:dyDescent="0.25">
      <c r="A64" s="49">
        <v>4</v>
      </c>
      <c r="B64" s="50">
        <f t="shared" si="25"/>
        <v>8.6302936216408836E-18</v>
      </c>
      <c r="C64" s="49">
        <f t="shared" si="26"/>
        <v>2.0778652328481081E-18</v>
      </c>
    </row>
    <row r="65" spans="1:3" x14ac:dyDescent="0.25">
      <c r="A65" s="49">
        <v>5</v>
      </c>
      <c r="B65" s="50">
        <f t="shared" si="25"/>
        <v>9.6911638837530367E-18</v>
      </c>
      <c r="C65" s="49">
        <f t="shared" si="26"/>
        <v>2.6436853663463277E-18</v>
      </c>
    </row>
    <row r="66" spans="1:3" x14ac:dyDescent="0.25">
      <c r="A66" s="49">
        <v>6</v>
      </c>
      <c r="B66" s="50">
        <f>F51</f>
        <v>2.5477303619788916E-18</v>
      </c>
      <c r="C66" s="49">
        <f>K51</f>
        <v>1.7477841766293257E-18</v>
      </c>
    </row>
    <row r="67" spans="1:3" x14ac:dyDescent="0.25">
      <c r="A67" s="49">
        <v>7</v>
      </c>
      <c r="B67" s="50">
        <f t="shared" ref="B67:B70" si="27">F52</f>
        <v>9.2302516124696117E-18</v>
      </c>
      <c r="C67" s="49">
        <f t="shared" ref="C67:C70" si="28">K52</f>
        <v>7.3308210562758626E-18</v>
      </c>
    </row>
    <row r="68" spans="1:3" x14ac:dyDescent="0.25">
      <c r="A68" s="49">
        <v>8</v>
      </c>
      <c r="B68" s="50">
        <f t="shared" si="27"/>
        <v>8.8495840817764518E-18</v>
      </c>
      <c r="C68" s="49">
        <f t="shared" si="28"/>
        <v>6.9065423739762004E-18</v>
      </c>
    </row>
    <row r="69" spans="1:3" x14ac:dyDescent="0.25">
      <c r="A69" s="49">
        <v>9</v>
      </c>
      <c r="B69" s="50">
        <f t="shared" si="27"/>
        <v>8.8495840817764518E-18</v>
      </c>
      <c r="C69" s="49">
        <f t="shared" si="28"/>
        <v>6.9065423739762004E-18</v>
      </c>
    </row>
    <row r="70" spans="1:3" x14ac:dyDescent="0.25">
      <c r="A70" s="49">
        <v>10</v>
      </c>
      <c r="B70" s="50">
        <f t="shared" si="27"/>
        <v>9.2302516124696117E-18</v>
      </c>
      <c r="C70" s="49">
        <f t="shared" si="28"/>
        <v>7.3308210562758626E-18</v>
      </c>
    </row>
  </sheetData>
  <mergeCells count="2">
    <mergeCell ref="A1:C2"/>
    <mergeCell ref="A14:C15"/>
  </mergeCells>
  <conditionalFormatting sqref="C32:G36">
    <cfRule type="cellIs" dxfId="50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021F849D-1BF7-4B9B-A950-4036299B6D4C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0126DFD7-5E5A-406D-96ED-8909D4D3DB31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25" workbookViewId="0">
      <selection activeCell="F41" sqref="F41:F45"/>
    </sheetView>
  </sheetViews>
  <sheetFormatPr defaultRowHeight="15" x14ac:dyDescent="0.25"/>
  <cols>
    <col min="1" max="1" width="13.140625" style="57" customWidth="1"/>
    <col min="2" max="2" width="9.140625" style="57"/>
    <col min="3" max="5" width="12" style="57" customWidth="1"/>
    <col min="6" max="7" width="12.140625" style="57" customWidth="1"/>
    <col min="8" max="9" width="12" style="57" customWidth="1"/>
    <col min="10" max="10" width="9.140625" style="57"/>
    <col min="11" max="11" width="12" style="57" customWidth="1"/>
    <col min="12" max="16384" width="9.140625" style="57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57" t="s">
        <v>1</v>
      </c>
      <c r="C4" s="57" t="s">
        <v>2</v>
      </c>
    </row>
    <row r="5" spans="1:5" x14ac:dyDescent="0.25">
      <c r="A5" s="57" t="str">
        <f>[1]Dati!A5</f>
        <v>d</v>
      </c>
      <c r="B5" s="58">
        <f>Dati!B5</f>
        <v>7.4300000000000008E-3</v>
      </c>
      <c r="C5" s="179">
        <f>Dati!C5</f>
        <v>1.0000000000000001E-5</v>
      </c>
    </row>
    <row r="6" spans="1:5" x14ac:dyDescent="0.25">
      <c r="A6" s="57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57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57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57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57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57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57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57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60"/>
    </row>
    <row r="15" spans="1:5" x14ac:dyDescent="0.25">
      <c r="A15" s="193"/>
      <c r="B15" s="193"/>
      <c r="C15" s="193"/>
      <c r="D15" s="60"/>
    </row>
    <row r="16" spans="1:5" x14ac:dyDescent="0.25">
      <c r="A16" s="57" t="s">
        <v>18</v>
      </c>
      <c r="B16" s="57">
        <v>399</v>
      </c>
      <c r="C16" s="57">
        <f>B16/100</f>
        <v>3.99</v>
      </c>
      <c r="D16" s="57" t="s">
        <v>19</v>
      </c>
      <c r="E16" s="57">
        <f>(1.8+(B18-15)*0.004765)*0.00001</f>
        <v>1.8262075000000001E-5</v>
      </c>
    </row>
    <row r="17" spans="1:10" x14ac:dyDescent="0.25">
      <c r="A17" s="57" t="s">
        <v>20</v>
      </c>
      <c r="E17" s="59"/>
    </row>
    <row r="18" spans="1:10" x14ac:dyDescent="0.25">
      <c r="A18" s="57" t="s">
        <v>21</v>
      </c>
      <c r="B18" s="57">
        <v>20.5</v>
      </c>
      <c r="C18" s="57">
        <v>0.5</v>
      </c>
      <c r="D18" s="57" t="s">
        <v>22</v>
      </c>
      <c r="E18" s="58">
        <f>B16/B5</f>
        <v>53701.211305518162</v>
      </c>
      <c r="F18" s="57">
        <f>SQRT((C16/B5)^2+(B16*C5/B5^2)^2)</f>
        <v>541.85409256032881</v>
      </c>
      <c r="G18" s="58"/>
    </row>
    <row r="21" spans="1:10" x14ac:dyDescent="0.25">
      <c r="B21" s="57" t="s">
        <v>23</v>
      </c>
      <c r="C21" s="57" t="s">
        <v>27</v>
      </c>
      <c r="D21" s="57" t="s">
        <v>24</v>
      </c>
      <c r="E21" s="57" t="s">
        <v>29</v>
      </c>
      <c r="F21" s="57" t="s">
        <v>25</v>
      </c>
      <c r="G21" s="57" t="s">
        <v>26</v>
      </c>
      <c r="H21" s="57" t="s">
        <v>28</v>
      </c>
      <c r="I21" s="57" t="s">
        <v>31</v>
      </c>
      <c r="J21" s="57" t="s">
        <v>32</v>
      </c>
    </row>
    <row r="22" spans="1:10" x14ac:dyDescent="0.25">
      <c r="A22" s="57">
        <v>1</v>
      </c>
      <c r="B22" s="63">
        <v>6.04</v>
      </c>
      <c r="C22" s="57">
        <f>B22</f>
        <v>6.04</v>
      </c>
      <c r="D22" s="58">
        <f>B12/B22</f>
        <v>8.2781456953642384E-5</v>
      </c>
      <c r="E22" s="58">
        <f>SQRT(2)*D22*$B$13/C22</f>
        <v>4.8456398649356635E-6</v>
      </c>
      <c r="F22" s="5">
        <f>(($B$10/(2*$B$7))^2+9*$E$16*D22/(2*$B$6*($B$9-$B$8)))^(1/2)-$B$10/(2*$B$7)</f>
        <v>1.225961955594051E-6</v>
      </c>
      <c r="G22" s="57">
        <f>(($B$10/(2*$B$7))^2+9*$E$16*D22/(2*$B$6*($B$9-$B$8)))^(-1/2)*(9*$E$16)/(4*$B$6*$B$9)</f>
        <v>2.5589539677975275E-3</v>
      </c>
      <c r="H22" s="57">
        <f>(($B$10/(2*$B$7))^2+9*$E$16*D22/(2*$B$6*($B$9-$B$8)))^(-1/2)*((9*D22)/(4*$B$6*$B$9))*0.00000004765</f>
        <v>5.5272399948581684E-10</v>
      </c>
      <c r="I22" s="57">
        <f>SQRT(G22^2*E22^2+H22^2*$C$18^2+$F$28^2)</f>
        <v>1.569565635427643E-8</v>
      </c>
      <c r="J22" s="58">
        <f>I22/F22</f>
        <v>1.2802727101487384E-2</v>
      </c>
    </row>
    <row r="23" spans="1:10" x14ac:dyDescent="0.25">
      <c r="A23" s="57">
        <v>2</v>
      </c>
      <c r="B23" s="63">
        <v>12.22</v>
      </c>
      <c r="C23" s="57">
        <f>B23-B22</f>
        <v>6.1800000000000006</v>
      </c>
      <c r="D23" s="58">
        <f>$B$12/(B23-B22)</f>
        <v>8.0906148867313903E-5</v>
      </c>
      <c r="E23" s="58">
        <f t="shared" ref="E23:E25" si="0">SQRT(2)*D23*$B$13/C23</f>
        <v>4.6285830504665027E-6</v>
      </c>
      <c r="F23" s="5">
        <f>(($B$10/(2*$B$7))^2+9*E16*D23/(2*$B$6*($B$9-$B$8)))^(1/2)-$B$10/(2*$B$7)</f>
        <v>1.2115499662566181E-6</v>
      </c>
      <c r="G23" s="57">
        <f t="shared" ref="G23:G27" si="1">(($B$10/(2*$B$7))^2+9*$E$16*D23/(2*$B$6*($B$9-$B$8)))^(-1/2)*(9*$E$16)/(4*$B$6*$B$9)</f>
        <v>2.5884102059828417E-3</v>
      </c>
      <c r="H23" s="57">
        <f t="shared" ref="H23:H27" si="2">(($B$10/(2*$B$7))^2+9*$E$16*D23/(2*$B$6*($B$9-$B$8)))^(-1/2)*((9*D23)/(4*$B$6*$B$9))*0.00000004765</f>
        <v>5.4642104275264743E-10</v>
      </c>
      <c r="I23" s="57">
        <f t="shared" ref="I23:I27" si="3">SQRT(G23^2*E23^2+H23^2*$C$18^2+$F$28^2)</f>
        <v>1.5366655733379652E-8</v>
      </c>
      <c r="J23" s="58">
        <f t="shared" ref="J23:J27" si="4">I23/F23</f>
        <v>1.2683468417616087E-2</v>
      </c>
    </row>
    <row r="24" spans="1:10" x14ac:dyDescent="0.25">
      <c r="A24" s="57">
        <v>3</v>
      </c>
      <c r="B24" s="63">
        <v>18.23</v>
      </c>
      <c r="C24" s="57">
        <f t="shared" ref="C24:C26" si="5">B24-B23</f>
        <v>6.01</v>
      </c>
      <c r="D24" s="58">
        <f>$B$12/(B24-B23)</f>
        <v>8.3194675540765393E-5</v>
      </c>
      <c r="E24" s="58">
        <f t="shared" si="0"/>
        <v>4.8941363754983211E-6</v>
      </c>
      <c r="F24" s="5">
        <f>(($B$10/(2*$B$7))^2+9*E16*D24/(2*$B$6*($B$9-$B$8)))^(1/2)-$B$10/(2*$B$7)</f>
        <v>1.2291155987394378E-6</v>
      </c>
      <c r="G24" s="57">
        <f t="shared" si="1"/>
        <v>2.5525975104502521E-3</v>
      </c>
      <c r="H24" s="57">
        <f t="shared" si="2"/>
        <v>5.5410319788324912E-10</v>
      </c>
      <c r="I24" s="57">
        <f t="shared" si="3"/>
        <v>1.5769235570619748E-8</v>
      </c>
      <c r="J24" s="58">
        <f t="shared" si="4"/>
        <v>1.2829741634385274E-2</v>
      </c>
    </row>
    <row r="25" spans="1:10" x14ac:dyDescent="0.25">
      <c r="A25" s="57">
        <v>4</v>
      </c>
      <c r="B25" s="63">
        <v>24.4</v>
      </c>
      <c r="C25" s="57">
        <f t="shared" si="5"/>
        <v>6.1699999999999982</v>
      </c>
      <c r="D25" s="58">
        <f>$B$12/(B25-B24)</f>
        <v>8.1037277147487865E-5</v>
      </c>
      <c r="E25" s="58">
        <f t="shared" si="0"/>
        <v>4.6435987196014857E-6</v>
      </c>
      <c r="F25" s="5">
        <f>(($B$10/(2*$B$7))^2+9*E16*D25/(2*$B$6*($B$9-$B$8)))^(1/2)-$B$10/(2*$B$7)</f>
        <v>1.21256309448833E-6</v>
      </c>
      <c r="G25" s="57">
        <f t="shared" si="1"/>
        <v>2.5863173607665185E-3</v>
      </c>
      <c r="H25" s="57">
        <f t="shared" si="2"/>
        <v>5.4686413035833361E-10</v>
      </c>
      <c r="I25" s="57">
        <f t="shared" si="3"/>
        <v>1.538939613655264E-8</v>
      </c>
      <c r="J25" s="58">
        <f t="shared" si="4"/>
        <v>1.2691625043269657E-2</v>
      </c>
    </row>
    <row r="26" spans="1:10" x14ac:dyDescent="0.25">
      <c r="A26" s="57">
        <v>5</v>
      </c>
      <c r="B26" s="63">
        <v>30.38</v>
      </c>
      <c r="C26" s="57">
        <f t="shared" si="5"/>
        <v>5.98</v>
      </c>
      <c r="D26" s="58">
        <f>$B$12/(B26-B25)</f>
        <v>8.361204013377926E-5</v>
      </c>
      <c r="E26" s="58">
        <f>SQRT(2)*D26*$B$13/C26</f>
        <v>4.9433645959395556E-6</v>
      </c>
      <c r="F26" s="5">
        <f>(($B$10/(2*$B$7))^2+9*E16*D26/(2*$B$6*($B$9-$B$8)))^(1/2)-$B$10/(2*$B$7)</f>
        <v>1.2322929517043083E-6</v>
      </c>
      <c r="G26" s="57">
        <f t="shared" si="1"/>
        <v>2.5462251200359864E-3</v>
      </c>
      <c r="H26" s="57">
        <f t="shared" si="2"/>
        <v>5.5549275838194653E-10</v>
      </c>
      <c r="I26" s="57">
        <f t="shared" si="3"/>
        <v>1.5843946732361844E-8</v>
      </c>
      <c r="J26" s="58">
        <f t="shared" si="4"/>
        <v>1.2857289097084472E-2</v>
      </c>
    </row>
    <row r="27" spans="1:10" x14ac:dyDescent="0.25">
      <c r="A27" s="7" t="s">
        <v>34</v>
      </c>
      <c r="B27" s="7"/>
      <c r="C27" s="7">
        <f>AVERAGE(C22:C26)</f>
        <v>6.0759999999999996</v>
      </c>
      <c r="D27" s="7">
        <f>AVERAGE(D22:D26)</f>
        <v>8.2306319728597772E-5</v>
      </c>
      <c r="E27" s="8">
        <f>SQRT(2)*D27*$B$13/C27</f>
        <v>4.789282160516755E-6</v>
      </c>
      <c r="F27" s="9">
        <f>AVERAGE(F22:F26)</f>
        <v>1.2222967133565492E-6</v>
      </c>
      <c r="G27" s="7">
        <f t="shared" si="1"/>
        <v>2.566321930581861E-3</v>
      </c>
      <c r="H27" s="7">
        <f t="shared" si="2"/>
        <v>5.5113386955690614E-10</v>
      </c>
      <c r="I27" s="7">
        <f t="shared" si="3"/>
        <v>1.560972944665501E-8</v>
      </c>
      <c r="J27" s="8">
        <f t="shared" si="4"/>
        <v>1.2770818473191448E-2</v>
      </c>
    </row>
    <row r="28" spans="1:10" x14ac:dyDescent="0.25">
      <c r="A28" s="57" t="s">
        <v>35</v>
      </c>
      <c r="C28" s="6">
        <f>_xlfn.STDEV.S(C22:C26)</f>
        <v>9.289779329994835E-2</v>
      </c>
      <c r="D28" s="58">
        <f>_xlfn.STDEV.S(D22:D26)</f>
        <v>1.2540718402070217E-6</v>
      </c>
      <c r="E28" s="8">
        <f>SQRT(2)*D28*$B$13/C28</f>
        <v>4.7727866874205433E-6</v>
      </c>
      <c r="F28" s="58">
        <f>_xlfn.STDEV.S(F22:F26)</f>
        <v>9.618886228812825E-9</v>
      </c>
    </row>
    <row r="30" spans="1:10" x14ac:dyDescent="0.25">
      <c r="A30" s="57" t="s">
        <v>31</v>
      </c>
      <c r="C30" s="57">
        <f t="array" ref="C30:G31">TRANSPOSE(A32:B36)</f>
        <v>1.569565635427643E-8</v>
      </c>
      <c r="D30" s="57">
        <v>1.5366655733379652E-8</v>
      </c>
      <c r="E30" s="57">
        <v>1.5769235570619748E-8</v>
      </c>
      <c r="F30" s="57">
        <v>1.538939613655264E-8</v>
      </c>
      <c r="G30" s="57">
        <v>1.5843946732361844E-8</v>
      </c>
    </row>
    <row r="31" spans="1:10" x14ac:dyDescent="0.25">
      <c r="B31" s="57" t="s">
        <v>25</v>
      </c>
      <c r="C31" s="57">
        <v>1.225961955594051E-6</v>
      </c>
      <c r="D31" s="57">
        <v>1.2115499662566181E-6</v>
      </c>
      <c r="E31" s="57">
        <v>1.2291155987394378E-6</v>
      </c>
      <c r="F31" s="57">
        <v>1.21256309448833E-6</v>
      </c>
      <c r="G31" s="57">
        <v>1.2322929517043083E-6</v>
      </c>
    </row>
    <row r="32" spans="1:10" x14ac:dyDescent="0.25">
      <c r="A32" s="57">
        <f>I22</f>
        <v>1.569565635427643E-8</v>
      </c>
      <c r="B32" s="5">
        <f>F22</f>
        <v>1.225961955594051E-6</v>
      </c>
      <c r="C32" s="57">
        <f t="shared" ref="C32:G36" si="6">(C$31-$B32)/SQRT(C$30^2+$A32^2)</f>
        <v>0</v>
      </c>
      <c r="D32" s="57">
        <f t="shared" si="6"/>
        <v>-0.65611624747325803</v>
      </c>
      <c r="E32" s="57">
        <f t="shared" si="6"/>
        <v>0.14174250855615014</v>
      </c>
      <c r="F32" s="57">
        <f t="shared" si="6"/>
        <v>-0.6095512144004539</v>
      </c>
      <c r="G32" s="57">
        <f t="shared" si="6"/>
        <v>0.28387426363701729</v>
      </c>
    </row>
    <row r="33" spans="1:12" x14ac:dyDescent="0.25">
      <c r="A33" s="57">
        <f>I23</f>
        <v>1.5366655733379652E-8</v>
      </c>
      <c r="B33" s="5">
        <f>F23</f>
        <v>1.2115499662566181E-6</v>
      </c>
      <c r="C33" s="57">
        <f t="shared" si="6"/>
        <v>0.65611624747325803</v>
      </c>
      <c r="D33" s="57">
        <f t="shared" si="6"/>
        <v>0</v>
      </c>
      <c r="E33" s="57">
        <f t="shared" si="6"/>
        <v>0.79777640584696463</v>
      </c>
      <c r="F33" s="57">
        <f t="shared" si="6"/>
        <v>4.6585280195637263E-2</v>
      </c>
      <c r="G33" s="57">
        <f t="shared" si="6"/>
        <v>0.93979543604781168</v>
      </c>
    </row>
    <row r="34" spans="1:12" x14ac:dyDescent="0.25">
      <c r="A34" s="57">
        <f>I24</f>
        <v>1.5769235570619748E-8</v>
      </c>
      <c r="B34" s="5">
        <f>F24</f>
        <v>1.2291155987394378E-6</v>
      </c>
      <c r="C34" s="57">
        <f t="shared" si="6"/>
        <v>-0.14174250855615014</v>
      </c>
      <c r="D34" s="57">
        <f t="shared" si="6"/>
        <v>-0.79777640584696463</v>
      </c>
      <c r="E34" s="57">
        <f t="shared" si="6"/>
        <v>0</v>
      </c>
      <c r="F34" s="57">
        <f t="shared" si="6"/>
        <v>-0.75122158914596893</v>
      </c>
      <c r="G34" s="57">
        <f t="shared" si="6"/>
        <v>0.1421382720679647</v>
      </c>
    </row>
    <row r="35" spans="1:12" x14ac:dyDescent="0.25">
      <c r="A35" s="57">
        <f>I25</f>
        <v>1.538939613655264E-8</v>
      </c>
      <c r="B35" s="5">
        <f>F25</f>
        <v>1.21256309448833E-6</v>
      </c>
      <c r="C35" s="57">
        <f t="shared" si="6"/>
        <v>0.6095512144004539</v>
      </c>
      <c r="D35" s="57">
        <f t="shared" si="6"/>
        <v>-4.6585280195637263E-2</v>
      </c>
      <c r="E35" s="57">
        <f t="shared" si="6"/>
        <v>0.75122158914596893</v>
      </c>
      <c r="F35" s="57">
        <f t="shared" si="6"/>
        <v>0</v>
      </c>
      <c r="G35" s="57">
        <f t="shared" si="6"/>
        <v>0.89325300170080979</v>
      </c>
    </row>
    <row r="36" spans="1:12" x14ac:dyDescent="0.25">
      <c r="A36" s="57">
        <f>I26</f>
        <v>1.5843946732361844E-8</v>
      </c>
      <c r="B36" s="5">
        <f>F26</f>
        <v>1.2322929517043083E-6</v>
      </c>
      <c r="C36" s="57">
        <f t="shared" si="6"/>
        <v>-0.28387426363701729</v>
      </c>
      <c r="D36" s="57">
        <f t="shared" si="6"/>
        <v>-0.93979543604781168</v>
      </c>
      <c r="E36" s="57">
        <f t="shared" si="6"/>
        <v>-0.1421382720679647</v>
      </c>
      <c r="F36" s="57">
        <f t="shared" si="6"/>
        <v>-0.89325300170080979</v>
      </c>
      <c r="G36" s="57">
        <f t="shared" si="6"/>
        <v>0</v>
      </c>
    </row>
    <row r="39" spans="1:12" x14ac:dyDescent="0.25">
      <c r="A39" s="57" t="s">
        <v>7</v>
      </c>
    </row>
    <row r="40" spans="1:12" x14ac:dyDescent="0.25">
      <c r="B40" s="57" t="s">
        <v>36</v>
      </c>
      <c r="C40" s="57" t="s">
        <v>27</v>
      </c>
      <c r="D40" s="57" t="s">
        <v>24</v>
      </c>
      <c r="E40" s="57" t="s">
        <v>29</v>
      </c>
      <c r="F40" s="57" t="s">
        <v>37</v>
      </c>
      <c r="G40" s="57" t="s">
        <v>39</v>
      </c>
      <c r="H40" s="57" t="s">
        <v>40</v>
      </c>
      <c r="I40" s="57" t="s">
        <v>41</v>
      </c>
      <c r="J40" s="57" t="s">
        <v>42</v>
      </c>
      <c r="K40" s="57" t="s">
        <v>2</v>
      </c>
      <c r="L40" s="57" t="s">
        <v>43</v>
      </c>
    </row>
    <row r="41" spans="1:12" x14ac:dyDescent="0.25">
      <c r="A41" s="62">
        <v>1</v>
      </c>
      <c r="B41" s="64">
        <v>31.34</v>
      </c>
      <c r="C41" s="57">
        <f>B41-B26</f>
        <v>0.96000000000000085</v>
      </c>
      <c r="D41" s="58">
        <f>$B$12/C41</f>
        <v>5.2083333333333289E-4</v>
      </c>
      <c r="E41" s="58">
        <f>SQRT(2)*D41*$B$13/C41</f>
        <v>1.918149905562463E-4</v>
      </c>
      <c r="F41" s="58">
        <f>(4*PI()/3)*$F$27^3*($B$9-$B$8)*($B$6/$E$18)*(1+ABS(D41)/$D$27)</f>
        <v>4.4319917520776915E-18</v>
      </c>
      <c r="G41" s="58">
        <f>F41*3/$F$27</f>
        <v>1.0877862233402391E-11</v>
      </c>
      <c r="H41" s="58">
        <f>F41/$E$18</f>
        <v>8.2530573227912917E-23</v>
      </c>
      <c r="I41" s="57">
        <f>(4*PI()/3)*$F$27^3*($B$9-$B$8)*($B$6/$E$18)*(1/$D$27)</f>
        <v>7.34820158080804E-15</v>
      </c>
      <c r="J41" s="58">
        <f>(4*PI()/3)*$F$27^3*($B$9-$B$8)*($B$6/$E$18)*(ABS(D41)/$D$27^2)</f>
        <v>4.6499325154587618E-14</v>
      </c>
      <c r="K41" s="57">
        <f>SQRT(G41^2*$I$27^2+H41^2*$F$18^2+I41^2*E41^2+J41^2*$E$28^2)</f>
        <v>1.4376238507674545E-18</v>
      </c>
      <c r="L41" s="61">
        <f>K41/F41</f>
        <v>0.3243742161960263</v>
      </c>
    </row>
    <row r="42" spans="1:12" x14ac:dyDescent="0.25">
      <c r="A42" s="62">
        <v>2</v>
      </c>
      <c r="B42" s="64">
        <v>32.24</v>
      </c>
      <c r="C42" s="57">
        <f>B42-B41</f>
        <v>0.90000000000000213</v>
      </c>
      <c r="D42" s="58">
        <f t="shared" ref="D42:D45" si="7">$B$12/C42</f>
        <v>5.5555555555555425E-4</v>
      </c>
      <c r="E42" s="58">
        <f t="shared" ref="E42:E44" si="8">SQRT(2)*D42*$B$13/C42</f>
        <v>2.1824283369955069E-4</v>
      </c>
      <c r="F42" s="58">
        <f t="shared" ref="F42:F45" si="9">(4*PI()/3)*$F$27^3*($B$9-$B$8)*($B$6/$E$18)*(1+ABS(D42)/$D$27)</f>
        <v>4.6871376403001866E-18</v>
      </c>
      <c r="G42" s="58">
        <f t="shared" ref="G42:G45" si="10">F42*3/$F$27</f>
        <v>1.1504091246622525E-11</v>
      </c>
      <c r="H42" s="58">
        <f t="shared" ref="H42:H45" si="11">F42/$E$18</f>
        <v>8.7281786133910759E-23</v>
      </c>
      <c r="I42" s="57">
        <f t="shared" ref="I42:I45" si="12">(4*PI()/3)*$F$27^3*($B$9-$B$8)*($B$6/$E$18)*(1/$D$27)</f>
        <v>7.34820158080804E-15</v>
      </c>
      <c r="J42" s="58">
        <f t="shared" ref="J42:J45" si="13">(4*PI()/3)*$F$27^3*($B$9-$B$8)*($B$6/$E$18)*(ABS(D42)/$D$27^2)</f>
        <v>4.9599280164893388E-14</v>
      </c>
      <c r="K42" s="57">
        <f t="shared" ref="K42:K45" si="14">SQRT(G42^2*$I$27^2+H42^2*$F$18^2+I42^2*E42^2+J42^2*$E$28^2)</f>
        <v>1.631671796034811E-18</v>
      </c>
      <c r="L42" s="61">
        <f t="shared" ref="L42:L45" si="15">K42/F42</f>
        <v>0.34811689377449367</v>
      </c>
    </row>
    <row r="43" spans="1:12" x14ac:dyDescent="0.25">
      <c r="A43" s="62">
        <v>3</v>
      </c>
      <c r="B43" s="64">
        <v>33.15</v>
      </c>
      <c r="C43" s="57">
        <f>B43-B42</f>
        <v>0.90999999999999659</v>
      </c>
      <c r="D43" s="58">
        <f t="shared" si="7"/>
        <v>5.4945054945055151E-4</v>
      </c>
      <c r="E43" s="58">
        <f t="shared" si="8"/>
        <v>2.1347264255118734E-4</v>
      </c>
      <c r="F43" s="58">
        <f t="shared" si="9"/>
        <v>4.6422768247885626E-18</v>
      </c>
      <c r="G43" s="58">
        <f t="shared" si="10"/>
        <v>1.1393985046495966E-11</v>
      </c>
      <c r="H43" s="58">
        <f t="shared" si="11"/>
        <v>8.644640804054893E-23</v>
      </c>
      <c r="I43" s="57">
        <f t="shared" si="12"/>
        <v>7.34820158080804E-15</v>
      </c>
      <c r="J43" s="58">
        <f t="shared" si="13"/>
        <v>4.9054233130114634E-14</v>
      </c>
      <c r="K43" s="57">
        <f t="shared" si="14"/>
        <v>1.5966444218980546E-18</v>
      </c>
      <c r="L43" s="61">
        <f t="shared" si="15"/>
        <v>0.34393563377616443</v>
      </c>
    </row>
    <row r="44" spans="1:12" x14ac:dyDescent="0.25">
      <c r="A44" s="62">
        <v>4</v>
      </c>
      <c r="B44" s="64">
        <v>34.130000000000003</v>
      </c>
      <c r="C44" s="57">
        <f>B44-B43</f>
        <v>0.98000000000000398</v>
      </c>
      <c r="D44" s="58">
        <f t="shared" si="7"/>
        <v>5.1020408163265105E-4</v>
      </c>
      <c r="E44" s="58">
        <f t="shared" si="8"/>
        <v>1.8406569689362293E-4</v>
      </c>
      <c r="F44" s="58">
        <f t="shared" si="9"/>
        <v>4.3538858679279353E-18</v>
      </c>
      <c r="G44" s="58">
        <f t="shared" si="10"/>
        <v>1.068615947425334E-11</v>
      </c>
      <c r="H44" s="58">
        <f t="shared" si="11"/>
        <v>8.1076120297505168E-23</v>
      </c>
      <c r="I44" s="57">
        <f t="shared" si="12"/>
        <v>7.34820158080804E-15</v>
      </c>
      <c r="J44" s="58">
        <f t="shared" si="13"/>
        <v>4.5550359335106097E-14</v>
      </c>
      <c r="K44" s="57">
        <f t="shared" si="14"/>
        <v>1.3807299105747155E-18</v>
      </c>
      <c r="L44" s="61">
        <f t="shared" si="15"/>
        <v>0.31712588534890118</v>
      </c>
    </row>
    <row r="45" spans="1:12" x14ac:dyDescent="0.25">
      <c r="A45" s="62">
        <v>5</v>
      </c>
      <c r="B45" s="64">
        <v>35.22</v>
      </c>
      <c r="C45" s="57">
        <f>B45-B44</f>
        <v>1.0899999999999963</v>
      </c>
      <c r="D45" s="58">
        <f t="shared" si="7"/>
        <v>4.5871559633027677E-4</v>
      </c>
      <c r="E45" s="58">
        <f>SQRT(2)*D45*$B$13/C45</f>
        <v>1.487894077069591E-4</v>
      </c>
      <c r="F45" s="58">
        <f t="shared" si="9"/>
        <v>3.9755380988356164E-18</v>
      </c>
      <c r="G45" s="58">
        <f t="shared" si="10"/>
        <v>9.7575442739718828E-12</v>
      </c>
      <c r="H45" s="58">
        <f t="shared" si="11"/>
        <v>7.4030696928192064E-23</v>
      </c>
      <c r="I45" s="57">
        <f t="shared" si="12"/>
        <v>7.34820158080804E-15</v>
      </c>
      <c r="J45" s="58">
        <f t="shared" si="13"/>
        <v>4.0953534081104859E-14</v>
      </c>
      <c r="K45" s="57">
        <f t="shared" si="14"/>
        <v>1.1217817523992641E-18</v>
      </c>
      <c r="L45" s="61">
        <f t="shared" si="15"/>
        <v>0.28217104817277927</v>
      </c>
    </row>
    <row r="46" spans="1:12" x14ac:dyDescent="0.25">
      <c r="L46" s="61"/>
    </row>
    <row r="47" spans="1:12" x14ac:dyDescent="0.25">
      <c r="L47" s="61"/>
    </row>
    <row r="49" spans="1:12" x14ac:dyDescent="0.25">
      <c r="A49" s="57" t="s">
        <v>7</v>
      </c>
    </row>
    <row r="50" spans="1:12" x14ac:dyDescent="0.25">
      <c r="B50" s="57" t="s">
        <v>23</v>
      </c>
      <c r="C50" s="57" t="s">
        <v>27</v>
      </c>
      <c r="D50" s="57" t="s">
        <v>24</v>
      </c>
      <c r="E50" s="57" t="s">
        <v>29</v>
      </c>
      <c r="F50" s="57" t="s">
        <v>37</v>
      </c>
      <c r="G50" s="57" t="s">
        <v>39</v>
      </c>
      <c r="H50" s="57" t="s">
        <v>40</v>
      </c>
      <c r="I50" s="57" t="s">
        <v>41</v>
      </c>
      <c r="J50" s="57" t="s">
        <v>42</v>
      </c>
      <c r="K50" s="57" t="s">
        <v>2</v>
      </c>
      <c r="L50" s="57" t="s">
        <v>43</v>
      </c>
    </row>
    <row r="51" spans="1:12" x14ac:dyDescent="0.25">
      <c r="A51" s="62">
        <v>6</v>
      </c>
      <c r="B51" s="65">
        <v>35.97</v>
      </c>
      <c r="C51" s="57">
        <f>B51-B45</f>
        <v>0.75</v>
      </c>
      <c r="D51" s="58">
        <f>$B$12/C51</f>
        <v>6.6666666666666664E-4</v>
      </c>
      <c r="E51" s="58">
        <f>SQRT(2)*D51*$B$13/C51</f>
        <v>3.1426968052735446E-4</v>
      </c>
      <c r="F51" s="58">
        <f>-(4*PI()/3)*$F$27^3*($B$9-$B$8)*($B$6/$E$18)*(1-ABS(D51)/$D$27)</f>
        <v>4.2939976251318525E-18</v>
      </c>
      <c r="G51" s="58">
        <f>F51*3/$F$27</f>
        <v>1.0539170018726725E-11</v>
      </c>
      <c r="H51" s="58">
        <f>F51/$E$18</f>
        <v>7.996090815721721E-23</v>
      </c>
      <c r="I51" s="57">
        <f>-(4*PI()/3)*$F$27^3*($B$9-$B$8)*($B$6/$E$18)*(-1/$D$27)</f>
        <v>7.34820158080804E-15</v>
      </c>
      <c r="J51" s="58">
        <f>-(4*PI()/3)*$F$27^3*($B$9-$B$8)*($B$6/$E$18)*(-ABS(D51)/$D$27^2)</f>
        <v>5.9519136197872202E-14</v>
      </c>
      <c r="K51" s="57">
        <f>SQRT(G51^2*$I$27^2+H51^2*$F$18^2+I51^2*E51^2+J51^2*$E$28^2)</f>
        <v>2.3329345858077474E-18</v>
      </c>
      <c r="L51" s="61">
        <f>K51/F51</f>
        <v>0.54330132186230817</v>
      </c>
    </row>
    <row r="52" spans="1:12" x14ac:dyDescent="0.25">
      <c r="A52" s="62">
        <v>7</v>
      </c>
      <c r="B52" s="65">
        <v>36.76</v>
      </c>
      <c r="C52" s="57">
        <f>B52-B51</f>
        <v>0.78999999999999915</v>
      </c>
      <c r="D52" s="58">
        <f t="shared" ref="D52:D55" si="16">$B$12/C52</f>
        <v>6.3291139240506395E-4</v>
      </c>
      <c r="E52" s="58">
        <f t="shared" ref="E52:E54" si="17">SQRT(2)*D52*$B$13/C52</f>
        <v>2.8325059332901339E-4</v>
      </c>
      <c r="F52" s="58">
        <f t="shared" ref="F52:F55" si="18">-(4*PI()/3)*$F$27^3*($B$9-$B$8)*($B$6/$E$18)*(1-ABS(D52)/$D$27)</f>
        <v>4.0459570654421343E-18</v>
      </c>
      <c r="G52" s="58">
        <f t="shared" ref="G52:G55" si="19">F52*3/$F$27</f>
        <v>9.9303802944823383E-12</v>
      </c>
      <c r="H52" s="58">
        <f t="shared" ref="H52:H55" si="20">F52/$E$18</f>
        <v>7.5342007509361056E-23</v>
      </c>
      <c r="I52" s="57">
        <f t="shared" ref="I52:I55" si="21">-(4*PI()/3)*$F$27^3*($B$9-$B$8)*($B$6/$E$18)*(-1/$D$27)</f>
        <v>7.34820158080804E-15</v>
      </c>
      <c r="J52" s="58">
        <f t="shared" ref="J52:J55" si="22">-(4*PI()/3)*$F$27^3*($B$9-$B$8)*($B$6/$E$18)*(-ABS(D52)/$D$27^2)</f>
        <v>5.6505509048612901E-14</v>
      </c>
      <c r="K52" s="57">
        <f t="shared" ref="K52:K55" si="23">SQRT(G52^2*$I$27^2+H52^2*$F$18^2+I52^2*E52^2+J52^2*$E$28^2)</f>
        <v>2.1048942615746232E-18</v>
      </c>
      <c r="L52" s="61">
        <f t="shared" ref="L52:L55" si="24">K52/F52</f>
        <v>0.52024631688586753</v>
      </c>
    </row>
    <row r="53" spans="1:12" x14ac:dyDescent="0.25">
      <c r="A53" s="62">
        <v>8</v>
      </c>
      <c r="B53" s="65">
        <v>37.53</v>
      </c>
      <c r="C53" s="57">
        <f>B53-B52</f>
        <v>0.77000000000000313</v>
      </c>
      <c r="D53" s="58">
        <f t="shared" si="16"/>
        <v>6.4935064935064675E-4</v>
      </c>
      <c r="E53" s="58">
        <f t="shared" si="17"/>
        <v>2.9815600488553799E-4</v>
      </c>
      <c r="F53" s="58">
        <f t="shared" si="18"/>
        <v>4.1667560393169754E-18</v>
      </c>
      <c r="G53" s="58">
        <f t="shared" si="19"/>
        <v>1.0226868796549356E-11</v>
      </c>
      <c r="H53" s="58">
        <f t="shared" si="20"/>
        <v>7.7591472110589301E-23</v>
      </c>
      <c r="I53" s="57">
        <f t="shared" si="21"/>
        <v>7.34820158080804E-15</v>
      </c>
      <c r="J53" s="58">
        <f t="shared" si="22"/>
        <v>5.7973184608316846E-14</v>
      </c>
      <c r="K53" s="57">
        <f t="shared" si="23"/>
        <v>2.2144751081715805E-18</v>
      </c>
      <c r="L53" s="61">
        <f t="shared" si="24"/>
        <v>0.53146262638754882</v>
      </c>
    </row>
    <row r="54" spans="1:12" x14ac:dyDescent="0.25">
      <c r="A54" s="62">
        <v>9</v>
      </c>
      <c r="B54" s="65">
        <v>38.26</v>
      </c>
      <c r="C54" s="57">
        <f>B54-B53</f>
        <v>0.72999999999999687</v>
      </c>
      <c r="D54" s="58">
        <f t="shared" si="16"/>
        <v>6.84931506849318E-4</v>
      </c>
      <c r="E54" s="58">
        <f t="shared" si="17"/>
        <v>3.3172583091881856E-4</v>
      </c>
      <c r="F54" s="58">
        <f t="shared" si="18"/>
        <v>4.4282113526352168E-18</v>
      </c>
      <c r="G54" s="58">
        <f t="shared" si="19"/>
        <v>1.0868583636639843E-11</v>
      </c>
      <c r="H54" s="58">
        <f t="shared" si="20"/>
        <v>8.2460176315989139E-23</v>
      </c>
      <c r="I54" s="57">
        <f t="shared" si="21"/>
        <v>7.34820158080804E-15</v>
      </c>
      <c r="J54" s="58">
        <f t="shared" si="22"/>
        <v>6.1149797463567587E-14</v>
      </c>
      <c r="K54" s="57">
        <f t="shared" si="23"/>
        <v>2.4612588995075556E-18</v>
      </c>
      <c r="L54" s="61">
        <f t="shared" si="24"/>
        <v>0.55581333037386915</v>
      </c>
    </row>
    <row r="55" spans="1:12" x14ac:dyDescent="0.25">
      <c r="A55" s="62">
        <v>10</v>
      </c>
      <c r="B55" s="65">
        <v>38.97</v>
      </c>
      <c r="C55" s="57">
        <f>B55-B54</f>
        <v>0.71000000000000085</v>
      </c>
      <c r="D55" s="58">
        <f t="shared" si="16"/>
        <v>7.0422535211267523E-4</v>
      </c>
      <c r="E55" s="58">
        <f>SQRT(2)*D55*$B$13/C55</f>
        <v>3.5067783236785647E-4</v>
      </c>
      <c r="F55" s="58">
        <f t="shared" si="18"/>
        <v>4.5699864168992845E-18</v>
      </c>
      <c r="G55" s="58">
        <f t="shared" si="19"/>
        <v>1.1216555768238084E-11</v>
      </c>
      <c r="H55" s="58">
        <f t="shared" si="20"/>
        <v>8.5100248314690947E-23</v>
      </c>
      <c r="I55" s="57">
        <f t="shared" si="21"/>
        <v>7.34820158080804E-15</v>
      </c>
      <c r="J55" s="58">
        <f t="shared" si="22"/>
        <v>6.2872326969583233E-14</v>
      </c>
      <c r="K55" s="57">
        <f t="shared" si="23"/>
        <v>2.6005750872890308E-18</v>
      </c>
      <c r="L55" s="61">
        <f t="shared" si="24"/>
        <v>0.56905532096822065</v>
      </c>
    </row>
    <row r="56" spans="1:12" x14ac:dyDescent="0.25">
      <c r="L56" s="61"/>
    </row>
    <row r="57" spans="1:12" x14ac:dyDescent="0.25">
      <c r="L57" s="61"/>
    </row>
    <row r="59" spans="1:12" x14ac:dyDescent="0.25">
      <c r="B59" s="57" t="s">
        <v>38</v>
      </c>
    </row>
    <row r="60" spans="1:12" x14ac:dyDescent="0.25">
      <c r="A60" s="58"/>
      <c r="B60" s="57" t="s">
        <v>44</v>
      </c>
      <c r="C60" s="57" t="s">
        <v>45</v>
      </c>
    </row>
    <row r="61" spans="1:12" x14ac:dyDescent="0.25">
      <c r="A61" s="57">
        <v>1</v>
      </c>
      <c r="B61" s="58">
        <f>F41</f>
        <v>4.4319917520776915E-18</v>
      </c>
      <c r="C61" s="57">
        <f>K41</f>
        <v>1.4376238507674545E-18</v>
      </c>
    </row>
    <row r="62" spans="1:12" x14ac:dyDescent="0.25">
      <c r="A62" s="57">
        <v>2</v>
      </c>
      <c r="B62" s="58">
        <f t="shared" ref="B62:B65" si="25">F42</f>
        <v>4.6871376403001866E-18</v>
      </c>
      <c r="C62" s="57">
        <f t="shared" ref="C62:C65" si="26">K42</f>
        <v>1.631671796034811E-18</v>
      </c>
    </row>
    <row r="63" spans="1:12" x14ac:dyDescent="0.25">
      <c r="A63" s="57">
        <v>3</v>
      </c>
      <c r="B63" s="58">
        <f t="shared" si="25"/>
        <v>4.6422768247885626E-18</v>
      </c>
      <c r="C63" s="57">
        <f t="shared" si="26"/>
        <v>1.5966444218980546E-18</v>
      </c>
    </row>
    <row r="64" spans="1:12" x14ac:dyDescent="0.25">
      <c r="A64" s="57">
        <v>4</v>
      </c>
      <c r="B64" s="58">
        <f t="shared" si="25"/>
        <v>4.3538858679279353E-18</v>
      </c>
      <c r="C64" s="57">
        <f t="shared" si="26"/>
        <v>1.3807299105747155E-18</v>
      </c>
    </row>
    <row r="65" spans="1:3" x14ac:dyDescent="0.25">
      <c r="A65" s="57">
        <v>5</v>
      </c>
      <c r="B65" s="58">
        <f t="shared" si="25"/>
        <v>3.9755380988356164E-18</v>
      </c>
      <c r="C65" s="57">
        <f t="shared" si="26"/>
        <v>1.1217817523992641E-18</v>
      </c>
    </row>
    <row r="66" spans="1:3" x14ac:dyDescent="0.25">
      <c r="A66" s="57">
        <v>6</v>
      </c>
      <c r="B66" s="58">
        <f>F51</f>
        <v>4.2939976251318525E-18</v>
      </c>
      <c r="C66" s="57">
        <f>K51</f>
        <v>2.3329345858077474E-18</v>
      </c>
    </row>
    <row r="67" spans="1:3" x14ac:dyDescent="0.25">
      <c r="A67" s="57">
        <v>7</v>
      </c>
      <c r="B67" s="58">
        <f t="shared" ref="B67:B70" si="27">F52</f>
        <v>4.0459570654421343E-18</v>
      </c>
      <c r="C67" s="57">
        <f t="shared" ref="C67:C70" si="28">K52</f>
        <v>2.1048942615746232E-18</v>
      </c>
    </row>
    <row r="68" spans="1:3" x14ac:dyDescent="0.25">
      <c r="A68" s="57">
        <v>8</v>
      </c>
      <c r="B68" s="58">
        <f t="shared" si="27"/>
        <v>4.1667560393169754E-18</v>
      </c>
      <c r="C68" s="57">
        <f t="shared" si="28"/>
        <v>2.2144751081715805E-18</v>
      </c>
    </row>
    <row r="69" spans="1:3" x14ac:dyDescent="0.25">
      <c r="A69" s="57">
        <v>9</v>
      </c>
      <c r="B69" s="58">
        <f t="shared" si="27"/>
        <v>4.4282113526352168E-18</v>
      </c>
      <c r="C69" s="57">
        <f t="shared" si="28"/>
        <v>2.4612588995075556E-18</v>
      </c>
    </row>
    <row r="70" spans="1:3" x14ac:dyDescent="0.25">
      <c r="A70" s="57">
        <v>10</v>
      </c>
      <c r="B70" s="58">
        <f t="shared" si="27"/>
        <v>4.5699864168992845E-18</v>
      </c>
      <c r="C70" s="57">
        <f t="shared" si="28"/>
        <v>2.6005750872890308E-18</v>
      </c>
    </row>
  </sheetData>
  <mergeCells count="2">
    <mergeCell ref="A1:C2"/>
    <mergeCell ref="A14:C15"/>
  </mergeCells>
  <conditionalFormatting sqref="C32:G36">
    <cfRule type="cellIs" dxfId="47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D2EBC669-9031-4C54-B039-745092982F44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6BBA8A46-28D3-4651-AA7C-9234AE3A6A74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E16" workbookViewId="0">
      <selection activeCell="B61" sqref="B61:B70"/>
    </sheetView>
  </sheetViews>
  <sheetFormatPr defaultRowHeight="15" x14ac:dyDescent="0.25"/>
  <cols>
    <col min="1" max="1" width="13.140625" style="65" customWidth="1"/>
    <col min="2" max="2" width="9.140625" style="65"/>
    <col min="3" max="5" width="12" style="65" customWidth="1"/>
    <col min="6" max="7" width="12.140625" style="65" customWidth="1"/>
    <col min="8" max="9" width="12" style="65" customWidth="1"/>
    <col min="10" max="10" width="9.140625" style="65"/>
    <col min="11" max="11" width="12" style="65" customWidth="1"/>
    <col min="12" max="16384" width="9.140625" style="65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65" t="s">
        <v>1</v>
      </c>
      <c r="C4" s="65" t="s">
        <v>2</v>
      </c>
    </row>
    <row r="5" spans="1:5" x14ac:dyDescent="0.25">
      <c r="A5" s="65" t="str">
        <f>[1]Dati!A5</f>
        <v>d</v>
      </c>
      <c r="B5" s="66">
        <f>Dati!B5</f>
        <v>7.4300000000000008E-3</v>
      </c>
      <c r="C5" s="179">
        <f>Dati!C5</f>
        <v>1.0000000000000001E-5</v>
      </c>
    </row>
    <row r="6" spans="1:5" x14ac:dyDescent="0.25">
      <c r="A6" s="65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65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65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65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65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65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65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65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68"/>
    </row>
    <row r="15" spans="1:5" x14ac:dyDescent="0.25">
      <c r="A15" s="193"/>
      <c r="B15" s="193"/>
      <c r="C15" s="193"/>
      <c r="D15" s="68"/>
    </row>
    <row r="16" spans="1:5" x14ac:dyDescent="0.25">
      <c r="A16" s="65" t="s">
        <v>18</v>
      </c>
      <c r="B16" s="65">
        <v>399</v>
      </c>
      <c r="C16" s="65">
        <f>B16/100</f>
        <v>3.99</v>
      </c>
      <c r="D16" s="65" t="s">
        <v>19</v>
      </c>
      <c r="E16" s="65">
        <f>(1.8+(B18-15)*0.004765)*0.00001</f>
        <v>1.8262075000000001E-5</v>
      </c>
    </row>
    <row r="17" spans="1:10" x14ac:dyDescent="0.25">
      <c r="A17" s="65" t="s">
        <v>20</v>
      </c>
      <c r="E17" s="67"/>
    </row>
    <row r="18" spans="1:10" x14ac:dyDescent="0.25">
      <c r="A18" s="65" t="s">
        <v>21</v>
      </c>
      <c r="B18" s="65">
        <v>20.5</v>
      </c>
      <c r="C18" s="65">
        <v>0.5</v>
      </c>
      <c r="D18" s="65" t="s">
        <v>22</v>
      </c>
      <c r="E18" s="66">
        <f>B16/B5</f>
        <v>53701.211305518162</v>
      </c>
      <c r="F18" s="65">
        <f>SQRT((C16/B5)^2+(B16*C5/B5^2)^2)</f>
        <v>541.85409256032881</v>
      </c>
      <c r="G18" s="66"/>
    </row>
    <row r="21" spans="1:10" x14ac:dyDescent="0.25">
      <c r="B21" s="65" t="s">
        <v>23</v>
      </c>
      <c r="C21" s="65" t="s">
        <v>27</v>
      </c>
      <c r="D21" s="65" t="s">
        <v>24</v>
      </c>
      <c r="E21" s="65" t="s">
        <v>29</v>
      </c>
      <c r="F21" s="65" t="s">
        <v>25</v>
      </c>
      <c r="G21" s="65" t="s">
        <v>26</v>
      </c>
      <c r="H21" s="65" t="s">
        <v>28</v>
      </c>
      <c r="I21" s="65" t="s">
        <v>31</v>
      </c>
      <c r="J21" s="65" t="s">
        <v>32</v>
      </c>
    </row>
    <row r="22" spans="1:10" x14ac:dyDescent="0.25">
      <c r="A22" s="65">
        <v>1</v>
      </c>
      <c r="B22" s="71">
        <v>16.77</v>
      </c>
      <c r="C22" s="65">
        <f>B22</f>
        <v>16.77</v>
      </c>
      <c r="D22" s="66">
        <f>B12/B22</f>
        <v>2.9815146094215862E-5</v>
      </c>
      <c r="E22" s="66">
        <f>SQRT(2)*D22*$B$13/C22</f>
        <v>6.2857757857148612E-7</v>
      </c>
      <c r="F22" s="5">
        <f>(($B$10/(2*$B$7))^2+9*$E$16*D22/(2*$B$6*($B$9-$B$8)))^(1/2)-$B$10/(2*$B$7)</f>
        <v>7.2025669707622487E-7</v>
      </c>
      <c r="G22" s="65">
        <f>(($B$10/(2*$B$7))^2+9*$E$16*D22/(2*$B$6*($B$9-$B$8)))^(-1/2)*(9*$E$16)/(4*$B$6*$B$9)</f>
        <v>4.2600733553301053E-3</v>
      </c>
      <c r="H22" s="65">
        <f>(($B$10/(2*$B$7))^2+9*$E$16*D22/(2*$B$6*($B$9-$B$8)))^(-1/2)*((9*D22)/(4*$B$6*$B$9))*0.00000004765</f>
        <v>3.3141091063464855E-10</v>
      </c>
      <c r="I22" s="65">
        <f>SQRT(G22^2*E22^2+H22^2*$C$18^2+$F$28^2)</f>
        <v>2.0693271615743205E-8</v>
      </c>
      <c r="J22" s="66">
        <f>I22/F22</f>
        <v>2.8730411948607308E-2</v>
      </c>
    </row>
    <row r="23" spans="1:10" x14ac:dyDescent="0.25">
      <c r="A23" s="65">
        <v>2</v>
      </c>
      <c r="B23" s="71">
        <v>33.35</v>
      </c>
      <c r="C23" s="65">
        <f>B23-B22</f>
        <v>16.580000000000002</v>
      </c>
      <c r="D23" s="66">
        <f>$B$12/(B23-B22)</f>
        <v>3.0156815440289501E-5</v>
      </c>
      <c r="E23" s="66">
        <f t="shared" ref="E23:E25" si="0">SQRT(2)*D23*$B$13/C23</f>
        <v>6.4306660726236086E-7</v>
      </c>
      <c r="F23" s="5">
        <f>(($B$10/(2*$B$7))^2+9*E16*D23/(2*$B$6*($B$9-$B$8)))^(1/2)-$B$10/(2*$B$7)</f>
        <v>7.2459079097960034E-7</v>
      </c>
      <c r="G23" s="65">
        <f t="shared" ref="G23:G27" si="1">(($B$10/(2*$B$7))^2+9*$E$16*D23/(2*$B$6*($B$9-$B$8)))^(-1/2)*(9*$E$16)/(4*$B$6*$B$9)</f>
        <v>4.235939709348097E-3</v>
      </c>
      <c r="H23" s="65">
        <f t="shared" ref="H23:H27" si="2">(($B$10/(2*$B$7))^2+9*$E$16*D23/(2*$B$6*($B$9-$B$8)))^(-1/2)*((9*D23)/(4*$B$6*$B$9))*0.00000004765</f>
        <v>3.3330976021494524E-10</v>
      </c>
      <c r="I23" s="65">
        <f t="shared" ref="I23:I27" si="3">SQRT(G23^2*E23^2+H23^2*$C$18^2+$F$28^2)</f>
        <v>2.0699309014899344E-8</v>
      </c>
      <c r="J23" s="66">
        <f t="shared" ref="J23:J27" si="4">I23/F23</f>
        <v>2.8566894960002465E-2</v>
      </c>
    </row>
    <row r="24" spans="1:10" x14ac:dyDescent="0.25">
      <c r="A24" s="65">
        <v>3</v>
      </c>
      <c r="B24" s="71">
        <v>50.94</v>
      </c>
      <c r="C24" s="65">
        <f t="shared" ref="C24:C26" si="5">B24-B23</f>
        <v>17.589999999999996</v>
      </c>
      <c r="D24" s="66">
        <f>$B$12/(B24-B23)</f>
        <v>2.8425241614553729E-5</v>
      </c>
      <c r="E24" s="66">
        <f t="shared" si="0"/>
        <v>5.7133829171452505E-7</v>
      </c>
      <c r="F24" s="5">
        <f>(($B$10/(2*$B$7))^2+9*E16*D24/(2*$B$6*($B$9-$B$8)))^(1/2)-$B$10/(2*$B$7)</f>
        <v>7.0236505980595188E-7</v>
      </c>
      <c r="G24" s="65">
        <f t="shared" si="1"/>
        <v>4.3626806795852091E-3</v>
      </c>
      <c r="H24" s="65">
        <f t="shared" si="2"/>
        <v>3.2357158357237697E-10</v>
      </c>
      <c r="I24" s="65">
        <f t="shared" si="3"/>
        <v>2.0670088373143471E-8</v>
      </c>
      <c r="J24" s="66">
        <f t="shared" si="4"/>
        <v>2.9429266283340128E-2</v>
      </c>
    </row>
    <row r="25" spans="1:10" x14ac:dyDescent="0.25">
      <c r="A25" s="65">
        <v>4</v>
      </c>
      <c r="B25" s="71">
        <v>66.3</v>
      </c>
      <c r="C25" s="65">
        <f t="shared" si="5"/>
        <v>15.36</v>
      </c>
      <c r="D25" s="66">
        <f>$B$12/(B25-B24)</f>
        <v>3.2552083333333333E-5</v>
      </c>
      <c r="E25" s="66">
        <f t="shared" si="0"/>
        <v>7.4927730686033837E-7</v>
      </c>
      <c r="F25" s="5">
        <f>(($B$10/(2*$B$7))^2+9*E16*D25/(2*$B$6*($B$9-$B$8)))^(1/2)-$B$10/(2*$B$7)</f>
        <v>7.5431153420689493E-7</v>
      </c>
      <c r="G25" s="65">
        <f t="shared" si="1"/>
        <v>4.0775361172060336E-3</v>
      </c>
      <c r="H25" s="65">
        <f t="shared" si="2"/>
        <v>3.4632942202437223E-10</v>
      </c>
      <c r="I25" s="65">
        <f t="shared" si="3"/>
        <v>2.0745547863193569E-8</v>
      </c>
      <c r="J25" s="66">
        <f t="shared" si="4"/>
        <v>2.7502625801693513E-2</v>
      </c>
    </row>
    <row r="26" spans="1:10" x14ac:dyDescent="0.25">
      <c r="A26" s="65">
        <v>5</v>
      </c>
      <c r="B26" s="71">
        <v>82.05</v>
      </c>
      <c r="C26" s="65">
        <f t="shared" si="5"/>
        <v>15.75</v>
      </c>
      <c r="D26" s="66">
        <f>$B$12/(B26-B25)</f>
        <v>3.1746031746031745E-5</v>
      </c>
      <c r="E26" s="66">
        <f>SQRT(2)*D26*$B$13/C26</f>
        <v>7.126296610597607E-7</v>
      </c>
      <c r="F26" s="5">
        <f>(($B$10/(2*$B$7))^2+9*E16*D26/(2*$B$6*($B$9-$B$8)))^(1/2)-$B$10/(2*$B$7)</f>
        <v>7.4443560461200862E-7</v>
      </c>
      <c r="G26" s="65">
        <f t="shared" si="1"/>
        <v>4.1288413629615352E-3</v>
      </c>
      <c r="H26" s="65">
        <f t="shared" si="2"/>
        <v>3.4200340191547041E-10</v>
      </c>
      <c r="I26" s="65">
        <f t="shared" si="3"/>
        <v>2.0729208055342966E-8</v>
      </c>
      <c r="J26" s="66">
        <f t="shared" si="4"/>
        <v>2.7845535499536986E-2</v>
      </c>
    </row>
    <row r="27" spans="1:10" x14ac:dyDescent="0.25">
      <c r="A27" s="7" t="s">
        <v>34</v>
      </c>
      <c r="B27" s="7"/>
      <c r="C27" s="7">
        <f>AVERAGE(C22:C26)</f>
        <v>16.41</v>
      </c>
      <c r="D27" s="7">
        <f>AVERAGE(D22:D26)</f>
        <v>3.0539063645684833E-5</v>
      </c>
      <c r="E27" s="8">
        <f>SQRT(2)*D27*$B$13/C27</f>
        <v>6.5796401569016806E-7</v>
      </c>
      <c r="F27" s="9">
        <f>AVERAGE(F22:F26)</f>
        <v>7.2919193733613615E-7</v>
      </c>
      <c r="G27" s="7">
        <f t="shared" si="1"/>
        <v>4.2094199394137255E-3</v>
      </c>
      <c r="H27" s="7">
        <f t="shared" si="2"/>
        <v>3.354213896817189E-10</v>
      </c>
      <c r="I27" s="7">
        <f t="shared" si="3"/>
        <v>2.0705375180261078E-8</v>
      </c>
      <c r="J27" s="8">
        <f t="shared" si="4"/>
        <v>2.8394959022587912E-2</v>
      </c>
    </row>
    <row r="28" spans="1:10" x14ac:dyDescent="0.25">
      <c r="A28" s="65" t="s">
        <v>35</v>
      </c>
      <c r="C28" s="6">
        <f>_xlfn.STDEV.S(C22:C26)</f>
        <v>0.87877756002301177</v>
      </c>
      <c r="D28" s="66">
        <f>_xlfn.STDEV.S(D22:D26)</f>
        <v>1.6315203147113664E-6</v>
      </c>
      <c r="E28" s="8">
        <f>SQRT(2)*D28*$B$13/C28</f>
        <v>6.563999416108255E-7</v>
      </c>
      <c r="F28" s="66">
        <f>_xlfn.STDEV.S(F22:F26)</f>
        <v>2.0518613277235914E-8</v>
      </c>
    </row>
    <row r="30" spans="1:10" x14ac:dyDescent="0.25">
      <c r="A30" s="65" t="s">
        <v>31</v>
      </c>
      <c r="C30" s="65">
        <f t="array" ref="C30:G31">TRANSPOSE(A32:B36)</f>
        <v>2.0693271615743205E-8</v>
      </c>
      <c r="D30" s="65">
        <v>2.0699309014899344E-8</v>
      </c>
      <c r="E30" s="65">
        <v>2.0670088373143471E-8</v>
      </c>
      <c r="F30" s="65">
        <v>2.0745547863193569E-8</v>
      </c>
      <c r="G30" s="65">
        <v>2.0729208055342966E-8</v>
      </c>
    </row>
    <row r="31" spans="1:10" x14ac:dyDescent="0.25">
      <c r="B31" s="65" t="s">
        <v>25</v>
      </c>
      <c r="C31" s="65">
        <v>7.2025669707622487E-7</v>
      </c>
      <c r="D31" s="65">
        <v>7.2459079097960034E-7</v>
      </c>
      <c r="E31" s="65">
        <v>7.0236505980595188E-7</v>
      </c>
      <c r="F31" s="65">
        <v>7.5431153420689493E-7</v>
      </c>
      <c r="G31" s="65">
        <v>7.4443560461200862E-7</v>
      </c>
    </row>
    <row r="32" spans="1:10" x14ac:dyDescent="0.25">
      <c r="A32" s="65">
        <f>I22</f>
        <v>2.0693271615743205E-8</v>
      </c>
      <c r="B32" s="5">
        <f>F22</f>
        <v>7.2025669707622487E-7</v>
      </c>
      <c r="C32" s="65">
        <f t="shared" ref="C32:G36" si="6">(C$31-$B32)/SQRT(C$30^2+$A32^2)</f>
        <v>0</v>
      </c>
      <c r="D32" s="65">
        <f t="shared" si="6"/>
        <v>0.14807809081166776</v>
      </c>
      <c r="E32" s="65">
        <f t="shared" si="6"/>
        <v>-0.61171510518632499</v>
      </c>
      <c r="F32" s="65">
        <f t="shared" si="6"/>
        <v>1.162213953422826</v>
      </c>
      <c r="G32" s="65">
        <f t="shared" si="6"/>
        <v>0.82549684045335314</v>
      </c>
    </row>
    <row r="33" spans="1:12" x14ac:dyDescent="0.25">
      <c r="A33" s="65">
        <f>I23</f>
        <v>2.0699309014899344E-8</v>
      </c>
      <c r="B33" s="5">
        <f>F23</f>
        <v>7.2459079097960034E-7</v>
      </c>
      <c r="C33" s="65">
        <f t="shared" si="6"/>
        <v>-0.14807809081166776</v>
      </c>
      <c r="D33" s="65">
        <f t="shared" si="6"/>
        <v>0</v>
      </c>
      <c r="E33" s="65">
        <f t="shared" si="6"/>
        <v>-0.75978681351755928</v>
      </c>
      <c r="F33" s="65">
        <f t="shared" si="6"/>
        <v>1.0141536287778881</v>
      </c>
      <c r="G33" s="65">
        <f t="shared" si="6"/>
        <v>0.67742702992020987</v>
      </c>
    </row>
    <row r="34" spans="1:12" x14ac:dyDescent="0.25">
      <c r="A34" s="65">
        <f>I24</f>
        <v>2.0670088373143471E-8</v>
      </c>
      <c r="B34" s="5">
        <f>F24</f>
        <v>7.0236505980595188E-7</v>
      </c>
      <c r="C34" s="65">
        <f t="shared" si="6"/>
        <v>0.61171510518632499</v>
      </c>
      <c r="D34" s="65">
        <f t="shared" si="6"/>
        <v>0.75978681351755928</v>
      </c>
      <c r="E34" s="65">
        <f t="shared" si="6"/>
        <v>0</v>
      </c>
      <c r="F34" s="65">
        <f t="shared" si="6"/>
        <v>1.7738055805316613</v>
      </c>
      <c r="G34" s="65">
        <f t="shared" si="6"/>
        <v>1.4371421620309845</v>
      </c>
    </row>
    <row r="35" spans="1:12" x14ac:dyDescent="0.25">
      <c r="A35" s="65">
        <f>I25</f>
        <v>2.0745547863193569E-8</v>
      </c>
      <c r="B35" s="5">
        <f>F25</f>
        <v>7.5431153420689493E-7</v>
      </c>
      <c r="C35" s="65">
        <f t="shared" si="6"/>
        <v>-1.162213953422826</v>
      </c>
      <c r="D35" s="65">
        <f t="shared" si="6"/>
        <v>-1.0141536287778881</v>
      </c>
      <c r="E35" s="65">
        <f t="shared" si="6"/>
        <v>-1.7738055805316613</v>
      </c>
      <c r="F35" s="65">
        <f t="shared" si="6"/>
        <v>0</v>
      </c>
      <c r="G35" s="65">
        <f t="shared" si="6"/>
        <v>-0.33675116781068293</v>
      </c>
    </row>
    <row r="36" spans="1:12" x14ac:dyDescent="0.25">
      <c r="A36" s="65">
        <f>I26</f>
        <v>2.0729208055342966E-8</v>
      </c>
      <c r="B36" s="5">
        <f>F26</f>
        <v>7.4443560461200862E-7</v>
      </c>
      <c r="C36" s="65">
        <f t="shared" si="6"/>
        <v>-0.82549684045335314</v>
      </c>
      <c r="D36" s="65">
        <f t="shared" si="6"/>
        <v>-0.67742702992020987</v>
      </c>
      <c r="E36" s="65">
        <f t="shared" si="6"/>
        <v>-1.4371421620309845</v>
      </c>
      <c r="F36" s="65">
        <f t="shared" si="6"/>
        <v>0.33675116781068293</v>
      </c>
      <c r="G36" s="65">
        <f t="shared" si="6"/>
        <v>0</v>
      </c>
    </row>
    <row r="39" spans="1:12" x14ac:dyDescent="0.25">
      <c r="A39" s="65" t="s">
        <v>7</v>
      </c>
    </row>
    <row r="40" spans="1:12" x14ac:dyDescent="0.25">
      <c r="B40" s="65" t="s">
        <v>36</v>
      </c>
      <c r="C40" s="65" t="s">
        <v>27</v>
      </c>
      <c r="D40" s="65" t="s">
        <v>24</v>
      </c>
      <c r="E40" s="65" t="s">
        <v>29</v>
      </c>
      <c r="F40" s="65" t="s">
        <v>37</v>
      </c>
      <c r="G40" s="65" t="s">
        <v>39</v>
      </c>
      <c r="H40" s="65" t="s">
        <v>40</v>
      </c>
      <c r="I40" s="65" t="s">
        <v>41</v>
      </c>
      <c r="J40" s="65" t="s">
        <v>42</v>
      </c>
      <c r="K40" s="65" t="s">
        <v>2</v>
      </c>
      <c r="L40" s="65" t="s">
        <v>43</v>
      </c>
    </row>
    <row r="41" spans="1:12" x14ac:dyDescent="0.25">
      <c r="A41" s="70">
        <v>1</v>
      </c>
      <c r="B41" s="72">
        <v>83.65</v>
      </c>
      <c r="C41" s="65">
        <f>B41-B26</f>
        <v>1.6000000000000085</v>
      </c>
      <c r="D41" s="66">
        <f>$B$12/C41</f>
        <v>3.1249999999999833E-4</v>
      </c>
      <c r="E41" s="66">
        <f>SQRT(2)*D41*$B$13/C41</f>
        <v>6.9053396600248049E-5</v>
      </c>
      <c r="F41" s="66">
        <f>(4*PI()/3)*$F$27^3*($B$9-$B$8)*($B$6/$E$18)*(1+ABS(D41)/$D$27)</f>
        <v>1.4424399689572994E-18</v>
      </c>
      <c r="G41" s="66">
        <f>F41*3/$F$27</f>
        <v>5.9344044898251942E-12</v>
      </c>
      <c r="H41" s="66">
        <f>F41/$E$18</f>
        <v>2.686047360740034E-23</v>
      </c>
      <c r="I41" s="65">
        <f>(4*PI()/3)*$F$27^3*($B$9-$B$8)*($B$6/$E$18)*(1/$D$27)</f>
        <v>4.2048854542325855E-15</v>
      </c>
      <c r="J41" s="66">
        <f>(4*PI()/3)*$F$27^3*($B$9-$B$8)*($B$6/$E$18)*(ABS(D41)/$D$27^2)</f>
        <v>4.3027733911329262E-14</v>
      </c>
      <c r="K41" s="65">
        <f>SQRT(G41^2*$I$27^2+H41^2*$F$18^2+I41^2*E41^2+J41^2*$E$28^2)</f>
        <v>3.168870958143893E-19</v>
      </c>
      <c r="L41" s="69">
        <f>K41/F41</f>
        <v>0.2196882384252416</v>
      </c>
    </row>
    <row r="42" spans="1:12" x14ac:dyDescent="0.25">
      <c r="A42" s="70">
        <v>2</v>
      </c>
      <c r="B42" s="72">
        <v>85.32</v>
      </c>
      <c r="C42" s="65">
        <f>B42-B41</f>
        <v>1.6699999999999875</v>
      </c>
      <c r="D42" s="66">
        <f t="shared" ref="D42:D45" si="7">$B$12/C42</f>
        <v>2.9940119760479269E-4</v>
      </c>
      <c r="E42" s="66">
        <f t="shared" ref="E42:E44" si="8">SQRT(2)*D42*$B$13/C42</f>
        <v>6.3385813509498213E-5</v>
      </c>
      <c r="F42" s="66">
        <f t="shared" ref="F42:F45" si="9">(4*PI()/3)*$F$27^3*($B$9-$B$8)*($B$6/$E$18)*(1+ABS(D42)/$D$27)</f>
        <v>1.3873610052978323E-18</v>
      </c>
      <c r="G42" s="66">
        <f t="shared" ref="G42:G45" si="10">F42*3/$F$27</f>
        <v>5.7078017498359943E-12</v>
      </c>
      <c r="H42" s="66">
        <f t="shared" ref="H42:H45" si="11">F42/$E$18</f>
        <v>2.5834817717701492E-23</v>
      </c>
      <c r="I42" s="65">
        <f t="shared" ref="I42:I45" si="12">(4*PI()/3)*$F$27^3*($B$9-$B$8)*($B$6/$E$18)*(1/$D$27)</f>
        <v>4.2048854542325855E-15</v>
      </c>
      <c r="J42" s="66">
        <f t="shared" ref="J42:J45" si="13">(4*PI()/3)*$F$27^3*($B$9-$B$8)*($B$6/$E$18)*(ABS(D42)/$D$27^2)</f>
        <v>4.122417620247169E-14</v>
      </c>
      <c r="K42" s="65">
        <f t="shared" ref="K42:K45" si="14">SQRT(G42^2*$I$27^2+H42^2*$F$18^2+I42^2*E42^2+J42^2*$E$28^2)</f>
        <v>2.9314415556949665E-19</v>
      </c>
      <c r="L42" s="69">
        <f t="shared" ref="L42:L45" si="15">K42/F42</f>
        <v>0.21129623396512129</v>
      </c>
    </row>
    <row r="43" spans="1:12" x14ac:dyDescent="0.25">
      <c r="A43" s="70">
        <v>3</v>
      </c>
      <c r="B43" s="72">
        <v>86.86</v>
      </c>
      <c r="C43" s="65">
        <f>B43-B42</f>
        <v>1.5400000000000063</v>
      </c>
      <c r="D43" s="66">
        <f t="shared" si="7"/>
        <v>3.2467532467532337E-4</v>
      </c>
      <c r="E43" s="66">
        <f t="shared" si="8"/>
        <v>7.4539001221384497E-5</v>
      </c>
      <c r="F43" s="66">
        <f t="shared" si="9"/>
        <v>1.4936358145851327E-18</v>
      </c>
      <c r="G43" s="66">
        <f t="shared" si="10"/>
        <v>6.1450315264386026E-12</v>
      </c>
      <c r="H43" s="66">
        <f t="shared" si="11"/>
        <v>2.7813819805432426E-23</v>
      </c>
      <c r="I43" s="65">
        <f t="shared" si="12"/>
        <v>4.2048854542325855E-15</v>
      </c>
      <c r="J43" s="66">
        <f t="shared" si="13"/>
        <v>4.4704139128653849E-14</v>
      </c>
      <c r="K43" s="65">
        <f t="shared" si="14"/>
        <v>3.3987361400755015E-19</v>
      </c>
      <c r="L43" s="69">
        <f t="shared" si="15"/>
        <v>0.22754784713163315</v>
      </c>
    </row>
    <row r="44" spans="1:12" x14ac:dyDescent="0.25">
      <c r="A44" s="70">
        <v>4</v>
      </c>
      <c r="B44" s="72">
        <v>88.37</v>
      </c>
      <c r="C44" s="65">
        <f>B44-B43</f>
        <v>1.5100000000000051</v>
      </c>
      <c r="D44" s="66">
        <f t="shared" si="7"/>
        <v>3.311258278145684E-4</v>
      </c>
      <c r="E44" s="66">
        <f t="shared" si="8"/>
        <v>7.7530237838970074E-5</v>
      </c>
      <c r="F44" s="66">
        <f t="shared" si="9"/>
        <v>1.5207594414078258E-18</v>
      </c>
      <c r="G44" s="66">
        <f t="shared" si="10"/>
        <v>6.2566220094125928E-12</v>
      </c>
      <c r="H44" s="66">
        <f t="shared" si="11"/>
        <v>2.8318903883860018E-23</v>
      </c>
      <c r="I44" s="65">
        <f t="shared" si="12"/>
        <v>4.2048854542325855E-15</v>
      </c>
      <c r="J44" s="66">
        <f t="shared" si="13"/>
        <v>4.5592300833196662E-14</v>
      </c>
      <c r="K44" s="65">
        <f t="shared" si="14"/>
        <v>3.5241016477215469E-19</v>
      </c>
      <c r="L44" s="69">
        <f t="shared" si="15"/>
        <v>0.23173301126831405</v>
      </c>
    </row>
    <row r="45" spans="1:12" x14ac:dyDescent="0.25">
      <c r="A45" s="70">
        <v>5</v>
      </c>
      <c r="B45" s="72">
        <v>90.1</v>
      </c>
      <c r="C45" s="65">
        <f>B45-B44</f>
        <v>1.7299999999999898</v>
      </c>
      <c r="D45" s="66">
        <f t="shared" si="7"/>
        <v>2.8901734104046413E-4</v>
      </c>
      <c r="E45" s="66">
        <f>SQRT(2)*D45*$B$13/C45</f>
        <v>5.9065353101219207E-5</v>
      </c>
      <c r="F45" s="66">
        <f t="shared" si="9"/>
        <v>1.3436980778716495E-18</v>
      </c>
      <c r="G45" s="66">
        <f t="shared" si="10"/>
        <v>5.5281662168965151E-12</v>
      </c>
      <c r="H45" s="66">
        <f t="shared" si="11"/>
        <v>2.502174616187057E-23</v>
      </c>
      <c r="I45" s="65">
        <f t="shared" si="12"/>
        <v>4.2048854542325855E-15</v>
      </c>
      <c r="J45" s="66">
        <f t="shared" si="13"/>
        <v>3.9794435987356999E-14</v>
      </c>
      <c r="K45" s="65">
        <f t="shared" si="14"/>
        <v>2.7504919049560549E-19</v>
      </c>
      <c r="L45" s="69">
        <f t="shared" si="15"/>
        <v>0.20469567905557298</v>
      </c>
    </row>
    <row r="46" spans="1:12" x14ac:dyDescent="0.25">
      <c r="L46" s="69"/>
    </row>
    <row r="47" spans="1:12" x14ac:dyDescent="0.25">
      <c r="L47" s="69"/>
    </row>
    <row r="49" spans="1:12" x14ac:dyDescent="0.25">
      <c r="A49" s="65" t="s">
        <v>7</v>
      </c>
    </row>
    <row r="50" spans="1:12" x14ac:dyDescent="0.25">
      <c r="B50" s="65" t="s">
        <v>23</v>
      </c>
      <c r="C50" s="65" t="s">
        <v>27</v>
      </c>
      <c r="D50" s="65" t="s">
        <v>24</v>
      </c>
      <c r="E50" s="65" t="s">
        <v>29</v>
      </c>
      <c r="F50" s="65" t="s">
        <v>37</v>
      </c>
      <c r="G50" s="65" t="s">
        <v>39</v>
      </c>
      <c r="H50" s="65" t="s">
        <v>40</v>
      </c>
      <c r="I50" s="65" t="s">
        <v>41</v>
      </c>
      <c r="J50" s="65" t="s">
        <v>42</v>
      </c>
      <c r="K50" s="65" t="s">
        <v>2</v>
      </c>
      <c r="L50" s="65" t="s">
        <v>43</v>
      </c>
    </row>
    <row r="51" spans="1:12" x14ac:dyDescent="0.25">
      <c r="A51" s="70">
        <v>6</v>
      </c>
      <c r="B51" s="73">
        <v>91.45</v>
      </c>
      <c r="C51" s="65">
        <f>B51-B45</f>
        <v>1.3500000000000085</v>
      </c>
      <c r="D51" s="66">
        <f>$B$12/C51</f>
        <v>3.7037037037036802E-4</v>
      </c>
      <c r="E51" s="66">
        <f>SQRT(2)*D51*$B$13/C51</f>
        <v>9.6996814977577304E-5</v>
      </c>
      <c r="F51" s="66">
        <f>-(4*PI()/3)*$F$27^3*($B$9-$B$8)*($B$6/$E$18)*(1-ABS(D51)/$D$27)</f>
        <v>1.4289517185394724E-18</v>
      </c>
      <c r="G51" s="66">
        <f>F51*3/$F$27</f>
        <v>5.8789118970226655E-12</v>
      </c>
      <c r="H51" s="66">
        <f>F51/$E$18</f>
        <v>2.660930142543429E-23</v>
      </c>
      <c r="I51" s="65">
        <f>-(4*PI()/3)*$F$27^3*($B$9-$B$8)*($B$6/$E$18)*(-1/$D$27)</f>
        <v>4.2048854542325855E-15</v>
      </c>
      <c r="J51" s="66">
        <f>-(4*PI()/3)*$F$27^3*($B$9-$B$8)*($B$6/$E$18)*(-ABS(D51)/$D$27^2)</f>
        <v>5.0995832783797601E-14</v>
      </c>
      <c r="K51" s="65">
        <f>SQRT(G51^2*$I$27^2+H51^2*$F$18^2+I51^2*E51^2+J51^2*$E$28^2)</f>
        <v>4.271949834330331E-19</v>
      </c>
      <c r="L51" s="69">
        <f>K51/F51</f>
        <v>0.29895690518477974</v>
      </c>
    </row>
    <row r="52" spans="1:12" x14ac:dyDescent="0.25">
      <c r="A52" s="70">
        <v>7</v>
      </c>
      <c r="B52" s="73">
        <v>92.77</v>
      </c>
      <c r="C52" s="65">
        <f>B52-B51</f>
        <v>1.3199999999999932</v>
      </c>
      <c r="D52" s="66">
        <f t="shared" ref="D52:D55" si="16">$B$12/C52</f>
        <v>3.7878787878788074E-4</v>
      </c>
      <c r="E52" s="66">
        <f t="shared" ref="E52:E54" si="17">SQRT(2)*D52*$B$13/C52</f>
        <v>1.0145586277355297E-4</v>
      </c>
      <c r="F52" s="66">
        <f t="shared" ref="F52:F55" si="18">-(4*PI()/3)*$F$27^3*($B$9-$B$8)*($B$6/$E$18)*(1-ABS(D52)/$D$27)</f>
        <v>1.4643463772451523E-18</v>
      </c>
      <c r="G52" s="66">
        <f t="shared" ref="G52:G55" si="19">F52*3/$F$27</f>
        <v>6.0245305890023772E-12</v>
      </c>
      <c r="H52" s="66">
        <f t="shared" ref="H52:H55" si="20">F52/$E$18</f>
        <v>2.7268404969753093E-23</v>
      </c>
      <c r="I52" s="65">
        <f t="shared" ref="I52:I55" si="21">-(4*PI()/3)*$F$27^3*($B$9-$B$8)*($B$6/$E$18)*(-1/$D$27)</f>
        <v>4.2048854542325855E-15</v>
      </c>
      <c r="J52" s="66">
        <f t="shared" ref="J52:J55" si="22">-(4*PI()/3)*$F$27^3*($B$9-$B$8)*($B$6/$E$18)*(-ABS(D52)/$D$27^2)</f>
        <v>5.2154828983429963E-14</v>
      </c>
      <c r="K52" s="65">
        <f t="shared" ref="K52:K55" si="23">SQRT(G52^2*$I$27^2+H52^2*$F$18^2+I52^2*E52^2+J52^2*$E$28^2)</f>
        <v>4.4603447480076715E-19</v>
      </c>
      <c r="L52" s="69">
        <f t="shared" ref="L52:L55" si="24">K52/F52</f>
        <v>0.30459629069447597</v>
      </c>
    </row>
    <row r="53" spans="1:12" x14ac:dyDescent="0.25">
      <c r="A53" s="70">
        <v>8</v>
      </c>
      <c r="B53" s="73">
        <v>94.05</v>
      </c>
      <c r="C53" s="65">
        <f>B53-B52</f>
        <v>1.2800000000000011</v>
      </c>
      <c r="D53" s="66">
        <f t="shared" si="16"/>
        <v>3.9062499999999964E-4</v>
      </c>
      <c r="E53" s="66">
        <f t="shared" si="17"/>
        <v>1.0789593218788854E-4</v>
      </c>
      <c r="F53" s="66">
        <f t="shared" si="18"/>
        <v>1.5141201160499789E-18</v>
      </c>
      <c r="G53" s="66">
        <f t="shared" si="19"/>
        <v>6.2293068745986983E-12</v>
      </c>
      <c r="H53" s="66">
        <f t="shared" si="20"/>
        <v>2.819526932895074E-23</v>
      </c>
      <c r="I53" s="65">
        <f t="shared" si="21"/>
        <v>4.2048854542325855E-15</v>
      </c>
      <c r="J53" s="66">
        <f t="shared" si="22"/>
        <v>5.3784667389161825E-14</v>
      </c>
      <c r="K53" s="65">
        <f t="shared" si="23"/>
        <v>4.7323389895300145E-19</v>
      </c>
      <c r="L53" s="69">
        <f t="shared" si="24"/>
        <v>0.3125471314571589</v>
      </c>
    </row>
    <row r="54" spans="1:12" x14ac:dyDescent="0.25">
      <c r="A54" s="70">
        <v>9</v>
      </c>
      <c r="B54" s="73">
        <v>95.46</v>
      </c>
      <c r="C54" s="65">
        <f>B54-B53</f>
        <v>1.4099999999999966</v>
      </c>
      <c r="D54" s="66">
        <f t="shared" si="16"/>
        <v>3.5460992907801508E-4</v>
      </c>
      <c r="E54" s="66">
        <f t="shared" si="17"/>
        <v>8.8917406215299912E-5</v>
      </c>
      <c r="F54" s="66">
        <f t="shared" si="18"/>
        <v>1.3626808681969712E-18</v>
      </c>
      <c r="G54" s="66">
        <f t="shared" si="19"/>
        <v>5.6062641333161717E-12</v>
      </c>
      <c r="H54" s="66">
        <f t="shared" si="20"/>
        <v>2.5375235214795732E-23</v>
      </c>
      <c r="I54" s="65">
        <f t="shared" si="21"/>
        <v>4.2048854542325855E-15</v>
      </c>
      <c r="J54" s="66">
        <f t="shared" si="22"/>
        <v>4.8825797346189625E-14</v>
      </c>
      <c r="K54" s="65">
        <f t="shared" si="23"/>
        <v>3.9304274216288981E-19</v>
      </c>
      <c r="L54" s="69">
        <f t="shared" si="24"/>
        <v>0.28843344860557385</v>
      </c>
    </row>
    <row r="55" spans="1:12" x14ac:dyDescent="0.25">
      <c r="A55" s="70">
        <v>10</v>
      </c>
      <c r="B55" s="73">
        <v>96.8</v>
      </c>
      <c r="C55" s="65">
        <f>B55-B54</f>
        <v>1.3400000000000034</v>
      </c>
      <c r="D55" s="66">
        <f t="shared" si="16"/>
        <v>3.7313432835820804E-4</v>
      </c>
      <c r="E55" s="66">
        <f>SQRT(2)*D55*$B$13/C55</f>
        <v>9.8449930550588115E-5</v>
      </c>
      <c r="F55" s="66">
        <f t="shared" si="18"/>
        <v>1.4405738452786509E-18</v>
      </c>
      <c r="G55" s="66">
        <f t="shared" si="19"/>
        <v>5.9267269899115267E-12</v>
      </c>
      <c r="H55" s="66">
        <f t="shared" si="20"/>
        <v>2.682572348476285E-23</v>
      </c>
      <c r="I55" s="65">
        <f t="shared" si="21"/>
        <v>4.2048854542325855E-15</v>
      </c>
      <c r="J55" s="66">
        <f t="shared" si="22"/>
        <v>5.1376398700094802E-14</v>
      </c>
      <c r="K55" s="65">
        <f t="shared" si="23"/>
        <v>4.3333506491160177E-19</v>
      </c>
      <c r="L55" s="69">
        <f t="shared" si="24"/>
        <v>0.30080725561679317</v>
      </c>
    </row>
    <row r="56" spans="1:12" x14ac:dyDescent="0.25">
      <c r="L56" s="69"/>
    </row>
    <row r="57" spans="1:12" x14ac:dyDescent="0.25">
      <c r="L57" s="69"/>
    </row>
    <row r="59" spans="1:12" x14ac:dyDescent="0.25">
      <c r="B59" s="65" t="s">
        <v>38</v>
      </c>
    </row>
    <row r="60" spans="1:12" x14ac:dyDescent="0.25">
      <c r="A60" s="66"/>
      <c r="B60" s="65" t="s">
        <v>44</v>
      </c>
      <c r="C60" s="65" t="s">
        <v>45</v>
      </c>
    </row>
    <row r="61" spans="1:12" x14ac:dyDescent="0.25">
      <c r="A61" s="65">
        <v>1</v>
      </c>
      <c r="B61" s="66">
        <f>F41</f>
        <v>1.4424399689572994E-18</v>
      </c>
      <c r="C61" s="65">
        <f>K41</f>
        <v>3.168870958143893E-19</v>
      </c>
    </row>
    <row r="62" spans="1:12" x14ac:dyDescent="0.25">
      <c r="A62" s="65">
        <v>2</v>
      </c>
      <c r="B62" s="66">
        <f t="shared" ref="B62:B65" si="25">F42</f>
        <v>1.3873610052978323E-18</v>
      </c>
      <c r="C62" s="65">
        <f t="shared" ref="C62:C65" si="26">K42</f>
        <v>2.9314415556949665E-19</v>
      </c>
    </row>
    <row r="63" spans="1:12" x14ac:dyDescent="0.25">
      <c r="A63" s="65">
        <v>3</v>
      </c>
      <c r="B63" s="66">
        <f t="shared" si="25"/>
        <v>1.4936358145851327E-18</v>
      </c>
      <c r="C63" s="65">
        <f t="shared" si="26"/>
        <v>3.3987361400755015E-19</v>
      </c>
    </row>
    <row r="64" spans="1:12" x14ac:dyDescent="0.25">
      <c r="A64" s="65">
        <v>4</v>
      </c>
      <c r="B64" s="66">
        <f t="shared" si="25"/>
        <v>1.5207594414078258E-18</v>
      </c>
      <c r="C64" s="65">
        <f t="shared" si="26"/>
        <v>3.5241016477215469E-19</v>
      </c>
    </row>
    <row r="65" spans="1:3" x14ac:dyDescent="0.25">
      <c r="A65" s="65">
        <v>5</v>
      </c>
      <c r="B65" s="66">
        <f t="shared" si="25"/>
        <v>1.3436980778716495E-18</v>
      </c>
      <c r="C65" s="65">
        <f t="shared" si="26"/>
        <v>2.7504919049560549E-19</v>
      </c>
    </row>
    <row r="66" spans="1:3" x14ac:dyDescent="0.25">
      <c r="A66" s="65">
        <v>6</v>
      </c>
      <c r="B66" s="66">
        <f>F51</f>
        <v>1.4289517185394724E-18</v>
      </c>
      <c r="C66" s="65">
        <f>K51</f>
        <v>4.271949834330331E-19</v>
      </c>
    </row>
    <row r="67" spans="1:3" x14ac:dyDescent="0.25">
      <c r="A67" s="65">
        <v>7</v>
      </c>
      <c r="B67" s="66">
        <f t="shared" ref="B67:B70" si="27">F52</f>
        <v>1.4643463772451523E-18</v>
      </c>
      <c r="C67" s="65">
        <f t="shared" ref="C67:C70" si="28">K52</f>
        <v>4.4603447480076715E-19</v>
      </c>
    </row>
    <row r="68" spans="1:3" x14ac:dyDescent="0.25">
      <c r="A68" s="65">
        <v>8</v>
      </c>
      <c r="B68" s="66">
        <f t="shared" si="27"/>
        <v>1.5141201160499789E-18</v>
      </c>
      <c r="C68" s="65">
        <f t="shared" si="28"/>
        <v>4.7323389895300145E-19</v>
      </c>
    </row>
    <row r="69" spans="1:3" x14ac:dyDescent="0.25">
      <c r="A69" s="65">
        <v>9</v>
      </c>
      <c r="B69" s="66">
        <f t="shared" si="27"/>
        <v>1.3626808681969712E-18</v>
      </c>
      <c r="C69" s="65">
        <f t="shared" si="28"/>
        <v>3.9304274216288981E-19</v>
      </c>
    </row>
    <row r="70" spans="1:3" x14ac:dyDescent="0.25">
      <c r="A70" s="65">
        <v>10</v>
      </c>
      <c r="B70" s="66">
        <f t="shared" si="27"/>
        <v>1.4405738452786509E-18</v>
      </c>
      <c r="C70" s="65">
        <f t="shared" si="28"/>
        <v>4.3333506491160177E-19</v>
      </c>
    </row>
  </sheetData>
  <mergeCells count="2">
    <mergeCell ref="A1:C2"/>
    <mergeCell ref="A14:C15"/>
  </mergeCells>
  <conditionalFormatting sqref="C32:G36">
    <cfRule type="cellIs" dxfId="44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51660ADB-4490-45EE-B059-B462BA843070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B9CE5AE7-D015-4A53-ACF8-214656E1E6DA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0" workbookViewId="0">
      <selection activeCell="B5" sqref="B5:C13"/>
    </sheetView>
  </sheetViews>
  <sheetFormatPr defaultRowHeight="15" x14ac:dyDescent="0.25"/>
  <cols>
    <col min="1" max="1" width="13.140625" style="73" customWidth="1"/>
    <col min="2" max="2" width="9.140625" style="73"/>
    <col min="3" max="5" width="12" style="73" customWidth="1"/>
    <col min="6" max="7" width="12.140625" style="73" customWidth="1"/>
    <col min="8" max="9" width="12" style="73" customWidth="1"/>
    <col min="10" max="10" width="9.140625" style="73"/>
    <col min="11" max="11" width="12" style="73" customWidth="1"/>
    <col min="12" max="16384" width="9.140625" style="73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73" t="s">
        <v>1</v>
      </c>
      <c r="C4" s="73" t="s">
        <v>2</v>
      </c>
    </row>
    <row r="5" spans="1:5" x14ac:dyDescent="0.25">
      <c r="A5" s="73" t="str">
        <f>[1]Dati!A5</f>
        <v>d</v>
      </c>
      <c r="B5" s="74">
        <f>Dati!B5</f>
        <v>7.4300000000000008E-3</v>
      </c>
      <c r="C5" s="179">
        <f>Dati!C5</f>
        <v>1.0000000000000001E-5</v>
      </c>
    </row>
    <row r="6" spans="1:5" x14ac:dyDescent="0.25">
      <c r="A6" s="73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73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73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73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73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73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73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73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76"/>
    </row>
    <row r="15" spans="1:5" x14ac:dyDescent="0.25">
      <c r="A15" s="193"/>
      <c r="B15" s="193"/>
      <c r="C15" s="193"/>
      <c r="D15" s="76"/>
    </row>
    <row r="16" spans="1:5" x14ac:dyDescent="0.25">
      <c r="A16" s="73" t="s">
        <v>18</v>
      </c>
      <c r="B16" s="73">
        <v>399</v>
      </c>
      <c r="C16" s="73">
        <f>B16/100</f>
        <v>3.99</v>
      </c>
      <c r="D16" s="73" t="s">
        <v>19</v>
      </c>
      <c r="E16" s="73">
        <f>(1.8+(B18-15)*0.004765)*0.00001</f>
        <v>1.8262075000000001E-5</v>
      </c>
    </row>
    <row r="17" spans="1:10" x14ac:dyDescent="0.25">
      <c r="A17" s="73" t="s">
        <v>20</v>
      </c>
      <c r="E17" s="75"/>
    </row>
    <row r="18" spans="1:10" x14ac:dyDescent="0.25">
      <c r="A18" s="73" t="s">
        <v>21</v>
      </c>
      <c r="B18" s="73">
        <v>20.5</v>
      </c>
      <c r="C18" s="73">
        <v>0.5</v>
      </c>
      <c r="D18" s="73" t="s">
        <v>22</v>
      </c>
      <c r="E18" s="74">
        <f>B16/B5</f>
        <v>53701.211305518162</v>
      </c>
      <c r="F18" s="73">
        <f>SQRT((C16/B5)^2+(B16*C5/B5^2)^2)</f>
        <v>541.85409256032881</v>
      </c>
      <c r="G18" s="74"/>
    </row>
    <row r="21" spans="1:10" x14ac:dyDescent="0.25">
      <c r="B21" s="73" t="s">
        <v>23</v>
      </c>
      <c r="C21" s="73" t="s">
        <v>27</v>
      </c>
      <c r="D21" s="73" t="s">
        <v>24</v>
      </c>
      <c r="E21" s="73" t="s">
        <v>29</v>
      </c>
      <c r="F21" s="73" t="s">
        <v>25</v>
      </c>
      <c r="G21" s="73" t="s">
        <v>26</v>
      </c>
      <c r="H21" s="73" t="s">
        <v>28</v>
      </c>
      <c r="I21" s="73" t="s">
        <v>31</v>
      </c>
      <c r="J21" s="73" t="s">
        <v>32</v>
      </c>
    </row>
    <row r="22" spans="1:10" x14ac:dyDescent="0.25">
      <c r="A22" s="73">
        <v>1</v>
      </c>
      <c r="B22" s="79">
        <v>18.989999999999998</v>
      </c>
      <c r="C22" s="73">
        <f>B22</f>
        <v>18.989999999999998</v>
      </c>
      <c r="D22" s="74">
        <f>B12/B22</f>
        <v>2.6329647182727753E-5</v>
      </c>
      <c r="E22" s="74">
        <f>SQRT(2)*D22*$B$13/C22</f>
        <v>4.9020200287404096E-7</v>
      </c>
      <c r="F22" s="5">
        <f>(($B$10/(2*$B$7))^2+9*$E$16*D22/(2*$B$6*($B$9-$B$8)))^(1/2)-$B$10/(2*$B$7)</f>
        <v>6.7454350906654082E-7</v>
      </c>
      <c r="G22" s="73">
        <f>(($B$10/(2*$B$7))^2+9*$E$16*D22/(2*$B$6*($B$9-$B$8)))^(-1/2)*(9*$E$16)/(4*$B$6*$B$9)</f>
        <v>4.5324363326981207E-3</v>
      </c>
      <c r="H22" s="73">
        <f>(($B$10/(2*$B$7))^2+9*$E$16*D22/(2*$B$6*($B$9-$B$8)))^(-1/2)*((9*D22)/(4*$B$6*$B$9))*0.00000004765</f>
        <v>3.1137915431506671E-10</v>
      </c>
      <c r="I22" s="73">
        <f>SQRT(G22^2*E22^2+H22^2*$C$18^2+$F$28^2)</f>
        <v>3.808770260113577E-8</v>
      </c>
      <c r="J22" s="74">
        <f>I22/F22</f>
        <v>5.6464411990033075E-2</v>
      </c>
    </row>
    <row r="23" spans="1:10" x14ac:dyDescent="0.25">
      <c r="A23" s="73">
        <v>2</v>
      </c>
      <c r="B23" s="79">
        <v>34.340000000000003</v>
      </c>
      <c r="C23" s="73">
        <f>B23-B22</f>
        <v>15.350000000000005</v>
      </c>
      <c r="D23" s="74">
        <f>$B$12/(B23-B22)</f>
        <v>3.2573289902280121E-5</v>
      </c>
      <c r="E23" s="74">
        <f t="shared" ref="E23:E25" si="0">SQRT(2)*D23*$B$13/C23</f>
        <v>7.5025388193672848E-7</v>
      </c>
      <c r="F23" s="5">
        <f>(($B$10/(2*$B$7))^2+9*E16*D23/(2*$B$6*($B$9-$B$8)))^(1/2)-$B$10/(2*$B$7)</f>
        <v>7.545697057213781E-7</v>
      </c>
      <c r="G23" s="73">
        <f t="shared" ref="G23:G27" si="1">(($B$10/(2*$B$7))^2+9*$E$16*D23/(2*$B$6*($B$9-$B$8)))^(-1/2)*(9*$E$16)/(4*$B$6*$B$9)</f>
        <v>4.0762120175350785E-3</v>
      </c>
      <c r="H23" s="73">
        <f t="shared" ref="H23:H27" si="2">(($B$10/(2*$B$7))^2+9*$E$16*D23/(2*$B$6*($B$9-$B$8)))^(-1/2)*((9*D23)/(4*$B$6*$B$9))*0.00000004765</f>
        <v>3.4644250686207024E-10</v>
      </c>
      <c r="I23" s="73">
        <f t="shared" ref="I23:I27" si="3">SQRT(G23^2*E23^2+H23^2*$C$18^2+$F$28^2)</f>
        <v>3.8145707082049539E-8</v>
      </c>
      <c r="J23" s="74">
        <f t="shared" ref="J23:J27" si="4">I23/F23</f>
        <v>5.0552926777761062E-2</v>
      </c>
    </row>
    <row r="24" spans="1:10" x14ac:dyDescent="0.25">
      <c r="A24" s="73">
        <v>3</v>
      </c>
      <c r="B24" s="79">
        <v>50.83</v>
      </c>
      <c r="C24" s="73">
        <f t="shared" ref="C24:C26" si="5">B24-B23</f>
        <v>16.489999999999995</v>
      </c>
      <c r="D24" s="74">
        <f>$B$12/(B24-B23)</f>
        <v>3.0321406913280787E-5</v>
      </c>
      <c r="E24" s="74">
        <f t="shared" si="0"/>
        <v>6.5010528937227156E-7</v>
      </c>
      <c r="F24" s="5">
        <f>(($B$10/(2*$B$7))^2+9*E16*D24/(2*$B$6*($B$9-$B$8)))^(1/2)-$B$10/(2*$B$7)</f>
        <v>7.2666990358621324E-7</v>
      </c>
      <c r="G24" s="73">
        <f t="shared" si="1"/>
        <v>4.2244593181331273E-3</v>
      </c>
      <c r="H24" s="73">
        <f t="shared" si="2"/>
        <v>3.3422063792025444E-10</v>
      </c>
      <c r="I24" s="73">
        <f t="shared" si="3"/>
        <v>3.8121945660739606E-8</v>
      </c>
      <c r="J24" s="74">
        <f t="shared" si="4"/>
        <v>5.2461159424110865E-2</v>
      </c>
    </row>
    <row r="25" spans="1:10" x14ac:dyDescent="0.25">
      <c r="A25" s="73">
        <v>4</v>
      </c>
      <c r="B25" s="79">
        <v>65.599999999999994</v>
      </c>
      <c r="C25" s="73">
        <f t="shared" si="5"/>
        <v>14.769999999999996</v>
      </c>
      <c r="D25" s="74">
        <f>$B$12/(B25-B24)</f>
        <v>3.3852403520649973E-5</v>
      </c>
      <c r="E25" s="74">
        <f t="shared" si="0"/>
        <v>8.1033392311831274E-7</v>
      </c>
      <c r="F25" s="5">
        <f>(($B$10/(2*$B$7))^2+9*E16*D25/(2*$B$6*($B$9-$B$8)))^(1/2)-$B$10/(2*$B$7)</f>
        <v>7.6998973294157078E-7</v>
      </c>
      <c r="G25" s="73">
        <f t="shared" si="1"/>
        <v>3.9986563113435878E-3</v>
      </c>
      <c r="H25" s="73">
        <f t="shared" si="2"/>
        <v>3.5319648239143971E-10</v>
      </c>
      <c r="I25" s="73">
        <f t="shared" si="3"/>
        <v>3.8160749467823585E-8</v>
      </c>
      <c r="J25" s="74">
        <f t="shared" si="4"/>
        <v>4.9560075719502279E-2</v>
      </c>
    </row>
    <row r="26" spans="1:10" x14ac:dyDescent="0.25">
      <c r="A26" s="73">
        <v>5</v>
      </c>
      <c r="B26" s="79">
        <v>83</v>
      </c>
      <c r="C26" s="73">
        <f t="shared" si="5"/>
        <v>17.400000000000006</v>
      </c>
      <c r="D26" s="74">
        <f>$B$12/(B26-B25)</f>
        <v>2.8735632183908038E-5</v>
      </c>
      <c r="E26" s="74">
        <f>SQRT(2)*D26*$B$13/C26</f>
        <v>5.8388391893459099E-7</v>
      </c>
      <c r="F26" s="5">
        <f>(($B$10/(2*$B$7))^2+9*E16*D26/(2*$B$6*($B$9-$B$8)))^(1/2)-$B$10/(2*$B$7)</f>
        <v>7.0639775421849779E-7</v>
      </c>
      <c r="G26" s="73">
        <f t="shared" si="1"/>
        <v>4.3391242967048861E-3</v>
      </c>
      <c r="H26" s="73">
        <f t="shared" si="2"/>
        <v>3.2533862729241579E-10</v>
      </c>
      <c r="I26" s="73">
        <f t="shared" si="3"/>
        <v>3.8107187306083642E-8</v>
      </c>
      <c r="J26" s="74">
        <f t="shared" si="4"/>
        <v>5.3945793398285077E-2</v>
      </c>
    </row>
    <row r="27" spans="1:10" x14ac:dyDescent="0.25">
      <c r="A27" s="7" t="s">
        <v>34</v>
      </c>
      <c r="B27" s="7"/>
      <c r="C27" s="7">
        <f>AVERAGE(C22:C26)</f>
        <v>16.600000000000001</v>
      </c>
      <c r="D27" s="7">
        <f>AVERAGE(D22:D26)</f>
        <v>3.0362475940569333E-5</v>
      </c>
      <c r="E27" s="8">
        <f>SQRT(2)*D27*$B$13/C27</f>
        <v>6.4667206720451726E-7</v>
      </c>
      <c r="F27" s="9">
        <f>AVERAGE(F22:F26)</f>
        <v>7.2643412110684012E-7</v>
      </c>
      <c r="G27" s="7">
        <f t="shared" si="1"/>
        <v>4.2216092414815503E-3</v>
      </c>
      <c r="H27" s="7">
        <f t="shared" si="2"/>
        <v>3.3444753430482345E-10</v>
      </c>
      <c r="I27" s="7">
        <f t="shared" si="3"/>
        <v>3.8120772021301206E-8</v>
      </c>
      <c r="J27" s="8">
        <f t="shared" si="4"/>
        <v>5.2476571396753817E-2</v>
      </c>
    </row>
    <row r="28" spans="1:10" x14ac:dyDescent="0.25">
      <c r="A28" s="73" t="s">
        <v>35</v>
      </c>
      <c r="C28" s="6">
        <f>_xlfn.STDEV.S(C22:C26)</f>
        <v>1.6789580101956096</v>
      </c>
      <c r="D28" s="74">
        <f>_xlfn.STDEV.S(D22:D26)</f>
        <v>2.9991377073738705E-6</v>
      </c>
      <c r="E28" s="8">
        <f>SQRT(2)*D28*$B$13/C28</f>
        <v>6.3155558320045854E-7</v>
      </c>
      <c r="F28" s="74">
        <f>_xlfn.STDEV.S(F22:F26)</f>
        <v>3.8022525078163373E-8</v>
      </c>
    </row>
    <row r="30" spans="1:10" x14ac:dyDescent="0.25">
      <c r="A30" s="73" t="s">
        <v>31</v>
      </c>
      <c r="C30" s="73">
        <f t="array" ref="C30:G31">TRANSPOSE(A32:B36)</f>
        <v>3.808770260113577E-8</v>
      </c>
      <c r="D30" s="73">
        <v>3.8145707082049539E-8</v>
      </c>
      <c r="E30" s="73">
        <v>3.8121945660739606E-8</v>
      </c>
      <c r="F30" s="73">
        <v>3.8160749467823585E-8</v>
      </c>
      <c r="G30" s="73">
        <v>3.8107187306083642E-8</v>
      </c>
    </row>
    <row r="31" spans="1:10" x14ac:dyDescent="0.25">
      <c r="B31" s="73" t="s">
        <v>25</v>
      </c>
      <c r="C31" s="73">
        <v>6.7454350906654082E-7</v>
      </c>
      <c r="D31" s="73">
        <v>7.545697057213781E-7</v>
      </c>
      <c r="E31" s="73">
        <v>7.2666990358621324E-7</v>
      </c>
      <c r="F31" s="73">
        <v>7.6998973294157078E-7</v>
      </c>
      <c r="G31" s="73">
        <v>7.0639775421849779E-7</v>
      </c>
    </row>
    <row r="32" spans="1:10" x14ac:dyDescent="0.25">
      <c r="A32" s="73">
        <f>I22</f>
        <v>3.808770260113577E-8</v>
      </c>
      <c r="B32" s="5">
        <f>F22</f>
        <v>6.7454350906654082E-7</v>
      </c>
      <c r="C32" s="73">
        <f t="shared" ref="C32:G36" si="6">(C$31-$B32)/SQRT(C$30^2+$A32^2)</f>
        <v>0</v>
      </c>
      <c r="D32" s="73">
        <f t="shared" si="6"/>
        <v>1.484573500835491</v>
      </c>
      <c r="E32" s="73">
        <f t="shared" si="6"/>
        <v>0.96730333136288094</v>
      </c>
      <c r="F32" s="73">
        <f t="shared" si="6"/>
        <v>1.770282263794432</v>
      </c>
      <c r="G32" s="73">
        <f t="shared" si="6"/>
        <v>0.59122999055394287</v>
      </c>
    </row>
    <row r="33" spans="1:12" x14ac:dyDescent="0.25">
      <c r="A33" s="73">
        <f>I23</f>
        <v>3.8145707082049539E-8</v>
      </c>
      <c r="B33" s="5">
        <f>F23</f>
        <v>7.545697057213781E-7</v>
      </c>
      <c r="C33" s="73">
        <f t="shared" si="6"/>
        <v>-1.484573500835491</v>
      </c>
      <c r="D33" s="73">
        <f t="shared" si="6"/>
        <v>0</v>
      </c>
      <c r="E33" s="73">
        <f t="shared" si="6"/>
        <v>-0.5173395959257252</v>
      </c>
      <c r="F33" s="73">
        <f t="shared" si="6"/>
        <v>0.28578461363860902</v>
      </c>
      <c r="G33" s="73">
        <f t="shared" si="6"/>
        <v>-0.89341419752937923</v>
      </c>
    </row>
    <row r="34" spans="1:12" x14ac:dyDescent="0.25">
      <c r="A34" s="73">
        <f>I24</f>
        <v>3.8121945660739606E-8</v>
      </c>
      <c r="B34" s="5">
        <f>F24</f>
        <v>7.2666990358621324E-7</v>
      </c>
      <c r="C34" s="73">
        <f t="shared" si="6"/>
        <v>-0.96730333136288094</v>
      </c>
      <c r="D34" s="73">
        <f t="shared" si="6"/>
        <v>0.5173395959257252</v>
      </c>
      <c r="E34" s="73">
        <f t="shared" si="6"/>
        <v>0</v>
      </c>
      <c r="F34" s="73">
        <f t="shared" si="6"/>
        <v>0.80311114027270558</v>
      </c>
      <c r="G34" s="73">
        <f t="shared" si="6"/>
        <v>-0.37609175024267344</v>
      </c>
    </row>
    <row r="35" spans="1:12" x14ac:dyDescent="0.25">
      <c r="A35" s="73">
        <f>I25</f>
        <v>3.8160749467823585E-8</v>
      </c>
      <c r="B35" s="5">
        <f>F25</f>
        <v>7.6998973294157078E-7</v>
      </c>
      <c r="C35" s="73">
        <f t="shared" si="6"/>
        <v>-1.770282263794432</v>
      </c>
      <c r="D35" s="73">
        <f t="shared" si="6"/>
        <v>-0.28578461363860902</v>
      </c>
      <c r="E35" s="73">
        <f t="shared" si="6"/>
        <v>-0.80311114027270558</v>
      </c>
      <c r="F35" s="73">
        <f t="shared" si="6"/>
        <v>0</v>
      </c>
      <c r="G35" s="73">
        <f t="shared" si="6"/>
        <v>-1.1791667690849625</v>
      </c>
    </row>
    <row r="36" spans="1:12" x14ac:dyDescent="0.25">
      <c r="A36" s="73">
        <f>I26</f>
        <v>3.8107187306083642E-8</v>
      </c>
      <c r="B36" s="5">
        <f>F26</f>
        <v>7.0639775421849779E-7</v>
      </c>
      <c r="C36" s="73">
        <f t="shared" si="6"/>
        <v>-0.59122999055394287</v>
      </c>
      <c r="D36" s="73">
        <f t="shared" si="6"/>
        <v>0.89341419752937923</v>
      </c>
      <c r="E36" s="73">
        <f t="shared" si="6"/>
        <v>0.37609175024267344</v>
      </c>
      <c r="F36" s="73">
        <f t="shared" si="6"/>
        <v>1.1791667690849625</v>
      </c>
      <c r="G36" s="73">
        <f t="shared" si="6"/>
        <v>0</v>
      </c>
    </row>
    <row r="39" spans="1:12" x14ac:dyDescent="0.25">
      <c r="A39" s="73" t="s">
        <v>7</v>
      </c>
    </row>
    <row r="40" spans="1:12" x14ac:dyDescent="0.25">
      <c r="B40" s="73" t="s">
        <v>36</v>
      </c>
      <c r="C40" s="73" t="s">
        <v>27</v>
      </c>
      <c r="D40" s="73" t="s">
        <v>24</v>
      </c>
      <c r="E40" s="73" t="s">
        <v>29</v>
      </c>
      <c r="F40" s="73" t="s">
        <v>37</v>
      </c>
      <c r="G40" s="73" t="s">
        <v>39</v>
      </c>
      <c r="H40" s="73" t="s">
        <v>40</v>
      </c>
      <c r="I40" s="73" t="s">
        <v>41</v>
      </c>
      <c r="J40" s="73" t="s">
        <v>42</v>
      </c>
      <c r="K40" s="73" t="s">
        <v>2</v>
      </c>
      <c r="L40" s="73" t="s">
        <v>43</v>
      </c>
    </row>
    <row r="41" spans="1:12" x14ac:dyDescent="0.25">
      <c r="A41" s="78">
        <v>1</v>
      </c>
      <c r="B41" s="80">
        <v>83.84</v>
      </c>
      <c r="C41" s="73">
        <f>B41-B26</f>
        <v>0.84000000000000341</v>
      </c>
      <c r="D41" s="74">
        <f>$B$12/C41</f>
        <v>5.952380952380928E-4</v>
      </c>
      <c r="E41" s="74">
        <f>SQRT(2)*D41*$B$13/C41</f>
        <v>2.5053386521632008E-4</v>
      </c>
      <c r="F41" s="74">
        <f>(4*PI()/3)*$F$27^3*($B$9-$B$8)*($B$6/$E$18)*(1+ABS(D41)/$D$27)</f>
        <v>2.6159712748741082E-18</v>
      </c>
      <c r="G41" s="74">
        <f>F41*3/$F$27</f>
        <v>1.0803338660173006E-11</v>
      </c>
      <c r="H41" s="74">
        <f>F41/$E$18</f>
        <v>4.8713450055926384E-23</v>
      </c>
      <c r="I41" s="73">
        <f>(4*PI()/3)*$F$27^3*($B$9-$B$8)*($B$6/$E$18)*(1/$D$27)</f>
        <v>4.1815359438459111E-15</v>
      </c>
      <c r="J41" s="74">
        <f>(4*PI()/3)*$F$27^3*($B$9-$B$8)*($B$6/$E$18)*(ABS(D41)/$D$27^2)</f>
        <v>8.1976499388797494E-14</v>
      </c>
      <c r="K41" s="73">
        <f>SQRT(G41^2*$I$27^2+H41^2*$F$18^2+I41^2*E41^2+J41^2*$E$28^2)</f>
        <v>1.127156803229456E-18</v>
      </c>
      <c r="L41" s="77">
        <f>K41/F41</f>
        <v>0.43087506887234439</v>
      </c>
    </row>
    <row r="42" spans="1:12" x14ac:dyDescent="0.25">
      <c r="A42" s="78">
        <v>2</v>
      </c>
      <c r="B42" s="80">
        <v>84.55</v>
      </c>
      <c r="C42" s="73">
        <f>B42-B41</f>
        <v>0.70999999999999375</v>
      </c>
      <c r="D42" s="74">
        <f t="shared" ref="D42:D45" si="7">$B$12/C42</f>
        <v>7.0422535211268227E-4</v>
      </c>
      <c r="E42" s="74">
        <f t="shared" ref="E42:E44" si="8">SQRT(2)*D42*$B$13/C42</f>
        <v>3.5067783236786352E-4</v>
      </c>
      <c r="F42" s="74">
        <f t="shared" ref="F42:F45" si="9">(4*PI()/3)*$F$27^3*($B$9-$B$8)*($B$6/$E$18)*(1+ABS(D42)/$D$27)</f>
        <v>3.0717054069163715E-18</v>
      </c>
      <c r="G42" s="74">
        <f t="shared" ref="G42:G45" si="10">F42*3/$F$27</f>
        <v>1.2685412142684586E-11</v>
      </c>
      <c r="H42" s="74">
        <f t="shared" ref="H42:H45" si="11">F42/$E$18</f>
        <v>5.7199927752853742E-23</v>
      </c>
      <c r="I42" s="73">
        <f t="shared" ref="I42:I45" si="12">(4*PI()/3)*$F$27^3*($B$9-$B$8)*($B$6/$E$18)*(1/$D$27)</f>
        <v>4.1815359438459111E-15</v>
      </c>
      <c r="J42" s="74">
        <f t="shared" ref="J42:J45" si="13">(4*PI()/3)*$F$27^3*($B$9-$B$8)*($B$6/$E$18)*(ABS(D42)/$D$27^2)</f>
        <v>9.698628096702928E-14</v>
      </c>
      <c r="K42" s="73">
        <f t="shared" ref="K42:K45" si="14">SQRT(G42^2*$I$27^2+H42^2*$F$18^2+I42^2*E42^2+J42^2*$E$28^2)</f>
        <v>1.5455764580505803E-18</v>
      </c>
      <c r="L42" s="77">
        <f t="shared" ref="L42:L45" si="15">K42/F42</f>
        <v>0.50316558826588653</v>
      </c>
    </row>
    <row r="43" spans="1:12" x14ac:dyDescent="0.25">
      <c r="A43" s="78">
        <v>3</v>
      </c>
      <c r="B43" s="80">
        <v>85.33</v>
      </c>
      <c r="C43" s="73">
        <f>B43-B42</f>
        <v>0.78000000000000114</v>
      </c>
      <c r="D43" s="74">
        <f t="shared" si="7"/>
        <v>6.4102564102564016E-4</v>
      </c>
      <c r="E43" s="74">
        <f t="shared" si="8"/>
        <v>2.9055998569466865E-4</v>
      </c>
      <c r="F43" s="74">
        <f t="shared" si="9"/>
        <v>2.8074335433652278E-18</v>
      </c>
      <c r="G43" s="74">
        <f t="shared" si="10"/>
        <v>1.1594032253417477E-11</v>
      </c>
      <c r="H43" s="74">
        <f t="shared" si="11"/>
        <v>5.2278775005522923E-23</v>
      </c>
      <c r="I43" s="73">
        <f t="shared" si="12"/>
        <v>4.1815359438459111E-15</v>
      </c>
      <c r="J43" s="74">
        <f t="shared" si="13"/>
        <v>8.8282383957166775E-14</v>
      </c>
      <c r="K43" s="73">
        <f t="shared" si="14"/>
        <v>1.2943898561095725E-18</v>
      </c>
      <c r="L43" s="77">
        <f t="shared" si="15"/>
        <v>0.461058057516121</v>
      </c>
    </row>
    <row r="44" spans="1:12" x14ac:dyDescent="0.25">
      <c r="A44" s="78">
        <v>4</v>
      </c>
      <c r="B44" s="80">
        <v>86.08</v>
      </c>
      <c r="C44" s="73">
        <f>B44-B43</f>
        <v>0.75</v>
      </c>
      <c r="D44" s="74">
        <f t="shared" si="7"/>
        <v>6.6666666666666664E-4</v>
      </c>
      <c r="E44" s="74">
        <f t="shared" si="8"/>
        <v>3.1426968052735446E-4</v>
      </c>
      <c r="F44" s="74">
        <f t="shared" si="9"/>
        <v>2.9146524137202545E-18</v>
      </c>
      <c r="G44" s="74">
        <f t="shared" si="10"/>
        <v>1.2036820665634382E-11</v>
      </c>
      <c r="H44" s="74">
        <f t="shared" si="11"/>
        <v>5.4275356977296979E-23</v>
      </c>
      <c r="I44" s="73">
        <f t="shared" si="12"/>
        <v>4.1815359438459111E-15</v>
      </c>
      <c r="J44" s="74">
        <f t="shared" si="13"/>
        <v>9.1813679315453576E-14</v>
      </c>
      <c r="K44" s="73">
        <f t="shared" si="14"/>
        <v>1.3934528215196632E-18</v>
      </c>
      <c r="L44" s="77">
        <f t="shared" si="15"/>
        <v>0.47808541936603127</v>
      </c>
    </row>
    <row r="45" spans="1:12" x14ac:dyDescent="0.25">
      <c r="A45" s="78">
        <v>5</v>
      </c>
      <c r="B45" s="80">
        <v>86.84</v>
      </c>
      <c r="C45" s="73">
        <f>B45-B44</f>
        <v>0.76000000000000512</v>
      </c>
      <c r="D45" s="74">
        <f t="shared" si="7"/>
        <v>6.578947368421008E-4</v>
      </c>
      <c r="E45" s="74">
        <f>SQRT(2)*D45*$B$13/C45</f>
        <v>3.0605383534735892E-4</v>
      </c>
      <c r="F45" s="74">
        <f t="shared" si="9"/>
        <v>2.8779722738619385E-18</v>
      </c>
      <c r="G45" s="74">
        <f t="shared" si="10"/>
        <v>1.1885340419349581E-11</v>
      </c>
      <c r="H45" s="74">
        <f t="shared" si="11"/>
        <v>5.3592315776426578E-23</v>
      </c>
      <c r="I45" s="73">
        <f t="shared" si="12"/>
        <v>4.1815359438459111E-15</v>
      </c>
      <c r="J45" s="74">
        <f t="shared" si="13"/>
        <v>9.0605604587618046E-14</v>
      </c>
      <c r="K45" s="73">
        <f t="shared" si="14"/>
        <v>1.3591254621175179E-18</v>
      </c>
      <c r="L45" s="77">
        <f t="shared" si="15"/>
        <v>0.47225106178445331</v>
      </c>
    </row>
    <row r="46" spans="1:12" x14ac:dyDescent="0.25">
      <c r="L46" s="77"/>
    </row>
    <row r="47" spans="1:12" x14ac:dyDescent="0.25">
      <c r="L47" s="77"/>
    </row>
    <row r="49" spans="1:12" x14ac:dyDescent="0.25">
      <c r="A49" s="73" t="s">
        <v>7</v>
      </c>
    </row>
    <row r="50" spans="1:12" x14ac:dyDescent="0.25">
      <c r="B50" s="73" t="s">
        <v>23</v>
      </c>
      <c r="C50" s="73" t="s">
        <v>27</v>
      </c>
      <c r="D50" s="73" t="s">
        <v>24</v>
      </c>
      <c r="E50" s="73" t="s">
        <v>29</v>
      </c>
      <c r="F50" s="73" t="s">
        <v>37</v>
      </c>
      <c r="G50" s="73" t="s">
        <v>39</v>
      </c>
      <c r="H50" s="73" t="s">
        <v>40</v>
      </c>
      <c r="I50" s="73" t="s">
        <v>41</v>
      </c>
      <c r="J50" s="73" t="s">
        <v>42</v>
      </c>
      <c r="K50" s="73" t="s">
        <v>2</v>
      </c>
      <c r="L50" s="73" t="s">
        <v>43</v>
      </c>
    </row>
    <row r="51" spans="1:12" x14ac:dyDescent="0.25">
      <c r="A51" s="78">
        <v>6</v>
      </c>
      <c r="B51" s="81">
        <v>87.59</v>
      </c>
      <c r="C51" s="73">
        <f>B51-B45</f>
        <v>0.75</v>
      </c>
      <c r="D51" s="74">
        <f>$B$12/C51</f>
        <v>6.6666666666666664E-4</v>
      </c>
      <c r="E51" s="74">
        <f>SQRT(2)*D51*$B$13/C51</f>
        <v>3.1426968052735446E-4</v>
      </c>
      <c r="F51" s="74">
        <f>-(4*PI()/3)*$F$27^3*($B$9-$B$8)*($B$6/$E$18)*(1-ABS(D51)/$D$27)</f>
        <v>2.6607288447409601E-18</v>
      </c>
      <c r="G51" s="74">
        <f>F51*3/$F$27</f>
        <v>1.0988176769643922E-11</v>
      </c>
      <c r="H51" s="74">
        <f>F51/$E$18</f>
        <v>4.9546905554950717E-23</v>
      </c>
      <c r="I51" s="73">
        <f>-(4*PI()/3)*$F$27^3*($B$9-$B$8)*($B$6/$E$18)*(-1/$D$27)</f>
        <v>4.1815359438459111E-15</v>
      </c>
      <c r="J51" s="74">
        <f>-(4*PI()/3)*$F$27^3*($B$9-$B$8)*($B$6/$E$18)*(-ABS(D51)/$D$27^2)</f>
        <v>9.1813679315453576E-14</v>
      </c>
      <c r="K51" s="73">
        <f>SQRT(G51^2*$I$27^2+H51^2*$F$18^2+I51^2*E51^2+J51^2*$E$28^2)</f>
        <v>1.3807531439579206E-18</v>
      </c>
      <c r="L51" s="77">
        <f>K51/F51</f>
        <v>0.51893793938718558</v>
      </c>
    </row>
    <row r="52" spans="1:12" x14ac:dyDescent="0.25">
      <c r="A52" s="78">
        <v>7</v>
      </c>
      <c r="B52" s="81">
        <v>88.38</v>
      </c>
      <c r="C52" s="73">
        <f>B52-B51</f>
        <v>0.78999999999999204</v>
      </c>
      <c r="D52" s="74">
        <f t="shared" ref="D52:D55" si="16">$B$12/C52</f>
        <v>6.329113924050697E-4</v>
      </c>
      <c r="E52" s="74">
        <f t="shared" ref="E52:E54" si="17">SQRT(2)*D52*$B$13/C52</f>
        <v>2.8325059332901854E-4</v>
      </c>
      <c r="F52" s="74">
        <f t="shared" ref="F52:F55" si="18">-(4*PI()/3)*$F$27^3*($B$9-$B$8)*($B$6/$E$18)*(1-ABS(D52)/$D$27)</f>
        <v>2.5195799521217157E-18</v>
      </c>
      <c r="G52" s="74">
        <f t="shared" ref="G52:G55" si="19">F52*3/$F$27</f>
        <v>1.0405265442168634E-11</v>
      </c>
      <c r="H52" s="74">
        <f t="shared" ref="H52:H55" si="20">F52/$E$18</f>
        <v>4.6918493845274064E-23</v>
      </c>
      <c r="I52" s="73">
        <f t="shared" ref="I52:I55" si="21">-(4*PI()/3)*$F$27^3*($B$9-$B$8)*($B$6/$E$18)*(-1/$D$27)</f>
        <v>4.1815359438459111E-15</v>
      </c>
      <c r="J52" s="74">
        <f t="shared" ref="J52:J55" si="22">-(4*PI()/3)*$F$27^3*($B$9-$B$8)*($B$6/$E$18)*(-ABS(D52)/$D$27^2)</f>
        <v>8.7164885426064395E-14</v>
      </c>
      <c r="K52" s="73">
        <f t="shared" ref="K52:K55" si="23">SQRT(G52^2*$I$27^2+H52^2*$F$18^2+I52^2*E52^2+J52^2*$E$28^2)</f>
        <v>1.2505479187544327E-18</v>
      </c>
      <c r="L52" s="77">
        <f t="shared" ref="L52:L55" si="24">K52/F52</f>
        <v>0.49633190552312401</v>
      </c>
    </row>
    <row r="53" spans="1:12" x14ac:dyDescent="0.25">
      <c r="A53" s="78">
        <v>8</v>
      </c>
      <c r="B53" s="81">
        <v>89.14</v>
      </c>
      <c r="C53" s="73">
        <f>B53-B52</f>
        <v>0.76000000000000512</v>
      </c>
      <c r="D53" s="74">
        <f t="shared" si="16"/>
        <v>6.578947368421008E-4</v>
      </c>
      <c r="E53" s="74">
        <f t="shared" si="17"/>
        <v>3.0605383534735892E-4</v>
      </c>
      <c r="F53" s="74">
        <f t="shared" si="18"/>
        <v>2.6240487048826441E-18</v>
      </c>
      <c r="G53" s="74">
        <f t="shared" si="19"/>
        <v>1.0836696523359119E-11</v>
      </c>
      <c r="H53" s="74">
        <f t="shared" si="20"/>
        <v>4.8863864354080322E-23</v>
      </c>
      <c r="I53" s="73">
        <f t="shared" si="21"/>
        <v>4.1815359438459111E-15</v>
      </c>
      <c r="J53" s="74">
        <f t="shared" si="22"/>
        <v>9.0605604587618046E-14</v>
      </c>
      <c r="K53" s="73">
        <f t="shared" si="23"/>
        <v>1.3462741448801478E-18</v>
      </c>
      <c r="L53" s="77">
        <f t="shared" si="24"/>
        <v>0.51305227009510002</v>
      </c>
    </row>
    <row r="54" spans="1:12" x14ac:dyDescent="0.25">
      <c r="A54" s="78">
        <v>9</v>
      </c>
      <c r="B54" s="81">
        <v>89.83</v>
      </c>
      <c r="C54" s="73">
        <f>B54-B53</f>
        <v>0.68999999999999773</v>
      </c>
      <c r="D54" s="74">
        <f t="shared" si="16"/>
        <v>7.2463768115942268E-4</v>
      </c>
      <c r="E54" s="74">
        <f t="shared" si="17"/>
        <v>3.7130160742835131E-4</v>
      </c>
      <c r="F54" s="74">
        <f t="shared" si="18"/>
        <v>2.9031367255436315E-18</v>
      </c>
      <c r="G54" s="74">
        <f t="shared" si="19"/>
        <v>1.1989263614656064E-11</v>
      </c>
      <c r="H54" s="74">
        <f t="shared" si="20"/>
        <v>5.4060916969396452E-23</v>
      </c>
      <c r="I54" s="73">
        <f t="shared" si="21"/>
        <v>4.1815359438459111E-15</v>
      </c>
      <c r="J54" s="74">
        <f t="shared" si="22"/>
        <v>9.9797477516797693E-14</v>
      </c>
      <c r="K54" s="73">
        <f t="shared" si="23"/>
        <v>1.6199744109132074E-18</v>
      </c>
      <c r="L54" s="77">
        <f t="shared" si="24"/>
        <v>0.55800830758663511</v>
      </c>
    </row>
    <row r="55" spans="1:12" x14ac:dyDescent="0.25">
      <c r="A55" s="78">
        <v>10</v>
      </c>
      <c r="B55" s="81">
        <v>90.5</v>
      </c>
      <c r="C55" s="73">
        <f>B55-B54</f>
        <v>0.67000000000000171</v>
      </c>
      <c r="D55" s="74">
        <f t="shared" si="16"/>
        <v>7.4626865671641607E-4</v>
      </c>
      <c r="E55" s="74">
        <f>SQRT(2)*D55*$B$13/C55</f>
        <v>3.9379972220235246E-4</v>
      </c>
      <c r="F55" s="74">
        <f t="shared" si="18"/>
        <v>2.9935874273356515E-18</v>
      </c>
      <c r="G55" s="74">
        <f t="shared" si="19"/>
        <v>1.2362803482197819E-11</v>
      </c>
      <c r="H55" s="74">
        <f t="shared" si="20"/>
        <v>5.5745249586726547E-23</v>
      </c>
      <c r="I55" s="73">
        <f t="shared" si="21"/>
        <v>4.1815359438459111E-15</v>
      </c>
      <c r="J55" s="74">
        <f t="shared" si="22"/>
        <v>1.02776506696403E-13</v>
      </c>
      <c r="K55" s="73">
        <f t="shared" si="23"/>
        <v>1.7142958934453707E-18</v>
      </c>
      <c r="L55" s="77">
        <f t="shared" si="24"/>
        <v>0.57265603061779491</v>
      </c>
    </row>
    <row r="56" spans="1:12" x14ac:dyDescent="0.25">
      <c r="L56" s="77"/>
    </row>
    <row r="57" spans="1:12" x14ac:dyDescent="0.25">
      <c r="L57" s="77"/>
    </row>
    <row r="59" spans="1:12" x14ac:dyDescent="0.25">
      <c r="B59" s="73" t="s">
        <v>38</v>
      </c>
    </row>
    <row r="60" spans="1:12" x14ac:dyDescent="0.25">
      <c r="A60" s="74"/>
      <c r="B60" s="73" t="s">
        <v>44</v>
      </c>
      <c r="C60" s="73" t="s">
        <v>45</v>
      </c>
    </row>
    <row r="61" spans="1:12" x14ac:dyDescent="0.25">
      <c r="A61" s="73">
        <v>1</v>
      </c>
      <c r="B61" s="74">
        <f>F41</f>
        <v>2.6159712748741082E-18</v>
      </c>
      <c r="C61" s="73">
        <f>K41</f>
        <v>1.127156803229456E-18</v>
      </c>
    </row>
    <row r="62" spans="1:12" x14ac:dyDescent="0.25">
      <c r="A62" s="73">
        <v>2</v>
      </c>
      <c r="B62" s="74">
        <f t="shared" ref="B62:B65" si="25">F42</f>
        <v>3.0717054069163715E-18</v>
      </c>
      <c r="C62" s="73">
        <f t="shared" ref="C62:C65" si="26">K42</f>
        <v>1.5455764580505803E-18</v>
      </c>
    </row>
    <row r="63" spans="1:12" x14ac:dyDescent="0.25">
      <c r="A63" s="73">
        <v>3</v>
      </c>
      <c r="B63" s="74">
        <f t="shared" si="25"/>
        <v>2.8074335433652278E-18</v>
      </c>
      <c r="C63" s="73">
        <f t="shared" si="26"/>
        <v>1.2943898561095725E-18</v>
      </c>
    </row>
    <row r="64" spans="1:12" x14ac:dyDescent="0.25">
      <c r="A64" s="73">
        <v>4</v>
      </c>
      <c r="B64" s="74">
        <f t="shared" si="25"/>
        <v>2.9146524137202545E-18</v>
      </c>
      <c r="C64" s="73">
        <f t="shared" si="26"/>
        <v>1.3934528215196632E-18</v>
      </c>
    </row>
    <row r="65" spans="1:3" x14ac:dyDescent="0.25">
      <c r="A65" s="73">
        <v>5</v>
      </c>
      <c r="B65" s="74">
        <f t="shared" si="25"/>
        <v>2.8779722738619385E-18</v>
      </c>
      <c r="C65" s="73">
        <f t="shared" si="26"/>
        <v>1.3591254621175179E-18</v>
      </c>
    </row>
    <row r="66" spans="1:3" x14ac:dyDescent="0.25">
      <c r="A66" s="73">
        <v>6</v>
      </c>
      <c r="B66" s="74">
        <f>F51</f>
        <v>2.6607288447409601E-18</v>
      </c>
      <c r="C66" s="73">
        <f>K51</f>
        <v>1.3807531439579206E-18</v>
      </c>
    </row>
    <row r="67" spans="1:3" x14ac:dyDescent="0.25">
      <c r="A67" s="73">
        <v>7</v>
      </c>
      <c r="B67" s="74">
        <f t="shared" ref="B67:B70" si="27">F52</f>
        <v>2.5195799521217157E-18</v>
      </c>
      <c r="C67" s="73">
        <f t="shared" ref="C67:C70" si="28">K52</f>
        <v>1.2505479187544327E-18</v>
      </c>
    </row>
    <row r="68" spans="1:3" x14ac:dyDescent="0.25">
      <c r="A68" s="73">
        <v>8</v>
      </c>
      <c r="B68" s="74">
        <f t="shared" si="27"/>
        <v>2.6240487048826441E-18</v>
      </c>
      <c r="C68" s="73">
        <f t="shared" si="28"/>
        <v>1.3462741448801478E-18</v>
      </c>
    </row>
    <row r="69" spans="1:3" x14ac:dyDescent="0.25">
      <c r="A69" s="73">
        <v>9</v>
      </c>
      <c r="B69" s="74">
        <f t="shared" si="27"/>
        <v>2.9031367255436315E-18</v>
      </c>
      <c r="C69" s="73">
        <f t="shared" si="28"/>
        <v>1.6199744109132074E-18</v>
      </c>
    </row>
    <row r="70" spans="1:3" x14ac:dyDescent="0.25">
      <c r="A70" s="73">
        <v>10</v>
      </c>
      <c r="B70" s="74">
        <f t="shared" si="27"/>
        <v>2.9935874273356515E-18</v>
      </c>
      <c r="C70" s="73">
        <f t="shared" si="28"/>
        <v>1.7142958934453707E-18</v>
      </c>
    </row>
  </sheetData>
  <mergeCells count="2">
    <mergeCell ref="A1:C2"/>
    <mergeCell ref="A14:C15"/>
  </mergeCells>
  <conditionalFormatting sqref="C32:G36">
    <cfRule type="cellIs" dxfId="41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1C28A85E-0D34-4E7E-95F2-4ED8D0DD5917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2A97FC4A-86AC-42AC-944C-1E1FD46AF8B9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C13" workbookViewId="0">
      <selection activeCell="B61" sqref="B61:B70"/>
    </sheetView>
  </sheetViews>
  <sheetFormatPr defaultRowHeight="15" x14ac:dyDescent="0.25"/>
  <cols>
    <col min="1" max="1" width="13.140625" style="81" customWidth="1"/>
    <col min="2" max="2" width="9.140625" style="81"/>
    <col min="3" max="5" width="12" style="81" customWidth="1"/>
    <col min="6" max="7" width="12.140625" style="81" customWidth="1"/>
    <col min="8" max="9" width="12" style="81" customWidth="1"/>
    <col min="10" max="10" width="9.140625" style="81"/>
    <col min="11" max="11" width="12" style="81" customWidth="1"/>
    <col min="12" max="16384" width="9.140625" style="81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81" t="s">
        <v>1</v>
      </c>
      <c r="C4" s="81" t="s">
        <v>2</v>
      </c>
    </row>
    <row r="5" spans="1:5" x14ac:dyDescent="0.25">
      <c r="A5" s="81" t="str">
        <f>[1]Dati!A5</f>
        <v>d</v>
      </c>
      <c r="B5" s="82">
        <f>Dati!B5</f>
        <v>7.4300000000000008E-3</v>
      </c>
      <c r="C5" s="179">
        <f>Dati!C5</f>
        <v>1.0000000000000001E-5</v>
      </c>
    </row>
    <row r="6" spans="1:5" x14ac:dyDescent="0.25">
      <c r="A6" s="81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81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81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81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81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81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81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81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84"/>
    </row>
    <row r="15" spans="1:5" x14ac:dyDescent="0.25">
      <c r="A15" s="193"/>
      <c r="B15" s="193"/>
      <c r="C15" s="193"/>
      <c r="D15" s="84"/>
    </row>
    <row r="16" spans="1:5" x14ac:dyDescent="0.25">
      <c r="A16" s="81" t="s">
        <v>18</v>
      </c>
      <c r="B16" s="81">
        <v>399</v>
      </c>
      <c r="C16" s="81">
        <f>B16/100</f>
        <v>3.99</v>
      </c>
      <c r="D16" s="81" t="s">
        <v>19</v>
      </c>
      <c r="E16" s="81">
        <f>(1.8+(B18-15)*0.004765)*0.00001</f>
        <v>1.8262075000000001E-5</v>
      </c>
    </row>
    <row r="17" spans="1:10" x14ac:dyDescent="0.25">
      <c r="A17" s="81" t="s">
        <v>20</v>
      </c>
      <c r="E17" s="83"/>
    </row>
    <row r="18" spans="1:10" x14ac:dyDescent="0.25">
      <c r="A18" s="81" t="s">
        <v>21</v>
      </c>
      <c r="B18" s="81">
        <v>20.5</v>
      </c>
      <c r="C18" s="81">
        <v>0.5</v>
      </c>
      <c r="D18" s="81" t="s">
        <v>22</v>
      </c>
      <c r="E18" s="82">
        <f>B16/B5</f>
        <v>53701.211305518162</v>
      </c>
      <c r="F18" s="81">
        <f>SQRT((C16/B5)^2+(B16*C5/B5^2)^2)</f>
        <v>541.85409256032881</v>
      </c>
      <c r="G18" s="82"/>
    </row>
    <row r="21" spans="1:10" x14ac:dyDescent="0.25">
      <c r="B21" s="81" t="s">
        <v>23</v>
      </c>
      <c r="C21" s="81" t="s">
        <v>27</v>
      </c>
      <c r="D21" s="81" t="s">
        <v>24</v>
      </c>
      <c r="E21" s="81" t="s">
        <v>29</v>
      </c>
      <c r="F21" s="81" t="s">
        <v>25</v>
      </c>
      <c r="G21" s="81" t="s">
        <v>26</v>
      </c>
      <c r="H21" s="81" t="s">
        <v>28</v>
      </c>
      <c r="I21" s="81" t="s">
        <v>31</v>
      </c>
      <c r="J21" s="81" t="s">
        <v>32</v>
      </c>
    </row>
    <row r="22" spans="1:10" x14ac:dyDescent="0.25">
      <c r="A22" s="81">
        <v>1</v>
      </c>
      <c r="B22" s="87">
        <v>14.25</v>
      </c>
      <c r="C22" s="81">
        <f>B22</f>
        <v>14.25</v>
      </c>
      <c r="D22" s="82">
        <f>B12/B22</f>
        <v>3.5087719298245611E-5</v>
      </c>
      <c r="E22" s="82">
        <f>SQRT(2)*D22*$B$13/C22</f>
        <v>8.7055313165472142E-7</v>
      </c>
      <c r="F22" s="5">
        <f>(($B$10/(2*$B$7))^2+9*$E$16*D22/(2*$B$6*($B$9-$B$8)))^(1/2)-$B$10/(2*$B$7)</f>
        <v>7.8460825499102416E-7</v>
      </c>
      <c r="G22" s="81">
        <f>(($B$10/(2*$B$7))^2+9*$E$16*D22/(2*$B$6*($B$9-$B$8)))^(-1/2)*(9*$E$16)/(4*$B$6*$B$9)</f>
        <v>3.9278086304886063E-3</v>
      </c>
      <c r="H22" s="81">
        <f>(($B$10/(2*$B$7))^2+9*$E$16*D22/(2*$B$6*($B$9-$B$8)))^(-1/2)*((9*D22)/(4*$B$6*$B$9))*0.00000004765</f>
        <v>3.5959880760995561E-10</v>
      </c>
      <c r="I22" s="81">
        <f>SQRT(G22^2*E22^2+H22^2*$C$18^2+$F$28^2)</f>
        <v>4.9072817895663223E-8</v>
      </c>
      <c r="J22" s="82">
        <f>I22/F22</f>
        <v>6.2544355840641275E-2</v>
      </c>
    </row>
    <row r="23" spans="1:10" x14ac:dyDescent="0.25">
      <c r="A23" s="81">
        <v>2</v>
      </c>
      <c r="B23" s="87">
        <v>28.09</v>
      </c>
      <c r="C23" s="81">
        <f>B23-B22</f>
        <v>13.84</v>
      </c>
      <c r="D23" s="82">
        <f>$B$12/(B23-B22)</f>
        <v>3.6127167630057806E-5</v>
      </c>
      <c r="E23" s="82">
        <f t="shared" ref="E23:E25" si="0">SQRT(2)*D23*$B$13/C23</f>
        <v>9.2289614220653932E-7</v>
      </c>
      <c r="F23" s="5">
        <f>(($B$10/(2*$B$7))^2+9*E16*D23/(2*$B$6*($B$9-$B$8)))^(1/2)-$B$10/(2*$B$7)</f>
        <v>7.9671117501006319E-7</v>
      </c>
      <c r="G23" s="81">
        <f t="shared" ref="G23:G27" si="1">(($B$10/(2*$B$7))^2+9*$E$16*D23/(2*$B$6*($B$9-$B$8)))^(-1/2)*(9*$E$16)/(4*$B$6*$B$9)</f>
        <v>3.8710248611915484E-3</v>
      </c>
      <c r="H23" s="81">
        <f t="shared" ref="H23:H27" si="2">(($B$10/(2*$B$7))^2+9*$E$16*D23/(2*$B$6*($B$9-$B$8)))^(-1/2)*((9*D23)/(4*$B$6*$B$9))*0.00000004765</f>
        <v>3.6489898697040189E-10</v>
      </c>
      <c r="I23" s="81">
        <f t="shared" ref="I23:I27" si="3">SQRT(G23^2*E23^2+H23^2*$C$18^2+$F$28^2)</f>
        <v>4.9083739599856416E-8</v>
      </c>
      <c r="J23" s="82">
        <f t="shared" ref="J23:J27" si="4">I23/F23</f>
        <v>6.1607946693149424E-2</v>
      </c>
    </row>
    <row r="24" spans="1:10" x14ac:dyDescent="0.25">
      <c r="A24" s="81">
        <v>3</v>
      </c>
      <c r="B24" s="87">
        <v>39.75</v>
      </c>
      <c r="C24" s="81">
        <f t="shared" ref="C24:C26" si="5">B24-B23</f>
        <v>11.66</v>
      </c>
      <c r="D24" s="82">
        <f>$B$12/(B24-B23)</f>
        <v>4.2881646655231564E-5</v>
      </c>
      <c r="E24" s="82">
        <f t="shared" si="0"/>
        <v>1.3002531362932965E-6</v>
      </c>
      <c r="F24" s="5">
        <f>(($B$10/(2*$B$7))^2+9*E16*D24/(2*$B$6*($B$9-$B$8)))^(1/2)-$B$10/(2*$B$7)</f>
        <v>8.7145273356483333E-7</v>
      </c>
      <c r="G24" s="81">
        <f t="shared" si="1"/>
        <v>3.553751949068258E-3</v>
      </c>
      <c r="H24" s="81">
        <f t="shared" si="2"/>
        <v>3.9762286272893986E-10</v>
      </c>
      <c r="I24" s="81">
        <f t="shared" si="3"/>
        <v>4.9171212828210782E-8</v>
      </c>
      <c r="J24" s="82">
        <f t="shared" si="4"/>
        <v>5.6424417451841749E-2</v>
      </c>
    </row>
    <row r="25" spans="1:10" x14ac:dyDescent="0.25">
      <c r="A25" s="81">
        <v>4</v>
      </c>
      <c r="B25" s="87">
        <v>55.67</v>
      </c>
      <c r="C25" s="81">
        <f t="shared" si="5"/>
        <v>15.920000000000002</v>
      </c>
      <c r="D25" s="82">
        <f>$B$12/(B25-B24)</f>
        <v>3.1407035175879393E-5</v>
      </c>
      <c r="E25" s="82">
        <f t="shared" si="0"/>
        <v>6.974914431478879E-7</v>
      </c>
      <c r="F25" s="5">
        <f>(($B$10/(2*$B$7))^2+9*E16*D25/(2*$B$6*($B$9-$B$8)))^(1/2)-$B$10/(2*$B$7)</f>
        <v>7.40244822461571E-7</v>
      </c>
      <c r="G25" s="81">
        <f t="shared" si="1"/>
        <v>4.1510046553765029E-3</v>
      </c>
      <c r="H25" s="81">
        <f t="shared" si="2"/>
        <v>3.401675987339786E-10</v>
      </c>
      <c r="I25" s="81">
        <f t="shared" si="3"/>
        <v>4.9039052782901644E-8</v>
      </c>
      <c r="J25" s="82">
        <f t="shared" si="4"/>
        <v>6.6247072988406416E-2</v>
      </c>
    </row>
    <row r="26" spans="1:10" x14ac:dyDescent="0.25">
      <c r="A26" s="81">
        <v>5</v>
      </c>
      <c r="B26" s="87">
        <v>68.55</v>
      </c>
      <c r="C26" s="81">
        <f t="shared" si="5"/>
        <v>12.879999999999995</v>
      </c>
      <c r="D26" s="82">
        <f>$B$12/(B26-B25)</f>
        <v>3.8819875776397531E-5</v>
      </c>
      <c r="E26" s="82">
        <f>SQRT(2)*D26*$B$13/C26</f>
        <v>1.0655977254002367E-6</v>
      </c>
      <c r="F26" s="5">
        <f>(($B$10/(2*$B$7))^2+9*E16*D26/(2*$B$6*($B$9-$B$8)))^(1/2)-$B$10/(2*$B$7)</f>
        <v>8.2727928560324472E-7</v>
      </c>
      <c r="G26" s="81">
        <f t="shared" si="1"/>
        <v>3.7346597196258346E-3</v>
      </c>
      <c r="H26" s="81">
        <f t="shared" si="2"/>
        <v>3.7828399057333284E-10</v>
      </c>
      <c r="I26" s="81">
        <f t="shared" si="3"/>
        <v>4.911507316585015E-8</v>
      </c>
      <c r="J26" s="82">
        <f t="shared" si="4"/>
        <v>5.9369398002073595E-2</v>
      </c>
    </row>
    <row r="27" spans="1:10" x14ac:dyDescent="0.25">
      <c r="A27" s="7" t="s">
        <v>34</v>
      </c>
      <c r="B27" s="7"/>
      <c r="C27" s="7">
        <f>AVERAGE(C22:C26)</f>
        <v>13.709999999999999</v>
      </c>
      <c r="D27" s="7">
        <f>AVERAGE(D22:D26)</f>
        <v>3.686468890716238E-5</v>
      </c>
      <c r="E27" s="8">
        <f>SQRT(2)*D27*$B$13/C27</f>
        <v>9.5066635713300577E-7</v>
      </c>
      <c r="F27" s="9">
        <f>AVERAGE(F22:F26)</f>
        <v>8.0405925432614724E-7</v>
      </c>
      <c r="G27" s="7">
        <f t="shared" si="1"/>
        <v>3.832196590373448E-3</v>
      </c>
      <c r="H27" s="7">
        <f t="shared" si="2"/>
        <v>3.6861341491547615E-10</v>
      </c>
      <c r="I27" s="7">
        <f t="shared" si="3"/>
        <v>4.9088934644976278E-8</v>
      </c>
      <c r="J27" s="8">
        <f t="shared" si="4"/>
        <v>6.105138941049304E-2</v>
      </c>
    </row>
    <row r="28" spans="1:10" x14ac:dyDescent="0.25">
      <c r="A28" s="81" t="s">
        <v>35</v>
      </c>
      <c r="C28" s="6">
        <f>_xlfn.STDEV.S(C22:C26)</f>
        <v>1.5877657257920599</v>
      </c>
      <c r="D28" s="82">
        <f>_xlfn.STDEV.S(D22:D26)</f>
        <v>4.2870175854392708E-6</v>
      </c>
      <c r="E28" s="8">
        <f>SQRT(2)*D28*$B$13/C28</f>
        <v>9.5460531629056253E-7</v>
      </c>
      <c r="F28" s="82">
        <f>_xlfn.STDEV.S(F22:F26)</f>
        <v>4.8953213008375819E-8</v>
      </c>
    </row>
    <row r="30" spans="1:10" x14ac:dyDescent="0.25">
      <c r="A30" s="81" t="s">
        <v>31</v>
      </c>
      <c r="C30" s="81">
        <f t="array" ref="C30:G31">TRANSPOSE(A32:B36)</f>
        <v>4.9072817895663223E-8</v>
      </c>
      <c r="D30" s="81">
        <v>4.9083739599856416E-8</v>
      </c>
      <c r="E30" s="81">
        <v>4.9171212828210782E-8</v>
      </c>
      <c r="F30" s="81">
        <v>4.9039052782901644E-8</v>
      </c>
      <c r="G30" s="81">
        <v>4.911507316585015E-8</v>
      </c>
    </row>
    <row r="31" spans="1:10" x14ac:dyDescent="0.25">
      <c r="B31" s="81" t="s">
        <v>25</v>
      </c>
      <c r="C31" s="81">
        <v>7.8460825499102416E-7</v>
      </c>
      <c r="D31" s="81">
        <v>7.9671117501006319E-7</v>
      </c>
      <c r="E31" s="81">
        <v>8.7145273356483333E-7</v>
      </c>
      <c r="F31" s="81">
        <v>7.40244822461571E-7</v>
      </c>
      <c r="G31" s="81">
        <v>8.2727928560324472E-7</v>
      </c>
    </row>
    <row r="32" spans="1:10" x14ac:dyDescent="0.25">
      <c r="A32" s="81">
        <f>I22</f>
        <v>4.9072817895663223E-8</v>
      </c>
      <c r="B32" s="5">
        <f>F22</f>
        <v>7.8460825499102416E-7</v>
      </c>
      <c r="C32" s="81">
        <f t="shared" ref="C32:G36" si="6">(C$31-$B32)/SQRT(C$30^2+$A32^2)</f>
        <v>0</v>
      </c>
      <c r="D32" s="81">
        <f t="shared" si="6"/>
        <v>0.17437565014511755</v>
      </c>
      <c r="E32" s="81">
        <f t="shared" si="6"/>
        <v>1.250117456646574</v>
      </c>
      <c r="F32" s="81">
        <f t="shared" si="6"/>
        <v>-0.63946761800865426</v>
      </c>
      <c r="G32" s="81">
        <f t="shared" si="6"/>
        <v>0.61459660627944868</v>
      </c>
    </row>
    <row r="33" spans="1:12" x14ac:dyDescent="0.25">
      <c r="A33" s="81">
        <f>I23</f>
        <v>4.9083739599856416E-8</v>
      </c>
      <c r="B33" s="5">
        <f>F23</f>
        <v>7.9671117501006319E-7</v>
      </c>
      <c r="C33" s="81">
        <f t="shared" si="6"/>
        <v>-0.17437565014511755</v>
      </c>
      <c r="D33" s="81">
        <f t="shared" si="6"/>
        <v>0</v>
      </c>
      <c r="E33" s="81">
        <f t="shared" si="6"/>
        <v>1.0757776710600901</v>
      </c>
      <c r="F33" s="81">
        <f t="shared" si="6"/>
        <v>-0.81383205034676409</v>
      </c>
      <c r="G33" s="81">
        <f t="shared" si="6"/>
        <v>0.44022766832671367</v>
      </c>
    </row>
    <row r="34" spans="1:12" x14ac:dyDescent="0.25">
      <c r="A34" s="81">
        <f>I24</f>
        <v>4.9171212828210782E-8</v>
      </c>
      <c r="B34" s="5">
        <f>F24</f>
        <v>8.7145273356483333E-7</v>
      </c>
      <c r="C34" s="81">
        <f t="shared" si="6"/>
        <v>-1.250117456646574</v>
      </c>
      <c r="D34" s="81">
        <f t="shared" si="6"/>
        <v>-1.0757776710600901</v>
      </c>
      <c r="E34" s="81">
        <f t="shared" si="6"/>
        <v>0</v>
      </c>
      <c r="F34" s="81">
        <f t="shared" si="6"/>
        <v>-1.8893731547292756</v>
      </c>
      <c r="G34" s="81">
        <f t="shared" si="6"/>
        <v>-0.63559914164659048</v>
      </c>
    </row>
    <row r="35" spans="1:12" x14ac:dyDescent="0.25">
      <c r="A35" s="81">
        <f>I25</f>
        <v>4.9039052782901644E-8</v>
      </c>
      <c r="B35" s="5">
        <f>F25</f>
        <v>7.40244822461571E-7</v>
      </c>
      <c r="C35" s="81">
        <f t="shared" si="6"/>
        <v>0.63946761800865426</v>
      </c>
      <c r="D35" s="81">
        <f t="shared" si="6"/>
        <v>0.81383205034676409</v>
      </c>
      <c r="E35" s="81">
        <f t="shared" si="6"/>
        <v>1.8893731547292756</v>
      </c>
      <c r="F35" s="81">
        <f t="shared" si="6"/>
        <v>0</v>
      </c>
      <c r="G35" s="81">
        <f t="shared" si="6"/>
        <v>1.2540000745022846</v>
      </c>
    </row>
    <row r="36" spans="1:12" x14ac:dyDescent="0.25">
      <c r="A36" s="81">
        <f>I26</f>
        <v>4.911507316585015E-8</v>
      </c>
      <c r="B36" s="5">
        <f>F26</f>
        <v>8.2727928560324472E-7</v>
      </c>
      <c r="C36" s="81">
        <f t="shared" si="6"/>
        <v>-0.61459660627944868</v>
      </c>
      <c r="D36" s="81">
        <f t="shared" si="6"/>
        <v>-0.44022766832671367</v>
      </c>
      <c r="E36" s="81">
        <f t="shared" si="6"/>
        <v>0.63559914164659048</v>
      </c>
      <c r="F36" s="81">
        <f t="shared" si="6"/>
        <v>-1.2540000745022846</v>
      </c>
      <c r="G36" s="81">
        <f t="shared" si="6"/>
        <v>0</v>
      </c>
    </row>
    <row r="39" spans="1:12" x14ac:dyDescent="0.25">
      <c r="A39" s="81" t="s">
        <v>7</v>
      </c>
    </row>
    <row r="40" spans="1:12" x14ac:dyDescent="0.25">
      <c r="B40" s="81" t="s">
        <v>36</v>
      </c>
      <c r="C40" s="81" t="s">
        <v>27</v>
      </c>
      <c r="D40" s="81" t="s">
        <v>24</v>
      </c>
      <c r="E40" s="81" t="s">
        <v>29</v>
      </c>
      <c r="F40" s="81" t="s">
        <v>37</v>
      </c>
      <c r="G40" s="81" t="s">
        <v>39</v>
      </c>
      <c r="H40" s="81" t="s">
        <v>40</v>
      </c>
      <c r="I40" s="81" t="s">
        <v>41</v>
      </c>
      <c r="J40" s="81" t="s">
        <v>42</v>
      </c>
      <c r="K40" s="81" t="s">
        <v>2</v>
      </c>
      <c r="L40" s="81" t="s">
        <v>43</v>
      </c>
    </row>
    <row r="41" spans="1:12" x14ac:dyDescent="0.25">
      <c r="A41" s="86">
        <v>1</v>
      </c>
      <c r="B41" s="88">
        <v>70</v>
      </c>
      <c r="C41" s="81">
        <f>B41-B26</f>
        <v>1.4500000000000028</v>
      </c>
      <c r="D41" s="82">
        <f>$B$12/C41</f>
        <v>3.4482758620689587E-4</v>
      </c>
      <c r="E41" s="82">
        <f>SQRT(2)*D41*$B$13/C41</f>
        <v>8.407928432658084E-5</v>
      </c>
      <c r="F41" s="82">
        <f>(4*PI()/3)*$F$27^3*($B$9-$B$8)*($B$6/$E$18)*(1+ABS(D41)/$D$27)</f>
        <v>1.7825892136764516E-18</v>
      </c>
      <c r="G41" s="82">
        <f>F41*3/$F$27</f>
        <v>6.6509621178492916E-12</v>
      </c>
      <c r="H41" s="82">
        <f>F41/$E$18</f>
        <v>3.3194581096782046E-23</v>
      </c>
      <c r="I41" s="81">
        <f>(4*PI()/3)*$F$27^3*($B$9-$B$8)*($B$6/$E$18)*(1/$D$27)</f>
        <v>4.6702260692694754E-15</v>
      </c>
      <c r="J41" s="82">
        <f>(4*PI()/3)*$F$27^3*($B$9-$B$8)*($B$6/$E$18)*(ABS(D41)/$D$27^2)</f>
        <v>4.3684697477369082E-14</v>
      </c>
      <c r="K41" s="81">
        <f>SQRT(G41^2*$I$27^2+H41^2*$F$18^2+I41^2*E41^2+J41^2*$E$28^2)</f>
        <v>5.126856082221717E-19</v>
      </c>
      <c r="L41" s="85">
        <f>K41/F41</f>
        <v>0.28760726492044542</v>
      </c>
    </row>
    <row r="42" spans="1:12" x14ac:dyDescent="0.25">
      <c r="A42" s="86">
        <v>2</v>
      </c>
      <c r="B42" s="88">
        <v>71.44</v>
      </c>
      <c r="C42" s="81">
        <f>B42-B41</f>
        <v>1.4399999999999977</v>
      </c>
      <c r="D42" s="82">
        <f t="shared" ref="D42:D45" si="7">$B$12/C42</f>
        <v>3.4722222222222278E-4</v>
      </c>
      <c r="E42" s="82">
        <f t="shared" ref="E42:E44" si="8">SQRT(2)*D42*$B$13/C42</f>
        <v>8.5251106913887656E-5</v>
      </c>
      <c r="F42" s="82">
        <f t="shared" ref="F42:F45" si="9">(4*PI()/3)*$F$27^3*($B$9-$B$8)*($B$6/$E$18)*(1+ABS(D42)/$D$27)</f>
        <v>1.7937727052216429E-18</v>
      </c>
      <c r="G42" s="82">
        <f t="shared" ref="G42:G45" si="10">F42*3/$F$27</f>
        <v>6.6926884887044991E-12</v>
      </c>
      <c r="H42" s="82">
        <f t="shared" ref="H42:H45" si="11">F42/$E$18</f>
        <v>3.3402835087210045E-23</v>
      </c>
      <c r="I42" s="81">
        <f t="shared" ref="I42:I45" si="12">(4*PI()/3)*$F$27^3*($B$9-$B$8)*($B$6/$E$18)*(1/$D$27)</f>
        <v>4.6702260692694754E-15</v>
      </c>
      <c r="J42" s="82">
        <f t="shared" ref="J42:J45" si="13">(4*PI()/3)*$F$27^3*($B$9-$B$8)*($B$6/$E$18)*(ABS(D42)/$D$27^2)</f>
        <v>4.398806343207319E-14</v>
      </c>
      <c r="K42" s="81">
        <f t="shared" ref="K42:K45" si="14">SQRT(G42^2*$I$27^2+H42^2*$F$18^2+I42^2*E42^2+J42^2*$E$28^2)</f>
        <v>5.1821268485553143E-19</v>
      </c>
      <c r="L42" s="85">
        <f t="shared" ref="L42:L45" si="15">K42/F42</f>
        <v>0.28889540093180299</v>
      </c>
    </row>
    <row r="43" spans="1:12" x14ac:dyDescent="0.25">
      <c r="A43" s="86">
        <v>3</v>
      </c>
      <c r="B43" s="88">
        <v>72.97</v>
      </c>
      <c r="C43" s="81">
        <f>B43-B42</f>
        <v>1.5300000000000011</v>
      </c>
      <c r="D43" s="82">
        <f t="shared" si="7"/>
        <v>3.2679738562091479E-4</v>
      </c>
      <c r="E43" s="82">
        <f t="shared" si="8"/>
        <v>7.5516551453131965E-5</v>
      </c>
      <c r="F43" s="82">
        <f t="shared" si="9"/>
        <v>1.6983841008656447E-18</v>
      </c>
      <c r="G43" s="82">
        <f t="shared" si="10"/>
        <v>6.3367870902337863E-12</v>
      </c>
      <c r="H43" s="82">
        <f t="shared" si="11"/>
        <v>3.1626551051207375E-23</v>
      </c>
      <c r="I43" s="81">
        <f t="shared" si="12"/>
        <v>4.6702260692694754E-15</v>
      </c>
      <c r="J43" s="82">
        <f t="shared" si="13"/>
        <v>4.1400530289009964E-14</v>
      </c>
      <c r="K43" s="81">
        <f t="shared" si="14"/>
        <v>4.7222925597591501E-19</v>
      </c>
      <c r="L43" s="85">
        <f t="shared" si="15"/>
        <v>0.2780462062352243</v>
      </c>
    </row>
    <row r="44" spans="1:12" x14ac:dyDescent="0.25">
      <c r="A44" s="86">
        <v>4</v>
      </c>
      <c r="B44" s="88">
        <v>74.31</v>
      </c>
      <c r="C44" s="81">
        <f>B44-B43</f>
        <v>1.3400000000000034</v>
      </c>
      <c r="D44" s="82">
        <f t="shared" si="7"/>
        <v>3.7313432835820804E-4</v>
      </c>
      <c r="E44" s="82">
        <f t="shared" si="8"/>
        <v>9.8449930550588115E-5</v>
      </c>
      <c r="F44" s="82">
        <f t="shared" si="9"/>
        <v>1.9147880988075983E-18</v>
      </c>
      <c r="G44" s="82">
        <f t="shared" si="10"/>
        <v>7.1442051882568496E-12</v>
      </c>
      <c r="H44" s="82">
        <f t="shared" si="11"/>
        <v>3.565632975975052E-23</v>
      </c>
      <c r="I44" s="81">
        <f t="shared" si="12"/>
        <v>4.6702260692694754E-15</v>
      </c>
      <c r="J44" s="82">
        <f t="shared" si="13"/>
        <v>4.7270754732973979E-14</v>
      </c>
      <c r="K44" s="81">
        <f t="shared" si="14"/>
        <v>5.8034630372891138E-19</v>
      </c>
      <c r="L44" s="85">
        <f t="shared" si="15"/>
        <v>0.30308643765349919</v>
      </c>
    </row>
    <row r="45" spans="1:12" x14ac:dyDescent="0.25">
      <c r="A45" s="86">
        <v>5</v>
      </c>
      <c r="B45" s="88">
        <v>76.03</v>
      </c>
      <c r="C45" s="81">
        <f>B45-B44</f>
        <v>1.7199999999999989</v>
      </c>
      <c r="D45" s="82">
        <f t="shared" si="7"/>
        <v>2.9069767441860486E-4</v>
      </c>
      <c r="E45" s="82">
        <f>SQRT(2)*D45*$B$13/C45</f>
        <v>5.9754156062951981E-5</v>
      </c>
      <c r="F45" s="82">
        <f t="shared" si="9"/>
        <v>1.5297902885155175E-18</v>
      </c>
      <c r="G45" s="82">
        <f t="shared" si="10"/>
        <v>5.7077520603786062E-12</v>
      </c>
      <c r="H45" s="82">
        <f t="shared" si="11"/>
        <v>2.8487072289900492E-23</v>
      </c>
      <c r="I45" s="81">
        <f t="shared" si="12"/>
        <v>4.6702260692694754E-15</v>
      </c>
      <c r="J45" s="82">
        <f t="shared" si="13"/>
        <v>3.6827215896619383E-14</v>
      </c>
      <c r="K45" s="81">
        <f t="shared" si="14"/>
        <v>3.9731183656926235E-19</v>
      </c>
      <c r="L45" s="85">
        <f t="shared" si="15"/>
        <v>0.25971653732669919</v>
      </c>
    </row>
    <row r="46" spans="1:12" x14ac:dyDescent="0.25">
      <c r="L46" s="85"/>
    </row>
    <row r="47" spans="1:12" x14ac:dyDescent="0.25">
      <c r="L47" s="85"/>
    </row>
    <row r="49" spans="1:12" x14ac:dyDescent="0.25">
      <c r="A49" s="81" t="s">
        <v>7</v>
      </c>
    </row>
    <row r="50" spans="1:12" x14ac:dyDescent="0.25">
      <c r="B50" s="81" t="s">
        <v>23</v>
      </c>
      <c r="C50" s="81" t="s">
        <v>27</v>
      </c>
      <c r="D50" s="81" t="s">
        <v>24</v>
      </c>
      <c r="E50" s="81" t="s">
        <v>29</v>
      </c>
      <c r="F50" s="81" t="s">
        <v>37</v>
      </c>
      <c r="G50" s="81" t="s">
        <v>39</v>
      </c>
      <c r="H50" s="81" t="s">
        <v>40</v>
      </c>
      <c r="I50" s="81" t="s">
        <v>41</v>
      </c>
      <c r="J50" s="81" t="s">
        <v>42</v>
      </c>
      <c r="K50" s="81" t="s">
        <v>2</v>
      </c>
      <c r="L50" s="81" t="s">
        <v>43</v>
      </c>
    </row>
    <row r="51" spans="1:12" x14ac:dyDescent="0.25">
      <c r="A51" s="86">
        <v>6</v>
      </c>
      <c r="B51" s="89">
        <v>77.22</v>
      </c>
      <c r="C51" s="81">
        <f>B51-B45</f>
        <v>1.1899999999999977</v>
      </c>
      <c r="D51" s="82">
        <f>$B$12/C51</f>
        <v>4.2016806722689159E-4</v>
      </c>
      <c r="E51" s="82">
        <f>SQRT(2)*D51*$B$13/C51</f>
        <v>1.2483348301436169E-4</v>
      </c>
      <c r="F51" s="82">
        <f>-(4*PI()/3)*$F$27^3*($B$9-$B$8)*($B$6/$E$18)*(1-ABS(D51)/$D$27)</f>
        <v>1.7901134298678594E-18</v>
      </c>
      <c r="G51" s="82">
        <f>F51*3/$F$27</f>
        <v>6.6790354824088988E-12</v>
      </c>
      <c r="H51" s="82">
        <f>F51/$E$18</f>
        <v>3.333469369403057E-23</v>
      </c>
      <c r="I51" s="81">
        <f>-(4*PI()/3)*$F$27^3*($B$9-$B$8)*($B$6/$E$18)*(-1/$D$27)</f>
        <v>4.6702260692694754E-15</v>
      </c>
      <c r="J51" s="82">
        <f>-(4*PI()/3)*$F$27^3*($B$9-$B$8)*($B$6/$E$18)*(-ABS(D51)/$D$27^2)</f>
        <v>5.3229253228727247E-14</v>
      </c>
      <c r="K51" s="81">
        <f>SQRT(G51^2*$I$27^2+H51^2*$F$18^2+I51^2*E51^2+J51^2*$E$28^2)</f>
        <v>6.7103985713844847E-19</v>
      </c>
      <c r="L51" s="85">
        <f>K51/F51</f>
        <v>0.37485884745749465</v>
      </c>
    </row>
    <row r="52" spans="1:12" x14ac:dyDescent="0.25">
      <c r="A52" s="86">
        <v>7</v>
      </c>
      <c r="B52" s="89">
        <v>78.39</v>
      </c>
      <c r="C52" s="81">
        <f>B52-B51</f>
        <v>1.1700000000000017</v>
      </c>
      <c r="D52" s="82">
        <f t="shared" ref="D52:D55" si="16">$B$12/C52</f>
        <v>4.2735042735042675E-4</v>
      </c>
      <c r="E52" s="82">
        <f t="shared" ref="E52:E54" si="17">SQRT(2)*D52*$B$13/C52</f>
        <v>1.2913777141985273E-4</v>
      </c>
      <c r="F52" s="82">
        <f t="shared" ref="F52:F55" si="18">-(4*PI()/3)*$F$27^3*($B$9-$B$8)*($B$6/$E$18)*(1-ABS(D52)/$D$27)</f>
        <v>1.8236566753556751E-18</v>
      </c>
      <c r="G52" s="82">
        <f t="shared" ref="G52:G55" si="19">F52*3/$F$27</f>
        <v>6.8041876225304391E-12</v>
      </c>
      <c r="H52" s="82">
        <f t="shared" ref="H52:H55" si="20">F52/$E$18</f>
        <v>3.3959321047350044E-23</v>
      </c>
      <c r="I52" s="81">
        <f t="shared" ref="I52:I55" si="21">-(4*PI()/3)*$F$27^3*($B$9-$B$8)*($B$6/$E$18)*(-1/$D$27)</f>
        <v>4.6702260692694754E-15</v>
      </c>
      <c r="J52" s="82">
        <f t="shared" ref="J52:J55" si="22">-(4*PI()/3)*$F$27^3*($B$9-$B$8)*($B$6/$E$18)*(-ABS(D52)/$D$27^2)</f>
        <v>5.4139154993320681E-14</v>
      </c>
      <c r="K52" s="81">
        <f t="shared" ref="K52:K55" si="23">SQRT(G52^2*$I$27^2+H52^2*$F$18^2+I52^2*E52^2+J52^2*$E$28^2)</f>
        <v>6.9159612607012931E-19</v>
      </c>
      <c r="L52" s="85">
        <f t="shared" ref="L52:L55" si="24">K52/F52</f>
        <v>0.37923592495020725</v>
      </c>
    </row>
    <row r="53" spans="1:12" x14ac:dyDescent="0.25">
      <c r="A53" s="86">
        <v>8</v>
      </c>
      <c r="B53" s="89">
        <v>79.63</v>
      </c>
      <c r="C53" s="81">
        <f>B53-B52</f>
        <v>1.2399999999999949</v>
      </c>
      <c r="D53" s="82">
        <f t="shared" si="16"/>
        <v>4.0322580645161458E-4</v>
      </c>
      <c r="E53" s="82">
        <f t="shared" si="17"/>
        <v>1.1496923471425491E-4</v>
      </c>
      <c r="F53" s="82">
        <f t="shared" si="18"/>
        <v>1.7109892419227993E-18</v>
      </c>
      <c r="G53" s="82">
        <f t="shared" si="19"/>
        <v>6.3838177325253863E-12</v>
      </c>
      <c r="H53" s="82">
        <f t="shared" si="20"/>
        <v>3.1861278364627573E-23</v>
      </c>
      <c r="I53" s="81">
        <f t="shared" si="21"/>
        <v>4.6702260692694754E-15</v>
      </c>
      <c r="J53" s="82">
        <f t="shared" si="22"/>
        <v>5.1082912372730291E-14</v>
      </c>
      <c r="K53" s="81">
        <f t="shared" si="23"/>
        <v>6.2383977639415243E-19</v>
      </c>
      <c r="L53" s="85">
        <f t="shared" si="24"/>
        <v>0.3646076556817418</v>
      </c>
    </row>
    <row r="54" spans="1:12" x14ac:dyDescent="0.25">
      <c r="A54" s="86">
        <v>9</v>
      </c>
      <c r="B54" s="89">
        <v>80.900000000000006</v>
      </c>
      <c r="C54" s="81">
        <f>B54-B53</f>
        <v>1.2700000000000102</v>
      </c>
      <c r="D54" s="82">
        <f t="shared" si="16"/>
        <v>3.9370078740157165E-4</v>
      </c>
      <c r="E54" s="82">
        <f t="shared" si="17"/>
        <v>1.0960177028745369E-4</v>
      </c>
      <c r="F54" s="82">
        <f t="shared" si="18"/>
        <v>1.6665052496450004E-18</v>
      </c>
      <c r="G54" s="82">
        <f t="shared" si="19"/>
        <v>6.2178449188112541E-12</v>
      </c>
      <c r="H54" s="82">
        <f t="shared" si="20"/>
        <v>3.1032917305419438E-23</v>
      </c>
      <c r="I54" s="81">
        <f t="shared" si="21"/>
        <v>4.6702260692694754E-15</v>
      </c>
      <c r="J54" s="82">
        <f t="shared" si="22"/>
        <v>4.9876229403295111E-14</v>
      </c>
      <c r="K54" s="81">
        <f t="shared" si="23"/>
        <v>5.9809635302437181E-19</v>
      </c>
      <c r="L54" s="85">
        <f t="shared" si="24"/>
        <v>0.35889257063653329</v>
      </c>
    </row>
    <row r="55" spans="1:12" x14ac:dyDescent="0.25">
      <c r="A55" s="86">
        <v>10</v>
      </c>
      <c r="B55" s="89">
        <v>82.11</v>
      </c>
      <c r="C55" s="81">
        <f>B55-B54</f>
        <v>1.2099999999999937</v>
      </c>
      <c r="D55" s="82">
        <f t="shared" si="16"/>
        <v>4.1322314049586993E-4</v>
      </c>
      <c r="E55" s="82">
        <f>SQRT(2)*D55*$B$13/C55</f>
        <v>1.2074086148257546E-4</v>
      </c>
      <c r="F55" s="82">
        <f t="shared" si="18"/>
        <v>1.7576790519994758E-18</v>
      </c>
      <c r="G55" s="82">
        <f t="shared" si="19"/>
        <v>6.558020603117823E-12</v>
      </c>
      <c r="H55" s="82">
        <f t="shared" si="20"/>
        <v>3.2730715178837358E-23</v>
      </c>
      <c r="I55" s="81">
        <f t="shared" si="21"/>
        <v>4.6702260692694754E-15</v>
      </c>
      <c r="J55" s="82">
        <f t="shared" si="22"/>
        <v>5.2349430861310428E-14</v>
      </c>
      <c r="K55" s="81">
        <f t="shared" si="23"/>
        <v>6.5147297339774024E-19</v>
      </c>
      <c r="L55" s="85">
        <f t="shared" si="24"/>
        <v>0.37064387417978656</v>
      </c>
    </row>
    <row r="56" spans="1:12" x14ac:dyDescent="0.25">
      <c r="L56" s="85"/>
    </row>
    <row r="57" spans="1:12" x14ac:dyDescent="0.25">
      <c r="L57" s="85"/>
    </row>
    <row r="59" spans="1:12" x14ac:dyDescent="0.25">
      <c r="B59" s="81" t="s">
        <v>38</v>
      </c>
    </row>
    <row r="60" spans="1:12" x14ac:dyDescent="0.25">
      <c r="A60" s="82"/>
      <c r="B60" s="81" t="s">
        <v>44</v>
      </c>
      <c r="C60" s="81" t="s">
        <v>45</v>
      </c>
    </row>
    <row r="61" spans="1:12" x14ac:dyDescent="0.25">
      <c r="A61" s="81">
        <v>1</v>
      </c>
      <c r="B61" s="82">
        <f>F41</f>
        <v>1.7825892136764516E-18</v>
      </c>
      <c r="C61" s="81">
        <f>K41</f>
        <v>5.126856082221717E-19</v>
      </c>
    </row>
    <row r="62" spans="1:12" x14ac:dyDescent="0.25">
      <c r="A62" s="81">
        <v>2</v>
      </c>
      <c r="B62" s="82">
        <f t="shared" ref="B62:B65" si="25">F42</f>
        <v>1.7937727052216429E-18</v>
      </c>
      <c r="C62" s="81">
        <f t="shared" ref="C62:C65" si="26">K42</f>
        <v>5.1821268485553143E-19</v>
      </c>
    </row>
    <row r="63" spans="1:12" x14ac:dyDescent="0.25">
      <c r="A63" s="81">
        <v>3</v>
      </c>
      <c r="B63" s="82">
        <f t="shared" si="25"/>
        <v>1.6983841008656447E-18</v>
      </c>
      <c r="C63" s="81">
        <f t="shared" si="26"/>
        <v>4.7222925597591501E-19</v>
      </c>
    </row>
    <row r="64" spans="1:12" x14ac:dyDescent="0.25">
      <c r="A64" s="81">
        <v>4</v>
      </c>
      <c r="B64" s="82">
        <f t="shared" si="25"/>
        <v>1.9147880988075983E-18</v>
      </c>
      <c r="C64" s="81">
        <f t="shared" si="26"/>
        <v>5.8034630372891138E-19</v>
      </c>
    </row>
    <row r="65" spans="1:3" x14ac:dyDescent="0.25">
      <c r="A65" s="81">
        <v>5</v>
      </c>
      <c r="B65" s="82">
        <f t="shared" si="25"/>
        <v>1.5297902885155175E-18</v>
      </c>
      <c r="C65" s="81">
        <f t="shared" si="26"/>
        <v>3.9731183656926235E-19</v>
      </c>
    </row>
    <row r="66" spans="1:3" x14ac:dyDescent="0.25">
      <c r="A66" s="81">
        <v>6</v>
      </c>
      <c r="B66" s="82">
        <f>F51</f>
        <v>1.7901134298678594E-18</v>
      </c>
      <c r="C66" s="81">
        <f>K51</f>
        <v>6.7103985713844847E-19</v>
      </c>
    </row>
    <row r="67" spans="1:3" x14ac:dyDescent="0.25">
      <c r="A67" s="81">
        <v>7</v>
      </c>
      <c r="B67" s="82">
        <f t="shared" ref="B67:B70" si="27">F52</f>
        <v>1.8236566753556751E-18</v>
      </c>
      <c r="C67" s="81">
        <f t="shared" ref="C67:C70" si="28">K52</f>
        <v>6.9159612607012931E-19</v>
      </c>
    </row>
    <row r="68" spans="1:3" x14ac:dyDescent="0.25">
      <c r="A68" s="81">
        <v>8</v>
      </c>
      <c r="B68" s="82">
        <f t="shared" si="27"/>
        <v>1.7109892419227993E-18</v>
      </c>
      <c r="C68" s="81">
        <f t="shared" si="28"/>
        <v>6.2383977639415243E-19</v>
      </c>
    </row>
    <row r="69" spans="1:3" x14ac:dyDescent="0.25">
      <c r="A69" s="81">
        <v>9</v>
      </c>
      <c r="B69" s="82">
        <f t="shared" si="27"/>
        <v>1.6665052496450004E-18</v>
      </c>
      <c r="C69" s="81">
        <f t="shared" si="28"/>
        <v>5.9809635302437181E-19</v>
      </c>
    </row>
    <row r="70" spans="1:3" x14ac:dyDescent="0.25">
      <c r="A70" s="81">
        <v>10</v>
      </c>
      <c r="B70" s="82">
        <f t="shared" si="27"/>
        <v>1.7576790519994758E-18</v>
      </c>
      <c r="C70" s="81">
        <f t="shared" si="28"/>
        <v>6.5147297339774024E-19</v>
      </c>
    </row>
  </sheetData>
  <mergeCells count="2">
    <mergeCell ref="A1:C2"/>
    <mergeCell ref="A14:C15"/>
  </mergeCells>
  <conditionalFormatting sqref="C32:G36">
    <cfRule type="cellIs" dxfId="38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5E944AB2-7F9F-438B-A909-D13204E7D65C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ADF5963A-5391-4CD4-A549-389449162C7A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B13" workbookViewId="0">
      <selection activeCell="F54" sqref="F54:F55"/>
    </sheetView>
  </sheetViews>
  <sheetFormatPr defaultRowHeight="15" x14ac:dyDescent="0.25"/>
  <cols>
    <col min="1" max="1" width="13.140625" style="89" customWidth="1"/>
    <col min="2" max="2" width="9.140625" style="89"/>
    <col min="3" max="5" width="12" style="89" customWidth="1"/>
    <col min="6" max="7" width="12.140625" style="89" customWidth="1"/>
    <col min="8" max="9" width="12" style="89" customWidth="1"/>
    <col min="10" max="10" width="9.140625" style="89"/>
    <col min="11" max="11" width="12" style="89" customWidth="1"/>
    <col min="12" max="16384" width="9.140625" style="89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89" t="s">
        <v>1</v>
      </c>
      <c r="C4" s="89" t="s">
        <v>2</v>
      </c>
    </row>
    <row r="5" spans="1:5" x14ac:dyDescent="0.25">
      <c r="A5" s="89" t="str">
        <f>[1]Dati!A5</f>
        <v>d</v>
      </c>
      <c r="B5" s="90">
        <f>Dati!B5</f>
        <v>7.4300000000000008E-3</v>
      </c>
      <c r="C5" s="179">
        <f>Dati!C5</f>
        <v>1.0000000000000001E-5</v>
      </c>
    </row>
    <row r="6" spans="1:5" x14ac:dyDescent="0.25">
      <c r="A6" s="89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89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89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89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89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89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89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89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92"/>
    </row>
    <row r="15" spans="1:5" x14ac:dyDescent="0.25">
      <c r="A15" s="193"/>
      <c r="B15" s="193"/>
      <c r="C15" s="193"/>
      <c r="D15" s="92"/>
    </row>
    <row r="16" spans="1:5" x14ac:dyDescent="0.25">
      <c r="A16" s="89" t="s">
        <v>18</v>
      </c>
      <c r="B16" s="89">
        <v>399</v>
      </c>
      <c r="C16" s="89">
        <f>B16/100</f>
        <v>3.99</v>
      </c>
      <c r="D16" s="89" t="s">
        <v>19</v>
      </c>
      <c r="E16" s="89">
        <f>(1.8+(B18-15)*0.004765)*0.00001</f>
        <v>1.8262075000000001E-5</v>
      </c>
    </row>
    <row r="17" spans="1:10" x14ac:dyDescent="0.25">
      <c r="A17" s="89" t="s">
        <v>20</v>
      </c>
      <c r="E17" s="91"/>
    </row>
    <row r="18" spans="1:10" x14ac:dyDescent="0.25">
      <c r="A18" s="89" t="s">
        <v>21</v>
      </c>
      <c r="B18" s="89">
        <v>20.5</v>
      </c>
      <c r="C18" s="89">
        <v>0.5</v>
      </c>
      <c r="D18" s="89" t="s">
        <v>22</v>
      </c>
      <c r="E18" s="90">
        <f>B16/B5</f>
        <v>53701.211305518162</v>
      </c>
      <c r="F18" s="89">
        <f>SQRT((C16/B5)^2+(B16*C5/B5^2)^2)</f>
        <v>541.85409256032881</v>
      </c>
      <c r="G18" s="90"/>
    </row>
    <row r="21" spans="1:10" x14ac:dyDescent="0.25">
      <c r="B21" s="89" t="s">
        <v>23</v>
      </c>
      <c r="C21" s="89" t="s">
        <v>27</v>
      </c>
      <c r="D21" s="89" t="s">
        <v>24</v>
      </c>
      <c r="E21" s="89" t="s">
        <v>29</v>
      </c>
      <c r="F21" s="89" t="s">
        <v>25</v>
      </c>
      <c r="G21" s="89" t="s">
        <v>26</v>
      </c>
      <c r="H21" s="89" t="s">
        <v>28</v>
      </c>
      <c r="I21" s="89" t="s">
        <v>31</v>
      </c>
      <c r="J21" s="89" t="s">
        <v>32</v>
      </c>
    </row>
    <row r="22" spans="1:10" x14ac:dyDescent="0.25">
      <c r="A22" s="89">
        <v>1</v>
      </c>
      <c r="B22" s="95">
        <v>7.45</v>
      </c>
      <c r="C22" s="89">
        <f>B22</f>
        <v>7.45</v>
      </c>
      <c r="D22" s="90">
        <f>B12/B22</f>
        <v>6.7114093959731537E-5</v>
      </c>
      <c r="E22" s="90">
        <f>SQRT(2)*D22*$B$13/C22</f>
        <v>3.1850222115514953E-6</v>
      </c>
      <c r="F22" s="5">
        <f>(($B$10/(2*$B$7))^2+9*$E$16*D22/(2*$B$6*($B$9-$B$8)))^(1/2)-$B$10/(2*$B$7)</f>
        <v>1.0999745396704043E-6</v>
      </c>
      <c r="G22" s="89">
        <f>(($B$10/(2*$B$7))^2+9*$E$16*D22/(2*$B$6*($B$9-$B$8)))^(-1/2)*(9*$E$16)/(4*$B$6*$B$9)</f>
        <v>2.841648762779871E-3</v>
      </c>
      <c r="H22" s="89">
        <f>(($B$10/(2*$B$7))^2+9*$E$16*D22/(2*$B$6*($B$9-$B$8)))^(-1/2)*((9*D22)/(4*$B$6*$B$9))*0.00000004765</f>
        <v>4.9761895077276884E-10</v>
      </c>
      <c r="I22" s="89">
        <f>SQRT(G22^2*E22^2+H22^2*$C$18^2+$F$28^2)</f>
        <v>2.3361314112260262E-8</v>
      </c>
      <c r="J22" s="90">
        <f>I22/F22</f>
        <v>2.1238049854554117E-2</v>
      </c>
    </row>
    <row r="23" spans="1:10" x14ac:dyDescent="0.25">
      <c r="A23" s="89">
        <v>2</v>
      </c>
      <c r="B23" s="95">
        <v>15.5</v>
      </c>
      <c r="C23" s="89">
        <f>B23-B22</f>
        <v>8.0500000000000007</v>
      </c>
      <c r="D23" s="90">
        <f>$B$12/(B23-B22)</f>
        <v>6.2111801242236027E-5</v>
      </c>
      <c r="E23" s="90">
        <f t="shared" ref="E23:E25" si="0">SQRT(2)*D23*$B$13/C23</f>
        <v>2.727930177024604E-6</v>
      </c>
      <c r="F23" s="5">
        <f>(($B$10/(2*$B$7))^2+9*E16*D23/(2*$B$6*($B$9-$B$8)))^(1/2)-$B$10/(2*$B$7)</f>
        <v>1.056706440896267E-6</v>
      </c>
      <c r="G23" s="89">
        <f t="shared" ref="G23:G27" si="1">(($B$10/(2*$B$7))^2+9*$E$16*D23/(2*$B$6*($B$9-$B$8)))^(-1/2)*(9*$E$16)/(4*$B$6*$B$9)</f>
        <v>2.9537122591473449E-3</v>
      </c>
      <c r="H23" s="89">
        <f t="shared" ref="H23:H27" si="2">(($B$10/(2*$B$7))^2+9*$E$16*D23/(2*$B$6*($B$9-$B$8)))^(-1/2)*((9*D23)/(4*$B$6*$B$9))*0.00000004765</f>
        <v>4.7869081277694573E-10</v>
      </c>
      <c r="I23" s="89">
        <f t="shared" ref="I23:I27" si="3">SQRT(G23^2*E23^2+H23^2*$C$18^2+$F$28^2)</f>
        <v>2.2994664316357651E-8</v>
      </c>
      <c r="J23" s="90">
        <f t="shared" ref="J23:J27" si="4">I23/F23</f>
        <v>2.1760692872141729E-2</v>
      </c>
    </row>
    <row r="24" spans="1:10" x14ac:dyDescent="0.25">
      <c r="A24" s="89">
        <v>3</v>
      </c>
      <c r="B24" s="95">
        <v>23.41</v>
      </c>
      <c r="C24" s="89">
        <f t="shared" ref="C24:C26" si="5">B24-B23</f>
        <v>7.91</v>
      </c>
      <c r="D24" s="90">
        <f>$B$12/(B24-B23)</f>
        <v>6.321112515802781E-5</v>
      </c>
      <c r="E24" s="90">
        <f t="shared" si="0"/>
        <v>2.8253486248845159E-6</v>
      </c>
      <c r="F24" s="5">
        <f>(($B$10/(2*$B$7))^2+9*E16*D24/(2*$B$6*($B$9-$B$8)))^(1/2)-$B$10/(2*$B$7)</f>
        <v>1.0663602352489681E-6</v>
      </c>
      <c r="G24" s="89">
        <f t="shared" si="1"/>
        <v>2.9279497816177185E-3</v>
      </c>
      <c r="H24" s="89">
        <f t="shared" si="2"/>
        <v>4.8291414611278198E-10</v>
      </c>
      <c r="I24" s="89">
        <f t="shared" si="3"/>
        <v>2.3070887883878204E-8</v>
      </c>
      <c r="J24" s="90">
        <f t="shared" si="4"/>
        <v>2.163517273174739E-2</v>
      </c>
    </row>
    <row r="25" spans="1:10" x14ac:dyDescent="0.25">
      <c r="A25" s="89">
        <v>4</v>
      </c>
      <c r="B25" s="95">
        <v>31.37</v>
      </c>
      <c r="C25" s="89">
        <f t="shared" si="5"/>
        <v>7.9600000000000009</v>
      </c>
      <c r="D25" s="90">
        <f>$B$12/(B25-B24)</f>
        <v>6.2814070351758787E-5</v>
      </c>
      <c r="E25" s="90">
        <f t="shared" si="0"/>
        <v>2.7899657725915516E-6</v>
      </c>
      <c r="F25" s="5">
        <f>(($B$10/(2*$B$7))^2+9*E16*D25/(2*$B$6*($B$9-$B$8)))^(1/2)-$B$10/(2*$B$7)</f>
        <v>1.0628832135495681E-6</v>
      </c>
      <c r="G25" s="89">
        <f t="shared" si="1"/>
        <v>2.9371767467544865E-3</v>
      </c>
      <c r="H25" s="89">
        <f t="shared" si="2"/>
        <v>4.8139303322950862E-10</v>
      </c>
      <c r="I25" s="89">
        <f t="shared" si="3"/>
        <v>2.3043077778149864E-8</v>
      </c>
      <c r="J25" s="90">
        <f t="shared" si="4"/>
        <v>2.1679783333105804E-2</v>
      </c>
    </row>
    <row r="26" spans="1:10" x14ac:dyDescent="0.25">
      <c r="A26" s="89">
        <v>5</v>
      </c>
      <c r="B26" s="95">
        <v>39.65</v>
      </c>
      <c r="C26" s="89">
        <f t="shared" si="5"/>
        <v>8.2799999999999976</v>
      </c>
      <c r="D26" s="90">
        <f>$B$12/(B26-B25)</f>
        <v>6.038647342995171E-5</v>
      </c>
      <c r="E26" s="90">
        <f>SQRT(2)*D26*$B$13/C26</f>
        <v>2.5784833849190911E-6</v>
      </c>
      <c r="F26" s="5">
        <f>(($B$10/(2*$B$7))^2+9*E16*D26/(2*$B$6*($B$9-$B$8)))^(1/2)-$B$10/(2*$B$7)</f>
        <v>1.0413816664423503E-6</v>
      </c>
      <c r="G26" s="89">
        <f t="shared" si="1"/>
        <v>2.9955527745634449E-3</v>
      </c>
      <c r="H26" s="89">
        <f t="shared" si="2"/>
        <v>4.7198633570342204E-10</v>
      </c>
      <c r="I26" s="89">
        <f t="shared" si="3"/>
        <v>2.2879887812510499E-8</v>
      </c>
      <c r="J26" s="90">
        <f t="shared" si="4"/>
        <v>2.1970703489215981E-2</v>
      </c>
    </row>
    <row r="27" spans="1:10" x14ac:dyDescent="0.25">
      <c r="A27" s="7" t="s">
        <v>34</v>
      </c>
      <c r="B27" s="7"/>
      <c r="C27" s="7">
        <f>AVERAGE(C22:C26)</f>
        <v>7.93</v>
      </c>
      <c r="D27" s="7">
        <f>AVERAGE(D22:D26)</f>
        <v>6.3127512828341174E-5</v>
      </c>
      <c r="E27" s="8">
        <f>SQRT(2)*D27*$B$13/C27</f>
        <v>2.814495107210644E-6</v>
      </c>
      <c r="F27" s="9">
        <f>AVERAGE(F22:F26)</f>
        <v>1.0654612191615114E-6</v>
      </c>
      <c r="G27" s="7">
        <f t="shared" si="1"/>
        <v>2.9298855800276632E-3</v>
      </c>
      <c r="H27" s="7">
        <f t="shared" si="2"/>
        <v>4.8259422664304569E-10</v>
      </c>
      <c r="I27" s="7">
        <f t="shared" si="3"/>
        <v>2.3061458123442013E-8</v>
      </c>
      <c r="J27" s="8">
        <f t="shared" si="4"/>
        <v>2.1644577680256391E-2</v>
      </c>
    </row>
    <row r="28" spans="1:10" x14ac:dyDescent="0.25">
      <c r="A28" s="89" t="s">
        <v>35</v>
      </c>
      <c r="C28" s="6">
        <f>_xlfn.STDEV.S(C22:C26)</f>
        <v>0.30356218473321012</v>
      </c>
      <c r="D28" s="90">
        <f>_xlfn.STDEV.S(D22:D26)</f>
        <v>2.4770462921911101E-6</v>
      </c>
      <c r="E28" s="8">
        <f>SQRT(2)*D28*$B$13/C28</f>
        <v>2.8849710514184936E-6</v>
      </c>
      <c r="F28" s="90">
        <f>_xlfn.STDEV.S(F22:F26)</f>
        <v>2.1535404785136581E-8</v>
      </c>
    </row>
    <row r="30" spans="1:10" x14ac:dyDescent="0.25">
      <c r="A30" s="89" t="s">
        <v>31</v>
      </c>
      <c r="C30" s="89">
        <f t="array" ref="C30:G31">TRANSPOSE(A32:B36)</f>
        <v>2.3361314112260262E-8</v>
      </c>
      <c r="D30" s="89">
        <v>2.2994664316357651E-8</v>
      </c>
      <c r="E30" s="89">
        <v>2.3070887883878204E-8</v>
      </c>
      <c r="F30" s="89">
        <v>2.3043077778149864E-8</v>
      </c>
      <c r="G30" s="89">
        <v>2.2879887812510499E-8</v>
      </c>
    </row>
    <row r="31" spans="1:10" x14ac:dyDescent="0.25">
      <c r="B31" s="89" t="s">
        <v>25</v>
      </c>
      <c r="C31" s="89">
        <v>1.0999745396704043E-6</v>
      </c>
      <c r="D31" s="89">
        <v>1.056706440896267E-6</v>
      </c>
      <c r="E31" s="89">
        <v>1.0663602352489681E-6</v>
      </c>
      <c r="F31" s="89">
        <v>1.0628832135495681E-6</v>
      </c>
      <c r="G31" s="89">
        <v>1.0413816664423503E-6</v>
      </c>
    </row>
    <row r="32" spans="1:10" x14ac:dyDescent="0.25">
      <c r="A32" s="89">
        <f>I22</f>
        <v>2.3361314112260262E-8</v>
      </c>
      <c r="B32" s="5">
        <f>F22</f>
        <v>1.0999745396704043E-6</v>
      </c>
      <c r="C32" s="89">
        <f t="shared" ref="C32:G36" si="6">(C$31-$B32)/SQRT(C$30^2+$A32^2)</f>
        <v>0</v>
      </c>
      <c r="D32" s="89">
        <f t="shared" si="6"/>
        <v>-1.3199682167962759</v>
      </c>
      <c r="E32" s="89">
        <f t="shared" si="6"/>
        <v>-1.0237911034445264</v>
      </c>
      <c r="F32" s="89">
        <f t="shared" si="6"/>
        <v>-1.1303633310207633</v>
      </c>
      <c r="G32" s="89">
        <f t="shared" si="6"/>
        <v>-1.7918726593664753</v>
      </c>
    </row>
    <row r="33" spans="1:12" x14ac:dyDescent="0.25">
      <c r="A33" s="89">
        <f>I23</f>
        <v>2.2994664316357651E-8</v>
      </c>
      <c r="B33" s="5">
        <f>F23</f>
        <v>1.056706440896267E-6</v>
      </c>
      <c r="C33" s="89">
        <f t="shared" si="6"/>
        <v>1.3199682167962759</v>
      </c>
      <c r="D33" s="89">
        <f t="shared" si="6"/>
        <v>0</v>
      </c>
      <c r="E33" s="89">
        <f t="shared" si="6"/>
        <v>0.29637131348511397</v>
      </c>
      <c r="F33" s="89">
        <f t="shared" si="6"/>
        <v>0.18974151273588055</v>
      </c>
      <c r="G33" s="89">
        <f t="shared" si="6"/>
        <v>-0.47242828615342491</v>
      </c>
    </row>
    <row r="34" spans="1:12" x14ac:dyDescent="0.25">
      <c r="A34" s="89">
        <f>I24</f>
        <v>2.3070887883878204E-8</v>
      </c>
      <c r="B34" s="5">
        <f>F24</f>
        <v>1.0663602352489681E-6</v>
      </c>
      <c r="C34" s="89">
        <f t="shared" si="6"/>
        <v>1.0237911034445264</v>
      </c>
      <c r="D34" s="89">
        <f t="shared" si="6"/>
        <v>-0.29637131348511397</v>
      </c>
      <c r="E34" s="89">
        <f t="shared" si="6"/>
        <v>0</v>
      </c>
      <c r="F34" s="89">
        <f t="shared" si="6"/>
        <v>-0.10663256302440015</v>
      </c>
      <c r="G34" s="89">
        <f t="shared" si="6"/>
        <v>-0.76875145368403053</v>
      </c>
    </row>
    <row r="35" spans="1:12" x14ac:dyDescent="0.25">
      <c r="A35" s="89">
        <f>I25</f>
        <v>2.3043077778149864E-8</v>
      </c>
      <c r="B35" s="5">
        <f>F25</f>
        <v>1.0628832135495681E-6</v>
      </c>
      <c r="C35" s="89">
        <f t="shared" si="6"/>
        <v>1.1303633310207633</v>
      </c>
      <c r="D35" s="89">
        <f t="shared" si="6"/>
        <v>-0.18974151273588055</v>
      </c>
      <c r="E35" s="89">
        <f t="shared" si="6"/>
        <v>0.10663256302440015</v>
      </c>
      <c r="F35" s="89">
        <f t="shared" si="6"/>
        <v>0</v>
      </c>
      <c r="G35" s="89">
        <f t="shared" si="6"/>
        <v>-0.66214337750956853</v>
      </c>
    </row>
    <row r="36" spans="1:12" x14ac:dyDescent="0.25">
      <c r="A36" s="89">
        <f>I26</f>
        <v>2.2879887812510499E-8</v>
      </c>
      <c r="B36" s="5">
        <f>F26</f>
        <v>1.0413816664423503E-6</v>
      </c>
      <c r="C36" s="89">
        <f t="shared" si="6"/>
        <v>1.7918726593664753</v>
      </c>
      <c r="D36" s="89">
        <f t="shared" si="6"/>
        <v>0.47242828615342491</v>
      </c>
      <c r="E36" s="89">
        <f t="shared" si="6"/>
        <v>0.76875145368403053</v>
      </c>
      <c r="F36" s="89">
        <f t="shared" si="6"/>
        <v>0.66214337750956853</v>
      </c>
      <c r="G36" s="89">
        <f t="shared" si="6"/>
        <v>0</v>
      </c>
    </row>
    <row r="39" spans="1:12" x14ac:dyDescent="0.25">
      <c r="A39" s="89" t="s">
        <v>7</v>
      </c>
    </row>
    <row r="40" spans="1:12" x14ac:dyDescent="0.25">
      <c r="B40" s="89" t="s">
        <v>36</v>
      </c>
      <c r="C40" s="89" t="s">
        <v>27</v>
      </c>
      <c r="D40" s="89" t="s">
        <v>24</v>
      </c>
      <c r="E40" s="89" t="s">
        <v>29</v>
      </c>
      <c r="F40" s="89" t="s">
        <v>37</v>
      </c>
      <c r="G40" s="89" t="s">
        <v>39</v>
      </c>
      <c r="H40" s="89" t="s">
        <v>40</v>
      </c>
      <c r="I40" s="89" t="s">
        <v>41</v>
      </c>
      <c r="J40" s="89" t="s">
        <v>42</v>
      </c>
      <c r="K40" s="89" t="s">
        <v>2</v>
      </c>
      <c r="L40" s="89" t="s">
        <v>43</v>
      </c>
    </row>
    <row r="41" spans="1:12" x14ac:dyDescent="0.25">
      <c r="A41" s="94">
        <v>1</v>
      </c>
      <c r="B41" s="96">
        <v>41.48</v>
      </c>
      <c r="C41" s="89">
        <f>B41-B26</f>
        <v>1.8299999999999983</v>
      </c>
      <c r="D41" s="90">
        <f>$B$12/C41</f>
        <v>2.7322404371584727E-4</v>
      </c>
      <c r="E41" s="90">
        <f>SQRT(2)*D41*$B$13/C41</f>
        <v>5.2786495654285653E-5</v>
      </c>
      <c r="F41" s="90">
        <f>(4*PI()/3)*$F$27^3*($B$9-$B$8)*($B$6/$E$18)*(1+ABS(D41)/$D$27)</f>
        <v>2.1343813433460271E-18</v>
      </c>
      <c r="G41" s="90">
        <f>F41*3/$F$27</f>
        <v>6.0097391766893025E-12</v>
      </c>
      <c r="H41" s="90">
        <f>F41/$E$18</f>
        <v>3.9745497195641566E-23</v>
      </c>
      <c r="I41" s="89">
        <f>(4*PI()/3)*$F$27^3*($B$9-$B$8)*($B$6/$E$18)*(1/$D$27)</f>
        <v>6.3456859402570392E-15</v>
      </c>
      <c r="J41" s="90">
        <f>(4*PI()/3)*$F$27^3*($B$9-$B$8)*($B$6/$E$18)*(ABS(D41)/$D$27^2)</f>
        <v>2.746494983039214E-14</v>
      </c>
      <c r="K41" s="89">
        <f>SQRT(G41^2*$I$27^2+H41^2*$F$18^2+I41^2*E41^2+J41^2*$E$28^2)</f>
        <v>3.7168908568164376E-19</v>
      </c>
      <c r="L41" s="93">
        <f>K41/F41</f>
        <v>0.17414370999839895</v>
      </c>
    </row>
    <row r="42" spans="1:12" x14ac:dyDescent="0.25">
      <c r="A42" s="94">
        <v>2</v>
      </c>
      <c r="B42" s="96">
        <v>42.96</v>
      </c>
      <c r="C42" s="89">
        <f>B42-B41</f>
        <v>1.480000000000004</v>
      </c>
      <c r="D42" s="90">
        <f t="shared" ref="D42:D45" si="7">$B$12/C42</f>
        <v>3.3783783783783694E-4</v>
      </c>
      <c r="E42" s="90">
        <f t="shared" ref="E42:E44" si="8">SQRT(2)*D42*$B$13/C42</f>
        <v>8.0705211512342926E-5</v>
      </c>
      <c r="F42" s="90">
        <f t="shared" ref="F42:F45" si="9">(4*PI()/3)*$F$27^3*($B$9-$B$8)*($B$6/$E$18)*(1+ABS(D42)/$D$27)</f>
        <v>2.5444001882525998E-18</v>
      </c>
      <c r="G42" s="90">
        <f t="shared" ref="G42:G45" si="10">F42*3/$F$27</f>
        <v>7.1642218670003939E-12</v>
      </c>
      <c r="H42" s="90">
        <f t="shared" ref="H42:H45" si="11">F42/$E$18</f>
        <v>4.7380685209816593E-23</v>
      </c>
      <c r="I42" s="89">
        <f t="shared" ref="I42:I45" si="12">(4*PI()/3)*$F$27^3*($B$9-$B$8)*($B$6/$E$18)*(1/$D$27)</f>
        <v>6.3456859402570392E-15</v>
      </c>
      <c r="J42" s="90">
        <f t="shared" ref="J42:J45" si="13">(4*PI()/3)*$F$27^3*($B$9-$B$8)*($B$6/$E$18)*(ABS(D42)/$D$27^2)</f>
        <v>3.3960039317309082E-14</v>
      </c>
      <c r="K42" s="89">
        <f t="shared" ref="K42:K45" si="14">SQRT(G42^2*$I$27^2+H42^2*$F$18^2+I42^2*E42^2+J42^2*$E$28^2)</f>
        <v>5.4756901615631112E-19</v>
      </c>
      <c r="L42" s="93">
        <f t="shared" ref="L42:L45" si="15">K42/F42</f>
        <v>0.2152055398692457</v>
      </c>
    </row>
    <row r="43" spans="1:12" x14ac:dyDescent="0.25">
      <c r="A43" s="94">
        <v>3</v>
      </c>
      <c r="B43" s="96">
        <v>44.81</v>
      </c>
      <c r="C43" s="89">
        <f>B43-B42</f>
        <v>1.8500000000000014</v>
      </c>
      <c r="D43" s="90">
        <f t="shared" si="7"/>
        <v>2.7027027027027006E-4</v>
      </c>
      <c r="E43" s="90">
        <f t="shared" si="8"/>
        <v>5.1651335367899667E-5</v>
      </c>
      <c r="F43" s="90">
        <f t="shared" si="9"/>
        <v>2.1156376247217232E-18</v>
      </c>
      <c r="G43" s="90">
        <f t="shared" si="10"/>
        <v>5.9569628251322133E-12</v>
      </c>
      <c r="H43" s="90">
        <f t="shared" si="11"/>
        <v>3.9396460029279215E-23</v>
      </c>
      <c r="I43" s="89">
        <f t="shared" si="12"/>
        <v>6.3456859402570392E-15</v>
      </c>
      <c r="J43" s="90">
        <f t="shared" si="13"/>
        <v>2.7168031453847314E-14</v>
      </c>
      <c r="K43" s="89">
        <f t="shared" si="14"/>
        <v>3.6455436249090802E-19</v>
      </c>
      <c r="L43" s="93">
        <f t="shared" si="15"/>
        <v>0.17231418000464946</v>
      </c>
    </row>
    <row r="44" spans="1:12" x14ac:dyDescent="0.25">
      <c r="A44" s="94">
        <v>4</v>
      </c>
      <c r="B44" s="96">
        <v>46.68</v>
      </c>
      <c r="C44" s="89">
        <f>B44-B43</f>
        <v>1.8699999999999974</v>
      </c>
      <c r="D44" s="90">
        <f t="shared" si="7"/>
        <v>2.6737967914438541E-4</v>
      </c>
      <c r="E44" s="90">
        <f t="shared" si="8"/>
        <v>5.0552402212427399E-5</v>
      </c>
      <c r="F44" s="90">
        <f t="shared" si="9"/>
        <v>2.0972948412551651E-18</v>
      </c>
      <c r="G44" s="90">
        <f t="shared" si="10"/>
        <v>5.9053153794908038E-12</v>
      </c>
      <c r="H44" s="90">
        <f t="shared" si="11"/>
        <v>3.9054888898561099E-23</v>
      </c>
      <c r="I44" s="89">
        <f t="shared" si="12"/>
        <v>6.3456859402570392E-15</v>
      </c>
      <c r="J44" s="90">
        <f t="shared" si="13"/>
        <v>2.6877464272522804E-14</v>
      </c>
      <c r="K44" s="89">
        <f t="shared" si="14"/>
        <v>3.5764900222696482E-19</v>
      </c>
      <c r="L44" s="93">
        <f t="shared" si="15"/>
        <v>0.17052871880089263</v>
      </c>
    </row>
    <row r="45" spans="1:12" x14ac:dyDescent="0.25">
      <c r="A45" s="94">
        <v>5</v>
      </c>
      <c r="B45" s="96">
        <v>48.63</v>
      </c>
      <c r="C45" s="89">
        <f>B45-B44</f>
        <v>1.9500000000000028</v>
      </c>
      <c r="D45" s="90">
        <f t="shared" si="7"/>
        <v>2.5641025641025603E-4</v>
      </c>
      <c r="E45" s="90">
        <f>SQRT(2)*D45*$B$13/C45</f>
        <v>4.6489597711146977E-5</v>
      </c>
      <c r="F45" s="90">
        <f t="shared" si="9"/>
        <v>2.0276863296384645E-18</v>
      </c>
      <c r="G45" s="90">
        <f t="shared" si="10"/>
        <v>5.709319944748991E-12</v>
      </c>
      <c r="H45" s="90">
        <f t="shared" si="11"/>
        <v>3.7758670248656124E-23</v>
      </c>
      <c r="I45" s="89">
        <f t="shared" si="12"/>
        <v>6.3456859402570392E-15</v>
      </c>
      <c r="J45" s="90">
        <f t="shared" si="13"/>
        <v>2.5774799071598714E-14</v>
      </c>
      <c r="K45" s="89">
        <f t="shared" si="14"/>
        <v>3.3213495115477892E-19</v>
      </c>
      <c r="L45" s="93">
        <f t="shared" si="15"/>
        <v>0.16379996565543667</v>
      </c>
    </row>
    <row r="46" spans="1:12" x14ac:dyDescent="0.25">
      <c r="L46" s="93"/>
    </row>
    <row r="47" spans="1:12" x14ac:dyDescent="0.25">
      <c r="L47" s="93"/>
    </row>
    <row r="49" spans="1:12" x14ac:dyDescent="0.25">
      <c r="A49" s="89" t="s">
        <v>7</v>
      </c>
    </row>
    <row r="50" spans="1:12" x14ac:dyDescent="0.25">
      <c r="B50" s="89" t="s">
        <v>23</v>
      </c>
      <c r="C50" s="89" t="s">
        <v>27</v>
      </c>
      <c r="D50" s="89" t="s">
        <v>24</v>
      </c>
      <c r="E50" s="89" t="s">
        <v>29</v>
      </c>
      <c r="F50" s="89" t="s">
        <v>37</v>
      </c>
      <c r="G50" s="89" t="s">
        <v>39</v>
      </c>
      <c r="H50" s="89" t="s">
        <v>40</v>
      </c>
      <c r="I50" s="89" t="s">
        <v>41</v>
      </c>
      <c r="J50" s="89" t="s">
        <v>42</v>
      </c>
      <c r="K50" s="89" t="s">
        <v>2</v>
      </c>
      <c r="L50" s="89" t="s">
        <v>43</v>
      </c>
    </row>
    <row r="51" spans="1:12" x14ac:dyDescent="0.25">
      <c r="A51" s="94">
        <v>6</v>
      </c>
      <c r="B51" s="97">
        <v>49.91</v>
      </c>
      <c r="C51" s="89">
        <f>B51-B45</f>
        <v>1.279999999999994</v>
      </c>
      <c r="D51" s="90">
        <f>$B$12/C51</f>
        <v>3.9062500000000181E-4</v>
      </c>
      <c r="E51" s="90">
        <f>SQRT(2)*D51*$B$13/C51</f>
        <v>1.0789593218788973E-4</v>
      </c>
      <c r="F51" s="90">
        <f>-(4*PI()/3)*$F$27^3*($B$9-$B$8)*($B$6/$E$18)*(1-ABS(D51)/$D$27)</f>
        <v>2.078196199814717E-18</v>
      </c>
      <c r="G51" s="90">
        <f>F51*3/$F$27</f>
        <v>5.8515396781410776E-12</v>
      </c>
      <c r="H51" s="90">
        <f>F51/$E$18</f>
        <v>3.8699242517853009E-23</v>
      </c>
      <c r="I51" s="89">
        <f>-(4*PI()/3)*$F$27^3*($B$9-$B$8)*($B$6/$E$18)*(-1/$D$27)</f>
        <v>6.3456859402570392E-15</v>
      </c>
      <c r="J51" s="90">
        <f>-(4*PI()/3)*$F$27^3*($B$9-$B$8)*($B$6/$E$18)*(-ABS(D51)/$D$27^2)</f>
        <v>3.9266295460638915E-14</v>
      </c>
      <c r="K51" s="89">
        <f>SQRT(G51^2*$I$27^2+H51^2*$F$18^2+I51^2*E51^2+J51^2*$E$28^2)</f>
        <v>7.0729116476332431E-19</v>
      </c>
      <c r="L51" s="93">
        <f>K51/F51</f>
        <v>0.34033897512967415</v>
      </c>
    </row>
    <row r="52" spans="1:12" x14ac:dyDescent="0.25">
      <c r="A52" s="94">
        <v>7</v>
      </c>
      <c r="B52" s="97">
        <v>50.91</v>
      </c>
      <c r="C52" s="89">
        <f>B52-B51</f>
        <v>1</v>
      </c>
      <c r="D52" s="90">
        <f t="shared" ref="D52:D55" si="16">$B$12/C52</f>
        <v>5.0000000000000001E-4</v>
      </c>
      <c r="E52" s="90">
        <f t="shared" ref="E52:E54" si="17">SQRT(2)*D52*$B$13/C52</f>
        <v>1.7677669529663691E-4</v>
      </c>
      <c r="F52" s="90">
        <f t="shared" ref="F52:F55" si="18">-(4*PI()/3)*$F$27^3*($B$9-$B$8)*($B$6/$E$18)*(1-ABS(D52)/$D$27)</f>
        <v>2.7722555995303193E-18</v>
      </c>
      <c r="G52" s="90">
        <f t="shared" ref="G52:G55" si="19">F52*3/$F$27</f>
        <v>7.8057902521651822E-12</v>
      </c>
      <c r="H52" s="90">
        <f t="shared" ref="H52:H55" si="20">F52/$E$18</f>
        <v>5.1623707028847809E-23</v>
      </c>
      <c r="I52" s="89">
        <f t="shared" ref="I52:I55" si="21">-(4*PI()/3)*$F$27^3*($B$9-$B$8)*($B$6/$E$18)*(-1/$D$27)</f>
        <v>6.3456859402570392E-15</v>
      </c>
      <c r="J52" s="90">
        <f t="shared" ref="J52:J55" si="22">-(4*PI()/3)*$F$27^3*($B$9-$B$8)*($B$6/$E$18)*(-ABS(D52)/$D$27^2)</f>
        <v>5.026085818961757E-14</v>
      </c>
      <c r="K52" s="89">
        <f t="shared" ref="K52:K55" si="23">SQRT(G52^2*$I$27^2+H52^2*$F$18^2+I52^2*E52^2+J52^2*$E$28^2)</f>
        <v>1.1456784002830752E-18</v>
      </c>
      <c r="L52" s="93">
        <f t="shared" ref="L52:L55" si="24">K52/F52</f>
        <v>0.413265789949952</v>
      </c>
    </row>
    <row r="53" spans="1:12" x14ac:dyDescent="0.25">
      <c r="A53" s="94">
        <v>8</v>
      </c>
      <c r="B53" s="97">
        <v>51.89</v>
      </c>
      <c r="C53" s="89">
        <f>B53-B52</f>
        <v>0.98000000000000398</v>
      </c>
      <c r="D53" s="90">
        <f t="shared" si="16"/>
        <v>5.1020408163265105E-4</v>
      </c>
      <c r="E53" s="90">
        <f t="shared" si="17"/>
        <v>1.8406569689362293E-4</v>
      </c>
      <c r="F53" s="90">
        <f t="shared" si="18"/>
        <v>2.8370074968798681E-18</v>
      </c>
      <c r="G53" s="90">
        <f t="shared" si="19"/>
        <v>7.9881110054268733E-12</v>
      </c>
      <c r="H53" s="90">
        <f t="shared" si="20"/>
        <v>5.2829487974479755E-23</v>
      </c>
      <c r="I53" s="89">
        <f t="shared" si="21"/>
        <v>6.3456859402570392E-15</v>
      </c>
      <c r="J53" s="90">
        <f t="shared" si="22"/>
        <v>5.1286589989405481E-14</v>
      </c>
      <c r="K53" s="89">
        <f t="shared" si="23"/>
        <v>1.1920259038054331E-18</v>
      </c>
      <c r="L53" s="93">
        <f t="shared" si="24"/>
        <v>0.42017016349671948</v>
      </c>
    </row>
    <row r="54" spans="1:12" x14ac:dyDescent="0.25">
      <c r="A54" s="94">
        <v>9</v>
      </c>
      <c r="B54" s="97">
        <v>53.52</v>
      </c>
      <c r="C54" s="89">
        <f>B54-B53</f>
        <v>1.6300000000000026</v>
      </c>
      <c r="D54" s="90">
        <f t="shared" si="16"/>
        <v>3.0674846625766824E-4</v>
      </c>
      <c r="E54" s="90">
        <f t="shared" si="17"/>
        <v>6.653494497219931E-5</v>
      </c>
      <c r="F54" s="90">
        <f t="shared" si="18"/>
        <v>1.5459420589284956E-18</v>
      </c>
      <c r="G54" s="90">
        <f t="shared" si="19"/>
        <v>4.3528812624783546E-12</v>
      </c>
      <c r="H54" s="90">
        <f t="shared" si="20"/>
        <v>2.878784335297926E-23</v>
      </c>
      <c r="I54" s="89">
        <f t="shared" si="21"/>
        <v>6.3456859402570392E-15</v>
      </c>
      <c r="J54" s="90">
        <f t="shared" si="22"/>
        <v>3.0834882324918703E-14</v>
      </c>
      <c r="K54" s="89">
        <f t="shared" si="23"/>
        <v>4.4327742777209677E-19</v>
      </c>
      <c r="L54" s="93">
        <f t="shared" si="24"/>
        <v>0.28673612003242593</v>
      </c>
    </row>
    <row r="55" spans="1:12" x14ac:dyDescent="0.25">
      <c r="A55" s="94">
        <v>10</v>
      </c>
      <c r="B55" s="97">
        <v>54.73</v>
      </c>
      <c r="C55" s="89">
        <f>B55-B54</f>
        <v>1.2099999999999937</v>
      </c>
      <c r="D55" s="90">
        <f t="shared" si="16"/>
        <v>4.1322314049586993E-4</v>
      </c>
      <c r="E55" s="90">
        <f>SQRT(2)*D55*$B$13/C55</f>
        <v>1.2074086148257546E-4</v>
      </c>
      <c r="F55" s="90">
        <f t="shared" si="18"/>
        <v>2.2215969022353006E-18</v>
      </c>
      <c r="G55" s="90">
        <f t="shared" si="19"/>
        <v>6.2553104578981372E-12</v>
      </c>
      <c r="H55" s="90">
        <f t="shared" si="20"/>
        <v>4.1369586425083422E-23</v>
      </c>
      <c r="I55" s="89">
        <f t="shared" si="21"/>
        <v>6.3456859402570392E-15</v>
      </c>
      <c r="J55" s="90">
        <f t="shared" si="22"/>
        <v>4.1537899330262675E-14</v>
      </c>
      <c r="K55" s="89">
        <f t="shared" si="23"/>
        <v>7.8911996528970683E-19</v>
      </c>
      <c r="L55" s="93">
        <f t="shared" si="24"/>
        <v>0.35520393663482303</v>
      </c>
    </row>
    <row r="56" spans="1:12" x14ac:dyDescent="0.25">
      <c r="L56" s="93"/>
    </row>
    <row r="57" spans="1:12" x14ac:dyDescent="0.25">
      <c r="L57" s="93"/>
    </row>
    <row r="59" spans="1:12" x14ac:dyDescent="0.25">
      <c r="B59" s="89" t="s">
        <v>38</v>
      </c>
    </row>
    <row r="60" spans="1:12" x14ac:dyDescent="0.25">
      <c r="A60" s="90"/>
      <c r="B60" s="89" t="s">
        <v>44</v>
      </c>
      <c r="C60" s="89" t="s">
        <v>45</v>
      </c>
    </row>
    <row r="61" spans="1:12" x14ac:dyDescent="0.25">
      <c r="A61" s="89">
        <v>1</v>
      </c>
      <c r="B61" s="90">
        <f>F41</f>
        <v>2.1343813433460271E-18</v>
      </c>
      <c r="C61" s="89">
        <f>K41</f>
        <v>3.7168908568164376E-19</v>
      </c>
    </row>
    <row r="62" spans="1:12" x14ac:dyDescent="0.25">
      <c r="A62" s="89">
        <v>2</v>
      </c>
      <c r="B62" s="90">
        <f t="shared" ref="B62:B65" si="25">F42</f>
        <v>2.5444001882525998E-18</v>
      </c>
      <c r="C62" s="89">
        <f t="shared" ref="C62:C65" si="26">K42</f>
        <v>5.4756901615631112E-19</v>
      </c>
    </row>
    <row r="63" spans="1:12" x14ac:dyDescent="0.25">
      <c r="A63" s="89">
        <v>3</v>
      </c>
      <c r="B63" s="90">
        <f t="shared" si="25"/>
        <v>2.1156376247217232E-18</v>
      </c>
      <c r="C63" s="89">
        <f t="shared" si="26"/>
        <v>3.6455436249090802E-19</v>
      </c>
    </row>
    <row r="64" spans="1:12" x14ac:dyDescent="0.25">
      <c r="A64" s="89">
        <v>4</v>
      </c>
      <c r="B64" s="90">
        <f t="shared" si="25"/>
        <v>2.0972948412551651E-18</v>
      </c>
      <c r="C64" s="89">
        <f t="shared" si="26"/>
        <v>3.5764900222696482E-19</v>
      </c>
    </row>
    <row r="65" spans="1:3" x14ac:dyDescent="0.25">
      <c r="A65" s="89">
        <v>5</v>
      </c>
      <c r="B65" s="90">
        <f t="shared" si="25"/>
        <v>2.0276863296384645E-18</v>
      </c>
      <c r="C65" s="89">
        <f t="shared" si="26"/>
        <v>3.3213495115477892E-19</v>
      </c>
    </row>
    <row r="66" spans="1:3" x14ac:dyDescent="0.25">
      <c r="A66" s="89">
        <v>6</v>
      </c>
      <c r="B66" s="90">
        <f>F51</f>
        <v>2.078196199814717E-18</v>
      </c>
      <c r="C66" s="89">
        <f>K51</f>
        <v>7.0729116476332431E-19</v>
      </c>
    </row>
    <row r="67" spans="1:3" x14ac:dyDescent="0.25">
      <c r="A67" s="89">
        <v>7</v>
      </c>
      <c r="B67" s="90">
        <f t="shared" ref="B67:B70" si="27">F52</f>
        <v>2.7722555995303193E-18</v>
      </c>
      <c r="C67" s="89">
        <f t="shared" ref="C67:C70" si="28">K52</f>
        <v>1.1456784002830752E-18</v>
      </c>
    </row>
    <row r="68" spans="1:3" x14ac:dyDescent="0.25">
      <c r="A68" s="89">
        <v>8</v>
      </c>
      <c r="B68" s="90">
        <f t="shared" si="27"/>
        <v>2.8370074968798681E-18</v>
      </c>
      <c r="C68" s="89">
        <f t="shared" si="28"/>
        <v>1.1920259038054331E-18</v>
      </c>
    </row>
    <row r="69" spans="1:3" x14ac:dyDescent="0.25">
      <c r="A69" s="89">
        <v>9</v>
      </c>
      <c r="B69" s="90">
        <f t="shared" si="27"/>
        <v>1.5459420589284956E-18</v>
      </c>
      <c r="C69" s="89">
        <f t="shared" si="28"/>
        <v>4.4327742777209677E-19</v>
      </c>
    </row>
    <row r="70" spans="1:3" x14ac:dyDescent="0.25">
      <c r="A70" s="89">
        <v>10</v>
      </c>
      <c r="B70" s="90">
        <f t="shared" si="27"/>
        <v>2.2215969022353006E-18</v>
      </c>
      <c r="C70" s="89">
        <f t="shared" si="28"/>
        <v>7.8911996528970683E-19</v>
      </c>
    </row>
  </sheetData>
  <mergeCells count="2">
    <mergeCell ref="A1:C2"/>
    <mergeCell ref="A14:C15"/>
  </mergeCells>
  <conditionalFormatting sqref="C32:G36">
    <cfRule type="cellIs" dxfId="35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886AE515-2C61-4A80-BAE3-3BE16C04F2FD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6DFA6F6B-816C-46AA-85A9-5474267BFC7B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C7" workbookViewId="0">
      <selection activeCell="E39" sqref="E38:E39"/>
    </sheetView>
  </sheetViews>
  <sheetFormatPr defaultRowHeight="15" x14ac:dyDescent="0.25"/>
  <cols>
    <col min="1" max="1" width="13.140625" style="97" customWidth="1"/>
    <col min="2" max="2" width="9.140625" style="97"/>
    <col min="3" max="5" width="12" style="97" customWidth="1"/>
    <col min="6" max="7" width="12.140625" style="97" customWidth="1"/>
    <col min="8" max="9" width="12" style="97" customWidth="1"/>
    <col min="10" max="10" width="9.140625" style="97"/>
    <col min="11" max="11" width="12" style="97" customWidth="1"/>
    <col min="12" max="16384" width="9.140625" style="97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97" t="s">
        <v>1</v>
      </c>
      <c r="C4" s="97" t="s">
        <v>2</v>
      </c>
    </row>
    <row r="5" spans="1:5" x14ac:dyDescent="0.25">
      <c r="A5" s="97" t="str">
        <f>[1]Dati!A5</f>
        <v>d</v>
      </c>
      <c r="B5" s="98">
        <f>Dati!B5</f>
        <v>7.4300000000000008E-3</v>
      </c>
      <c r="C5" s="179">
        <f>Dati!C5</f>
        <v>1.0000000000000001E-5</v>
      </c>
    </row>
    <row r="6" spans="1:5" x14ac:dyDescent="0.25">
      <c r="A6" s="97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97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97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97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97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97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97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97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100"/>
    </row>
    <row r="15" spans="1:5" x14ac:dyDescent="0.25">
      <c r="A15" s="193"/>
      <c r="B15" s="193"/>
      <c r="C15" s="193"/>
      <c r="D15" s="100"/>
    </row>
    <row r="16" spans="1:5" x14ac:dyDescent="0.25">
      <c r="A16" s="97" t="s">
        <v>18</v>
      </c>
      <c r="B16" s="97">
        <v>399</v>
      </c>
      <c r="C16" s="97">
        <f>B16/100</f>
        <v>3.99</v>
      </c>
      <c r="D16" s="97" t="s">
        <v>19</v>
      </c>
      <c r="E16" s="97">
        <f>(1.8+(B18-15)*0.004765)*0.00001</f>
        <v>1.8262075000000001E-5</v>
      </c>
    </row>
    <row r="17" spans="1:10" x14ac:dyDescent="0.25">
      <c r="A17" s="97" t="s">
        <v>20</v>
      </c>
      <c r="E17" s="99"/>
    </row>
    <row r="18" spans="1:10" x14ac:dyDescent="0.25">
      <c r="A18" s="97" t="s">
        <v>21</v>
      </c>
      <c r="B18" s="97">
        <v>20.5</v>
      </c>
      <c r="C18" s="97">
        <v>0.5</v>
      </c>
      <c r="D18" s="97" t="s">
        <v>22</v>
      </c>
      <c r="E18" s="98">
        <f>B16/B5</f>
        <v>53701.211305518162</v>
      </c>
      <c r="F18" s="97">
        <f>SQRT((C16/B5)^2+(B16*C5/B5^2)^2)</f>
        <v>541.85409256032881</v>
      </c>
      <c r="G18" s="98"/>
    </row>
    <row r="21" spans="1:10" x14ac:dyDescent="0.25">
      <c r="B21" s="97" t="s">
        <v>23</v>
      </c>
      <c r="C21" s="97" t="s">
        <v>27</v>
      </c>
      <c r="D21" s="97" t="s">
        <v>24</v>
      </c>
      <c r="E21" s="97" t="s">
        <v>29</v>
      </c>
      <c r="F21" s="97" t="s">
        <v>25</v>
      </c>
      <c r="G21" s="97" t="s">
        <v>26</v>
      </c>
      <c r="H21" s="97" t="s">
        <v>28</v>
      </c>
      <c r="I21" s="97" t="s">
        <v>31</v>
      </c>
      <c r="J21" s="97" t="s">
        <v>32</v>
      </c>
    </row>
    <row r="22" spans="1:10" x14ac:dyDescent="0.25">
      <c r="A22" s="97">
        <v>1</v>
      </c>
      <c r="B22" s="103">
        <v>10.039999999999999</v>
      </c>
      <c r="C22" s="97">
        <f>B22</f>
        <v>10.039999999999999</v>
      </c>
      <c r="D22" s="98">
        <f>B12/B22</f>
        <v>4.9800796812749013E-5</v>
      </c>
      <c r="E22" s="98">
        <f>SQRT(2)*D22*$B$13/C22</f>
        <v>1.7537092198599719E-6</v>
      </c>
      <c r="F22" s="5">
        <f>(($B$10/(2*$B$7))^2+9*$E$16*D22/(2*$B$6*($B$9-$B$8)))^(1/2)-$B$10/(2*$B$7)</f>
        <v>9.4213923481388047E-7</v>
      </c>
      <c r="G22" s="97">
        <f>(($B$10/(2*$B$7))^2+9*$E$16*D22/(2*$B$6*($B$9-$B$8)))^(-1/2)*(9*$E$16)/(4*$B$6*$B$9)</f>
        <v>3.2981021404498308E-3</v>
      </c>
      <c r="H22" s="97">
        <f>(($B$10/(2*$B$7))^2+9*$E$16*D22/(2*$B$6*($B$9-$B$8)))^(-1/2)*((9*D22)/(4*$B$6*$B$9))*0.00000004765</f>
        <v>4.2856152211541016E-10</v>
      </c>
      <c r="I22" s="97">
        <f>SQRT(G22^2*E22^2+H22^2*$C$18^2+$F$28^2)</f>
        <v>1.6979439640189825E-8</v>
      </c>
      <c r="J22" s="98">
        <f>I22/F22</f>
        <v>1.802221902322549E-2</v>
      </c>
    </row>
    <row r="23" spans="1:10" x14ac:dyDescent="0.25">
      <c r="A23" s="97">
        <v>2</v>
      </c>
      <c r="B23" s="103">
        <v>19.440000000000001</v>
      </c>
      <c r="C23" s="97">
        <f>B23-B22</f>
        <v>9.4000000000000021</v>
      </c>
      <c r="D23" s="98">
        <f>$B$12/(B23-B22)</f>
        <v>5.3191489361702114E-5</v>
      </c>
      <c r="E23" s="98">
        <f t="shared" ref="E23:E25" si="0">SQRT(2)*D23*$B$13/C23</f>
        <v>2.0006416398442372E-6</v>
      </c>
      <c r="F23" s="5">
        <f>(($B$10/(2*$B$7))^2+9*E16*D23/(2*$B$6*($B$9-$B$8)))^(1/2)-$B$10/(2*$B$7)</f>
        <v>9.7498389168335663E-7</v>
      </c>
      <c r="G23" s="97">
        <f t="shared" ref="G23:G27" si="1">(($B$10/(2*$B$7))^2+9*$E$16*D23/(2*$B$6*($B$9-$B$8)))^(-1/2)*(9*$E$16)/(4*$B$6*$B$9)</f>
        <v>3.1914250282193469E-3</v>
      </c>
      <c r="H23" s="97">
        <f t="shared" ref="H23:H27" si="2">(($B$10/(2*$B$7))^2+9*$E$16*D23/(2*$B$6*($B$9-$B$8)))^(-1/2)*((9*D23)/(4*$B$6*$B$9))*0.00000004765</f>
        <v>4.4293457306097703E-10</v>
      </c>
      <c r="I23" s="97">
        <f t="shared" ref="I23:I27" si="3">SQRT(G23^2*E23^2+H23^2*$C$18^2+$F$28^2)</f>
        <v>1.719353897259639E-8</v>
      </c>
      <c r="J23" s="98">
        <f t="shared" ref="J23:J27" si="4">I23/F23</f>
        <v>1.7634690295150329E-2</v>
      </c>
    </row>
    <row r="24" spans="1:10" x14ac:dyDescent="0.25">
      <c r="A24" s="97">
        <v>3</v>
      </c>
      <c r="B24" s="103">
        <v>29.41</v>
      </c>
      <c r="C24" s="97">
        <f t="shared" ref="C24:C26" si="5">B24-B23</f>
        <v>9.9699999999999989</v>
      </c>
      <c r="D24" s="98">
        <f>$B$12/(B24-B23)</f>
        <v>5.0150451354062191E-5</v>
      </c>
      <c r="E24" s="98">
        <f t="shared" si="0"/>
        <v>1.7784214760292605E-6</v>
      </c>
      <c r="F24" s="5">
        <f>(($B$10/(2*$B$7))^2+9*E16*D24/(2*$B$6*($B$9-$B$8)))^(1/2)-$B$10/(2*$B$7)</f>
        <v>9.4557683121592703E-7</v>
      </c>
      <c r="G24" s="97">
        <f t="shared" si="1"/>
        <v>3.2866040915129832E-3</v>
      </c>
      <c r="H24" s="97">
        <f t="shared" si="2"/>
        <v>4.3006591177821764E-10</v>
      </c>
      <c r="I24" s="97">
        <f t="shared" si="3"/>
        <v>1.7000344014386207E-8</v>
      </c>
      <c r="J24" s="98">
        <f t="shared" si="4"/>
        <v>1.7978807700401552E-2</v>
      </c>
    </row>
    <row r="25" spans="1:10" x14ac:dyDescent="0.25">
      <c r="A25" s="97">
        <v>4</v>
      </c>
      <c r="B25" s="103">
        <v>39.590000000000003</v>
      </c>
      <c r="C25" s="97">
        <f t="shared" si="5"/>
        <v>10.180000000000003</v>
      </c>
      <c r="D25" s="98">
        <f>$B$12/(B25-B24)</f>
        <v>4.9115913555992126E-5</v>
      </c>
      <c r="E25" s="98">
        <f t="shared" si="0"/>
        <v>1.7058052819063996E-6</v>
      </c>
      <c r="F25" s="5">
        <f>(($B$10/(2*$B$7))^2+9*E16*D25/(2*$B$6*($B$9-$B$8)))^(1/2)-$B$10/(2*$B$7)</f>
        <v>9.3537077843484041E-7</v>
      </c>
      <c r="G25" s="97">
        <f t="shared" si="1"/>
        <v>3.3209780045878289E-3</v>
      </c>
      <c r="H25" s="97">
        <f t="shared" si="2"/>
        <v>4.2559940141176923E-10</v>
      </c>
      <c r="I25" s="97">
        <f t="shared" si="3"/>
        <v>1.6939263982065264E-8</v>
      </c>
      <c r="J25" s="98">
        <f t="shared" si="4"/>
        <v>1.8109678399842469E-2</v>
      </c>
    </row>
    <row r="26" spans="1:10" x14ac:dyDescent="0.25">
      <c r="A26" s="97">
        <v>5</v>
      </c>
      <c r="B26" s="103">
        <v>49.26</v>
      </c>
      <c r="C26" s="97">
        <f t="shared" si="5"/>
        <v>9.6699999999999946</v>
      </c>
      <c r="D26" s="98">
        <f>$B$12/(B26-B25)</f>
        <v>5.1706308169596723E-5</v>
      </c>
      <c r="E26" s="98">
        <f>SQRT(2)*D26*$B$13/C26</f>
        <v>1.8904798933217812E-6</v>
      </c>
      <c r="F26" s="5">
        <f>(($B$10/(2*$B$7))^2+9*E16*D26/(2*$B$6*($B$9-$B$8)))^(1/2)-$B$10/(2*$B$7)</f>
        <v>9.6072999618207242E-7</v>
      </c>
      <c r="G26" s="97">
        <f t="shared" si="1"/>
        <v>3.2368610233037016E-3</v>
      </c>
      <c r="H26" s="97">
        <f t="shared" si="2"/>
        <v>4.3669715871597774E-10</v>
      </c>
      <c r="I26" s="97">
        <f t="shared" si="3"/>
        <v>1.709661816149749E-8</v>
      </c>
      <c r="J26" s="98">
        <f t="shared" si="4"/>
        <v>1.7795445369083104E-2</v>
      </c>
    </row>
    <row r="27" spans="1:10" x14ac:dyDescent="0.25">
      <c r="A27" s="7" t="s">
        <v>34</v>
      </c>
      <c r="B27" s="7"/>
      <c r="C27" s="7">
        <f>AVERAGE(C22:C26)</f>
        <v>9.8520000000000003</v>
      </c>
      <c r="D27" s="7">
        <f>AVERAGE(D22:D26)</f>
        <v>5.0792991850820433E-5</v>
      </c>
      <c r="E27" s="8">
        <f>SQRT(2)*D27*$B$13/C27</f>
        <v>1.8227806016274957E-6</v>
      </c>
      <c r="F27" s="9">
        <f>AVERAGE(F22:F26)</f>
        <v>9.517601464660155E-7</v>
      </c>
      <c r="G27" s="7">
        <f t="shared" si="1"/>
        <v>3.2657846480147849E-3</v>
      </c>
      <c r="H27" s="7">
        <f t="shared" si="2"/>
        <v>4.3281681101827527E-10</v>
      </c>
      <c r="I27" s="7">
        <f t="shared" si="3"/>
        <v>1.7037739907799653E-8</v>
      </c>
      <c r="J27" s="8">
        <f t="shared" si="4"/>
        <v>1.7901295795019947E-2</v>
      </c>
    </row>
    <row r="28" spans="1:10" x14ac:dyDescent="0.25">
      <c r="A28" s="97" t="s">
        <v>35</v>
      </c>
      <c r="C28" s="6">
        <f>_xlfn.STDEV.S(C22:C26)</f>
        <v>0.31395859599635173</v>
      </c>
      <c r="D28" s="98">
        <f>_xlfn.STDEV.S(D22:D26)</f>
        <v>1.6429271056852151E-6</v>
      </c>
      <c r="E28" s="8">
        <f>SQRT(2)*D28*$B$13/C28</f>
        <v>1.8501243670976011E-6</v>
      </c>
      <c r="F28" s="98">
        <f>_xlfn.STDEV.S(F22:F26)</f>
        <v>1.5962512794122437E-8</v>
      </c>
    </row>
    <row r="30" spans="1:10" x14ac:dyDescent="0.25">
      <c r="A30" s="97" t="s">
        <v>31</v>
      </c>
      <c r="C30" s="97">
        <f t="array" ref="C30:G31">TRANSPOSE(A32:B36)</f>
        <v>1.6979439640189825E-8</v>
      </c>
      <c r="D30" s="97">
        <v>1.719353897259639E-8</v>
      </c>
      <c r="E30" s="97">
        <v>1.7000344014386207E-8</v>
      </c>
      <c r="F30" s="97">
        <v>1.6939263982065264E-8</v>
      </c>
      <c r="G30" s="97">
        <v>1.709661816149749E-8</v>
      </c>
    </row>
    <row r="31" spans="1:10" x14ac:dyDescent="0.25">
      <c r="B31" s="97" t="s">
        <v>25</v>
      </c>
      <c r="C31" s="97">
        <v>9.4213923481388047E-7</v>
      </c>
      <c r="D31" s="97">
        <v>9.7498389168335663E-7</v>
      </c>
      <c r="E31" s="97">
        <v>9.4557683121592703E-7</v>
      </c>
      <c r="F31" s="97">
        <v>9.3537077843484041E-7</v>
      </c>
      <c r="G31" s="97">
        <v>9.6072999618207242E-7</v>
      </c>
    </row>
    <row r="32" spans="1:10" x14ac:dyDescent="0.25">
      <c r="A32" s="97">
        <f>I22</f>
        <v>1.6979439640189825E-8</v>
      </c>
      <c r="B32" s="5">
        <f>F22</f>
        <v>9.4213923481388047E-7</v>
      </c>
      <c r="C32" s="97">
        <f t="shared" ref="C32:G36" si="6">(C$31-$B32)/SQRT(C$30^2+$A32^2)</f>
        <v>0</v>
      </c>
      <c r="D32" s="97">
        <f t="shared" si="6"/>
        <v>1.3592156577182559</v>
      </c>
      <c r="E32" s="97">
        <f t="shared" si="6"/>
        <v>0.14307020265904974</v>
      </c>
      <c r="F32" s="97">
        <f t="shared" si="6"/>
        <v>-0.28220524580027823</v>
      </c>
      <c r="G32" s="97">
        <f t="shared" si="6"/>
        <v>0.77154322164077926</v>
      </c>
    </row>
    <row r="33" spans="1:12" x14ac:dyDescent="0.25">
      <c r="A33" s="97">
        <f>I23</f>
        <v>1.719353897259639E-8</v>
      </c>
      <c r="B33" s="5">
        <f>F23</f>
        <v>9.7498389168335663E-7</v>
      </c>
      <c r="C33" s="97">
        <f t="shared" si="6"/>
        <v>-1.3592156577182559</v>
      </c>
      <c r="D33" s="97">
        <f t="shared" si="6"/>
        <v>0</v>
      </c>
      <c r="E33" s="97">
        <f t="shared" si="6"/>
        <v>-1.2162175317527222</v>
      </c>
      <c r="F33" s="97">
        <f t="shared" si="6"/>
        <v>-1.6412319742687591</v>
      </c>
      <c r="G33" s="97">
        <f t="shared" si="6"/>
        <v>-0.58786466723894615</v>
      </c>
    </row>
    <row r="34" spans="1:12" x14ac:dyDescent="0.25">
      <c r="A34" s="97">
        <f>I24</f>
        <v>1.7000344014386207E-8</v>
      </c>
      <c r="B34" s="5">
        <f>F24</f>
        <v>9.4557683121592703E-7</v>
      </c>
      <c r="C34" s="97">
        <f t="shared" si="6"/>
        <v>-0.14307020265904974</v>
      </c>
      <c r="D34" s="97">
        <f t="shared" si="6"/>
        <v>1.2162175317527222</v>
      </c>
      <c r="E34" s="97">
        <f t="shared" si="6"/>
        <v>0</v>
      </c>
      <c r="F34" s="97">
        <f t="shared" si="6"/>
        <v>-0.42527052431372853</v>
      </c>
      <c r="G34" s="97">
        <f t="shared" si="6"/>
        <v>0.62849370200987442</v>
      </c>
    </row>
    <row r="35" spans="1:12" x14ac:dyDescent="0.25">
      <c r="A35" s="97">
        <f>I25</f>
        <v>1.6939263982065264E-8</v>
      </c>
      <c r="B35" s="5">
        <f>F25</f>
        <v>9.3537077843484041E-7</v>
      </c>
      <c r="C35" s="97">
        <f t="shared" si="6"/>
        <v>0.28220524580027823</v>
      </c>
      <c r="D35" s="97">
        <f t="shared" si="6"/>
        <v>1.6412319742687591</v>
      </c>
      <c r="E35" s="97">
        <f t="shared" si="6"/>
        <v>0.42527052431372853</v>
      </c>
      <c r="F35" s="97">
        <f t="shared" si="6"/>
        <v>0</v>
      </c>
      <c r="G35" s="97">
        <f t="shared" si="6"/>
        <v>1.0536811196913751</v>
      </c>
    </row>
    <row r="36" spans="1:12" x14ac:dyDescent="0.25">
      <c r="A36" s="97">
        <f>I26</f>
        <v>1.709661816149749E-8</v>
      </c>
      <c r="B36" s="5">
        <f>F26</f>
        <v>9.6072999618207242E-7</v>
      </c>
      <c r="C36" s="97">
        <f t="shared" si="6"/>
        <v>-0.77154322164077926</v>
      </c>
      <c r="D36" s="97">
        <f t="shared" si="6"/>
        <v>0.58786466723894615</v>
      </c>
      <c r="E36" s="97">
        <f t="shared" si="6"/>
        <v>-0.62849370200987442</v>
      </c>
      <c r="F36" s="97">
        <f t="shared" si="6"/>
        <v>-1.0536811196913751</v>
      </c>
      <c r="G36" s="97">
        <f t="shared" si="6"/>
        <v>0</v>
      </c>
    </row>
    <row r="39" spans="1:12" x14ac:dyDescent="0.25">
      <c r="A39" s="97" t="s">
        <v>7</v>
      </c>
    </row>
    <row r="40" spans="1:12" x14ac:dyDescent="0.25">
      <c r="B40" s="97" t="s">
        <v>36</v>
      </c>
      <c r="C40" s="97" t="s">
        <v>27</v>
      </c>
      <c r="D40" s="97" t="s">
        <v>24</v>
      </c>
      <c r="E40" s="97" t="s">
        <v>29</v>
      </c>
      <c r="F40" s="97" t="s">
        <v>37</v>
      </c>
      <c r="G40" s="97" t="s">
        <v>39</v>
      </c>
      <c r="H40" s="97" t="s">
        <v>40</v>
      </c>
      <c r="I40" s="97" t="s">
        <v>41</v>
      </c>
      <c r="J40" s="97" t="s">
        <v>42</v>
      </c>
      <c r="K40" s="97" t="s">
        <v>2</v>
      </c>
      <c r="L40" s="97" t="s">
        <v>43</v>
      </c>
    </row>
    <row r="41" spans="1:12" x14ac:dyDescent="0.25">
      <c r="A41" s="102">
        <v>1</v>
      </c>
      <c r="B41" s="104">
        <v>55.33</v>
      </c>
      <c r="C41" s="97">
        <f>B41-B26</f>
        <v>6.07</v>
      </c>
      <c r="D41" s="98">
        <f>$B$12/C41</f>
        <v>8.2372322899505762E-5</v>
      </c>
      <c r="E41" s="98">
        <f>SQRT(2)*D41*$B$13/C41</f>
        <v>4.797860634623431E-6</v>
      </c>
      <c r="F41" s="98">
        <f>(4*PI()/3)*$F$27^3*($B$9-$B$8)*($B$6/$E$18)*(1+ABS(D41)/$D$27)</f>
        <v>7.4860751761249838E-19</v>
      </c>
      <c r="G41" s="98">
        <f>F41*3/$F$27</f>
        <v>2.3596518105706232E-12</v>
      </c>
      <c r="H41" s="98">
        <f>F41/$E$18</f>
        <v>1.3940235227721463E-23</v>
      </c>
      <c r="I41" s="97">
        <f>(4*PI()/3)*$F$27^3*($B$9-$B$8)*($B$6/$E$18)*(1/$D$27)</f>
        <v>5.6216404325411216E-15</v>
      </c>
      <c r="J41" s="98">
        <f>(4*PI()/3)*$F$27^3*($B$9-$B$8)*($B$6/$E$18)*(ABS(D41)/$D$27^2)</f>
        <v>9.1167612708113159E-15</v>
      </c>
      <c r="K41" s="97">
        <f>SQRT(G41^2*$I$27^2+H41^2*$F$18^2+I41^2*E41^2+J41^2*$E$28^2)</f>
        <v>5.1820164758418909E-20</v>
      </c>
      <c r="L41" s="101">
        <f>K41/F41</f>
        <v>6.9222073702501302E-2</v>
      </c>
    </row>
    <row r="42" spans="1:12" x14ac:dyDescent="0.25">
      <c r="A42" s="102">
        <v>2</v>
      </c>
      <c r="B42" s="104">
        <v>61.29</v>
      </c>
      <c r="C42" s="97">
        <f>B42-B41</f>
        <v>5.9600000000000009</v>
      </c>
      <c r="D42" s="98">
        <f t="shared" ref="D42:D45" si="7">$B$12/C42</f>
        <v>8.3892617449664425E-5</v>
      </c>
      <c r="E42" s="98">
        <f t="shared" ref="E42:E44" si="8">SQRT(2)*D42*$B$13/C42</f>
        <v>4.9765972055492109E-6</v>
      </c>
      <c r="F42" s="98">
        <f t="shared" ref="F42:F45" si="9">(4*PI()/3)*$F$27^3*($B$9-$B$8)*($B$6/$E$18)*(1+ABS(D42)/$D$27)</f>
        <v>7.5715406692504225E-19</v>
      </c>
      <c r="G42" s="98">
        <f t="shared" ref="G42:G45" si="10">F42*3/$F$27</f>
        <v>2.3865910011144114E-12</v>
      </c>
      <c r="H42" s="98">
        <f t="shared" ref="H42:H45" si="11">F42/$E$18</f>
        <v>1.4099385256273344E-23</v>
      </c>
      <c r="I42" s="97">
        <f t="shared" ref="I42:I45" si="12">(4*PI()/3)*$F$27^3*($B$9-$B$8)*($B$6/$E$18)*(1/$D$27)</f>
        <v>5.6216404325411216E-15</v>
      </c>
      <c r="J42" s="98">
        <f t="shared" ref="J42:J45" si="13">(4*PI()/3)*$F$27^3*($B$9-$B$8)*($B$6/$E$18)*(ABS(D42)/$D$27^2)</f>
        <v>9.2850236432591762E-15</v>
      </c>
      <c r="K42" s="97">
        <f t="shared" ref="K42:K45" si="14">SQRT(G42^2*$I$27^2+H42^2*$F$18^2+I42^2*E42^2+J42^2*$E$28^2)</f>
        <v>5.2816341323951137E-20</v>
      </c>
      <c r="L42" s="101">
        <f t="shared" ref="L42:L45" si="15">K42/F42</f>
        <v>6.9756399167806252E-2</v>
      </c>
    </row>
    <row r="43" spans="1:12" x14ac:dyDescent="0.25">
      <c r="A43" s="102">
        <v>3</v>
      </c>
      <c r="B43" s="104">
        <v>68.239999999999995</v>
      </c>
      <c r="C43" s="97">
        <f>B43-B42</f>
        <v>6.9499999999999957</v>
      </c>
      <c r="D43" s="98">
        <f t="shared" si="7"/>
        <v>7.1942446043165507E-5</v>
      </c>
      <c r="E43" s="98">
        <f t="shared" si="8"/>
        <v>3.6597835577172426E-6</v>
      </c>
      <c r="F43" s="98">
        <f t="shared" si="9"/>
        <v>6.899745001704711E-19</v>
      </c>
      <c r="G43" s="98">
        <f t="shared" si="10"/>
        <v>2.1748373350126652E-12</v>
      </c>
      <c r="H43" s="98">
        <f t="shared" si="11"/>
        <v>1.2848397334001506E-23</v>
      </c>
      <c r="I43" s="97">
        <f t="shared" si="12"/>
        <v>5.6216404325411216E-15</v>
      </c>
      <c r="J43" s="98">
        <f t="shared" si="13"/>
        <v>7.9624087645790963E-15</v>
      </c>
      <c r="K43" s="97">
        <f t="shared" si="14"/>
        <v>4.5406997340794044E-20</v>
      </c>
      <c r="L43" s="101">
        <f t="shared" si="15"/>
        <v>6.580967460330113E-2</v>
      </c>
    </row>
    <row r="44" spans="1:12" x14ac:dyDescent="0.25">
      <c r="A44" s="102">
        <v>4</v>
      </c>
      <c r="B44" s="104">
        <v>74.540000000000006</v>
      </c>
      <c r="C44" s="97">
        <f>B44-B43</f>
        <v>6.3000000000000114</v>
      </c>
      <c r="D44" s="98">
        <f t="shared" si="7"/>
        <v>7.9365079365079229E-5</v>
      </c>
      <c r="E44" s="98">
        <f t="shared" si="8"/>
        <v>4.4539353816234893E-6</v>
      </c>
      <c r="F44" s="98">
        <f t="shared" si="9"/>
        <v>7.3170187576886838E-19</v>
      </c>
      <c r="G44" s="98">
        <f t="shared" si="10"/>
        <v>2.3063643035036305E-12</v>
      </c>
      <c r="H44" s="98">
        <f t="shared" si="11"/>
        <v>1.3625425907174667E-23</v>
      </c>
      <c r="I44" s="97">
        <f t="shared" si="12"/>
        <v>5.6216404325411216E-15</v>
      </c>
      <c r="J44" s="98">
        <f t="shared" si="13"/>
        <v>8.7839271291785067E-15</v>
      </c>
      <c r="K44" s="97">
        <f t="shared" si="14"/>
        <v>4.9896426215072095E-20</v>
      </c>
      <c r="L44" s="101">
        <f t="shared" si="15"/>
        <v>6.819228960243022E-2</v>
      </c>
    </row>
    <row r="45" spans="1:12" x14ac:dyDescent="0.25">
      <c r="A45" s="102">
        <v>5</v>
      </c>
      <c r="B45" s="104">
        <v>81.069999999999993</v>
      </c>
      <c r="C45" s="97">
        <f>B45-B44</f>
        <v>6.5299999999999869</v>
      </c>
      <c r="D45" s="98">
        <f t="shared" si="7"/>
        <v>7.6569678407350849E-5</v>
      </c>
      <c r="E45" s="98">
        <f>SQRT(2)*D45*$B$13/C45</f>
        <v>4.1457074146333129E-6</v>
      </c>
      <c r="F45" s="98">
        <f t="shared" si="9"/>
        <v>7.1598713671973843E-19</v>
      </c>
      <c r="G45" s="98">
        <f t="shared" si="10"/>
        <v>2.2568305871335543E-12</v>
      </c>
      <c r="H45" s="98">
        <f t="shared" si="11"/>
        <v>1.3332793047187112E-23</v>
      </c>
      <c r="I45" s="97">
        <f t="shared" si="12"/>
        <v>5.6216404325411216E-15</v>
      </c>
      <c r="J45" s="98">
        <f t="shared" si="13"/>
        <v>8.4745391904785317E-15</v>
      </c>
      <c r="K45" s="97">
        <f t="shared" si="14"/>
        <v>4.8163039134378708E-20</v>
      </c>
      <c r="L45" s="101">
        <f t="shared" si="15"/>
        <v>6.7268022935489336E-2</v>
      </c>
    </row>
    <row r="46" spans="1:12" x14ac:dyDescent="0.25">
      <c r="L46" s="101"/>
    </row>
    <row r="47" spans="1:12" x14ac:dyDescent="0.25">
      <c r="L47" s="101"/>
    </row>
    <row r="49" spans="1:12" x14ac:dyDescent="0.25">
      <c r="A49" s="97" t="s">
        <v>7</v>
      </c>
    </row>
    <row r="50" spans="1:12" x14ac:dyDescent="0.25">
      <c r="B50" s="97" t="s">
        <v>23</v>
      </c>
      <c r="C50" s="97" t="s">
        <v>27</v>
      </c>
      <c r="D50" s="97" t="s">
        <v>24</v>
      </c>
      <c r="E50" s="97" t="s">
        <v>29</v>
      </c>
      <c r="F50" s="97" t="s">
        <v>37</v>
      </c>
      <c r="G50" s="97" t="s">
        <v>39</v>
      </c>
      <c r="H50" s="97" t="s">
        <v>40</v>
      </c>
      <c r="I50" s="97" t="s">
        <v>41</v>
      </c>
      <c r="J50" s="97" t="s">
        <v>42</v>
      </c>
      <c r="K50" s="97" t="s">
        <v>2</v>
      </c>
      <c r="L50" s="97" t="s">
        <v>43</v>
      </c>
    </row>
    <row r="51" spans="1:12" x14ac:dyDescent="0.25">
      <c r="A51" s="102">
        <v>6</v>
      </c>
      <c r="B51" s="105">
        <v>83.58</v>
      </c>
      <c r="C51" s="97">
        <f>B51-B45</f>
        <v>2.5100000000000051</v>
      </c>
      <c r="D51" s="98">
        <f>$B$12/C51</f>
        <v>1.9920318725099562E-4</v>
      </c>
      <c r="E51" s="98">
        <f>SQRT(2)*D51*$B$13/C51</f>
        <v>2.8059347517759432E-5</v>
      </c>
      <c r="F51" s="98">
        <f>-(4*PI()/3)*$F$27^3*($B$9-$B$8)*($B$6/$E$18)*(1-ABS(D51)/$D$27)</f>
        <v>8.3430875506295323E-19</v>
      </c>
      <c r="G51" s="98">
        <f>F51*3/$F$27</f>
        <v>2.6297867950055328E-12</v>
      </c>
      <c r="H51" s="98">
        <f>F51/$E$18</f>
        <v>1.5536125438891587E-23</v>
      </c>
      <c r="I51" s="97">
        <f>-(4*PI()/3)*$F$27^3*($B$9-$B$8)*($B$6/$E$18)*(-1/$D$27)</f>
        <v>5.6216404325411216E-15</v>
      </c>
      <c r="J51" s="98">
        <f>-(4*PI()/3)*$F$27^3*($B$9-$B$8)*($B$6/$E$18)*(-ABS(D51)/$D$27^2)</f>
        <v>2.2047307136981904E-14</v>
      </c>
      <c r="K51" s="97">
        <f>SQRT(G51^2*$I$27^2+H51^2*$F$18^2+I51^2*E51^2+J51^2*$E$28^2)</f>
        <v>1.6918636704538831E-19</v>
      </c>
      <c r="L51" s="101">
        <f>K51/F51</f>
        <v>0.20278627788416562</v>
      </c>
    </row>
    <row r="52" spans="1:12" x14ac:dyDescent="0.25">
      <c r="A52" s="102">
        <v>7</v>
      </c>
      <c r="B52" s="105">
        <v>85.92</v>
      </c>
      <c r="C52" s="97">
        <f>B52-B51</f>
        <v>2.3400000000000034</v>
      </c>
      <c r="D52" s="98">
        <f t="shared" ref="D52:D55" si="16">$B$12/C52</f>
        <v>2.1367521367521338E-4</v>
      </c>
      <c r="E52" s="98">
        <f t="shared" ref="E52:E54" si="17">SQRT(2)*D52*$B$13/C52</f>
        <v>3.2284442854963182E-5</v>
      </c>
      <c r="F52" s="98">
        <f t="shared" ref="F52:F55" si="18">-(4*PI()/3)*$F$27^3*($B$9-$B$8)*($B$6/$E$18)*(1-ABS(D52)/$D$27)</f>
        <v>9.1566528395013945E-19</v>
      </c>
      <c r="G52" s="98">
        <f t="shared" ref="G52:G55" si="19">F52*3/$F$27</f>
        <v>2.8862270205894837E-12</v>
      </c>
      <c r="H52" s="98">
        <f t="shared" ref="H52:H55" si="20">F52/$E$18</f>
        <v>1.7051110425437437E-23</v>
      </c>
      <c r="I52" s="97">
        <f t="shared" ref="I52:I55" si="21">-(4*PI()/3)*$F$27^3*($B$9-$B$8)*($B$6/$E$18)*(-1/$D$27)</f>
        <v>5.6216404325411216E-15</v>
      </c>
      <c r="J52" s="98">
        <f t="shared" ref="J52:J55" si="22">-(4*PI()/3)*$F$27^3*($B$9-$B$8)*($B$6/$E$18)*(-ABS(D52)/$D$27^2)</f>
        <v>2.3649034578557526E-14</v>
      </c>
      <c r="K52" s="97">
        <f t="shared" ref="K52:K55" si="23">SQRT(G52^2*$I$27^2+H52^2*$F$18^2+I52^2*E52^2+J52^2*$E$28^2)</f>
        <v>1.9327979751296654E-19</v>
      </c>
      <c r="L52" s="101">
        <f t="shared" ref="L52:L55" si="24">K52/F52</f>
        <v>0.2110812770788536</v>
      </c>
    </row>
    <row r="53" spans="1:12" x14ac:dyDescent="0.25">
      <c r="A53" s="102">
        <v>8</v>
      </c>
      <c r="B53" s="105">
        <v>87.91</v>
      </c>
      <c r="C53" s="97">
        <f>B53-B52</f>
        <v>1.9899999999999949</v>
      </c>
      <c r="D53" s="98">
        <f t="shared" si="16"/>
        <v>2.5125628140703585E-4</v>
      </c>
      <c r="E53" s="98">
        <f t="shared" si="17"/>
        <v>4.463945236146507E-5</v>
      </c>
      <c r="F53" s="98">
        <f t="shared" si="18"/>
        <v>1.1269325338094191E-18</v>
      </c>
      <c r="G53" s="98">
        <f t="shared" si="19"/>
        <v>3.5521529389326825E-12</v>
      </c>
      <c r="H53" s="98">
        <f t="shared" si="20"/>
        <v>2.098523490276688E-23</v>
      </c>
      <c r="I53" s="97">
        <f t="shared" si="21"/>
        <v>5.6216404325411216E-15</v>
      </c>
      <c r="J53" s="98">
        <f t="shared" si="22"/>
        <v>2.7808412519509971E-14</v>
      </c>
      <c r="K53" s="97">
        <f t="shared" si="23"/>
        <v>2.6346427060190624E-19</v>
      </c>
      <c r="L53" s="101">
        <f t="shared" si="24"/>
        <v>0.23378885842554079</v>
      </c>
    </row>
    <row r="54" spans="1:12" x14ac:dyDescent="0.25">
      <c r="A54" s="102">
        <v>9</v>
      </c>
      <c r="B54" s="105">
        <v>90.23</v>
      </c>
      <c r="C54" s="97">
        <f>B54-B53</f>
        <v>2.3200000000000074</v>
      </c>
      <c r="D54" s="98">
        <f t="shared" si="16"/>
        <v>2.1551724137930966E-4</v>
      </c>
      <c r="E54" s="98">
        <f t="shared" si="17"/>
        <v>3.2843470440070556E-5</v>
      </c>
      <c r="F54" s="98">
        <f t="shared" si="18"/>
        <v>9.2602050136934787E-19</v>
      </c>
      <c r="G54" s="98">
        <f t="shared" si="19"/>
        <v>2.9188672318580212E-12</v>
      </c>
      <c r="H54" s="98">
        <f t="shared" si="20"/>
        <v>1.7243940664597133E-23</v>
      </c>
      <c r="I54" s="97">
        <f t="shared" si="21"/>
        <v>5.6216404325411216E-15</v>
      </c>
      <c r="J54" s="98">
        <f t="shared" si="22"/>
        <v>2.3852905566303672E-14</v>
      </c>
      <c r="K54" s="97">
        <f t="shared" si="23"/>
        <v>1.9646317553851003E-19</v>
      </c>
      <c r="L54" s="101">
        <f t="shared" si="24"/>
        <v>0.21215855939257408</v>
      </c>
    </row>
    <row r="55" spans="1:12" x14ac:dyDescent="0.25">
      <c r="A55" s="102">
        <v>10</v>
      </c>
      <c r="B55" s="105">
        <v>92.43</v>
      </c>
      <c r="C55" s="97">
        <f>B55-B54</f>
        <v>2.2000000000000028</v>
      </c>
      <c r="D55" s="98">
        <f t="shared" si="16"/>
        <v>2.2727272727272697E-4</v>
      </c>
      <c r="E55" s="98">
        <f>SQRT(2)*D55*$B$13/C55</f>
        <v>3.6524110598478602E-5</v>
      </c>
      <c r="F55" s="98">
        <f t="shared" si="18"/>
        <v>9.9210561617194952E-19</v>
      </c>
      <c r="G55" s="98">
        <f t="shared" si="19"/>
        <v>3.1271711255900166E-12</v>
      </c>
      <c r="H55" s="98">
        <f t="shared" si="20"/>
        <v>1.8474548190871143E-23</v>
      </c>
      <c r="I55" s="97">
        <f t="shared" si="21"/>
        <v>5.6216404325411216E-15</v>
      </c>
      <c r="J55" s="98">
        <f t="shared" si="22"/>
        <v>2.5153973142647553E-14</v>
      </c>
      <c r="K55" s="97">
        <f t="shared" si="23"/>
        <v>2.1740117603581143E-19</v>
      </c>
      <c r="L55" s="101">
        <f t="shared" si="24"/>
        <v>0.21913108089706848</v>
      </c>
    </row>
    <row r="56" spans="1:12" x14ac:dyDescent="0.25">
      <c r="L56" s="101"/>
    </row>
    <row r="57" spans="1:12" x14ac:dyDescent="0.25">
      <c r="L57" s="101"/>
    </row>
    <row r="59" spans="1:12" x14ac:dyDescent="0.25">
      <c r="B59" s="97" t="s">
        <v>38</v>
      </c>
    </row>
    <row r="60" spans="1:12" x14ac:dyDescent="0.25">
      <c r="A60" s="98"/>
      <c r="B60" s="97" t="s">
        <v>44</v>
      </c>
      <c r="C60" s="97" t="s">
        <v>45</v>
      </c>
    </row>
    <row r="61" spans="1:12" x14ac:dyDescent="0.25">
      <c r="A61" s="97">
        <v>1</v>
      </c>
      <c r="B61" s="98">
        <f>F41</f>
        <v>7.4860751761249838E-19</v>
      </c>
      <c r="C61" s="97">
        <f>K41</f>
        <v>5.1820164758418909E-20</v>
      </c>
    </row>
    <row r="62" spans="1:12" x14ac:dyDescent="0.25">
      <c r="A62" s="97">
        <v>2</v>
      </c>
      <c r="B62" s="98">
        <f t="shared" ref="B62:B65" si="25">F42</f>
        <v>7.5715406692504225E-19</v>
      </c>
      <c r="C62" s="97">
        <f t="shared" ref="C62:C65" si="26">K42</f>
        <v>5.2816341323951137E-20</v>
      </c>
    </row>
    <row r="63" spans="1:12" x14ac:dyDescent="0.25">
      <c r="A63" s="97">
        <v>3</v>
      </c>
      <c r="B63" s="98">
        <f t="shared" si="25"/>
        <v>6.899745001704711E-19</v>
      </c>
      <c r="C63" s="97">
        <f t="shared" si="26"/>
        <v>4.5406997340794044E-20</v>
      </c>
    </row>
    <row r="64" spans="1:12" x14ac:dyDescent="0.25">
      <c r="A64" s="97">
        <v>4</v>
      </c>
      <c r="B64" s="98">
        <f t="shared" si="25"/>
        <v>7.3170187576886838E-19</v>
      </c>
      <c r="C64" s="97">
        <f t="shared" si="26"/>
        <v>4.9896426215072095E-20</v>
      </c>
    </row>
    <row r="65" spans="1:3" x14ac:dyDescent="0.25">
      <c r="A65" s="97">
        <v>5</v>
      </c>
      <c r="B65" s="98">
        <f t="shared" si="25"/>
        <v>7.1598713671973843E-19</v>
      </c>
      <c r="C65" s="97">
        <f t="shared" si="26"/>
        <v>4.8163039134378708E-20</v>
      </c>
    </row>
    <row r="66" spans="1:3" x14ac:dyDescent="0.25">
      <c r="A66" s="97">
        <v>6</v>
      </c>
      <c r="B66" s="98">
        <f>F51</f>
        <v>8.3430875506295323E-19</v>
      </c>
      <c r="C66" s="97">
        <f>K51</f>
        <v>1.6918636704538831E-19</v>
      </c>
    </row>
    <row r="67" spans="1:3" x14ac:dyDescent="0.25">
      <c r="A67" s="97">
        <v>7</v>
      </c>
      <c r="B67" s="98">
        <f t="shared" ref="B67:B70" si="27">F52</f>
        <v>9.1566528395013945E-19</v>
      </c>
      <c r="C67" s="97">
        <f t="shared" ref="C67:C70" si="28">K52</f>
        <v>1.9327979751296654E-19</v>
      </c>
    </row>
    <row r="68" spans="1:3" x14ac:dyDescent="0.25">
      <c r="A68" s="97">
        <v>8</v>
      </c>
      <c r="B68" s="98">
        <f t="shared" si="27"/>
        <v>1.1269325338094191E-18</v>
      </c>
      <c r="C68" s="97">
        <f t="shared" si="28"/>
        <v>2.6346427060190624E-19</v>
      </c>
    </row>
    <row r="69" spans="1:3" x14ac:dyDescent="0.25">
      <c r="A69" s="97">
        <v>9</v>
      </c>
      <c r="B69" s="98">
        <f t="shared" si="27"/>
        <v>9.2602050136934787E-19</v>
      </c>
      <c r="C69" s="97">
        <f t="shared" si="28"/>
        <v>1.9646317553851003E-19</v>
      </c>
    </row>
    <row r="70" spans="1:3" x14ac:dyDescent="0.25">
      <c r="A70" s="97">
        <v>10</v>
      </c>
      <c r="B70" s="98">
        <f t="shared" si="27"/>
        <v>9.9210561617194952E-19</v>
      </c>
      <c r="C70" s="97">
        <f t="shared" si="28"/>
        <v>2.1740117603581143E-19</v>
      </c>
    </row>
  </sheetData>
  <mergeCells count="2">
    <mergeCell ref="A1:C2"/>
    <mergeCell ref="A14:C15"/>
  </mergeCells>
  <conditionalFormatting sqref="C32:G36">
    <cfRule type="cellIs" dxfId="32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45A705DA-3615-4527-A7DD-819A68E2428D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DB05E5EA-00B7-4C87-86CB-AEFFA6E5D645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B5" sqref="B5:C13"/>
    </sheetView>
  </sheetViews>
  <sheetFormatPr defaultRowHeight="15" x14ac:dyDescent="0.25"/>
  <cols>
    <col min="1" max="1" width="13.140625" style="106" customWidth="1"/>
    <col min="2" max="2" width="9.140625" style="106"/>
    <col min="3" max="5" width="12" style="106" customWidth="1"/>
    <col min="6" max="7" width="12.140625" style="106" customWidth="1"/>
    <col min="8" max="9" width="12" style="106" customWidth="1"/>
    <col min="10" max="10" width="9.140625" style="106"/>
    <col min="11" max="11" width="12" style="106" customWidth="1"/>
    <col min="12" max="16384" width="9.140625" style="106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106" t="s">
        <v>1</v>
      </c>
      <c r="C4" s="106" t="s">
        <v>2</v>
      </c>
    </row>
    <row r="5" spans="1:5" x14ac:dyDescent="0.25">
      <c r="A5" s="106" t="str">
        <f>[1]Dati!A5</f>
        <v>d</v>
      </c>
      <c r="B5" s="179">
        <f>Dati!B5</f>
        <v>7.4300000000000008E-3</v>
      </c>
      <c r="C5" s="179">
        <f>Dati!C5</f>
        <v>1.0000000000000001E-5</v>
      </c>
    </row>
    <row r="6" spans="1:5" x14ac:dyDescent="0.25">
      <c r="A6" s="106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06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06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06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06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06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06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06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109"/>
    </row>
    <row r="15" spans="1:5" x14ac:dyDescent="0.25">
      <c r="A15" s="193"/>
      <c r="B15" s="193"/>
      <c r="C15" s="193"/>
      <c r="D15" s="109"/>
    </row>
    <row r="16" spans="1:5" x14ac:dyDescent="0.25">
      <c r="A16" s="106" t="s">
        <v>18</v>
      </c>
      <c r="B16" s="106">
        <v>405</v>
      </c>
      <c r="C16" s="106">
        <f>B16/100</f>
        <v>4.05</v>
      </c>
      <c r="D16" s="106" t="s">
        <v>19</v>
      </c>
      <c r="E16" s="106">
        <f>(1.8+(B18-15)*0.004765)*0.00001</f>
        <v>1.8285900000000001E-5</v>
      </c>
    </row>
    <row r="17" spans="1:10" x14ac:dyDescent="0.25">
      <c r="A17" s="106" t="s">
        <v>20</v>
      </c>
      <c r="E17" s="108"/>
    </row>
    <row r="18" spans="1:10" x14ac:dyDescent="0.25">
      <c r="A18" s="106" t="s">
        <v>21</v>
      </c>
      <c r="B18" s="106">
        <v>21</v>
      </c>
      <c r="C18" s="106">
        <v>0.5</v>
      </c>
      <c r="D18" s="106" t="s">
        <v>22</v>
      </c>
      <c r="E18" s="107">
        <f>B16/B5</f>
        <v>54508.748317631216</v>
      </c>
      <c r="F18" s="106">
        <f>SQRT((C16/B5)^2+(B16*C5/B5^2)^2)</f>
        <v>550.00227440334118</v>
      </c>
      <c r="G18" s="107"/>
    </row>
    <row r="21" spans="1:10" x14ac:dyDescent="0.25">
      <c r="B21" s="106" t="s">
        <v>23</v>
      </c>
      <c r="C21" s="106" t="s">
        <v>27</v>
      </c>
      <c r="D21" s="106" t="s">
        <v>24</v>
      </c>
      <c r="E21" s="106" t="s">
        <v>29</v>
      </c>
      <c r="F21" s="106" t="s">
        <v>25</v>
      </c>
      <c r="G21" s="106" t="s">
        <v>26</v>
      </c>
      <c r="H21" s="106" t="s">
        <v>28</v>
      </c>
      <c r="I21" s="106" t="s">
        <v>31</v>
      </c>
      <c r="J21" s="106" t="s">
        <v>32</v>
      </c>
    </row>
    <row r="22" spans="1:10" x14ac:dyDescent="0.25">
      <c r="A22" s="106">
        <v>1</v>
      </c>
      <c r="B22" s="112">
        <v>7.81</v>
      </c>
      <c r="C22" s="106">
        <f>B22</f>
        <v>7.81</v>
      </c>
      <c r="D22" s="107">
        <f>B12/B22</f>
        <v>6.4020486555697832E-5</v>
      </c>
      <c r="E22" s="107">
        <f>SQRT(2)*D22*$B$13/C22</f>
        <v>2.8981639038665902E-6</v>
      </c>
      <c r="F22" s="5">
        <f>(($B$10/(2*$B$7))^2+9*$E$16*D22/(2*$B$6*($B$9-$B$8)))^(1/2)-$B$10/(2*$B$7)</f>
        <v>1.074139624862781E-6</v>
      </c>
      <c r="G22" s="106">
        <f>(($B$10/(2*$B$7))^2+9*$E$16*D22/(2*$B$6*($B$9-$B$8)))^(-1/2)*(9*$E$16)/(4*$B$6*$B$9)</f>
        <v>2.9113073078723705E-3</v>
      </c>
      <c r="H22" s="106">
        <f>(($B$10/(2*$B$7))^2+9*$E$16*D22/(2*$B$6*($B$9-$B$8)))^(-1/2)*((9*D22)/(4*$B$6*$B$9))*0.00000004765</f>
        <v>4.8568376392761621E-10</v>
      </c>
      <c r="I22" s="106">
        <f>SQRT(G22^2*E22^2+H22^2*$C$18^2+$F$28^2)</f>
        <v>3.7434628494295425E-8</v>
      </c>
      <c r="J22" s="107">
        <f>I22/F22</f>
        <v>3.4850803031382091E-2</v>
      </c>
    </row>
    <row r="23" spans="1:10" x14ac:dyDescent="0.25">
      <c r="A23" s="106">
        <v>2</v>
      </c>
      <c r="B23" s="112">
        <v>15.23</v>
      </c>
      <c r="C23" s="106">
        <f>B23-B22</f>
        <v>7.4200000000000008</v>
      </c>
      <c r="D23" s="107">
        <f>$B$12/(B23-B22)</f>
        <v>6.7385444743935303E-5</v>
      </c>
      <c r="E23" s="107">
        <f t="shared" ref="E23:E25" si="0">SQRT(2)*D23*$B$13/C23</f>
        <v>3.2108291732956904E-6</v>
      </c>
      <c r="F23" s="5">
        <f>(($B$10/(2*$B$7))^2+9*E16*D23/(2*$B$6*($B$9-$B$8)))^(1/2)-$B$10/(2*$B$7)</f>
        <v>1.1030190267096709E-6</v>
      </c>
      <c r="G23" s="106">
        <f t="shared" ref="G23:G27" si="1">(($B$10/(2*$B$7))^2+9*$E$16*D23/(2*$B$6*($B$9-$B$8)))^(-1/2)*(9*$E$16)/(4*$B$6*$B$9)</f>
        <v>2.8377803534535978E-3</v>
      </c>
      <c r="H23" s="106">
        <f t="shared" ref="H23:H27" si="2">(($B$10/(2*$B$7))^2+9*$E$16*D23/(2*$B$6*($B$9-$B$8)))^(-1/2)*((9*D23)/(4*$B$6*$B$9))*0.00000004765</f>
        <v>4.9830063578092474E-10</v>
      </c>
      <c r="I23" s="106">
        <f t="shared" ref="I23:I27" si="3">SQRT(G23^2*E23^2+H23^2*$C$18^2+$F$28^2)</f>
        <v>3.7592363416099552E-8</v>
      </c>
      <c r="J23" s="107">
        <f t="shared" ref="J23:J27" si="4">I23/F23</f>
        <v>3.4081337226102404E-2</v>
      </c>
    </row>
    <row r="24" spans="1:10" x14ac:dyDescent="0.25">
      <c r="A24" s="106">
        <v>3</v>
      </c>
      <c r="B24" s="112">
        <v>23.84</v>
      </c>
      <c r="C24" s="106">
        <f t="shared" ref="C24:C26" si="5">B24-B23</f>
        <v>8.61</v>
      </c>
      <c r="D24" s="107">
        <f>$B$12/(B24-B23)</f>
        <v>5.8072009291521493E-5</v>
      </c>
      <c r="E24" s="107">
        <f t="shared" si="0"/>
        <v>2.384617396467076E-6</v>
      </c>
      <c r="F24" s="5">
        <f>(($B$10/(2*$B$7))^2+9*E16*D24/(2*$B$6*($B$9-$B$8)))^(1/2)-$B$10/(2*$B$7)</f>
        <v>1.0211672845310992E-6</v>
      </c>
      <c r="G24" s="106">
        <f t="shared" si="1"/>
        <v>3.0565731689938696E-3</v>
      </c>
      <c r="H24" s="106">
        <f t="shared" si="2"/>
        <v>4.6253884750801437E-10</v>
      </c>
      <c r="I24" s="106">
        <f t="shared" si="3"/>
        <v>3.7192491442484454E-8</v>
      </c>
      <c r="J24" s="107">
        <f t="shared" si="4"/>
        <v>3.6421546210778331E-2</v>
      </c>
    </row>
    <row r="25" spans="1:10" x14ac:dyDescent="0.25">
      <c r="A25" s="106">
        <v>4</v>
      </c>
      <c r="B25" s="112">
        <v>32.53</v>
      </c>
      <c r="C25" s="106">
        <f t="shared" si="5"/>
        <v>8.6900000000000013</v>
      </c>
      <c r="D25" s="107">
        <f>$B$12/(B25-B24)</f>
        <v>5.7537399309551199E-5</v>
      </c>
      <c r="E25" s="107">
        <f t="shared" si="0"/>
        <v>2.3409139944546505E-6</v>
      </c>
      <c r="F25" s="5">
        <f>(($B$10/(2*$B$7))^2+9*E16*D25/(2*$B$6*($B$9-$B$8)))^(1/2)-$B$10/(2*$B$7)</f>
        <v>1.0162764381545524E-6</v>
      </c>
      <c r="G25" s="106">
        <f t="shared" si="1"/>
        <v>3.0707197193999857E-3</v>
      </c>
      <c r="H25" s="106">
        <f t="shared" si="2"/>
        <v>4.6040175493051196E-10</v>
      </c>
      <c r="I25" s="106">
        <f t="shared" si="3"/>
        <v>3.717292649295202E-8</v>
      </c>
      <c r="J25" s="107">
        <f t="shared" si="4"/>
        <v>3.6577573873949117E-2</v>
      </c>
    </row>
    <row r="26" spans="1:10" x14ac:dyDescent="0.25">
      <c r="A26" s="106">
        <v>5</v>
      </c>
      <c r="B26" s="112">
        <v>40.58</v>
      </c>
      <c r="C26" s="106">
        <f t="shared" si="5"/>
        <v>8.0499999999999972</v>
      </c>
      <c r="D26" s="107">
        <f>$B$12/(B26-B25)</f>
        <v>6.2111801242236054E-5</v>
      </c>
      <c r="E26" s="107">
        <f>SQRT(2)*D26*$B$13/C26</f>
        <v>2.7279301770246062E-6</v>
      </c>
      <c r="F26" s="5">
        <f>(($B$10/(2*$B$7))^2+9*E16*D26/(2*$B$6*($B$9-$B$8)))^(1/2)-$B$10/(2*$B$7)</f>
        <v>1.0574209279107735E-6</v>
      </c>
      <c r="G26" s="106">
        <f t="shared" si="1"/>
        <v>2.9556409806031623E-3</v>
      </c>
      <c r="H26" s="106">
        <f t="shared" si="2"/>
        <v>4.7837928794724781E-10</v>
      </c>
      <c r="I26" s="106">
        <f t="shared" si="3"/>
        <v>3.7351942604960212E-8</v>
      </c>
      <c r="J26" s="107">
        <f t="shared" si="4"/>
        <v>3.5323627156461972E-2</v>
      </c>
    </row>
    <row r="27" spans="1:10" x14ac:dyDescent="0.25">
      <c r="A27" s="7" t="s">
        <v>34</v>
      </c>
      <c r="B27" s="7"/>
      <c r="C27" s="7">
        <f>AVERAGE(C22:C26)</f>
        <v>8.1159999999999997</v>
      </c>
      <c r="D27" s="7">
        <f>AVERAGE(D22:D26)</f>
        <v>6.1825428228588384E-5</v>
      </c>
      <c r="E27" s="8">
        <f>SQRT(2)*D27*$B$13/C27</f>
        <v>2.6932712882082953E-6</v>
      </c>
      <c r="F27" s="9">
        <f>AVERAGE(F22:F26)</f>
        <v>1.0544046604337753E-6</v>
      </c>
      <c r="G27" s="7">
        <f t="shared" si="1"/>
        <v>2.9624689602334177E-3</v>
      </c>
      <c r="H27" s="7">
        <f t="shared" si="2"/>
        <v>4.772737032701601E-10</v>
      </c>
      <c r="I27" s="7">
        <f t="shared" si="3"/>
        <v>3.7333886334405595E-8</v>
      </c>
      <c r="J27" s="8">
        <f t="shared" si="4"/>
        <v>3.5407550568912198E-2</v>
      </c>
    </row>
    <row r="28" spans="1:10" x14ac:dyDescent="0.25">
      <c r="A28" s="106" t="s">
        <v>35</v>
      </c>
      <c r="C28" s="6">
        <f>_xlfn.STDEV.S(C22:C26)</f>
        <v>0.53756860027349074</v>
      </c>
      <c r="D28" s="107">
        <f>_xlfn.STDEV.S(D22:D26)</f>
        <v>4.1318706399438565E-6</v>
      </c>
      <c r="E28" s="8">
        <f>SQRT(2)*D28*$B$13/C28</f>
        <v>2.7174892162632681E-6</v>
      </c>
      <c r="F28" s="107">
        <f>_xlfn.STDEV.S(F22:F26)</f>
        <v>3.647056275266219E-8</v>
      </c>
    </row>
    <row r="30" spans="1:10" x14ac:dyDescent="0.25">
      <c r="A30" s="106" t="s">
        <v>31</v>
      </c>
      <c r="C30" s="106">
        <f t="array" ref="C30:G31">TRANSPOSE(A32:B36)</f>
        <v>3.7434628494295425E-8</v>
      </c>
      <c r="D30" s="106">
        <v>3.7592363416099552E-8</v>
      </c>
      <c r="E30" s="106">
        <v>3.7192491442484454E-8</v>
      </c>
      <c r="F30" s="106">
        <v>3.717292649295202E-8</v>
      </c>
      <c r="G30" s="106">
        <v>3.7351942604960212E-8</v>
      </c>
    </row>
    <row r="31" spans="1:10" x14ac:dyDescent="0.25">
      <c r="B31" s="106" t="s">
        <v>25</v>
      </c>
      <c r="C31" s="106">
        <v>1.074139624862781E-6</v>
      </c>
      <c r="D31" s="106">
        <v>1.1030190267096709E-6</v>
      </c>
      <c r="E31" s="106">
        <v>1.0211672845310992E-6</v>
      </c>
      <c r="F31" s="106">
        <v>1.0162764381545524E-6</v>
      </c>
      <c r="G31" s="106">
        <v>1.0574209279107735E-6</v>
      </c>
    </row>
    <row r="32" spans="1:10" x14ac:dyDescent="0.25">
      <c r="A32" s="106">
        <f>I22</f>
        <v>3.7434628494295425E-8</v>
      </c>
      <c r="B32" s="5">
        <f>F22</f>
        <v>1.074139624862781E-6</v>
      </c>
      <c r="C32" s="106">
        <f t="shared" ref="C32:G36" si="6">(C$31-$B32)/SQRT(C$30^2+$A32^2)</f>
        <v>0</v>
      </c>
      <c r="D32" s="106">
        <f t="shared" si="6"/>
        <v>0.54435810987172495</v>
      </c>
      <c r="E32" s="106">
        <f t="shared" si="6"/>
        <v>-1.003841604246857</v>
      </c>
      <c r="F32" s="106">
        <f t="shared" si="6"/>
        <v>-1.0968111741140192</v>
      </c>
      <c r="G32" s="106">
        <f t="shared" si="6"/>
        <v>-0.31615025499964394</v>
      </c>
    </row>
    <row r="33" spans="1:12" x14ac:dyDescent="0.25">
      <c r="A33" s="106">
        <f>I23</f>
        <v>3.7592363416099552E-8</v>
      </c>
      <c r="B33" s="5">
        <f>F23</f>
        <v>1.1030190267096709E-6</v>
      </c>
      <c r="C33" s="106">
        <f t="shared" si="6"/>
        <v>-0.54435810987172495</v>
      </c>
      <c r="D33" s="106">
        <f t="shared" si="6"/>
        <v>0</v>
      </c>
      <c r="E33" s="106">
        <f t="shared" si="6"/>
        <v>-1.5478292953246175</v>
      </c>
      <c r="F33" s="106">
        <f t="shared" si="6"/>
        <v>-1.6407428493879206</v>
      </c>
      <c r="G33" s="106">
        <f t="shared" si="6"/>
        <v>-0.86044052375797953</v>
      </c>
    </row>
    <row r="34" spans="1:12" x14ac:dyDescent="0.25">
      <c r="A34" s="106">
        <f>I24</f>
        <v>3.7192491442484454E-8</v>
      </c>
      <c r="B34" s="5">
        <f>F24</f>
        <v>1.0211672845310992E-6</v>
      </c>
      <c r="C34" s="106">
        <f t="shared" si="6"/>
        <v>1.003841604246857</v>
      </c>
      <c r="D34" s="106">
        <f t="shared" si="6"/>
        <v>1.5478292953246175</v>
      </c>
      <c r="E34" s="106">
        <f t="shared" si="6"/>
        <v>0</v>
      </c>
      <c r="F34" s="106">
        <f t="shared" si="6"/>
        <v>-9.3009643861918512E-2</v>
      </c>
      <c r="G34" s="106">
        <f t="shared" si="6"/>
        <v>0.68778142215928728</v>
      </c>
    </row>
    <row r="35" spans="1:12" x14ac:dyDescent="0.25">
      <c r="A35" s="106">
        <f>I25</f>
        <v>3.717292649295202E-8</v>
      </c>
      <c r="B35" s="5">
        <f>F25</f>
        <v>1.0162764381545524E-6</v>
      </c>
      <c r="C35" s="106">
        <f t="shared" si="6"/>
        <v>1.0968111741140192</v>
      </c>
      <c r="D35" s="106">
        <f t="shared" si="6"/>
        <v>1.6407428493879206</v>
      </c>
      <c r="E35" s="106">
        <f t="shared" si="6"/>
        <v>9.3009643861918512E-2</v>
      </c>
      <c r="F35" s="106">
        <f t="shared" si="6"/>
        <v>0</v>
      </c>
      <c r="G35" s="106">
        <f t="shared" si="6"/>
        <v>0.78077195254599696</v>
      </c>
    </row>
    <row r="36" spans="1:12" x14ac:dyDescent="0.25">
      <c r="A36" s="106">
        <f>I26</f>
        <v>3.7351942604960212E-8</v>
      </c>
      <c r="B36" s="5">
        <f>F26</f>
        <v>1.0574209279107735E-6</v>
      </c>
      <c r="C36" s="106">
        <f t="shared" si="6"/>
        <v>0.31615025499964394</v>
      </c>
      <c r="D36" s="106">
        <f t="shared" si="6"/>
        <v>0.86044052375797953</v>
      </c>
      <c r="E36" s="106">
        <f t="shared" si="6"/>
        <v>-0.68778142215928728</v>
      </c>
      <c r="F36" s="106">
        <f t="shared" si="6"/>
        <v>-0.78077195254599696</v>
      </c>
      <c r="G36" s="106">
        <f t="shared" si="6"/>
        <v>0</v>
      </c>
    </row>
    <row r="39" spans="1:12" x14ac:dyDescent="0.25">
      <c r="A39" s="106" t="s">
        <v>7</v>
      </c>
    </row>
    <row r="40" spans="1:12" x14ac:dyDescent="0.25">
      <c r="B40" s="106" t="s">
        <v>36</v>
      </c>
      <c r="C40" s="106" t="s">
        <v>27</v>
      </c>
      <c r="D40" s="106" t="s">
        <v>24</v>
      </c>
      <c r="E40" s="106" t="s">
        <v>29</v>
      </c>
      <c r="F40" s="106" t="s">
        <v>37</v>
      </c>
      <c r="G40" s="106" t="s">
        <v>39</v>
      </c>
      <c r="H40" s="106" t="s">
        <v>40</v>
      </c>
      <c r="I40" s="106" t="s">
        <v>41</v>
      </c>
      <c r="J40" s="106" t="s">
        <v>42</v>
      </c>
      <c r="K40" s="106" t="s">
        <v>2</v>
      </c>
      <c r="L40" s="106" t="s">
        <v>43</v>
      </c>
    </row>
    <row r="41" spans="1:12" x14ac:dyDescent="0.25">
      <c r="A41" s="111">
        <v>1</v>
      </c>
      <c r="B41" s="113">
        <v>42.63</v>
      </c>
      <c r="C41" s="106">
        <f>B41-B26</f>
        <v>2.0500000000000043</v>
      </c>
      <c r="D41" s="107">
        <f>$B$12/C41</f>
        <v>2.4390243902438973E-4</v>
      </c>
      <c r="E41" s="107">
        <f>SQRT(2)*D41*$B$13/C41</f>
        <v>4.2064650873679039E-5</v>
      </c>
      <c r="F41" s="107">
        <f>(4*PI()/3)*$F$27^3*($B$9-$B$8)*($B$6/$E$18)*(1+ABS(D41)/$D$27)</f>
        <v>1.8914376477912039E-18</v>
      </c>
      <c r="G41" s="107">
        <f>F41*3/$F$27</f>
        <v>5.3815324953507282E-12</v>
      </c>
      <c r="H41" s="107">
        <f>F41/$E$18</f>
        <v>3.4699707958243573E-23</v>
      </c>
      <c r="I41" s="106">
        <f>(4*PI()/3)*$F$27^3*($B$9-$B$8)*($B$6/$E$18)*(1/$D$27)</f>
        <v>6.1866707303659422E-15</v>
      </c>
      <c r="J41" s="107">
        <f>(4*PI()/3)*$F$27^3*($B$9-$B$8)*($B$6/$E$18)*(ABS(D41)/$D$27^2)</f>
        <v>2.4406528572645018E-14</v>
      </c>
      <c r="K41" s="106">
        <f>SQRT(G41^2*$I$27^2+H41^2*$F$18^2+I41^2*E41^2+J41^2*$E$28^2)</f>
        <v>3.3593801029498915E-19</v>
      </c>
      <c r="L41" s="110">
        <f>K41/F41</f>
        <v>0.17760987822532409</v>
      </c>
    </row>
    <row r="42" spans="1:12" x14ac:dyDescent="0.25">
      <c r="A42" s="111">
        <v>2</v>
      </c>
      <c r="B42" s="113">
        <v>44.14</v>
      </c>
      <c r="C42" s="106">
        <f>B42-B41</f>
        <v>1.509999999999998</v>
      </c>
      <c r="D42" s="107">
        <f t="shared" ref="D42:D45" si="7">$B$12/C42</f>
        <v>3.3112582781456997E-4</v>
      </c>
      <c r="E42" s="107">
        <f t="shared" ref="E42:E44" si="8">SQRT(2)*D42*$B$13/C42</f>
        <v>7.753023783897082E-5</v>
      </c>
      <c r="F42" s="107">
        <f t="shared" ref="F42:F45" si="9">(4*PI()/3)*$F$27^3*($B$9-$B$8)*($B$6/$E$18)*(1+ABS(D42)/$D$27)</f>
        <v>2.4310600342227413E-18</v>
      </c>
      <c r="G42" s="107">
        <f t="shared" ref="G42:G45" si="10">F42*3/$F$27</f>
        <v>6.916870131878833E-12</v>
      </c>
      <c r="H42" s="107">
        <f t="shared" ref="H42:H45" si="11">F42/$E$18</f>
        <v>4.4599447047592521E-23</v>
      </c>
      <c r="I42" s="106">
        <f t="shared" ref="I42:I45" si="12">(4*PI()/3)*$F$27^3*($B$9-$B$8)*($B$6/$E$18)*(1/$D$27)</f>
        <v>6.1866707303659422E-15</v>
      </c>
      <c r="J42" s="107">
        <f t="shared" ref="J42:J45" si="13">(4*PI()/3)*$F$27^3*($B$9-$B$8)*($B$6/$E$18)*(ABS(D42)/$D$27^2)</f>
        <v>3.3134691108557921E-14</v>
      </c>
      <c r="K42" s="106">
        <f t="shared" ref="K42:K45" si="14">SQRT(G42^2*$I$27^2+H42^2*$F$18^2+I42^2*E42^2+J42^2*$E$28^2)</f>
        <v>5.5268626534104834E-19</v>
      </c>
      <c r="L42" s="110">
        <f t="shared" ref="L42:L45" si="15">K42/F42</f>
        <v>0.22734373382833931</v>
      </c>
    </row>
    <row r="43" spans="1:12" x14ac:dyDescent="0.25">
      <c r="A43" s="111">
        <v>3</v>
      </c>
      <c r="B43" s="113">
        <v>45.9</v>
      </c>
      <c r="C43" s="106">
        <f>B43-B42</f>
        <v>1.759999999999998</v>
      </c>
      <c r="D43" s="107">
        <f t="shared" si="7"/>
        <v>2.840909090909094E-4</v>
      </c>
      <c r="E43" s="107">
        <f t="shared" si="8"/>
        <v>5.7068922810123092E-5</v>
      </c>
      <c r="F43" s="107">
        <f t="shared" si="9"/>
        <v>2.1400704792499291E-18</v>
      </c>
      <c r="G43" s="107">
        <f t="shared" si="10"/>
        <v>6.0889444808680514E-12</v>
      </c>
      <c r="H43" s="107">
        <f t="shared" si="11"/>
        <v>3.9261046076115988E-23</v>
      </c>
      <c r="I43" s="106">
        <f t="shared" si="12"/>
        <v>6.1866707303659422E-15</v>
      </c>
      <c r="J43" s="107">
        <f t="shared" si="13"/>
        <v>2.8428058848819573E-14</v>
      </c>
      <c r="K43" s="106">
        <f t="shared" si="14"/>
        <v>4.2751202932959482E-19</v>
      </c>
      <c r="L43" s="110">
        <f t="shared" si="15"/>
        <v>0.19976539720291503</v>
      </c>
    </row>
    <row r="44" spans="1:12" x14ac:dyDescent="0.25">
      <c r="A44" s="111">
        <v>4</v>
      </c>
      <c r="B44" s="113">
        <v>47.77</v>
      </c>
      <c r="C44" s="106">
        <f>B44-B43</f>
        <v>1.8700000000000045</v>
      </c>
      <c r="D44" s="107">
        <f t="shared" si="7"/>
        <v>2.6737967914438438E-4</v>
      </c>
      <c r="E44" s="107">
        <f t="shared" si="8"/>
        <v>5.0552402212427013E-5</v>
      </c>
      <c r="F44" s="107">
        <f t="shared" si="9"/>
        <v>2.0366836020713482E-18</v>
      </c>
      <c r="G44" s="107">
        <f t="shared" si="10"/>
        <v>5.7947873672147937E-12</v>
      </c>
      <c r="H44" s="107">
        <f t="shared" si="11"/>
        <v>3.7364343613308939E-23</v>
      </c>
      <c r="I44" s="106">
        <f t="shared" si="12"/>
        <v>6.1866707303659422E-15</v>
      </c>
      <c r="J44" s="107">
        <f t="shared" si="13"/>
        <v>2.6755820093006558E-14</v>
      </c>
      <c r="K44" s="106">
        <f t="shared" si="14"/>
        <v>3.8771888276610026E-19</v>
      </c>
      <c r="L44" s="110">
        <f t="shared" si="15"/>
        <v>0.19036775391709462</v>
      </c>
    </row>
    <row r="45" spans="1:12" x14ac:dyDescent="0.25">
      <c r="A45" s="111">
        <v>5</v>
      </c>
      <c r="B45" s="113">
        <v>49.59</v>
      </c>
      <c r="C45" s="106">
        <f>B45-B44</f>
        <v>1.8200000000000003</v>
      </c>
      <c r="D45" s="107">
        <f t="shared" si="7"/>
        <v>2.7472527472527467E-4</v>
      </c>
      <c r="E45" s="107">
        <f>SQRT(2)*D45*$B$13/C45</f>
        <v>5.3368160637796408E-5</v>
      </c>
      <c r="F45" s="107">
        <f t="shared" si="9"/>
        <v>2.0821283832487476E-18</v>
      </c>
      <c r="G45" s="107">
        <f t="shared" si="10"/>
        <v>5.9240871973920527E-12</v>
      </c>
      <c r="H45" s="107">
        <f t="shared" si="11"/>
        <v>3.8198058981575796E-23</v>
      </c>
      <c r="I45" s="106">
        <f t="shared" si="12"/>
        <v>6.1866707303659422E-15</v>
      </c>
      <c r="J45" s="107">
        <f t="shared" si="13"/>
        <v>2.7490870095561748E-14</v>
      </c>
      <c r="K45" s="106">
        <f t="shared" si="14"/>
        <v>4.0490893648436251E-19</v>
      </c>
      <c r="L45" s="110">
        <f t="shared" si="15"/>
        <v>0.1944687655871549</v>
      </c>
    </row>
    <row r="46" spans="1:12" x14ac:dyDescent="0.25">
      <c r="L46" s="110"/>
    </row>
    <row r="47" spans="1:12" x14ac:dyDescent="0.25">
      <c r="L47" s="110"/>
    </row>
    <row r="49" spans="1:12" x14ac:dyDescent="0.25">
      <c r="A49" s="106" t="s">
        <v>7</v>
      </c>
    </row>
    <row r="50" spans="1:12" x14ac:dyDescent="0.25">
      <c r="B50" s="106" t="s">
        <v>23</v>
      </c>
      <c r="C50" s="106" t="s">
        <v>27</v>
      </c>
      <c r="D50" s="106" t="s">
        <v>24</v>
      </c>
      <c r="E50" s="106" t="s">
        <v>29</v>
      </c>
      <c r="F50" s="106" t="s">
        <v>37</v>
      </c>
      <c r="G50" s="106" t="s">
        <v>39</v>
      </c>
      <c r="H50" s="106" t="s">
        <v>40</v>
      </c>
      <c r="I50" s="106" t="s">
        <v>41</v>
      </c>
      <c r="J50" s="106" t="s">
        <v>42</v>
      </c>
      <c r="K50" s="106" t="s">
        <v>2</v>
      </c>
      <c r="L50" s="106" t="s">
        <v>43</v>
      </c>
    </row>
    <row r="51" spans="1:12" x14ac:dyDescent="0.25">
      <c r="A51" s="111">
        <v>6</v>
      </c>
      <c r="B51" s="114">
        <v>51.39</v>
      </c>
      <c r="C51" s="106">
        <f>B51-B45</f>
        <v>1.7999999999999972</v>
      </c>
      <c r="D51" s="107">
        <f>$B$12/C51</f>
        <v>2.7777777777777821E-4</v>
      </c>
      <c r="E51" s="107">
        <f>SQRT(2)*D51*$B$13/C51</f>
        <v>5.4560708424888101E-5</v>
      </c>
      <c r="F51" s="107">
        <f>-(4*PI()/3)*$F$27^3*($B$9-$B$8)*($B$6/$E$18)*(1-ABS(D51)/$D$27)</f>
        <v>1.3360260801097277E-18</v>
      </c>
      <c r="G51" s="107">
        <f>F51*3/$F$27</f>
        <v>3.8012713626287324E-12</v>
      </c>
      <c r="H51" s="107">
        <f>F51/$E$18</f>
        <v>2.4510305617815502E-23</v>
      </c>
      <c r="I51" s="106">
        <f>-(4*PI()/3)*$F$27^3*($B$9-$B$8)*($B$6/$E$18)*(-1/$D$27)</f>
        <v>6.1866707303659422E-15</v>
      </c>
      <c r="J51" s="107">
        <f>-(4*PI()/3)*$F$27^3*($B$9-$B$8)*($B$6/$E$18)*(-ABS(D51)/$D$27^2)</f>
        <v>2.7796324207734704E-14</v>
      </c>
      <c r="K51" s="106">
        <f>SQRT(G51^2*$I$27^2+H51^2*$F$18^2+I51^2*E51^2+J51^2*$E$28^2)</f>
        <v>3.7412175393872874E-19</v>
      </c>
      <c r="L51" s="110">
        <f>K51/F51</f>
        <v>0.28002578655350963</v>
      </c>
    </row>
    <row r="52" spans="1:12" x14ac:dyDescent="0.25">
      <c r="A52" s="111">
        <v>7</v>
      </c>
      <c r="B52" s="114">
        <v>52.74</v>
      </c>
      <c r="C52" s="106">
        <f>B52-B51</f>
        <v>1.3500000000000014</v>
      </c>
      <c r="D52" s="107">
        <f t="shared" ref="D52:D55" si="16">$B$12/C52</f>
        <v>3.7037037037036997E-4</v>
      </c>
      <c r="E52" s="107">
        <f t="shared" ref="E52:E54" si="17">SQRT(2)*D52*$B$13/C52</f>
        <v>9.6996814977578347E-5</v>
      </c>
      <c r="F52" s="107">
        <f t="shared" ref="F52:F55" si="18">-(4*PI()/3)*$F$27^3*($B$9-$B$8)*($B$6/$E$18)*(1-ABS(D52)/$D$27)</f>
        <v>1.9088659625510132E-18</v>
      </c>
      <c r="G52" s="107">
        <f t="shared" ref="G52:G55" si="19">F52*3/$F$27</f>
        <v>5.4311196664259371E-12</v>
      </c>
      <c r="H52" s="107">
        <f t="shared" ref="H52:H55" si="20">F52/$E$18</f>
        <v>3.5019442226553164E-23</v>
      </c>
      <c r="I52" s="106">
        <f t="shared" ref="I52:I55" si="21">-(4*PI()/3)*$F$27^3*($B$9-$B$8)*($B$6/$E$18)*(-1/$D$27)</f>
        <v>6.1866707303659422E-15</v>
      </c>
      <c r="J52" s="107">
        <f t="shared" ref="J52:J55" si="22">-(4*PI()/3)*$F$27^3*($B$9-$B$8)*($B$6/$E$18)*(-ABS(D52)/$D$27^2)</f>
        <v>3.7061765610312841E-14</v>
      </c>
      <c r="K52" s="106">
        <f t="shared" ref="K52:K55" si="23">SQRT(G52^2*$I$27^2+H52^2*$F$18^2+I52^2*E52^2+J52^2*$E$28^2)</f>
        <v>6.4166414819876441E-19</v>
      </c>
      <c r="L52" s="110">
        <f t="shared" ref="L52:L55" si="24">K52/F52</f>
        <v>0.33614940010834643</v>
      </c>
    </row>
    <row r="53" spans="1:12" x14ac:dyDescent="0.25">
      <c r="A53" s="111">
        <v>8</v>
      </c>
      <c r="B53" s="114">
        <v>53.91</v>
      </c>
      <c r="C53" s="106">
        <f>B53-B52</f>
        <v>1.1699999999999946</v>
      </c>
      <c r="D53" s="107">
        <f t="shared" si="16"/>
        <v>4.2735042735042936E-4</v>
      </c>
      <c r="E53" s="107">
        <f t="shared" si="17"/>
        <v>1.291377714198543E-4</v>
      </c>
      <c r="F53" s="107">
        <f t="shared" si="18"/>
        <v>2.2613828132841306E-18</v>
      </c>
      <c r="G53" s="107">
        <f t="shared" si="19"/>
        <v>6.4341032379935018E-12</v>
      </c>
      <c r="H53" s="107">
        <f t="shared" si="20"/>
        <v>4.1486603216545906E-23</v>
      </c>
      <c r="I53" s="106">
        <f t="shared" si="21"/>
        <v>6.1866707303659422E-15</v>
      </c>
      <c r="J53" s="107">
        <f t="shared" si="22"/>
        <v>4.276357570420737E-14</v>
      </c>
      <c r="K53" s="106">
        <f t="shared" si="23"/>
        <v>8.4262679953230342E-19</v>
      </c>
      <c r="L53" s="110">
        <f t="shared" si="24"/>
        <v>0.37261572635222462</v>
      </c>
    </row>
    <row r="54" spans="1:12" x14ac:dyDescent="0.25">
      <c r="A54" s="111">
        <v>9</v>
      </c>
      <c r="B54" s="114">
        <v>55.33</v>
      </c>
      <c r="C54" s="106">
        <f>B54-B53</f>
        <v>1.4200000000000017</v>
      </c>
      <c r="D54" s="107">
        <f t="shared" si="16"/>
        <v>3.5211267605633761E-4</v>
      </c>
      <c r="E54" s="107">
        <f t="shared" si="17"/>
        <v>8.7669458091964119E-5</v>
      </c>
      <c r="F54" s="107">
        <f t="shared" si="18"/>
        <v>1.7959116195344209E-18</v>
      </c>
      <c r="G54" s="107">
        <f t="shared" si="19"/>
        <v>5.1097411276490215E-12</v>
      </c>
      <c r="H54" s="107">
        <f t="shared" si="20"/>
        <v>3.294721810652037E-23</v>
      </c>
      <c r="I54" s="106">
        <f t="shared" si="21"/>
        <v>6.1866707303659422E-15</v>
      </c>
      <c r="J54" s="107">
        <f t="shared" si="22"/>
        <v>3.5234777164734033E-14</v>
      </c>
      <c r="K54" s="106">
        <f t="shared" si="23"/>
        <v>5.8315231689720446E-19</v>
      </c>
      <c r="L54" s="110">
        <f t="shared" si="24"/>
        <v>0.32471103285605063</v>
      </c>
    </row>
    <row r="55" spans="1:12" x14ac:dyDescent="0.25">
      <c r="A55" s="111">
        <v>10</v>
      </c>
      <c r="B55" s="114">
        <v>56.66</v>
      </c>
      <c r="C55" s="106">
        <f>B55-B54</f>
        <v>1.3299999999999983</v>
      </c>
      <c r="D55" s="107">
        <f t="shared" si="16"/>
        <v>3.7593984962406066E-4</v>
      </c>
      <c r="E55" s="107">
        <f>SQRT(2)*D55*$B$13/C55</f>
        <v>9.9935946235873901E-5</v>
      </c>
      <c r="F55" s="107">
        <f t="shared" si="18"/>
        <v>1.943322496833202E-18</v>
      </c>
      <c r="G55" s="107">
        <f t="shared" si="19"/>
        <v>5.5291556546242835E-12</v>
      </c>
      <c r="H55" s="107">
        <f t="shared" si="20"/>
        <v>3.5651570744372082E-23</v>
      </c>
      <c r="I55" s="106">
        <f t="shared" si="21"/>
        <v>6.1866707303659422E-15</v>
      </c>
      <c r="J55" s="107">
        <f t="shared" si="22"/>
        <v>3.7619085393926663E-14</v>
      </c>
      <c r="K55" s="106">
        <f t="shared" si="23"/>
        <v>6.6007980872955407E-19</v>
      </c>
      <c r="L55" s="110">
        <f t="shared" si="24"/>
        <v>0.33966560352448266</v>
      </c>
    </row>
    <row r="56" spans="1:12" x14ac:dyDescent="0.25">
      <c r="L56" s="110"/>
    </row>
    <row r="57" spans="1:12" x14ac:dyDescent="0.25">
      <c r="L57" s="110"/>
    </row>
    <row r="59" spans="1:12" x14ac:dyDescent="0.25">
      <c r="B59" s="106" t="s">
        <v>38</v>
      </c>
    </row>
    <row r="60" spans="1:12" x14ac:dyDescent="0.25">
      <c r="A60" s="107"/>
      <c r="B60" s="106" t="s">
        <v>44</v>
      </c>
      <c r="C60" s="106" t="s">
        <v>45</v>
      </c>
    </row>
    <row r="61" spans="1:12" x14ac:dyDescent="0.25">
      <c r="A61" s="106">
        <v>1</v>
      </c>
      <c r="B61" s="107">
        <f>F41</f>
        <v>1.8914376477912039E-18</v>
      </c>
      <c r="C61" s="106">
        <f>K41</f>
        <v>3.3593801029498915E-19</v>
      </c>
    </row>
    <row r="62" spans="1:12" x14ac:dyDescent="0.25">
      <c r="A62" s="106">
        <v>2</v>
      </c>
      <c r="B62" s="107">
        <f t="shared" ref="B62:B65" si="25">F42</f>
        <v>2.4310600342227413E-18</v>
      </c>
      <c r="C62" s="106">
        <f t="shared" ref="C62:C65" si="26">K42</f>
        <v>5.5268626534104834E-19</v>
      </c>
    </row>
    <row r="63" spans="1:12" x14ac:dyDescent="0.25">
      <c r="A63" s="106">
        <v>3</v>
      </c>
      <c r="B63" s="107">
        <f t="shared" si="25"/>
        <v>2.1400704792499291E-18</v>
      </c>
      <c r="C63" s="106">
        <f t="shared" si="26"/>
        <v>4.2751202932959482E-19</v>
      </c>
    </row>
    <row r="64" spans="1:12" x14ac:dyDescent="0.25">
      <c r="A64" s="106">
        <v>4</v>
      </c>
      <c r="B64" s="107">
        <f t="shared" si="25"/>
        <v>2.0366836020713482E-18</v>
      </c>
      <c r="C64" s="106">
        <f t="shared" si="26"/>
        <v>3.8771888276610026E-19</v>
      </c>
    </row>
    <row r="65" spans="1:3" x14ac:dyDescent="0.25">
      <c r="A65" s="106">
        <v>5</v>
      </c>
      <c r="B65" s="107">
        <f t="shared" si="25"/>
        <v>2.0821283832487476E-18</v>
      </c>
      <c r="C65" s="106">
        <f t="shared" si="26"/>
        <v>4.0490893648436251E-19</v>
      </c>
    </row>
    <row r="66" spans="1:3" x14ac:dyDescent="0.25">
      <c r="A66" s="106">
        <v>6</v>
      </c>
      <c r="B66" s="107">
        <f>F51</f>
        <v>1.3360260801097277E-18</v>
      </c>
      <c r="C66" s="106">
        <f>K51</f>
        <v>3.7412175393872874E-19</v>
      </c>
    </row>
    <row r="67" spans="1:3" x14ac:dyDescent="0.25">
      <c r="A67" s="106">
        <v>7</v>
      </c>
      <c r="B67" s="107">
        <f t="shared" ref="B67:B70" si="27">F52</f>
        <v>1.9088659625510132E-18</v>
      </c>
      <c r="C67" s="106">
        <f t="shared" ref="C67:C70" si="28">K52</f>
        <v>6.4166414819876441E-19</v>
      </c>
    </row>
    <row r="68" spans="1:3" x14ac:dyDescent="0.25">
      <c r="A68" s="106">
        <v>8</v>
      </c>
      <c r="B68" s="107">
        <f t="shared" si="27"/>
        <v>2.2613828132841306E-18</v>
      </c>
      <c r="C68" s="106">
        <f t="shared" si="28"/>
        <v>8.4262679953230342E-19</v>
      </c>
    </row>
    <row r="69" spans="1:3" x14ac:dyDescent="0.25">
      <c r="A69" s="106">
        <v>9</v>
      </c>
      <c r="B69" s="107">
        <f t="shared" si="27"/>
        <v>1.7959116195344209E-18</v>
      </c>
      <c r="C69" s="106">
        <f t="shared" si="28"/>
        <v>5.8315231689720446E-19</v>
      </c>
    </row>
    <row r="70" spans="1:3" x14ac:dyDescent="0.25">
      <c r="A70" s="106">
        <v>10</v>
      </c>
      <c r="B70" s="107">
        <f t="shared" si="27"/>
        <v>1.943322496833202E-18</v>
      </c>
      <c r="C70" s="106">
        <f t="shared" si="28"/>
        <v>6.6007980872955407E-19</v>
      </c>
    </row>
  </sheetData>
  <mergeCells count="2">
    <mergeCell ref="A1:C2"/>
    <mergeCell ref="A14:C15"/>
  </mergeCells>
  <conditionalFormatting sqref="C32:G36">
    <cfRule type="cellIs" dxfId="29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3E34B18C-4C5E-4111-9391-34407AB4800A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FECB890D-9018-4003-816F-E82FA483AF4E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B5" sqref="B5:C13"/>
    </sheetView>
  </sheetViews>
  <sheetFormatPr defaultRowHeight="15" x14ac:dyDescent="0.25"/>
  <cols>
    <col min="1" max="1" width="13.140625" style="114" customWidth="1"/>
    <col min="2" max="2" width="9.140625" style="114"/>
    <col min="3" max="5" width="12" style="114" customWidth="1"/>
    <col min="6" max="7" width="12.140625" style="114" customWidth="1"/>
    <col min="8" max="9" width="12" style="114" customWidth="1"/>
    <col min="10" max="10" width="9.140625" style="114"/>
    <col min="11" max="11" width="12" style="114" customWidth="1"/>
    <col min="12" max="16384" width="9.140625" style="114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114" t="s">
        <v>1</v>
      </c>
      <c r="C4" s="114" t="s">
        <v>2</v>
      </c>
    </row>
    <row r="5" spans="1:5" x14ac:dyDescent="0.25">
      <c r="A5" s="114" t="str">
        <f>[1]Dati!A5</f>
        <v>d</v>
      </c>
      <c r="B5" s="179">
        <f>Dati!B5</f>
        <v>7.4300000000000008E-3</v>
      </c>
      <c r="C5" s="179">
        <f>Dati!C5</f>
        <v>1.0000000000000001E-5</v>
      </c>
    </row>
    <row r="6" spans="1:5" x14ac:dyDescent="0.25">
      <c r="A6" s="114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14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14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14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14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14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14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14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117"/>
    </row>
    <row r="15" spans="1:5" x14ac:dyDescent="0.25">
      <c r="A15" s="193"/>
      <c r="B15" s="193"/>
      <c r="C15" s="193"/>
      <c r="D15" s="117"/>
    </row>
    <row r="16" spans="1:5" x14ac:dyDescent="0.25">
      <c r="A16" s="114" t="s">
        <v>18</v>
      </c>
      <c r="B16" s="114">
        <v>200</v>
      </c>
      <c r="C16" s="114">
        <f>B16/100</f>
        <v>2</v>
      </c>
      <c r="D16" s="114" t="s">
        <v>19</v>
      </c>
      <c r="E16" s="114">
        <f>(1.8+(B18-15)*0.004765)*0.00001</f>
        <v>1.8262075000000001E-5</v>
      </c>
    </row>
    <row r="17" spans="1:10" x14ac:dyDescent="0.25">
      <c r="A17" s="114" t="s">
        <v>20</v>
      </c>
      <c r="E17" s="116"/>
    </row>
    <row r="18" spans="1:10" x14ac:dyDescent="0.25">
      <c r="A18" s="114" t="s">
        <v>21</v>
      </c>
      <c r="B18" s="114">
        <v>20.5</v>
      </c>
      <c r="C18" s="114">
        <v>0.5</v>
      </c>
      <c r="D18" s="114" t="s">
        <v>22</v>
      </c>
      <c r="E18" s="115">
        <f>B16/B5</f>
        <v>26917.900403768504</v>
      </c>
      <c r="F18" s="114">
        <f>SQRT((C16/B5)^2+(B16*C5/B5^2)^2)</f>
        <v>271.60606143374878</v>
      </c>
      <c r="G18" s="115"/>
    </row>
    <row r="21" spans="1:10" x14ac:dyDescent="0.25">
      <c r="B21" s="114" t="s">
        <v>23</v>
      </c>
      <c r="C21" s="114" t="s">
        <v>27</v>
      </c>
      <c r="D21" s="114" t="s">
        <v>24</v>
      </c>
      <c r="E21" s="114" t="s">
        <v>29</v>
      </c>
      <c r="F21" s="114" t="s">
        <v>25</v>
      </c>
      <c r="G21" s="114" t="s">
        <v>26</v>
      </c>
      <c r="H21" s="114" t="s">
        <v>28</v>
      </c>
      <c r="I21" s="114" t="s">
        <v>31</v>
      </c>
      <c r="J21" s="114" t="s">
        <v>32</v>
      </c>
    </row>
    <row r="22" spans="1:10" x14ac:dyDescent="0.25">
      <c r="A22" s="114">
        <v>1</v>
      </c>
      <c r="B22" s="120">
        <v>12.15</v>
      </c>
      <c r="C22" s="114">
        <f>B22</f>
        <v>12.15</v>
      </c>
      <c r="D22" s="115">
        <f>B12/B22</f>
        <v>4.1152263374485593E-5</v>
      </c>
      <c r="E22" s="115">
        <f>SQRT(2)*D22*$B$13/C22</f>
        <v>1.1974915429330684E-6</v>
      </c>
      <c r="F22" s="5">
        <f>(($B$10/(2*$B$7))^2+9*$E$16*D22/(2*$B$6*($B$9-$B$8)))^(1/2)-$B$10/(2*$B$7)</f>
        <v>8.5291201597183678E-7</v>
      </c>
      <c r="G22" s="114">
        <f>(($B$10/(2*$B$7))^2+9*$E$16*D22/(2*$B$6*($B$9-$B$8)))^(-1/2)*(9*$E$16)/(4*$B$6*$B$9)</f>
        <v>3.6275049051337493E-3</v>
      </c>
      <c r="H22" s="114">
        <f>(($B$10/(2*$B$7))^2+9*$E$16*D22/(2*$B$6*($B$9-$B$8)))^(-1/2)*((9*D22)/(4*$B$6*$B$9))*0.00000004765</f>
        <v>3.8950632799841257E-10</v>
      </c>
      <c r="I22" s="114">
        <f>SQRT(G22^2*E22^2+H22^2*$C$18^2+$F$28^2)</f>
        <v>2.2949378664546016E-8</v>
      </c>
      <c r="J22" s="115">
        <f>I22/F22</f>
        <v>2.6907087993591833E-2</v>
      </c>
    </row>
    <row r="23" spans="1:10" x14ac:dyDescent="0.25">
      <c r="A23" s="114">
        <v>2</v>
      </c>
      <c r="B23" s="120">
        <v>24.2</v>
      </c>
      <c r="C23" s="114">
        <f>B23-B22</f>
        <v>12.049999999999999</v>
      </c>
      <c r="D23" s="115">
        <f>$B$12/(B23-B22)</f>
        <v>4.1493775933609964E-5</v>
      </c>
      <c r="E23" s="115">
        <f t="shared" ref="E23:E25" si="0">SQRT(2)*D23*$B$13/C23</f>
        <v>1.2174493916884141E-6</v>
      </c>
      <c r="F23" s="5">
        <f>(($B$10/(2*$B$7))^2+9*E16*D23/(2*$B$6*($B$9-$B$8)))^(1/2)-$B$10/(2*$B$7)</f>
        <v>8.5660373736853364E-7</v>
      </c>
      <c r="G23" s="114">
        <f t="shared" ref="G23:G27" si="1">(($B$10/(2*$B$7))^2+9*$E$16*D23/(2*$B$6*($B$9-$B$8)))^(-1/2)*(9*$E$16)/(4*$B$6*$B$9)</f>
        <v>3.6125765568077997E-3</v>
      </c>
      <c r="H23" s="114">
        <f t="shared" ref="H23:H27" si="2">(($B$10/(2*$B$7))^2+9*$E$16*D23/(2*$B$6*($B$9-$B$8)))^(-1/2)*((9*D23)/(4*$B$6*$B$9))*0.00000004765</f>
        <v>3.9112249951938336E-10</v>
      </c>
      <c r="I23" s="114">
        <f t="shared" ref="I23:I27" si="3">SQRT(G23^2*E23^2+H23^2*$C$18^2+$F$28^2)</f>
        <v>2.2959710650255281E-8</v>
      </c>
      <c r="J23" s="115">
        <f t="shared" ref="J23:J27" si="4">I23/F23</f>
        <v>2.6803187575140597E-2</v>
      </c>
    </row>
    <row r="24" spans="1:10" x14ac:dyDescent="0.25">
      <c r="A24" s="114">
        <v>3</v>
      </c>
      <c r="B24" s="120">
        <v>37.92</v>
      </c>
      <c r="C24" s="114">
        <f t="shared" ref="C24:C26" si="5">B24-B23</f>
        <v>13.720000000000002</v>
      </c>
      <c r="D24" s="115">
        <f>$B$12/(B24-B23)</f>
        <v>3.644314868804664E-5</v>
      </c>
      <c r="E24" s="115">
        <f t="shared" si="0"/>
        <v>9.3911069843685892E-7</v>
      </c>
      <c r="F24" s="5">
        <f>(($B$10/(2*$B$7))^2+9*E16*D24/(2*$B$6*($B$9-$B$8)))^(1/2)-$B$10/(2*$B$7)</f>
        <v>8.003558039395646E-7</v>
      </c>
      <c r="G24" s="114">
        <f t="shared" si="1"/>
        <v>3.854245461395431E-3</v>
      </c>
      <c r="H24" s="114">
        <f t="shared" si="2"/>
        <v>3.6649499284626494E-10</v>
      </c>
      <c r="I24" s="114">
        <f t="shared" si="3"/>
        <v>2.282326326591075E-8</v>
      </c>
      <c r="J24" s="115">
        <f t="shared" si="4"/>
        <v>2.8516396274717526E-2</v>
      </c>
    </row>
    <row r="25" spans="1:10" x14ac:dyDescent="0.25">
      <c r="A25" s="114">
        <v>4</v>
      </c>
      <c r="B25" s="120">
        <v>50.53</v>
      </c>
      <c r="C25" s="114">
        <f t="shared" si="5"/>
        <v>12.61</v>
      </c>
      <c r="D25" s="115">
        <f>$B$12/(B25-B24)</f>
        <v>3.9651070578905632E-5</v>
      </c>
      <c r="E25" s="115">
        <f t="shared" si="0"/>
        <v>1.1117185125951856E-6</v>
      </c>
      <c r="F25" s="5">
        <f>(($B$10/(2*$B$7))^2+9*E16*D25/(2*$B$6*($B$9-$B$8)))^(1/2)-$B$10/(2*$B$7)</f>
        <v>8.3649997037311225E-7</v>
      </c>
      <c r="G25" s="114">
        <f t="shared" si="1"/>
        <v>3.6953922845927574E-3</v>
      </c>
      <c r="H25" s="114">
        <f t="shared" si="2"/>
        <v>3.8232108361003222E-10</v>
      </c>
      <c r="I25" s="114">
        <f t="shared" si="3"/>
        <v>2.2905909163002545E-8</v>
      </c>
      <c r="J25" s="115">
        <f t="shared" si="4"/>
        <v>2.7383036430695389E-2</v>
      </c>
    </row>
    <row r="26" spans="1:10" x14ac:dyDescent="0.25">
      <c r="A26" s="114">
        <v>5</v>
      </c>
      <c r="B26" s="120">
        <v>62.91</v>
      </c>
      <c r="C26" s="114">
        <f t="shared" si="5"/>
        <v>12.379999999999995</v>
      </c>
      <c r="D26" s="115">
        <f>$B$12/(B26-B25)</f>
        <v>4.0387722132471745E-5</v>
      </c>
      <c r="E26" s="115">
        <f>SQRT(2)*D26*$B$13/C26</f>
        <v>1.1534100240932469E-6</v>
      </c>
      <c r="F26" s="5">
        <f>(($B$10/(2*$B$7))^2+9*E16*D26/(2*$B$6*($B$9-$B$8)))^(1/2)-$B$10/(2*$B$7)</f>
        <v>8.4459156862067307E-7</v>
      </c>
      <c r="G26" s="114">
        <f t="shared" si="1"/>
        <v>3.6616072481170697E-3</v>
      </c>
      <c r="H26" s="114">
        <f t="shared" si="2"/>
        <v>3.8586367983573191E-10</v>
      </c>
      <c r="I26" s="114">
        <f t="shared" si="3"/>
        <v>2.2926846841931587E-8</v>
      </c>
      <c r="J26" s="115">
        <f t="shared" si="4"/>
        <v>2.7145483916414279E-2</v>
      </c>
    </row>
    <row r="27" spans="1:10" x14ac:dyDescent="0.25">
      <c r="A27" s="7" t="s">
        <v>34</v>
      </c>
      <c r="B27" s="7"/>
      <c r="C27" s="7">
        <f>AVERAGE(C22:C26)</f>
        <v>12.581999999999999</v>
      </c>
      <c r="D27" s="7">
        <f>AVERAGE(D22:D26)</f>
        <v>3.9825596141503917E-5</v>
      </c>
      <c r="E27" s="8">
        <f>SQRT(2)*D27*$B$13/C27</f>
        <v>1.11909668957456E-6</v>
      </c>
      <c r="F27" s="9">
        <f>AVERAGE(F22:F26)</f>
        <v>8.3819261925474409E-7</v>
      </c>
      <c r="G27" s="7">
        <f t="shared" si="1"/>
        <v>3.6873035358646004E-3</v>
      </c>
      <c r="H27" s="7">
        <f t="shared" si="2"/>
        <v>3.8316334693995687E-10</v>
      </c>
      <c r="I27" s="7">
        <f t="shared" si="3"/>
        <v>2.2909186267957142E-8</v>
      </c>
      <c r="J27" s="8">
        <f t="shared" si="4"/>
        <v>2.7331648766277871E-2</v>
      </c>
    </row>
    <row r="28" spans="1:10" x14ac:dyDescent="0.25">
      <c r="A28" s="114" t="s">
        <v>35</v>
      </c>
      <c r="C28" s="6">
        <f>_xlfn.STDEV.S(C22:C26)</f>
        <v>0.67198958325259928</v>
      </c>
      <c r="D28" s="115">
        <f>_xlfn.STDEV.S(D22:D26)</f>
        <v>2.0205361505662094E-6</v>
      </c>
      <c r="E28" s="8">
        <f>SQRT(2)*D28*$B$13/C28</f>
        <v>1.063063215044564E-6</v>
      </c>
      <c r="F28" s="115">
        <f>_xlfn.STDEV.S(F22:F26)</f>
        <v>2.2533675445509787E-8</v>
      </c>
    </row>
    <row r="30" spans="1:10" x14ac:dyDescent="0.25">
      <c r="A30" s="114" t="s">
        <v>31</v>
      </c>
      <c r="C30" s="114">
        <f t="array" ref="C30:G31">TRANSPOSE(A32:B36)</f>
        <v>2.2949378664546016E-8</v>
      </c>
      <c r="D30" s="114">
        <v>2.2959710650255281E-8</v>
      </c>
      <c r="E30" s="114">
        <v>2.282326326591075E-8</v>
      </c>
      <c r="F30" s="114">
        <v>2.2905909163002545E-8</v>
      </c>
      <c r="G30" s="114">
        <v>2.2926846841931587E-8</v>
      </c>
    </row>
    <row r="31" spans="1:10" x14ac:dyDescent="0.25">
      <c r="B31" s="114" t="s">
        <v>25</v>
      </c>
      <c r="C31" s="114">
        <v>8.5291201597183678E-7</v>
      </c>
      <c r="D31" s="114">
        <v>8.5660373736853364E-7</v>
      </c>
      <c r="E31" s="114">
        <v>8.003558039395646E-7</v>
      </c>
      <c r="F31" s="114">
        <v>8.3649997037311225E-7</v>
      </c>
      <c r="G31" s="114">
        <v>8.4459156862067307E-7</v>
      </c>
    </row>
    <row r="32" spans="1:10" x14ac:dyDescent="0.25">
      <c r="A32" s="114">
        <f>I22</f>
        <v>2.2949378664546016E-8</v>
      </c>
      <c r="B32" s="5">
        <f>F22</f>
        <v>8.5291201597183678E-7</v>
      </c>
      <c r="C32" s="114">
        <f t="shared" ref="C32:G36" si="6">(C$31-$B32)/SQRT(C$30^2+$A32^2)</f>
        <v>0</v>
      </c>
      <c r="D32" s="114">
        <f t="shared" si="6"/>
        <v>0.11372219343528515</v>
      </c>
      <c r="E32" s="114">
        <f t="shared" si="6"/>
        <v>-1.6237958437679507</v>
      </c>
      <c r="F32" s="114">
        <f t="shared" si="6"/>
        <v>-0.50616031744047751</v>
      </c>
      <c r="G32" s="114">
        <f t="shared" si="6"/>
        <v>-0.25649207056383205</v>
      </c>
    </row>
    <row r="33" spans="1:12" x14ac:dyDescent="0.25">
      <c r="A33" s="114">
        <f>I23</f>
        <v>2.2959710650255281E-8</v>
      </c>
      <c r="B33" s="5">
        <f>F23</f>
        <v>8.5660373736853364E-7</v>
      </c>
      <c r="C33" s="114">
        <f t="shared" si="6"/>
        <v>-0.11372219343528515</v>
      </c>
      <c r="D33" s="114">
        <f t="shared" si="6"/>
        <v>0</v>
      </c>
      <c r="E33" s="114">
        <f t="shared" si="6"/>
        <v>-1.7374633020306944</v>
      </c>
      <c r="F33" s="114">
        <f t="shared" si="6"/>
        <v>-0.61987607482788698</v>
      </c>
      <c r="G33" s="114">
        <f t="shared" si="6"/>
        <v>-0.37021229153650231</v>
      </c>
    </row>
    <row r="34" spans="1:12" x14ac:dyDescent="0.25">
      <c r="A34" s="114">
        <f>I24</f>
        <v>2.282326326591075E-8</v>
      </c>
      <c r="B34" s="5">
        <f>F24</f>
        <v>8.003558039395646E-7</v>
      </c>
      <c r="C34" s="114">
        <f t="shared" si="6"/>
        <v>1.6237958437679507</v>
      </c>
      <c r="D34" s="114">
        <f t="shared" si="6"/>
        <v>1.7374633020306944</v>
      </c>
      <c r="E34" s="114">
        <f t="shared" si="6"/>
        <v>0</v>
      </c>
      <c r="F34" s="114">
        <f t="shared" si="6"/>
        <v>1.117787271818542</v>
      </c>
      <c r="G34" s="114">
        <f t="shared" si="6"/>
        <v>1.3673990699014249</v>
      </c>
    </row>
    <row r="35" spans="1:12" x14ac:dyDescent="0.25">
      <c r="A35" s="114">
        <f>I25</f>
        <v>2.2905909163002545E-8</v>
      </c>
      <c r="B35" s="5">
        <f>F25</f>
        <v>8.3649997037311225E-7</v>
      </c>
      <c r="C35" s="114">
        <f t="shared" si="6"/>
        <v>0.50616031744047751</v>
      </c>
      <c r="D35" s="114">
        <f t="shared" si="6"/>
        <v>0.61987607482788698</v>
      </c>
      <c r="E35" s="114">
        <f t="shared" si="6"/>
        <v>-1.117787271818542</v>
      </c>
      <c r="F35" s="114">
        <f t="shared" si="6"/>
        <v>0</v>
      </c>
      <c r="G35" s="114">
        <f t="shared" si="6"/>
        <v>0.24967398398839147</v>
      </c>
    </row>
    <row r="36" spans="1:12" x14ac:dyDescent="0.25">
      <c r="A36" s="114">
        <f>I26</f>
        <v>2.2926846841931587E-8</v>
      </c>
      <c r="B36" s="5">
        <f>F26</f>
        <v>8.4459156862067307E-7</v>
      </c>
      <c r="C36" s="114">
        <f t="shared" si="6"/>
        <v>0.25649207056383205</v>
      </c>
      <c r="D36" s="114">
        <f t="shared" si="6"/>
        <v>0.37021229153650231</v>
      </c>
      <c r="E36" s="114">
        <f t="shared" si="6"/>
        <v>-1.3673990699014249</v>
      </c>
      <c r="F36" s="114">
        <f t="shared" si="6"/>
        <v>-0.24967398398839147</v>
      </c>
      <c r="G36" s="114">
        <f t="shared" si="6"/>
        <v>0</v>
      </c>
    </row>
    <row r="39" spans="1:12" x14ac:dyDescent="0.25">
      <c r="A39" s="114" t="s">
        <v>7</v>
      </c>
    </row>
    <row r="40" spans="1:12" x14ac:dyDescent="0.25">
      <c r="B40" s="114" t="s">
        <v>36</v>
      </c>
      <c r="C40" s="114" t="s">
        <v>27</v>
      </c>
      <c r="D40" s="114" t="s">
        <v>24</v>
      </c>
      <c r="E40" s="114" t="s">
        <v>29</v>
      </c>
      <c r="F40" s="114" t="s">
        <v>37</v>
      </c>
      <c r="G40" s="114" t="s">
        <v>39</v>
      </c>
      <c r="H40" s="114" t="s">
        <v>40</v>
      </c>
      <c r="I40" s="114" t="s">
        <v>41</v>
      </c>
      <c r="J40" s="114" t="s">
        <v>42</v>
      </c>
      <c r="K40" s="114" t="s">
        <v>2</v>
      </c>
      <c r="L40" s="114" t="s">
        <v>43</v>
      </c>
    </row>
    <row r="41" spans="1:12" x14ac:dyDescent="0.25">
      <c r="A41" s="119">
        <v>1</v>
      </c>
      <c r="B41" s="121">
        <v>66.239999999999995</v>
      </c>
      <c r="C41" s="114">
        <f>B41-B26</f>
        <v>3.3299999999999983</v>
      </c>
      <c r="D41" s="115">
        <f>$B$12/C41</f>
        <v>1.5015015015015022E-4</v>
      </c>
      <c r="E41" s="115">
        <f>SQRT(2)*D41*$B$13/C41</f>
        <v>1.5941770175277715E-5</v>
      </c>
      <c r="F41" s="115">
        <f>(4*PI()/3)*$F$27^3*($B$9-$B$8)*($B$6/$E$18)*(1+ABS(D41)/$D$27)</f>
        <v>1.8560709925633031E-18</v>
      </c>
      <c r="G41" s="115">
        <f>F41*3/$F$27</f>
        <v>6.6431185980147775E-12</v>
      </c>
      <c r="H41" s="115">
        <f>F41/$E$18</f>
        <v>6.8953037373726712E-23</v>
      </c>
      <c r="I41" s="114">
        <f>(4*PI()/3)*$F$27^3*($B$9-$B$8)*($B$6/$E$18)*(1/$D$27)</f>
        <v>9.770041854257701E-15</v>
      </c>
      <c r="J41" s="115">
        <f>(4*PI()/3)*$F$27^3*($B$9-$B$8)*($B$6/$E$18)*(ABS(D41)/$D$27^2)</f>
        <v>3.6834935155214209E-14</v>
      </c>
      <c r="K41" s="114">
        <f>SQRT(G41^2*$I$27^2+H41^2*$F$18^2+I41^2*E41^2+J41^2*$E$28^2)</f>
        <v>2.2204506682455846E-19</v>
      </c>
      <c r="L41" s="118">
        <f>K41/F41</f>
        <v>0.11963177470809237</v>
      </c>
    </row>
    <row r="42" spans="1:12" x14ac:dyDescent="0.25">
      <c r="A42" s="119">
        <v>2</v>
      </c>
      <c r="B42" s="121">
        <v>69.83</v>
      </c>
      <c r="C42" s="114">
        <f>B42-B41</f>
        <v>3.5900000000000034</v>
      </c>
      <c r="D42" s="115">
        <f t="shared" ref="D42:D45" si="7">$B$12/C42</f>
        <v>1.3927576601671296E-4</v>
      </c>
      <c r="E42" s="115">
        <f t="shared" ref="E42:E44" si="8">SQRT(2)*D42*$B$13/C42</f>
        <v>1.371627278626303E-5</v>
      </c>
      <c r="F42" s="115">
        <f t="shared" ref="F42:F45" si="9">(4*PI()/3)*$F$27^3*($B$9-$B$8)*($B$6/$E$18)*(1+ABS(D42)/$D$27)</f>
        <v>1.749827804440345E-18</v>
      </c>
      <c r="G42" s="115">
        <f t="shared" ref="G42:G45" si="10">F42*3/$F$27</f>
        <v>6.2628604603897242E-12</v>
      </c>
      <c r="H42" s="115">
        <f t="shared" ref="H42:H45" si="11">F42/$E$18</f>
        <v>6.500610293495882E-23</v>
      </c>
      <c r="I42" s="114">
        <f t="shared" ref="I42:I45" si="12">(4*PI()/3)*$F$27^3*($B$9-$B$8)*($B$6/$E$18)*(1/$D$27)</f>
        <v>9.770041854257701E-15</v>
      </c>
      <c r="J42" s="115">
        <f t="shared" ref="J42:J45" si="13">(4*PI()/3)*$F$27^3*($B$9-$B$8)*($B$6/$E$18)*(ABS(D42)/$D$27^2)</f>
        <v>3.4167223974056582E-14</v>
      </c>
      <c r="K42" s="114">
        <f t="shared" ref="K42:K45" si="14">SQRT(G42^2*$I$27^2+H42^2*$F$18^2+I42^2*E42^2+J42^2*$E$28^2)</f>
        <v>2.004369526833112E-19</v>
      </c>
      <c r="L42" s="118">
        <f t="shared" ref="L42:L45" si="15">K42/F42</f>
        <v>0.11454667263526414</v>
      </c>
    </row>
    <row r="43" spans="1:12" x14ac:dyDescent="0.25">
      <c r="A43" s="119">
        <v>3</v>
      </c>
      <c r="B43" s="121">
        <v>73.680000000000007</v>
      </c>
      <c r="C43" s="114">
        <f>B43-B42</f>
        <v>3.8500000000000085</v>
      </c>
      <c r="D43" s="115">
        <f t="shared" si="7"/>
        <v>1.2987012987012957E-4</v>
      </c>
      <c r="E43" s="115">
        <f t="shared" si="8"/>
        <v>1.1926240195421562E-5</v>
      </c>
      <c r="F43" s="115">
        <f t="shared" si="9"/>
        <v>1.6579343456223065E-18</v>
      </c>
      <c r="G43" s="115">
        <f t="shared" si="10"/>
        <v>5.933961863430914E-12</v>
      </c>
      <c r="H43" s="115">
        <f t="shared" si="11"/>
        <v>6.1592260939868691E-23</v>
      </c>
      <c r="I43" s="114">
        <f t="shared" si="12"/>
        <v>9.770041854257701E-15</v>
      </c>
      <c r="J43" s="115">
        <f t="shared" si="13"/>
        <v>3.1859827030354019E-14</v>
      </c>
      <c r="K43" s="114">
        <f t="shared" si="14"/>
        <v>1.8298670652743817E-19</v>
      </c>
      <c r="L43" s="118">
        <f t="shared" si="15"/>
        <v>0.11037029723800916</v>
      </c>
    </row>
    <row r="44" spans="1:12" x14ac:dyDescent="0.25">
      <c r="A44" s="119">
        <v>4</v>
      </c>
      <c r="B44" s="121">
        <v>77.23</v>
      </c>
      <c r="C44" s="114">
        <f>B44-B43</f>
        <v>3.5499999999999972</v>
      </c>
      <c r="D44" s="115">
        <f t="shared" si="7"/>
        <v>1.4084507042253533E-4</v>
      </c>
      <c r="E44" s="115">
        <f t="shared" si="8"/>
        <v>1.4027113294714318E-5</v>
      </c>
      <c r="F44" s="115">
        <f t="shared" si="9"/>
        <v>1.7651599741673005E-18</v>
      </c>
      <c r="G44" s="115">
        <f t="shared" si="10"/>
        <v>6.3177362826342138E-12</v>
      </c>
      <c r="H44" s="115">
        <f t="shared" si="11"/>
        <v>6.5575693040315213E-23</v>
      </c>
      <c r="I44" s="114">
        <f t="shared" si="12"/>
        <v>9.770041854257701E-15</v>
      </c>
      <c r="J44" s="115">
        <f t="shared" si="13"/>
        <v>3.455220677939813E-14</v>
      </c>
      <c r="K44" s="114">
        <f t="shared" si="14"/>
        <v>2.0345971382773999E-19</v>
      </c>
      <c r="L44" s="118">
        <f t="shared" si="15"/>
        <v>0.11526417820782528</v>
      </c>
    </row>
    <row r="45" spans="1:12" x14ac:dyDescent="0.25">
      <c r="A45" s="119">
        <v>5</v>
      </c>
      <c r="B45" s="121">
        <v>81.47</v>
      </c>
      <c r="C45" s="114">
        <f>B45-B44</f>
        <v>4.2399999999999949</v>
      </c>
      <c r="D45" s="115">
        <f t="shared" si="7"/>
        <v>1.1792452830188694E-4</v>
      </c>
      <c r="E45" s="115">
        <f>SQRT(2)*D45*$B$13/C45</f>
        <v>9.8331643432180797E-6</v>
      </c>
      <c r="F45" s="115">
        <f t="shared" si="9"/>
        <v>1.5412253183262896E-18</v>
      </c>
      <c r="G45" s="115">
        <f t="shared" si="10"/>
        <v>5.5162451312084845E-12</v>
      </c>
      <c r="H45" s="115">
        <f t="shared" si="11"/>
        <v>5.7256520575821657E-23</v>
      </c>
      <c r="I45" s="114">
        <f t="shared" si="12"/>
        <v>9.770041854257701E-15</v>
      </c>
      <c r="J45" s="115">
        <f t="shared" si="13"/>
        <v>2.8929324072373449E-14</v>
      </c>
      <c r="K45" s="114">
        <f t="shared" si="14"/>
        <v>1.6244141564293207E-19</v>
      </c>
      <c r="L45" s="118">
        <f t="shared" si="15"/>
        <v>0.10539757796046141</v>
      </c>
    </row>
    <row r="46" spans="1:12" x14ac:dyDescent="0.25">
      <c r="L46" s="118"/>
    </row>
    <row r="47" spans="1:12" x14ac:dyDescent="0.25">
      <c r="L47" s="118"/>
    </row>
    <row r="49" spans="1:12" x14ac:dyDescent="0.25">
      <c r="A49" s="114" t="s">
        <v>7</v>
      </c>
    </row>
    <row r="50" spans="1:12" x14ac:dyDescent="0.25">
      <c r="B50" s="114" t="s">
        <v>23</v>
      </c>
      <c r="C50" s="114" t="s">
        <v>27</v>
      </c>
      <c r="D50" s="114" t="s">
        <v>24</v>
      </c>
      <c r="E50" s="114" t="s">
        <v>29</v>
      </c>
      <c r="F50" s="114" t="s">
        <v>37</v>
      </c>
      <c r="G50" s="114" t="s">
        <v>39</v>
      </c>
      <c r="H50" s="114" t="s">
        <v>40</v>
      </c>
      <c r="I50" s="114" t="s">
        <v>41</v>
      </c>
      <c r="J50" s="114" t="s">
        <v>42</v>
      </c>
      <c r="K50" s="114" t="s">
        <v>2</v>
      </c>
      <c r="L50" s="114" t="s">
        <v>43</v>
      </c>
    </row>
    <row r="51" spans="1:12" x14ac:dyDescent="0.25">
      <c r="A51" s="119">
        <v>6</v>
      </c>
      <c r="B51" s="122">
        <v>83.89</v>
      </c>
      <c r="C51" s="114">
        <f>B51-B45</f>
        <v>2.4200000000000017</v>
      </c>
      <c r="D51" s="115">
        <f>$B$12/C51</f>
        <v>2.0661157024793374E-4</v>
      </c>
      <c r="E51" s="115">
        <f>SQRT(2)*D51*$B$13/C51</f>
        <v>3.0185215370643506E-5</v>
      </c>
      <c r="F51" s="115">
        <f>-(4*PI()/3)*$F$27^3*($B$9-$B$8)*($B$6/$E$18)*(1-ABS(D51)/$D$27)</f>
        <v>1.6295059477229605E-18</v>
      </c>
      <c r="G51" s="115">
        <f>F51*3/$F$27</f>
        <v>5.8322129435061987E-12</v>
      </c>
      <c r="H51" s="115">
        <f>F51/$E$18</f>
        <v>6.0536145957907989E-23</v>
      </c>
      <c r="I51" s="114">
        <f>-(4*PI()/3)*$F$27^3*($B$9-$B$8)*($B$6/$E$18)*(-1/$D$27)</f>
        <v>9.770041854257701E-15</v>
      </c>
      <c r="J51" s="115">
        <f>-(4*PI()/3)*$F$27^3*($B$9-$B$8)*($B$6/$E$18)*(-ABS(D51)/$D$27^2)</f>
        <v>5.0686088457381471E-14</v>
      </c>
      <c r="K51" s="114">
        <f>SQRT(G51^2*$I$27^2+H51^2*$F$18^2+I51^2*E51^2+J51^2*$E$28^2)</f>
        <v>3.2863052436024736E-19</v>
      </c>
      <c r="L51" s="118">
        <f>K51/F51</f>
        <v>0.20167494621266596</v>
      </c>
    </row>
    <row r="52" spans="1:12" x14ac:dyDescent="0.25">
      <c r="A52" s="119">
        <v>7</v>
      </c>
      <c r="B52" s="122">
        <v>86.39</v>
      </c>
      <c r="C52" s="114">
        <f>B52-B51</f>
        <v>2.5</v>
      </c>
      <c r="D52" s="115">
        <f t="shared" ref="D52:D55" si="16">$B$12/C52</f>
        <v>2.0000000000000001E-4</v>
      </c>
      <c r="E52" s="115">
        <f t="shared" ref="E52:E54" si="17">SQRT(2)*D52*$B$13/C52</f>
        <v>2.8284271247461902E-5</v>
      </c>
      <c r="F52" s="115">
        <f t="shared" ref="F52:F55" si="18">-(4*PI()/3)*$F$27^3*($B$9-$B$8)*($B$6/$E$18)*(1-ABS(D52)/$D$27)</f>
        <v>1.5649106296782832E-18</v>
      </c>
      <c r="G52" s="115">
        <f t="shared" ref="G52:G55" si="19">F52*3/$F$27</f>
        <v>5.6010179297558619E-12</v>
      </c>
      <c r="H52" s="115">
        <f t="shared" ref="H52:H55" si="20">F52/$E$18</f>
        <v>5.813642989254823E-23</v>
      </c>
      <c r="I52" s="114">
        <f t="shared" ref="I52:I55" si="21">-(4*PI()/3)*$F$27^3*($B$9-$B$8)*($B$6/$E$18)*(-1/$D$27)</f>
        <v>9.770041854257701E-15</v>
      </c>
      <c r="J52" s="115">
        <f t="shared" ref="J52:J55" si="22">-(4*PI()/3)*$F$27^3*($B$9-$B$8)*($B$6/$E$18)*(-ABS(D52)/$D$27^2)</f>
        <v>4.9064133626745302E-14</v>
      </c>
      <c r="K52" s="114">
        <f t="shared" ref="K52:K55" si="23">SQRT(G52^2*$I$27^2+H52^2*$F$18^2+I52^2*E52^2+J52^2*$E$28^2)</f>
        <v>3.0951166218494096E-19</v>
      </c>
      <c r="L52" s="118">
        <f t="shared" ref="L52:L55" si="24">K52/F52</f>
        <v>0.19778232463573389</v>
      </c>
    </row>
    <row r="53" spans="1:12" x14ac:dyDescent="0.25">
      <c r="A53" s="119">
        <v>8</v>
      </c>
      <c r="B53" s="122">
        <v>88.53</v>
      </c>
      <c r="C53" s="114">
        <f>B53-B52</f>
        <v>2.1400000000000006</v>
      </c>
      <c r="D53" s="115">
        <f t="shared" si="16"/>
        <v>2.3364485981308407E-4</v>
      </c>
      <c r="E53" s="115">
        <f t="shared" si="17"/>
        <v>3.8600902982058873E-5</v>
      </c>
      <c r="F53" s="115">
        <f t="shared" si="18"/>
        <v>1.8936223182327474E-18</v>
      </c>
      <c r="G53" s="115">
        <f t="shared" si="19"/>
        <v>6.7775196586069065E-12</v>
      </c>
      <c r="H53" s="115">
        <f t="shared" si="20"/>
        <v>7.0348069122346567E-23</v>
      </c>
      <c r="I53" s="114">
        <f t="shared" si="21"/>
        <v>9.770041854257701E-15</v>
      </c>
      <c r="J53" s="115">
        <f t="shared" si="22"/>
        <v>5.731791311535665E-14</v>
      </c>
      <c r="K53" s="114">
        <f t="shared" si="23"/>
        <v>4.1281316996943227E-19</v>
      </c>
      <c r="L53" s="118">
        <f t="shared" si="24"/>
        <v>0.21800185073584083</v>
      </c>
    </row>
    <row r="54" spans="1:12" x14ac:dyDescent="0.25">
      <c r="A54" s="119">
        <v>9</v>
      </c>
      <c r="B54" s="122">
        <v>90.95</v>
      </c>
      <c r="C54" s="114">
        <f>B54-B53</f>
        <v>2.4200000000000017</v>
      </c>
      <c r="D54" s="115">
        <f t="shared" si="16"/>
        <v>2.0661157024793374E-4</v>
      </c>
      <c r="E54" s="115">
        <f t="shared" si="17"/>
        <v>3.0185215370643506E-5</v>
      </c>
      <c r="F54" s="115">
        <f t="shared" si="18"/>
        <v>1.6295059477229605E-18</v>
      </c>
      <c r="G54" s="115">
        <f t="shared" si="19"/>
        <v>5.8322129435061987E-12</v>
      </c>
      <c r="H54" s="115">
        <f t="shared" si="20"/>
        <v>6.0536145957907989E-23</v>
      </c>
      <c r="I54" s="114">
        <f t="shared" si="21"/>
        <v>9.770041854257701E-15</v>
      </c>
      <c r="J54" s="115">
        <f t="shared" si="22"/>
        <v>5.0686088457381471E-14</v>
      </c>
      <c r="K54" s="114">
        <f t="shared" si="23"/>
        <v>3.2863052436024736E-19</v>
      </c>
      <c r="L54" s="118">
        <f t="shared" si="24"/>
        <v>0.20167494621266596</v>
      </c>
    </row>
    <row r="55" spans="1:12" x14ac:dyDescent="0.25">
      <c r="A55" s="119">
        <v>10</v>
      </c>
      <c r="B55" s="122">
        <v>93.32</v>
      </c>
      <c r="C55" s="114">
        <f>B55-B54</f>
        <v>2.3699999999999903</v>
      </c>
      <c r="D55" s="115">
        <f t="shared" si="16"/>
        <v>2.1097046413502197E-4</v>
      </c>
      <c r="E55" s="115">
        <f>SQRT(2)*D55*$B$13/C55</f>
        <v>3.1472288147668343E-5</v>
      </c>
      <c r="F55" s="115">
        <f t="shared" si="18"/>
        <v>1.6720925234380805E-18</v>
      </c>
      <c r="G55" s="115">
        <f t="shared" si="19"/>
        <v>5.9846358164956477E-12</v>
      </c>
      <c r="H55" s="115">
        <f t="shared" si="20"/>
        <v>6.2118237245724693E-23</v>
      </c>
      <c r="I55" s="114">
        <f t="shared" si="21"/>
        <v>9.770041854257701E-15</v>
      </c>
      <c r="J55" s="115">
        <f t="shared" si="22"/>
        <v>5.1755415218085971E-14</v>
      </c>
      <c r="K55" s="114">
        <f t="shared" si="23"/>
        <v>3.4155002887948122E-19</v>
      </c>
      <c r="L55" s="118">
        <f t="shared" si="24"/>
        <v>0.2042650296511114</v>
      </c>
    </row>
    <row r="56" spans="1:12" x14ac:dyDescent="0.25">
      <c r="L56" s="118"/>
    </row>
    <row r="57" spans="1:12" x14ac:dyDescent="0.25">
      <c r="L57" s="118"/>
    </row>
    <row r="59" spans="1:12" x14ac:dyDescent="0.25">
      <c r="B59" s="114" t="s">
        <v>38</v>
      </c>
    </row>
    <row r="60" spans="1:12" x14ac:dyDescent="0.25">
      <c r="A60" s="115"/>
      <c r="B60" s="114" t="s">
        <v>44</v>
      </c>
      <c r="C60" s="114" t="s">
        <v>45</v>
      </c>
    </row>
    <row r="61" spans="1:12" x14ac:dyDescent="0.25">
      <c r="A61" s="114">
        <v>1</v>
      </c>
      <c r="B61" s="115">
        <f>F41</f>
        <v>1.8560709925633031E-18</v>
      </c>
      <c r="C61" s="114">
        <f>K41</f>
        <v>2.2204506682455846E-19</v>
      </c>
    </row>
    <row r="62" spans="1:12" x14ac:dyDescent="0.25">
      <c r="A62" s="114">
        <v>2</v>
      </c>
      <c r="B62" s="115">
        <f t="shared" ref="B62:B65" si="25">F42</f>
        <v>1.749827804440345E-18</v>
      </c>
      <c r="C62" s="114">
        <f t="shared" ref="C62:C65" si="26">K42</f>
        <v>2.004369526833112E-19</v>
      </c>
    </row>
    <row r="63" spans="1:12" x14ac:dyDescent="0.25">
      <c r="A63" s="114">
        <v>3</v>
      </c>
      <c r="B63" s="115">
        <f t="shared" si="25"/>
        <v>1.6579343456223065E-18</v>
      </c>
      <c r="C63" s="114">
        <f t="shared" si="26"/>
        <v>1.8298670652743817E-19</v>
      </c>
    </row>
    <row r="64" spans="1:12" x14ac:dyDescent="0.25">
      <c r="A64" s="114">
        <v>4</v>
      </c>
      <c r="B64" s="115">
        <f t="shared" si="25"/>
        <v>1.7651599741673005E-18</v>
      </c>
      <c r="C64" s="114">
        <f t="shared" si="26"/>
        <v>2.0345971382773999E-19</v>
      </c>
    </row>
    <row r="65" spans="1:3" x14ac:dyDescent="0.25">
      <c r="A65" s="114">
        <v>5</v>
      </c>
      <c r="B65" s="115">
        <f t="shared" si="25"/>
        <v>1.5412253183262896E-18</v>
      </c>
      <c r="C65" s="114">
        <f t="shared" si="26"/>
        <v>1.6244141564293207E-19</v>
      </c>
    </row>
    <row r="66" spans="1:3" x14ac:dyDescent="0.25">
      <c r="A66" s="114">
        <v>6</v>
      </c>
      <c r="B66" s="115">
        <f>F51</f>
        <v>1.6295059477229605E-18</v>
      </c>
      <c r="C66" s="114">
        <f>K51</f>
        <v>3.2863052436024736E-19</v>
      </c>
    </row>
    <row r="67" spans="1:3" x14ac:dyDescent="0.25">
      <c r="A67" s="114">
        <v>7</v>
      </c>
      <c r="B67" s="115">
        <f t="shared" ref="B67:B70" si="27">F52</f>
        <v>1.5649106296782832E-18</v>
      </c>
      <c r="C67" s="114">
        <f t="shared" ref="C67:C70" si="28">K52</f>
        <v>3.0951166218494096E-19</v>
      </c>
    </row>
    <row r="68" spans="1:3" x14ac:dyDescent="0.25">
      <c r="A68" s="114">
        <v>8</v>
      </c>
      <c r="B68" s="115">
        <f t="shared" si="27"/>
        <v>1.8936223182327474E-18</v>
      </c>
      <c r="C68" s="114">
        <f t="shared" si="28"/>
        <v>4.1281316996943227E-19</v>
      </c>
    </row>
    <row r="69" spans="1:3" x14ac:dyDescent="0.25">
      <c r="A69" s="114">
        <v>9</v>
      </c>
      <c r="B69" s="115">
        <f t="shared" si="27"/>
        <v>1.6295059477229605E-18</v>
      </c>
      <c r="C69" s="114">
        <f t="shared" si="28"/>
        <v>3.2863052436024736E-19</v>
      </c>
    </row>
    <row r="70" spans="1:3" x14ac:dyDescent="0.25">
      <c r="A70" s="114">
        <v>10</v>
      </c>
      <c r="B70" s="115">
        <f t="shared" si="27"/>
        <v>1.6720925234380805E-18</v>
      </c>
      <c r="C70" s="114">
        <f t="shared" si="28"/>
        <v>3.4155002887948122E-19</v>
      </c>
    </row>
  </sheetData>
  <mergeCells count="2">
    <mergeCell ref="A1:C2"/>
    <mergeCell ref="A14:C15"/>
  </mergeCells>
  <conditionalFormatting sqref="C32:G36">
    <cfRule type="cellIs" dxfId="26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95D8905F-92E5-4727-8660-AD9278322D67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BF367BBA-5E29-4C77-A119-D2D5551A9EF9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9" workbookViewId="0">
      <selection activeCell="B61" sqref="B61:B70"/>
    </sheetView>
  </sheetViews>
  <sheetFormatPr defaultRowHeight="15" x14ac:dyDescent="0.25"/>
  <cols>
    <col min="1" max="1" width="13.140625" style="122" customWidth="1"/>
    <col min="2" max="2" width="9.140625" style="122"/>
    <col min="3" max="5" width="12" style="122" customWidth="1"/>
    <col min="6" max="7" width="12.140625" style="122" customWidth="1"/>
    <col min="8" max="9" width="12" style="122" customWidth="1"/>
    <col min="10" max="10" width="9.140625" style="122"/>
    <col min="11" max="11" width="12" style="122" customWidth="1"/>
    <col min="12" max="16384" width="9.140625" style="122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122" t="s">
        <v>1</v>
      </c>
      <c r="C4" s="122" t="s">
        <v>2</v>
      </c>
    </row>
    <row r="5" spans="1:5" x14ac:dyDescent="0.25">
      <c r="A5" s="122" t="str">
        <f>[1]Dati!A5</f>
        <v>d</v>
      </c>
      <c r="B5" s="179">
        <f>Dati!B5</f>
        <v>7.4300000000000008E-3</v>
      </c>
      <c r="C5" s="179">
        <f>Dati!C5</f>
        <v>1.0000000000000001E-5</v>
      </c>
    </row>
    <row r="6" spans="1:5" x14ac:dyDescent="0.25">
      <c r="A6" s="122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22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22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22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22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22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22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22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125"/>
    </row>
    <row r="15" spans="1:5" x14ac:dyDescent="0.25">
      <c r="A15" s="193"/>
      <c r="B15" s="193"/>
      <c r="C15" s="193"/>
      <c r="D15" s="125"/>
    </row>
    <row r="16" spans="1:5" x14ac:dyDescent="0.25">
      <c r="A16" s="122" t="s">
        <v>18</v>
      </c>
      <c r="B16" s="122">
        <v>200</v>
      </c>
      <c r="C16" s="122">
        <f>B16/100</f>
        <v>2</v>
      </c>
      <c r="D16" s="122" t="s">
        <v>19</v>
      </c>
      <c r="E16" s="122">
        <f>(1.8+(B18-15)*0.004765)*0.00001</f>
        <v>1.8262075000000001E-5</v>
      </c>
    </row>
    <row r="17" spans="1:10" x14ac:dyDescent="0.25">
      <c r="A17" s="122" t="s">
        <v>20</v>
      </c>
      <c r="E17" s="124"/>
    </row>
    <row r="18" spans="1:10" x14ac:dyDescent="0.25">
      <c r="A18" s="122" t="s">
        <v>21</v>
      </c>
      <c r="B18" s="122">
        <v>20.5</v>
      </c>
      <c r="C18" s="122">
        <v>0.5</v>
      </c>
      <c r="D18" s="122" t="s">
        <v>22</v>
      </c>
      <c r="E18" s="123">
        <f>B16/B5</f>
        <v>26917.900403768504</v>
      </c>
      <c r="F18" s="122">
        <f>SQRT((C16/B5)^2+(B16*C5/B5^2)^2)</f>
        <v>271.60606143374878</v>
      </c>
      <c r="G18" s="123"/>
    </row>
    <row r="21" spans="1:10" x14ac:dyDescent="0.25">
      <c r="B21" s="122" t="s">
        <v>23</v>
      </c>
      <c r="C21" s="122" t="s">
        <v>27</v>
      </c>
      <c r="D21" s="122" t="s">
        <v>24</v>
      </c>
      <c r="E21" s="122" t="s">
        <v>29</v>
      </c>
      <c r="F21" s="122" t="s">
        <v>25</v>
      </c>
      <c r="G21" s="122" t="s">
        <v>26</v>
      </c>
      <c r="H21" s="122" t="s">
        <v>28</v>
      </c>
      <c r="I21" s="122" t="s">
        <v>31</v>
      </c>
      <c r="J21" s="122" t="s">
        <v>32</v>
      </c>
    </row>
    <row r="22" spans="1:10" x14ac:dyDescent="0.25">
      <c r="A22" s="122">
        <v>1</v>
      </c>
      <c r="B22" s="128">
        <v>16.670000000000002</v>
      </c>
      <c r="C22" s="122">
        <f>B22</f>
        <v>16.670000000000002</v>
      </c>
      <c r="D22" s="123">
        <f>B12/B22</f>
        <v>2.9994001199760046E-5</v>
      </c>
      <c r="E22" s="123">
        <f>SQRT(2)*D22*$B$13/C22</f>
        <v>6.3614162097383836E-7</v>
      </c>
      <c r="F22" s="5">
        <f>(($B$10/(2*$B$7))^2+9*$E$16*D22/(2*$B$6*($B$9-$B$8)))^(1/2)-$B$10/(2*$B$7)</f>
        <v>7.2252855428326179E-7</v>
      </c>
      <c r="G22" s="122">
        <f>(($B$10/(2*$B$7))^2+9*$E$16*D22/(2*$B$6*($B$9-$B$8)))^(-1/2)*(9*$E$16)/(4*$B$6*$B$9)</f>
        <v>4.2473887227563569E-3</v>
      </c>
      <c r="H22" s="122">
        <f>(($B$10/(2*$B$7))^2+9*$E$16*D22/(2*$B$6*($B$9-$B$8)))^(-1/2)*((9*D22)/(4*$B$6*$B$9))*0.00000004765</f>
        <v>3.3240626235307317E-10</v>
      </c>
      <c r="I22" s="122">
        <f>SQRT(G22^2*E22^2+H22^2*$C$18^2+$F$28^2)</f>
        <v>1.6640721816156572E-8</v>
      </c>
      <c r="J22" s="123">
        <f>I22/F22</f>
        <v>2.3031230693247737E-2</v>
      </c>
    </row>
    <row r="23" spans="1:10" x14ac:dyDescent="0.25">
      <c r="A23" s="122">
        <v>2</v>
      </c>
      <c r="B23" s="128">
        <v>32.04</v>
      </c>
      <c r="C23" s="122">
        <f>B23-B22</f>
        <v>15.369999999999997</v>
      </c>
      <c r="D23" s="123">
        <f>$B$12/(B23-B22)</f>
        <v>3.2530904359141192E-5</v>
      </c>
      <c r="E23" s="123">
        <f t="shared" ref="E23:E25" si="0">SQRT(2)*D23*$B$13/C23</f>
        <v>7.4830263729602344E-7</v>
      </c>
      <c r="F23" s="5">
        <f>(($B$10/(2*$B$7))^2+9*E16*D23/(2*$B$6*($B$9-$B$8)))^(1/2)-$B$10/(2*$B$7)</f>
        <v>7.5405361490762162E-7</v>
      </c>
      <c r="G23" s="122">
        <f t="shared" ref="G23:G27" si="1">(($B$10/(2*$B$7))^2+9*$E$16*D23/(2*$B$6*($B$9-$B$8)))^(-1/2)*(9*$E$16)/(4*$B$6*$B$9)</f>
        <v>4.0788597825744521E-3</v>
      </c>
      <c r="H23" s="122">
        <f t="shared" ref="H23:H27" si="2">(($B$10/(2*$B$7))^2+9*$E$16*D23/(2*$B$6*($B$9-$B$8)))^(-1/2)*((9*D23)/(4*$B$6*$B$9))*0.00000004765</f>
        <v>3.4621644747285536E-10</v>
      </c>
      <c r="I23" s="122">
        <f t="shared" ref="I23:I27" si="3">SQRT(G23^2*E23^2+H23^2*$C$18^2+$F$28^2)</f>
        <v>1.6701243607047377E-8</v>
      </c>
      <c r="J23" s="123">
        <f t="shared" ref="J23:J27" si="4">I23/F23</f>
        <v>2.2148615531925313E-2</v>
      </c>
    </row>
    <row r="24" spans="1:10" x14ac:dyDescent="0.25">
      <c r="A24" s="122">
        <v>3</v>
      </c>
      <c r="B24" s="128">
        <v>48.02</v>
      </c>
      <c r="C24" s="122">
        <f t="shared" ref="C24:C26" si="5">B24-B23</f>
        <v>15.980000000000004</v>
      </c>
      <c r="D24" s="123">
        <f>$B$12/(B24-B23)</f>
        <v>3.1289111389236537E-5</v>
      </c>
      <c r="E24" s="123">
        <f t="shared" si="0"/>
        <v>6.9226354319869807E-7</v>
      </c>
      <c r="F24" s="5">
        <f>(($B$10/(2*$B$7))^2+9*E16*D24/(2*$B$6*($B$9-$B$8)))^(1/2)-$B$10/(2*$B$7)</f>
        <v>7.3878172787658701E-7</v>
      </c>
      <c r="G24" s="122">
        <f t="shared" si="1"/>
        <v>4.1587984915884488E-3</v>
      </c>
      <c r="H24" s="122">
        <f t="shared" si="2"/>
        <v>3.3952666691493423E-10</v>
      </c>
      <c r="I24" s="122">
        <f t="shared" si="3"/>
        <v>1.6670419523169295E-8</v>
      </c>
      <c r="J24" s="123">
        <f t="shared" si="4"/>
        <v>2.2564742594654529E-2</v>
      </c>
    </row>
    <row r="25" spans="1:10" x14ac:dyDescent="0.25">
      <c r="A25" s="122">
        <v>4</v>
      </c>
      <c r="B25" s="128">
        <v>63.12</v>
      </c>
      <c r="C25" s="122">
        <f t="shared" si="5"/>
        <v>15.099999999999994</v>
      </c>
      <c r="D25" s="123">
        <f>$B$12/(B25-B24)</f>
        <v>3.3112582781456967E-5</v>
      </c>
      <c r="E25" s="123">
        <f t="shared" si="0"/>
        <v>7.7530237838970669E-7</v>
      </c>
      <c r="F25" s="5">
        <f>(($B$10/(2*$B$7))^2+9*E16*D25/(2*$B$6*($B$9-$B$8)))^(1/2)-$B$10/(2*$B$7)</f>
        <v>7.6110718253119873E-7</v>
      </c>
      <c r="G25" s="122">
        <f t="shared" si="1"/>
        <v>4.0429671267840153E-3</v>
      </c>
      <c r="H25" s="122">
        <f t="shared" si="2"/>
        <v>3.4930600366040746E-10</v>
      </c>
      <c r="I25" s="122">
        <f t="shared" si="3"/>
        <v>1.6716496262789422E-8</v>
      </c>
      <c r="J25" s="123">
        <f t="shared" si="4"/>
        <v>2.1963393128410259E-2</v>
      </c>
    </row>
    <row r="26" spans="1:10" x14ac:dyDescent="0.25">
      <c r="A26" s="122">
        <v>5</v>
      </c>
      <c r="B26" s="128">
        <v>78.27</v>
      </c>
      <c r="C26" s="122">
        <f t="shared" si="5"/>
        <v>15.149999999999999</v>
      </c>
      <c r="D26" s="123">
        <f>$B$12/(B26-B25)</f>
        <v>3.3003300330033008E-5</v>
      </c>
      <c r="E26" s="123">
        <f>SQRT(2)*D26*$B$13/C26</f>
        <v>7.7019331567335196E-7</v>
      </c>
      <c r="F26" s="5">
        <f>(($B$10/(2*$B$7))^2+9*E16*D26/(2*$B$6*($B$9-$B$8)))^(1/2)-$B$10/(2*$B$7)</f>
        <v>7.5978674115403367E-7</v>
      </c>
      <c r="G26" s="122">
        <f t="shared" si="1"/>
        <v>4.0496381634736256E-3</v>
      </c>
      <c r="H26" s="122">
        <f t="shared" si="2"/>
        <v>3.4872764344643321E-10</v>
      </c>
      <c r="I26" s="122">
        <f t="shared" si="3"/>
        <v>1.6713590443125219E-8</v>
      </c>
      <c r="J26" s="123">
        <f t="shared" si="4"/>
        <v>2.1997739020477098E-2</v>
      </c>
    </row>
    <row r="27" spans="1:10" x14ac:dyDescent="0.25">
      <c r="A27" s="7" t="s">
        <v>34</v>
      </c>
      <c r="B27" s="7"/>
      <c r="C27" s="7">
        <f>AVERAGE(C22:C26)</f>
        <v>15.654</v>
      </c>
      <c r="D27" s="7">
        <f>AVERAGE(D22:D26)</f>
        <v>3.1985980011925547E-5</v>
      </c>
      <c r="E27" s="8">
        <f>SQRT(2)*D27*$B$13/C27</f>
        <v>7.2241929760220779E-7</v>
      </c>
      <c r="F27" s="9">
        <f>AVERAGE(F22:F26)</f>
        <v>7.472515641505406E-7</v>
      </c>
      <c r="G27" s="7">
        <f t="shared" si="1"/>
        <v>4.1133666117521197E-3</v>
      </c>
      <c r="H27" s="7">
        <f t="shared" si="2"/>
        <v>3.4329688521331672E-10</v>
      </c>
      <c r="I27" s="7">
        <f t="shared" si="3"/>
        <v>1.6686678487252529E-8</v>
      </c>
      <c r="J27" s="8">
        <f t="shared" si="4"/>
        <v>2.2330737448802242E-2</v>
      </c>
    </row>
    <row r="28" spans="1:10" x14ac:dyDescent="0.25">
      <c r="A28" s="122" t="s">
        <v>35</v>
      </c>
      <c r="C28" s="6">
        <f>_xlfn.STDEV.S(C22:C26)</f>
        <v>0.66710568877802545</v>
      </c>
      <c r="D28" s="123">
        <f>_xlfn.STDEV.S(D22:D26)</f>
        <v>1.3280363737058641E-6</v>
      </c>
      <c r="E28" s="8">
        <f>SQRT(2)*D28*$B$13/C28</f>
        <v>7.0383414600311933E-7</v>
      </c>
      <c r="F28" s="123">
        <f>_xlfn.STDEV.S(F22:F26)</f>
        <v>1.6419059512700363E-8</v>
      </c>
    </row>
    <row r="30" spans="1:10" x14ac:dyDescent="0.25">
      <c r="A30" s="122" t="s">
        <v>31</v>
      </c>
      <c r="C30" s="122">
        <f t="array" ref="C30:G31">TRANSPOSE(A32:B36)</f>
        <v>1.6640721816156572E-8</v>
      </c>
      <c r="D30" s="122">
        <v>1.6701243607047377E-8</v>
      </c>
      <c r="E30" s="122">
        <v>1.6670419523169295E-8</v>
      </c>
      <c r="F30" s="122">
        <v>1.6716496262789422E-8</v>
      </c>
      <c r="G30" s="122">
        <v>1.6713590443125219E-8</v>
      </c>
    </row>
    <row r="31" spans="1:10" x14ac:dyDescent="0.25">
      <c r="B31" s="122" t="s">
        <v>25</v>
      </c>
      <c r="C31" s="122">
        <v>7.2252855428326179E-7</v>
      </c>
      <c r="D31" s="122">
        <v>7.5405361490762162E-7</v>
      </c>
      <c r="E31" s="122">
        <v>7.3878172787658701E-7</v>
      </c>
      <c r="F31" s="122">
        <v>7.6110718253119873E-7</v>
      </c>
      <c r="G31" s="122">
        <v>7.5978674115403367E-7</v>
      </c>
    </row>
    <row r="32" spans="1:10" x14ac:dyDescent="0.25">
      <c r="A32" s="122">
        <f>I22</f>
        <v>1.6640721816156572E-8</v>
      </c>
      <c r="B32" s="5">
        <f>F22</f>
        <v>7.2252855428326179E-7</v>
      </c>
      <c r="C32" s="122">
        <f t="shared" ref="C32:G36" si="6">(C$31-$B32)/SQRT(C$30^2+$A32^2)</f>
        <v>0</v>
      </c>
      <c r="D32" s="122">
        <f t="shared" si="6"/>
        <v>1.3371465741609212</v>
      </c>
      <c r="E32" s="122">
        <f t="shared" si="6"/>
        <v>0.69002287128315742</v>
      </c>
      <c r="F32" s="122">
        <f t="shared" si="6"/>
        <v>1.6355763958323299</v>
      </c>
      <c r="G32" s="122">
        <f t="shared" si="6"/>
        <v>1.5797329901424395</v>
      </c>
    </row>
    <row r="33" spans="1:12" x14ac:dyDescent="0.25">
      <c r="A33" s="122">
        <f>I23</f>
        <v>1.6701243607047377E-8</v>
      </c>
      <c r="B33" s="5">
        <f>F23</f>
        <v>7.5405361490762162E-7</v>
      </c>
      <c r="C33" s="122">
        <f t="shared" si="6"/>
        <v>-1.3371465741609212</v>
      </c>
      <c r="D33" s="122">
        <f t="shared" si="6"/>
        <v>0</v>
      </c>
      <c r="E33" s="122">
        <f t="shared" si="6"/>
        <v>-0.64718682029789776</v>
      </c>
      <c r="F33" s="122">
        <f t="shared" si="6"/>
        <v>0.29850163404815883</v>
      </c>
      <c r="G33" s="122">
        <f t="shared" si="6"/>
        <v>0.24264266363884318</v>
      </c>
    </row>
    <row r="34" spans="1:12" x14ac:dyDescent="0.25">
      <c r="A34" s="122">
        <f>I24</f>
        <v>1.6670419523169295E-8</v>
      </c>
      <c r="B34" s="5">
        <f>F24</f>
        <v>7.3878172787658701E-7</v>
      </c>
      <c r="C34" s="122">
        <f t="shared" si="6"/>
        <v>-0.69002287128315742</v>
      </c>
      <c r="D34" s="122">
        <f t="shared" si="6"/>
        <v>0.64718682029789776</v>
      </c>
      <c r="E34" s="122">
        <f t="shared" si="6"/>
        <v>0</v>
      </c>
      <c r="F34" s="122">
        <f t="shared" si="6"/>
        <v>0.94566778476126279</v>
      </c>
      <c r="G34" s="122">
        <f t="shared" si="6"/>
        <v>0.88981371162390444</v>
      </c>
    </row>
    <row r="35" spans="1:12" x14ac:dyDescent="0.25">
      <c r="A35" s="122">
        <f>I25</f>
        <v>1.6716496262789422E-8</v>
      </c>
      <c r="B35" s="5">
        <f>F25</f>
        <v>7.6110718253119873E-7</v>
      </c>
      <c r="C35" s="122">
        <f t="shared" si="6"/>
        <v>-1.6355763958323299</v>
      </c>
      <c r="D35" s="122">
        <f t="shared" si="6"/>
        <v>-0.29850163404815883</v>
      </c>
      <c r="E35" s="122">
        <f t="shared" si="6"/>
        <v>-0.94566778476126279</v>
      </c>
      <c r="F35" s="122">
        <f t="shared" si="6"/>
        <v>0</v>
      </c>
      <c r="G35" s="122">
        <f t="shared" si="6"/>
        <v>-5.5859445214078339E-2</v>
      </c>
    </row>
    <row r="36" spans="1:12" x14ac:dyDescent="0.25">
      <c r="A36" s="122">
        <f>I26</f>
        <v>1.6713590443125219E-8</v>
      </c>
      <c r="B36" s="5">
        <f>F26</f>
        <v>7.5978674115403367E-7</v>
      </c>
      <c r="C36" s="122">
        <f t="shared" si="6"/>
        <v>-1.5797329901424395</v>
      </c>
      <c r="D36" s="122">
        <f t="shared" si="6"/>
        <v>-0.24264266363884318</v>
      </c>
      <c r="E36" s="122">
        <f t="shared" si="6"/>
        <v>-0.88981371162390444</v>
      </c>
      <c r="F36" s="122">
        <f t="shared" si="6"/>
        <v>5.5859445214078339E-2</v>
      </c>
      <c r="G36" s="122">
        <f t="shared" si="6"/>
        <v>0</v>
      </c>
    </row>
    <row r="39" spans="1:12" x14ac:dyDescent="0.25">
      <c r="A39" s="122" t="s">
        <v>7</v>
      </c>
    </row>
    <row r="40" spans="1:12" x14ac:dyDescent="0.25">
      <c r="B40" s="122" t="s">
        <v>36</v>
      </c>
      <c r="C40" s="122" t="s">
        <v>27</v>
      </c>
      <c r="D40" s="122" t="s">
        <v>24</v>
      </c>
      <c r="E40" s="122" t="s">
        <v>29</v>
      </c>
      <c r="F40" s="122" t="s">
        <v>37</v>
      </c>
      <c r="G40" s="122" t="s">
        <v>39</v>
      </c>
      <c r="H40" s="122" t="s">
        <v>40</v>
      </c>
      <c r="I40" s="122" t="s">
        <v>41</v>
      </c>
      <c r="J40" s="122" t="s">
        <v>42</v>
      </c>
      <c r="K40" s="122" t="s">
        <v>2</v>
      </c>
      <c r="L40" s="122" t="s">
        <v>43</v>
      </c>
    </row>
    <row r="41" spans="1:12" x14ac:dyDescent="0.25">
      <c r="A41" s="127">
        <v>1</v>
      </c>
      <c r="B41" s="129">
        <v>81.23</v>
      </c>
      <c r="C41" s="122">
        <f>B41-B26</f>
        <v>2.960000000000008</v>
      </c>
      <c r="D41" s="123">
        <f>$B$12/C41</f>
        <v>1.6891891891891847E-4</v>
      </c>
      <c r="E41" s="123">
        <f>SQRT(2)*D41*$B$13/C41</f>
        <v>2.0176302878085732E-5</v>
      </c>
      <c r="F41" s="123">
        <f>(4*PI()/3)*$F$27^3*($B$9-$B$8)*($B$6/$E$18)*(1+ABS(D41)/$D$27)</f>
        <v>1.731643856080385E-18</v>
      </c>
      <c r="G41" s="123">
        <f>F41*3/$F$27</f>
        <v>6.9520517821152237E-12</v>
      </c>
      <c r="H41" s="123">
        <f>F41/$E$18</f>
        <v>6.4330569253386302E-23</v>
      </c>
      <c r="I41" s="122">
        <f>(4*PI()/3)*$F$27^3*($B$9-$B$8)*($B$6/$E$18)*(1/$D$27)</f>
        <v>8.6192216580863751E-15</v>
      </c>
      <c r="J41" s="123">
        <f>(4*PI()/3)*$F$27^3*($B$9-$B$8)*($B$6/$E$18)*(ABS(D41)/$D$27^2)</f>
        <v>4.5518367855655729E-14</v>
      </c>
      <c r="K41" s="122">
        <f>SQRT(G41^2*$I$27^2+H41^2*$F$18^2+I41^2*E41^2+J41^2*$E$28^2)</f>
        <v>2.1220706550045098E-19</v>
      </c>
      <c r="L41" s="126">
        <f>K41/F41</f>
        <v>0.12254659914931149</v>
      </c>
    </row>
    <row r="42" spans="1:12" x14ac:dyDescent="0.25">
      <c r="A42" s="127">
        <v>2</v>
      </c>
      <c r="B42" s="129">
        <v>83.69</v>
      </c>
      <c r="C42" s="122">
        <f>B42-B41</f>
        <v>2.4599999999999937</v>
      </c>
      <c r="D42" s="123">
        <f t="shared" ref="D42:D45" si="7">$B$12/C42</f>
        <v>2.0325203252032572E-4</v>
      </c>
      <c r="E42" s="123">
        <f t="shared" ref="E42:E44" si="8">SQRT(2)*D42*$B$13/C42</f>
        <v>2.9211563106721823E-5</v>
      </c>
      <c r="F42" s="123">
        <f t="shared" ref="F42:F45" si="9">(4*PI()/3)*$F$27^3*($B$9-$B$8)*($B$6/$E$18)*(1+ABS(D42)/$D$27)</f>
        <v>2.0275685724231745E-18</v>
      </c>
      <c r="G42" s="123">
        <f t="shared" ref="G42:G45" si="10">F42*3/$F$27</f>
        <v>8.140104362557223E-12</v>
      </c>
      <c r="H42" s="123">
        <f t="shared" ref="H42:H45" si="11">F42/$E$18</f>
        <v>7.5324172465520933E-23</v>
      </c>
      <c r="I42" s="122">
        <f t="shared" ref="I42:I45" si="12">(4*PI()/3)*$F$27^3*($B$9-$B$8)*($B$6/$E$18)*(1/$D$27)</f>
        <v>8.6192216580863751E-15</v>
      </c>
      <c r="J42" s="123">
        <f t="shared" ref="J42:J45" si="13">(4*PI()/3)*$F$27^3*($B$9-$B$8)*($B$6/$E$18)*(ABS(D42)/$D$27^2)</f>
        <v>5.4770068639325887E-14</v>
      </c>
      <c r="K42" s="122">
        <f t="shared" ref="K42:K45" si="14">SQRT(G42^2*$I$27^2+H42^2*$F$18^2+I42^2*E42^2+J42^2*$E$28^2)</f>
        <v>2.8939309391376681E-19</v>
      </c>
      <c r="L42" s="126">
        <f t="shared" ref="L42:L45" si="15">K42/F42</f>
        <v>0.14272912780844163</v>
      </c>
    </row>
    <row r="43" spans="1:12" x14ac:dyDescent="0.25">
      <c r="A43" s="127">
        <v>3</v>
      </c>
      <c r="B43" s="129">
        <v>86.9</v>
      </c>
      <c r="C43" s="122">
        <f>B43-B42</f>
        <v>3.210000000000008</v>
      </c>
      <c r="D43" s="123">
        <f t="shared" si="7"/>
        <v>1.5576323987538904E-4</v>
      </c>
      <c r="E43" s="123">
        <f t="shared" si="8"/>
        <v>1.7155956880914979E-5</v>
      </c>
      <c r="F43" s="123">
        <f t="shared" si="9"/>
        <v>1.6182521423415631E-18</v>
      </c>
      <c r="G43" s="123">
        <f t="shared" si="10"/>
        <v>6.4968166811982141E-12</v>
      </c>
      <c r="H43" s="123">
        <f t="shared" si="11"/>
        <v>6.0118067087989072E-23</v>
      </c>
      <c r="I43" s="122">
        <f t="shared" si="12"/>
        <v>8.6192216580863751E-15</v>
      </c>
      <c r="J43" s="123">
        <f t="shared" si="13"/>
        <v>4.1973323630137388E-14</v>
      </c>
      <c r="K43" s="122">
        <f t="shared" si="14"/>
        <v>1.864349353704291E-19</v>
      </c>
      <c r="L43" s="126">
        <f t="shared" si="15"/>
        <v>0.11520759373175508</v>
      </c>
    </row>
    <row r="44" spans="1:12" x14ac:dyDescent="0.25">
      <c r="A44" s="127">
        <v>4</v>
      </c>
      <c r="B44" s="129">
        <v>90.02</v>
      </c>
      <c r="C44" s="122">
        <f>B44-B43</f>
        <v>3.1199999999999903</v>
      </c>
      <c r="D44" s="123">
        <f t="shared" si="7"/>
        <v>1.6025641025641074E-4</v>
      </c>
      <c r="E44" s="123">
        <f t="shared" si="8"/>
        <v>1.8159999105916953E-5</v>
      </c>
      <c r="F44" s="123">
        <f t="shared" si="9"/>
        <v>1.6569797738031377E-18</v>
      </c>
      <c r="G44" s="123">
        <f t="shared" si="10"/>
        <v>6.652296977203747E-12</v>
      </c>
      <c r="H44" s="123">
        <f t="shared" si="11"/>
        <v>6.1556798596786565E-23</v>
      </c>
      <c r="I44" s="122">
        <f t="shared" si="12"/>
        <v>8.6192216580863751E-15</v>
      </c>
      <c r="J44" s="123">
        <f t="shared" si="13"/>
        <v>4.3184092581006969E-14</v>
      </c>
      <c r="K44" s="122">
        <f t="shared" si="14"/>
        <v>1.9500128129060243E-19</v>
      </c>
      <c r="L44" s="126">
        <f t="shared" si="15"/>
        <v>0.11768476862154512</v>
      </c>
    </row>
    <row r="45" spans="1:12" x14ac:dyDescent="0.25">
      <c r="A45" s="127">
        <v>5</v>
      </c>
      <c r="B45" s="129">
        <v>92.86</v>
      </c>
      <c r="C45" s="122">
        <f>B45-B44</f>
        <v>2.8400000000000034</v>
      </c>
      <c r="D45" s="123">
        <f t="shared" si="7"/>
        <v>1.7605633802816881E-4</v>
      </c>
      <c r="E45" s="123">
        <f>SQRT(2)*D45*$B$13/C45</f>
        <v>2.191736452299103E-5</v>
      </c>
      <c r="F45" s="123">
        <f t="shared" si="9"/>
        <v>1.7931628534496752E-18</v>
      </c>
      <c r="G45" s="123">
        <f t="shared" si="10"/>
        <v>7.1990328537676751E-12</v>
      </c>
      <c r="H45" s="123">
        <f t="shared" si="11"/>
        <v>6.6616000005655442E-23</v>
      </c>
      <c r="I45" s="122">
        <f t="shared" si="12"/>
        <v>8.6192216580863751E-15</v>
      </c>
      <c r="J45" s="123">
        <f t="shared" si="13"/>
        <v>4.7441679173500412E-14</v>
      </c>
      <c r="K45" s="122">
        <f t="shared" si="14"/>
        <v>2.2706888534852191E-19</v>
      </c>
      <c r="L45" s="126">
        <f t="shared" si="15"/>
        <v>0.12663037543505223</v>
      </c>
    </row>
    <row r="46" spans="1:12" x14ac:dyDescent="0.25">
      <c r="L46" s="126"/>
    </row>
    <row r="47" spans="1:12" x14ac:dyDescent="0.25">
      <c r="L47" s="126"/>
    </row>
    <row r="49" spans="1:12" x14ac:dyDescent="0.25">
      <c r="A49" s="122" t="s">
        <v>7</v>
      </c>
    </row>
    <row r="50" spans="1:12" x14ac:dyDescent="0.25">
      <c r="B50" s="122" t="s">
        <v>23</v>
      </c>
      <c r="C50" s="122" t="s">
        <v>27</v>
      </c>
      <c r="D50" s="122" t="s">
        <v>24</v>
      </c>
      <c r="E50" s="122" t="s">
        <v>29</v>
      </c>
      <c r="F50" s="122" t="s">
        <v>37</v>
      </c>
      <c r="G50" s="122" t="s">
        <v>39</v>
      </c>
      <c r="H50" s="122" t="s">
        <v>40</v>
      </c>
      <c r="I50" s="122" t="s">
        <v>41</v>
      </c>
      <c r="J50" s="122" t="s">
        <v>42</v>
      </c>
      <c r="K50" s="122" t="s">
        <v>2</v>
      </c>
      <c r="L50" s="122" t="s">
        <v>43</v>
      </c>
    </row>
    <row r="51" spans="1:12" x14ac:dyDescent="0.25">
      <c r="A51" s="127">
        <v>6</v>
      </c>
      <c r="B51" s="130">
        <v>95.28</v>
      </c>
      <c r="C51" s="122">
        <f>B51-B45</f>
        <v>2.4200000000000017</v>
      </c>
      <c r="D51" s="123">
        <f>$B$12/C51</f>
        <v>2.0661157024793374E-4</v>
      </c>
      <c r="E51" s="123">
        <f>SQRT(2)*D51*$B$13/C51</f>
        <v>3.0185215370643506E-5</v>
      </c>
      <c r="F51" s="123">
        <f>-(4*PI()/3)*$F$27^3*($B$9-$B$8)*($B$6/$E$18)*(1-ABS(D51)/$D$27)</f>
        <v>1.5051366694183184E-18</v>
      </c>
      <c r="G51" s="123">
        <f>F51*3/$F$27</f>
        <v>6.0426906076643356E-12</v>
      </c>
      <c r="H51" s="123">
        <f>F51/$E$18</f>
        <v>5.5915827268890531E-23</v>
      </c>
      <c r="I51" s="122">
        <f>-(4*PI()/3)*$F$27^3*($B$9-$B$8)*($B$6/$E$18)*(-1/$D$27)</f>
        <v>8.6192216580863751E-15</v>
      </c>
      <c r="J51" s="123">
        <f>-(4*PI()/3)*$F$27^3*($B$9-$B$8)*($B$6/$E$18)*(-ABS(D51)/$D$27^2)</f>
        <v>5.5675359030058363E-14</v>
      </c>
      <c r="K51" s="122">
        <f>SQRT(G51^2*$I$27^2+H51^2*$F$18^2+I51^2*E51^2+J51^2*$E$28^2)</f>
        <v>2.8217620261301542E-19</v>
      </c>
      <c r="L51" s="126">
        <f>K51/F51</f>
        <v>0.18747546873737814</v>
      </c>
    </row>
    <row r="52" spans="1:12" x14ac:dyDescent="0.25">
      <c r="A52" s="127">
        <v>7</v>
      </c>
      <c r="B52" s="130">
        <v>97.47</v>
      </c>
      <c r="C52" s="122">
        <f>B52-B51</f>
        <v>2.1899999999999977</v>
      </c>
      <c r="D52" s="123">
        <f t="shared" ref="D52:D55" si="16">$B$12/C52</f>
        <v>2.2831050228310526E-4</v>
      </c>
      <c r="E52" s="123">
        <f t="shared" ref="E52:E54" si="17">SQRT(2)*D52*$B$13/C52</f>
        <v>3.6858425657646268E-5</v>
      </c>
      <c r="F52" s="123">
        <f t="shared" ref="F52:F55" si="18">-(4*PI()/3)*$F$27^3*($B$9-$B$8)*($B$6/$E$18)*(1-ABS(D52)/$D$27)</f>
        <v>1.6921645743732133E-18</v>
      </c>
      <c r="G52" s="123">
        <f t="shared" ref="G52:G55" si="19">F52*3/$F$27</f>
        <v>6.7935538266694537E-12</v>
      </c>
      <c r="H52" s="123">
        <f t="shared" ref="H52:H55" si="20">F52/$E$18</f>
        <v>6.2863913937964871E-23</v>
      </c>
      <c r="I52" s="122">
        <f t="shared" ref="I52:I55" si="21">-(4*PI()/3)*$F$27^3*($B$9-$B$8)*($B$6/$E$18)*(-1/$D$27)</f>
        <v>8.6192216580863751E-15</v>
      </c>
      <c r="J52" s="123">
        <f t="shared" ref="J52:J55" si="22">-(4*PI()/3)*$F$27^3*($B$9-$B$8)*($B$6/$E$18)*(-ABS(D52)/$D$27^2)</f>
        <v>6.1522542855133093E-14</v>
      </c>
      <c r="K52" s="122">
        <f t="shared" ref="K52:K55" si="23">SQRT(G52^2*$I$27^2+H52^2*$F$18^2+I52^2*E52^2+J52^2*$E$28^2)</f>
        <v>3.4050698349434333E-19</v>
      </c>
      <c r="L52" s="126">
        <f t="shared" ref="L52:L55" si="24">K52/F52</f>
        <v>0.2012256896587431</v>
      </c>
    </row>
    <row r="53" spans="1:12" x14ac:dyDescent="0.25">
      <c r="A53" s="127">
        <v>8</v>
      </c>
      <c r="B53" s="130">
        <v>99.62</v>
      </c>
      <c r="C53" s="122">
        <f>B53-B52</f>
        <v>2.1500000000000057</v>
      </c>
      <c r="D53" s="123">
        <f t="shared" si="16"/>
        <v>2.3255813953488311E-4</v>
      </c>
      <c r="E53" s="123">
        <f t="shared" si="17"/>
        <v>3.8242659880289013E-5</v>
      </c>
      <c r="F53" s="123">
        <f t="shared" si="18"/>
        <v>1.7287759013694313E-18</v>
      </c>
      <c r="G53" s="123">
        <f t="shared" si="19"/>
        <v>6.9405377692370563E-12</v>
      </c>
      <c r="H53" s="123">
        <f t="shared" si="20"/>
        <v>6.4224024735874375E-23</v>
      </c>
      <c r="I53" s="122">
        <f t="shared" si="21"/>
        <v>8.6192216580863751E-15</v>
      </c>
      <c r="J53" s="123">
        <f t="shared" si="22"/>
        <v>6.2667148303600461E-14</v>
      </c>
      <c r="K53" s="122">
        <f t="shared" si="23"/>
        <v>3.5258101768190195E-19</v>
      </c>
      <c r="L53" s="126">
        <f t="shared" si="24"/>
        <v>0.20394836450612752</v>
      </c>
    </row>
    <row r="54" spans="1:12" x14ac:dyDescent="0.25">
      <c r="A54" s="127">
        <v>9</v>
      </c>
      <c r="B54" s="130">
        <v>101.9</v>
      </c>
      <c r="C54" s="122">
        <f>B54-B53</f>
        <v>2.2800000000000011</v>
      </c>
      <c r="D54" s="123">
        <f t="shared" si="16"/>
        <v>2.1929824561403498E-4</v>
      </c>
      <c r="E54" s="123">
        <f t="shared" si="17"/>
        <v>3.400598170526253E-5</v>
      </c>
      <c r="F54" s="123">
        <f t="shared" si="18"/>
        <v>1.6144859365029291E-18</v>
      </c>
      <c r="G54" s="123">
        <f t="shared" si="19"/>
        <v>6.481696448524301E-12</v>
      </c>
      <c r="H54" s="123">
        <f t="shared" si="20"/>
        <v>5.9978152541083826E-23</v>
      </c>
      <c r="I54" s="122">
        <f t="shared" si="21"/>
        <v>8.6192216580863751E-15</v>
      </c>
      <c r="J54" s="123">
        <f t="shared" si="22"/>
        <v>5.9094021426640898E-14</v>
      </c>
      <c r="K54" s="122">
        <f t="shared" si="23"/>
        <v>3.1560109443508653E-19</v>
      </c>
      <c r="L54" s="126">
        <f t="shared" si="24"/>
        <v>0.19548085697091727</v>
      </c>
    </row>
    <row r="55" spans="1:12" x14ac:dyDescent="0.25">
      <c r="A55" s="127">
        <v>10</v>
      </c>
      <c r="B55" s="130">
        <v>104.05</v>
      </c>
      <c r="C55" s="122">
        <f>B55-B54</f>
        <v>2.1499999999999915</v>
      </c>
      <c r="D55" s="123">
        <f t="shared" si="16"/>
        <v>2.3255813953488466E-4</v>
      </c>
      <c r="E55" s="123">
        <f>SQRT(2)*D55*$B$13/C55</f>
        <v>3.8242659880289521E-5</v>
      </c>
      <c r="F55" s="123">
        <f t="shared" si="18"/>
        <v>1.7287759013694448E-18</v>
      </c>
      <c r="G55" s="123">
        <f t="shared" si="19"/>
        <v>6.9405377692371096E-12</v>
      </c>
      <c r="H55" s="123">
        <f t="shared" si="20"/>
        <v>6.422402473587488E-23</v>
      </c>
      <c r="I55" s="122">
        <f t="shared" si="21"/>
        <v>8.6192216580863751E-15</v>
      </c>
      <c r="J55" s="123">
        <f t="shared" si="22"/>
        <v>6.2667148303600877E-14</v>
      </c>
      <c r="K55" s="122">
        <f t="shared" si="23"/>
        <v>3.5258101768190643E-19</v>
      </c>
      <c r="L55" s="126">
        <f t="shared" si="24"/>
        <v>0.20394836450612852</v>
      </c>
    </row>
    <row r="56" spans="1:12" x14ac:dyDescent="0.25">
      <c r="L56" s="126"/>
    </row>
    <row r="57" spans="1:12" x14ac:dyDescent="0.25">
      <c r="L57" s="126"/>
    </row>
    <row r="59" spans="1:12" x14ac:dyDescent="0.25">
      <c r="B59" s="122" t="s">
        <v>38</v>
      </c>
    </row>
    <row r="60" spans="1:12" x14ac:dyDescent="0.25">
      <c r="A60" s="123"/>
      <c r="B60" s="122" t="s">
        <v>44</v>
      </c>
      <c r="C60" s="122" t="s">
        <v>45</v>
      </c>
    </row>
    <row r="61" spans="1:12" x14ac:dyDescent="0.25">
      <c r="A61" s="122">
        <v>1</v>
      </c>
      <c r="B61" s="123">
        <f>F41</f>
        <v>1.731643856080385E-18</v>
      </c>
      <c r="C61" s="122">
        <f>K41</f>
        <v>2.1220706550045098E-19</v>
      </c>
    </row>
    <row r="62" spans="1:12" x14ac:dyDescent="0.25">
      <c r="A62" s="122">
        <v>2</v>
      </c>
      <c r="B62" s="123">
        <f t="shared" ref="B62:B65" si="25">F42</f>
        <v>2.0275685724231745E-18</v>
      </c>
      <c r="C62" s="122">
        <f t="shared" ref="C62:C65" si="26">K42</f>
        <v>2.8939309391376681E-19</v>
      </c>
    </row>
    <row r="63" spans="1:12" x14ac:dyDescent="0.25">
      <c r="A63" s="122">
        <v>3</v>
      </c>
      <c r="B63" s="123">
        <f t="shared" si="25"/>
        <v>1.6182521423415631E-18</v>
      </c>
      <c r="C63" s="122">
        <f t="shared" si="26"/>
        <v>1.864349353704291E-19</v>
      </c>
    </row>
    <row r="64" spans="1:12" x14ac:dyDescent="0.25">
      <c r="A64" s="122">
        <v>4</v>
      </c>
      <c r="B64" s="123">
        <f t="shared" si="25"/>
        <v>1.6569797738031377E-18</v>
      </c>
      <c r="C64" s="122">
        <f t="shared" si="26"/>
        <v>1.9500128129060243E-19</v>
      </c>
    </row>
    <row r="65" spans="1:3" x14ac:dyDescent="0.25">
      <c r="A65" s="122">
        <v>5</v>
      </c>
      <c r="B65" s="123">
        <f t="shared" si="25"/>
        <v>1.7931628534496752E-18</v>
      </c>
      <c r="C65" s="122">
        <f t="shared" si="26"/>
        <v>2.2706888534852191E-19</v>
      </c>
    </row>
    <row r="66" spans="1:3" x14ac:dyDescent="0.25">
      <c r="A66" s="122">
        <v>6</v>
      </c>
      <c r="B66" s="123">
        <f>F51</f>
        <v>1.5051366694183184E-18</v>
      </c>
      <c r="C66" s="122">
        <f>K51</f>
        <v>2.8217620261301542E-19</v>
      </c>
    </row>
    <row r="67" spans="1:3" x14ac:dyDescent="0.25">
      <c r="A67" s="122">
        <v>7</v>
      </c>
      <c r="B67" s="123">
        <f t="shared" ref="B67:B70" si="27">F52</f>
        <v>1.6921645743732133E-18</v>
      </c>
      <c r="C67" s="122">
        <f t="shared" ref="C67:C70" si="28">K52</f>
        <v>3.4050698349434333E-19</v>
      </c>
    </row>
    <row r="68" spans="1:3" x14ac:dyDescent="0.25">
      <c r="A68" s="122">
        <v>8</v>
      </c>
      <c r="B68" s="123">
        <f t="shared" si="27"/>
        <v>1.7287759013694313E-18</v>
      </c>
      <c r="C68" s="122">
        <f t="shared" si="28"/>
        <v>3.5258101768190195E-19</v>
      </c>
    </row>
    <row r="69" spans="1:3" x14ac:dyDescent="0.25">
      <c r="A69" s="122">
        <v>9</v>
      </c>
      <c r="B69" s="123">
        <f t="shared" si="27"/>
        <v>1.6144859365029291E-18</v>
      </c>
      <c r="C69" s="122">
        <f t="shared" si="28"/>
        <v>3.1560109443508653E-19</v>
      </c>
    </row>
    <row r="70" spans="1:3" x14ac:dyDescent="0.25">
      <c r="A70" s="122">
        <v>10</v>
      </c>
      <c r="B70" s="123">
        <f t="shared" si="27"/>
        <v>1.7287759013694448E-18</v>
      </c>
      <c r="C70" s="122">
        <f t="shared" si="28"/>
        <v>3.5258101768190643E-19</v>
      </c>
    </row>
  </sheetData>
  <mergeCells count="2">
    <mergeCell ref="A1:C2"/>
    <mergeCell ref="A14:C15"/>
  </mergeCells>
  <conditionalFormatting sqref="C32:G36">
    <cfRule type="cellIs" dxfId="23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EEDCAF16-649A-47F0-A577-1E64D38C5198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6EA1898B-D0FB-4A40-8B95-25ACEE196CF3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10" workbookViewId="0">
      <selection activeCell="B61" sqref="B61:B70"/>
    </sheetView>
  </sheetViews>
  <sheetFormatPr defaultRowHeight="15" x14ac:dyDescent="0.25"/>
  <cols>
    <col min="1" max="1" width="13.140625" style="130" customWidth="1"/>
    <col min="2" max="2" width="9.140625" style="130"/>
    <col min="3" max="5" width="12" style="130" customWidth="1"/>
    <col min="6" max="7" width="12.140625" style="130" customWidth="1"/>
    <col min="8" max="9" width="12" style="130" customWidth="1"/>
    <col min="10" max="10" width="9.140625" style="130"/>
    <col min="11" max="11" width="12" style="130" customWidth="1"/>
    <col min="12" max="16384" width="9.140625" style="130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130" t="s">
        <v>1</v>
      </c>
      <c r="C4" s="130" t="s">
        <v>2</v>
      </c>
    </row>
    <row r="5" spans="1:5" x14ac:dyDescent="0.25">
      <c r="A5" s="130" t="str">
        <f>[1]Dati!A5</f>
        <v>d</v>
      </c>
      <c r="B5" s="131">
        <f>Dati!B5</f>
        <v>7.4300000000000008E-3</v>
      </c>
      <c r="C5" s="179">
        <f>Dati!C5</f>
        <v>1.0000000000000001E-5</v>
      </c>
    </row>
    <row r="6" spans="1:5" x14ac:dyDescent="0.25">
      <c r="A6" s="130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30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30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30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30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30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30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30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133"/>
    </row>
    <row r="15" spans="1:5" x14ac:dyDescent="0.25">
      <c r="A15" s="193"/>
      <c r="B15" s="193"/>
      <c r="C15" s="193"/>
      <c r="D15" s="133"/>
    </row>
    <row r="16" spans="1:5" x14ac:dyDescent="0.25">
      <c r="A16" s="130" t="s">
        <v>18</v>
      </c>
      <c r="B16" s="130">
        <v>200</v>
      </c>
      <c r="C16" s="130">
        <f>B16/100</f>
        <v>2</v>
      </c>
      <c r="D16" s="130" t="s">
        <v>19</v>
      </c>
      <c r="E16" s="130">
        <f>(1.8+(B18-15)*0.004765)*0.00001</f>
        <v>1.8262075000000001E-5</v>
      </c>
    </row>
    <row r="17" spans="1:10" x14ac:dyDescent="0.25">
      <c r="A17" s="130" t="s">
        <v>20</v>
      </c>
      <c r="E17" s="132"/>
    </row>
    <row r="18" spans="1:10" x14ac:dyDescent="0.25">
      <c r="A18" s="130" t="s">
        <v>21</v>
      </c>
      <c r="B18" s="130">
        <v>20.5</v>
      </c>
      <c r="C18" s="130">
        <v>0.5</v>
      </c>
      <c r="D18" s="130" t="s">
        <v>22</v>
      </c>
      <c r="E18" s="131">
        <f>B16/B5</f>
        <v>26917.900403768504</v>
      </c>
      <c r="F18" s="130">
        <f>SQRT((C16/B5)^2+(B16*C5/B5^2)^2)</f>
        <v>271.60606143374878</v>
      </c>
      <c r="G18" s="131"/>
    </row>
    <row r="21" spans="1:10" x14ac:dyDescent="0.25">
      <c r="B21" s="130" t="s">
        <v>23</v>
      </c>
      <c r="C21" s="130" t="s">
        <v>27</v>
      </c>
      <c r="D21" s="130" t="s">
        <v>24</v>
      </c>
      <c r="E21" s="130" t="s">
        <v>29</v>
      </c>
      <c r="F21" s="130" t="s">
        <v>25</v>
      </c>
      <c r="G21" s="130" t="s">
        <v>26</v>
      </c>
      <c r="H21" s="130" t="s">
        <v>28</v>
      </c>
      <c r="I21" s="130" t="s">
        <v>31</v>
      </c>
      <c r="J21" s="130" t="s">
        <v>32</v>
      </c>
    </row>
    <row r="22" spans="1:10" x14ac:dyDescent="0.25">
      <c r="A22" s="130">
        <v>1</v>
      </c>
      <c r="B22" s="136">
        <v>10.53</v>
      </c>
      <c r="C22" s="130">
        <f>B22</f>
        <v>10.53</v>
      </c>
      <c r="D22" s="131">
        <f>B12/B22</f>
        <v>4.7483380816714154E-5</v>
      </c>
      <c r="E22" s="131">
        <f>SQRT(2)*D22*$B$13/C22</f>
        <v>1.5942934743191741E-6</v>
      </c>
      <c r="F22" s="5">
        <f>(($B$10/(2*$B$7))^2+9*$E$16*D22/(2*$B$6*($B$9-$B$8)))^(1/2)-$B$10/(2*$B$7)</f>
        <v>9.1904451485148899E-7</v>
      </c>
      <c r="G22" s="130">
        <f>(($B$10/(2*$B$7))^2+9*$E$16*D22/(2*$B$6*($B$9-$B$8)))^(-1/2)*(9*$E$16)/(4*$B$6*$B$9)</f>
        <v>3.3774852368550837E-3</v>
      </c>
      <c r="H22" s="130">
        <f>(($B$10/(2*$B$7))^2+9*$E$16*D22/(2*$B$6*($B$9-$B$8)))^(-1/2)*((9*D22)/(4*$B$6*$B$9))*0.00000004765</f>
        <v>4.1845414629036453E-10</v>
      </c>
      <c r="I22" s="130">
        <f>SQRT(G22^2*E22^2+H22^2*$C$18^2+$F$28^2)</f>
        <v>1.980607905096327E-8</v>
      </c>
      <c r="J22" s="131">
        <f>I22/F22</f>
        <v>2.1550728752419344E-2</v>
      </c>
    </row>
    <row r="23" spans="1:10" x14ac:dyDescent="0.25">
      <c r="A23" s="130">
        <v>2</v>
      </c>
      <c r="B23" s="136">
        <v>21.88</v>
      </c>
      <c r="C23" s="130">
        <f>B23-B22</f>
        <v>11.35</v>
      </c>
      <c r="D23" s="131">
        <f>$B$12/(B23-B22)</f>
        <v>4.4052863436123351E-5</v>
      </c>
      <c r="E23" s="131">
        <f t="shared" ref="E23:E25" si="0">SQRT(2)*D23*$B$13/C23</f>
        <v>1.3722501527034246E-6</v>
      </c>
      <c r="F23" s="5">
        <f>(($B$10/(2*$B$7))^2+9*E16*D23/(2*$B$6*($B$9-$B$8)))^(1/2)-$B$10/(2*$B$7)</f>
        <v>8.8379813512315703E-7</v>
      </c>
      <c r="G23" s="130">
        <f t="shared" ref="G23:G27" si="1">(($B$10/(2*$B$7))^2+9*$E$16*D23/(2*$B$6*($B$9-$B$8)))^(-1/2)*(9*$E$16)/(4*$B$6*$B$9)</f>
        <v>3.5062843529004083E-3</v>
      </c>
      <c r="H23" s="130">
        <f t="shared" ref="H23:H27" si="2">(($B$10/(2*$B$7))^2+9*$E$16*D23/(2*$B$6*($B$9-$B$8)))^(-1/2)*((9*D23)/(4*$B$6*$B$9))*0.00000004765</f>
        <v>4.0302692348900805E-10</v>
      </c>
      <c r="I23" s="130">
        <f t="shared" ref="I23:I27" si="3">SQRT(G23^2*E23^2+H23^2*$C$18^2+$F$28^2)</f>
        <v>1.9657901747906939E-8</v>
      </c>
      <c r="J23" s="131">
        <f t="shared" ref="J23:J27" si="4">I23/F23</f>
        <v>2.2242524584154749E-2</v>
      </c>
    </row>
    <row r="24" spans="1:10" x14ac:dyDescent="0.25">
      <c r="A24" s="130">
        <v>3</v>
      </c>
      <c r="B24" s="136">
        <v>32.61</v>
      </c>
      <c r="C24" s="130">
        <f t="shared" ref="C24:C26" si="5">B24-B23</f>
        <v>10.73</v>
      </c>
      <c r="D24" s="131">
        <f>$B$12/(B24-B23)</f>
        <v>4.6598322460391427E-5</v>
      </c>
      <c r="E24" s="131">
        <f t="shared" si="0"/>
        <v>1.5354142499375671E-6</v>
      </c>
      <c r="F24" s="5">
        <f>(($B$10/(2*$B$7))^2+9*E16*D24/(2*$B$6*($B$9-$B$8)))^(1/2)-$B$10/(2*$B$7)</f>
        <v>9.1007620968307042E-7</v>
      </c>
      <c r="G24" s="130">
        <f t="shared" si="1"/>
        <v>3.4093516667566687E-3</v>
      </c>
      <c r="H24" s="130">
        <f t="shared" si="2"/>
        <v>4.1452894902694628E-10</v>
      </c>
      <c r="I24" s="130">
        <f t="shared" si="3"/>
        <v>1.9765821865579176E-8</v>
      </c>
      <c r="J24" s="131">
        <f t="shared" si="4"/>
        <v>2.1718864481099366E-2</v>
      </c>
    </row>
    <row r="25" spans="1:10" x14ac:dyDescent="0.25">
      <c r="A25" s="130">
        <v>4</v>
      </c>
      <c r="B25" s="136">
        <v>44.02</v>
      </c>
      <c r="C25" s="130">
        <f t="shared" si="5"/>
        <v>11.410000000000004</v>
      </c>
      <c r="D25" s="131">
        <f>$B$12/(B25-B24)</f>
        <v>4.3821209465381231E-5</v>
      </c>
      <c r="E25" s="131">
        <f t="shared" si="0"/>
        <v>1.3578560198408055E-6</v>
      </c>
      <c r="F25" s="5">
        <f>(($B$10/(2*$B$7))^2+9*E16*D25/(2*$B$6*($B$9-$B$8)))^(1/2)-$B$10/(2*$B$7)</f>
        <v>8.8136946527692623E-7</v>
      </c>
      <c r="G25" s="130">
        <f t="shared" si="1"/>
        <v>3.5155220392616218E-3</v>
      </c>
      <c r="H25" s="130">
        <f t="shared" si="2"/>
        <v>4.019638227378413E-10</v>
      </c>
      <c r="I25" s="130">
        <f t="shared" si="3"/>
        <v>1.9648647770065084E-8</v>
      </c>
      <c r="J25" s="131">
        <f t="shared" si="4"/>
        <v>2.2293315736654752E-2</v>
      </c>
    </row>
    <row r="26" spans="1:10" x14ac:dyDescent="0.25">
      <c r="A26" s="130">
        <v>5</v>
      </c>
      <c r="B26" s="136">
        <v>55.55</v>
      </c>
      <c r="C26" s="130">
        <f t="shared" si="5"/>
        <v>11.529999999999994</v>
      </c>
      <c r="D26" s="131">
        <f>$B$12/(B26-B25)</f>
        <v>4.3365134431916759E-5</v>
      </c>
      <c r="E26" s="131">
        <f>SQRT(2)*D26*$B$13/C26</f>
        <v>1.3297389689451258E-6</v>
      </c>
      <c r="F26" s="5">
        <f>(($B$10/(2*$B$7))^2+9*E16*D26/(2*$B$6*($B$9-$B$8)))^(1/2)-$B$10/(2*$B$7)</f>
        <v>8.7656915855629517E-7</v>
      </c>
      <c r="G26" s="130">
        <f t="shared" si="1"/>
        <v>3.5339244128312951E-3</v>
      </c>
      <c r="H26" s="130">
        <f t="shared" si="2"/>
        <v>3.9986255448691477E-10</v>
      </c>
      <c r="I26" s="130">
        <f t="shared" si="3"/>
        <v>1.9630700281423142E-8</v>
      </c>
      <c r="J26" s="131">
        <f t="shared" si="4"/>
        <v>2.2394924678567067E-2</v>
      </c>
    </row>
    <row r="27" spans="1:10" x14ac:dyDescent="0.25">
      <c r="A27" s="7" t="s">
        <v>34</v>
      </c>
      <c r="B27" s="7"/>
      <c r="C27" s="7">
        <f>AVERAGE(C22:C26)</f>
        <v>11.11</v>
      </c>
      <c r="D27" s="7">
        <f>AVERAGE(D22:D26)</f>
        <v>4.5064182122105382E-5</v>
      </c>
      <c r="E27" s="8">
        <f>SQRT(2)*D27*$B$13/C27</f>
        <v>1.4340769022127048E-6</v>
      </c>
      <c r="F27" s="9">
        <f>AVERAGE(F22:F26)</f>
        <v>8.9417149669818765E-7</v>
      </c>
      <c r="G27" s="7">
        <f t="shared" si="1"/>
        <v>3.4667921038487458E-3</v>
      </c>
      <c r="H27" s="7">
        <f t="shared" si="2"/>
        <v>4.0763557170308647E-10</v>
      </c>
      <c r="I27" s="7">
        <f t="shared" si="3"/>
        <v>1.9697735376232845E-8</v>
      </c>
      <c r="J27" s="8">
        <f t="shared" si="4"/>
        <v>2.2029035200706558E-2</v>
      </c>
    </row>
    <row r="28" spans="1:10" x14ac:dyDescent="0.25">
      <c r="A28" s="130" t="s">
        <v>35</v>
      </c>
      <c r="C28" s="6">
        <f>_xlfn.STDEV.S(C22:C26)</f>
        <v>0.44855322984011536</v>
      </c>
      <c r="D28" s="131">
        <f>_xlfn.STDEV.S(D22:D26)</f>
        <v>1.8480136948267468E-6</v>
      </c>
      <c r="E28" s="8">
        <f>SQRT(2)*D28*$B$13/C28</f>
        <v>1.45661978156236E-6</v>
      </c>
      <c r="F28" s="131">
        <f>_xlfn.STDEV.S(F22:F26)</f>
        <v>1.9058907852528999E-8</v>
      </c>
    </row>
    <row r="30" spans="1:10" x14ac:dyDescent="0.25">
      <c r="A30" s="130" t="s">
        <v>31</v>
      </c>
      <c r="C30" s="130">
        <f t="array" ref="C30:G31">TRANSPOSE(A32:B36)</f>
        <v>1.980607905096327E-8</v>
      </c>
      <c r="D30" s="130">
        <v>1.9657901747906939E-8</v>
      </c>
      <c r="E30" s="130">
        <v>1.9765821865579176E-8</v>
      </c>
      <c r="F30" s="130">
        <v>1.9648647770065084E-8</v>
      </c>
      <c r="G30" s="130">
        <v>1.9630700281423142E-8</v>
      </c>
    </row>
    <row r="31" spans="1:10" x14ac:dyDescent="0.25">
      <c r="B31" s="130" t="s">
        <v>25</v>
      </c>
      <c r="C31" s="130">
        <v>9.1904451485148899E-7</v>
      </c>
      <c r="D31" s="130">
        <v>8.8379813512315703E-7</v>
      </c>
      <c r="E31" s="130">
        <v>9.1007620968307042E-7</v>
      </c>
      <c r="F31" s="130">
        <v>8.8136946527692623E-7</v>
      </c>
      <c r="G31" s="130">
        <v>8.7656915855629517E-7</v>
      </c>
    </row>
    <row r="32" spans="1:10" x14ac:dyDescent="0.25">
      <c r="A32" s="130">
        <f>I22</f>
        <v>1.980607905096327E-8</v>
      </c>
      <c r="B32" s="5">
        <f>F22</f>
        <v>9.1904451485148899E-7</v>
      </c>
      <c r="C32" s="130">
        <f t="shared" ref="C32:G36" si="6">(C$31-$B32)/SQRT(C$30^2+$A32^2)</f>
        <v>0</v>
      </c>
      <c r="D32" s="130">
        <f t="shared" si="6"/>
        <v>-1.2630645936861609</v>
      </c>
      <c r="E32" s="130">
        <f t="shared" si="6"/>
        <v>-0.32050753044040026</v>
      </c>
      <c r="F32" s="130">
        <f t="shared" si="6"/>
        <v>-1.3504121360392094</v>
      </c>
      <c r="G32" s="130">
        <f t="shared" si="6"/>
        <v>-1.5231626918606558</v>
      </c>
    </row>
    <row r="33" spans="1:12" x14ac:dyDescent="0.25">
      <c r="A33" s="130">
        <f>I23</f>
        <v>1.9657901747906939E-8</v>
      </c>
      <c r="B33" s="5">
        <f>F23</f>
        <v>8.8379813512315703E-7</v>
      </c>
      <c r="C33" s="130">
        <f t="shared" si="6"/>
        <v>1.2630645936861609</v>
      </c>
      <c r="D33" s="130">
        <f t="shared" si="6"/>
        <v>0</v>
      </c>
      <c r="E33" s="130">
        <f t="shared" si="6"/>
        <v>0.94264739068045167</v>
      </c>
      <c r="F33" s="130">
        <f t="shared" si="6"/>
        <v>-8.7381308764029816E-2</v>
      </c>
      <c r="G33" s="130">
        <f t="shared" si="6"/>
        <v>-0.26021069024130244</v>
      </c>
    </row>
    <row r="34" spans="1:12" x14ac:dyDescent="0.25">
      <c r="A34" s="130">
        <f>I24</f>
        <v>1.9765821865579176E-8</v>
      </c>
      <c r="B34" s="5">
        <f>F24</f>
        <v>9.1007620968307042E-7</v>
      </c>
      <c r="C34" s="130">
        <f t="shared" si="6"/>
        <v>0.32050753044040026</v>
      </c>
      <c r="D34" s="130">
        <f t="shared" si="6"/>
        <v>-0.94264739068045167</v>
      </c>
      <c r="E34" s="130">
        <f t="shared" si="6"/>
        <v>0</v>
      </c>
      <c r="F34" s="130">
        <f t="shared" si="6"/>
        <v>-1.0300097463674416</v>
      </c>
      <c r="G34" s="130">
        <f t="shared" si="6"/>
        <v>-1.2027926539493579</v>
      </c>
    </row>
    <row r="35" spans="1:12" x14ac:dyDescent="0.25">
      <c r="A35" s="130">
        <f>I25</f>
        <v>1.9648647770065084E-8</v>
      </c>
      <c r="B35" s="5">
        <f>F25</f>
        <v>8.8136946527692623E-7</v>
      </c>
      <c r="C35" s="130">
        <f t="shared" si="6"/>
        <v>1.3504121360392094</v>
      </c>
      <c r="D35" s="130">
        <f t="shared" si="6"/>
        <v>8.7381308764029816E-2</v>
      </c>
      <c r="E35" s="130">
        <f t="shared" si="6"/>
        <v>1.0300097463674416</v>
      </c>
      <c r="F35" s="130">
        <f t="shared" si="6"/>
        <v>0</v>
      </c>
      <c r="G35" s="130">
        <f t="shared" si="6"/>
        <v>-0.17283021475603061</v>
      </c>
    </row>
    <row r="36" spans="1:12" x14ac:dyDescent="0.25">
      <c r="A36" s="130">
        <f>I26</f>
        <v>1.9630700281423142E-8</v>
      </c>
      <c r="B36" s="5">
        <f>F26</f>
        <v>8.7656915855629517E-7</v>
      </c>
      <c r="C36" s="130">
        <f t="shared" si="6"/>
        <v>1.5231626918606558</v>
      </c>
      <c r="D36" s="130">
        <f t="shared" si="6"/>
        <v>0.26021069024130244</v>
      </c>
      <c r="E36" s="130">
        <f t="shared" si="6"/>
        <v>1.2027926539493579</v>
      </c>
      <c r="F36" s="130">
        <f t="shared" si="6"/>
        <v>0.17283021475603061</v>
      </c>
      <c r="G36" s="130">
        <f t="shared" si="6"/>
        <v>0</v>
      </c>
    </row>
    <row r="39" spans="1:12" x14ac:dyDescent="0.25">
      <c r="A39" s="130" t="s">
        <v>7</v>
      </c>
    </row>
    <row r="40" spans="1:12" x14ac:dyDescent="0.25">
      <c r="B40" s="130" t="s">
        <v>36</v>
      </c>
      <c r="C40" s="130" t="s">
        <v>27</v>
      </c>
      <c r="D40" s="130" t="s">
        <v>24</v>
      </c>
      <c r="E40" s="130" t="s">
        <v>29</v>
      </c>
      <c r="F40" s="130" t="s">
        <v>37</v>
      </c>
      <c r="G40" s="130" t="s">
        <v>39</v>
      </c>
      <c r="H40" s="130" t="s">
        <v>40</v>
      </c>
      <c r="I40" s="130" t="s">
        <v>41</v>
      </c>
      <c r="J40" s="130" t="s">
        <v>42</v>
      </c>
      <c r="K40" s="130" t="s">
        <v>2</v>
      </c>
      <c r="L40" s="130" t="s">
        <v>43</v>
      </c>
    </row>
    <row r="41" spans="1:12" x14ac:dyDescent="0.25">
      <c r="A41" s="135">
        <v>1</v>
      </c>
      <c r="B41" s="137">
        <v>58.58</v>
      </c>
      <c r="C41" s="130">
        <f>B41-B26</f>
        <v>3.0300000000000011</v>
      </c>
      <c r="D41" s="131">
        <f>$B$12/C41</f>
        <v>1.6501650165016496E-4</v>
      </c>
      <c r="E41" s="131">
        <f>SQRT(2)*D41*$B$13/C41</f>
        <v>1.9254832891833782E-5</v>
      </c>
      <c r="F41" s="131">
        <f>(4*PI()/3)*$F$27^3*($B$9-$B$8)*($B$6/$E$18)*(1+ABS(D41)/$D$27)</f>
        <v>2.2021368639777403E-18</v>
      </c>
      <c r="G41" s="131">
        <f>F41*3/$F$27</f>
        <v>7.3883037161528999E-12</v>
      </c>
      <c r="H41" s="131">
        <f>F41/$E$18</f>
        <v>8.1809384496773057E-23</v>
      </c>
      <c r="I41" s="130">
        <f>(4*PI()/3)*$F$27^3*($B$9-$B$8)*($B$6/$E$18)*(1/$D$27)</f>
        <v>1.0482338615980894E-14</v>
      </c>
      <c r="J41" s="131">
        <f>(4*PI()/3)*$F$27^3*($B$9-$B$8)*($B$6/$E$18)*(ABS(D41)/$D$27^2)</f>
        <v>3.8384339092955574E-14</v>
      </c>
      <c r="K41" s="130">
        <f>SQRT(G41^2*$I$27^2+H41^2*$F$18^2+I41^2*E41^2+J41^2*$E$28^2)</f>
        <v>2.5600246139800609E-19</v>
      </c>
      <c r="L41" s="134">
        <f>K41/F41</f>
        <v>0.1162518395589575</v>
      </c>
    </row>
    <row r="42" spans="1:12" x14ac:dyDescent="0.25">
      <c r="A42" s="135">
        <v>2</v>
      </c>
      <c r="B42" s="137">
        <v>61.63</v>
      </c>
      <c r="C42" s="130">
        <f>B42-B41</f>
        <v>3.0500000000000043</v>
      </c>
      <c r="D42" s="131">
        <f t="shared" ref="D42:D45" si="7">$B$12/C42</f>
        <v>1.6393442622950798E-4</v>
      </c>
      <c r="E42" s="131">
        <f t="shared" ref="E42:E44" si="8">SQRT(2)*D42*$B$13/C42</f>
        <v>1.9003138435542747E-5</v>
      </c>
      <c r="F42" s="131">
        <f t="shared" ref="F42:F45" si="9">(4*PI()/3)*$F$27^3*($B$9-$B$8)*($B$6/$E$18)*(1+ABS(D42)/$D$27)</f>
        <v>2.1907941830103838E-18</v>
      </c>
      <c r="G42" s="131">
        <f t="shared" ref="G42:G45" si="10">F42*3/$F$27</f>
        <v>7.3502483285368542E-12</v>
      </c>
      <c r="H42" s="131">
        <f t="shared" ref="H42:H45" si="11">F42/$E$18</f>
        <v>8.1388003898835759E-23</v>
      </c>
      <c r="I42" s="130">
        <f t="shared" ref="I42:I45" si="12">(4*PI()/3)*$F$27^3*($B$9-$B$8)*($B$6/$E$18)*(1/$D$27)</f>
        <v>1.0482338615980894E-14</v>
      </c>
      <c r="J42" s="131">
        <f t="shared" ref="J42:J45" si="13">(4*PI()/3)*$F$27^3*($B$9-$B$8)*($B$6/$E$18)*(ABS(D42)/$D$27^2)</f>
        <v>3.8132638508739429E-14</v>
      </c>
      <c r="K42" s="130">
        <f t="shared" ref="K42:K45" si="14">SQRT(G42^2*$I$27^2+H42^2*$F$18^2+I42^2*E42^2+J42^2*$E$28^2)</f>
        <v>2.5340804524467871E-19</v>
      </c>
      <c r="L42" s="134">
        <f t="shared" ref="L42:L45" si="15">K42/F42</f>
        <v>0.11566948972653796</v>
      </c>
    </row>
    <row r="43" spans="1:12" x14ac:dyDescent="0.25">
      <c r="A43" s="135">
        <v>3</v>
      </c>
      <c r="B43" s="137">
        <v>64.489999999999995</v>
      </c>
      <c r="C43" s="130">
        <f>B43-B42</f>
        <v>2.8599999999999923</v>
      </c>
      <c r="D43" s="131">
        <f t="shared" si="7"/>
        <v>1.7482517482517529E-4</v>
      </c>
      <c r="E43" s="131">
        <f t="shared" si="8"/>
        <v>2.1611899762413546E-5</v>
      </c>
      <c r="F43" s="131">
        <f t="shared" si="9"/>
        <v>2.304954697571687E-18</v>
      </c>
      <c r="G43" s="131">
        <f t="shared" si="10"/>
        <v>7.7332638294206954E-12</v>
      </c>
      <c r="H43" s="131">
        <f t="shared" si="11"/>
        <v>8.5629067014788179E-23</v>
      </c>
      <c r="I43" s="130">
        <f t="shared" si="12"/>
        <v>1.0482338615980894E-14</v>
      </c>
      <c r="J43" s="131">
        <f t="shared" si="13"/>
        <v>4.0665925682397109E-14</v>
      </c>
      <c r="K43" s="130">
        <f t="shared" si="14"/>
        <v>2.8031279794866189E-19</v>
      </c>
      <c r="L43" s="134">
        <f t="shared" si="15"/>
        <v>0.1216131485117589</v>
      </c>
    </row>
    <row r="44" spans="1:12" x14ac:dyDescent="0.25">
      <c r="A44" s="135">
        <v>4</v>
      </c>
      <c r="B44" s="137">
        <v>67.489999999999995</v>
      </c>
      <c r="C44" s="130">
        <f>B44-B43</f>
        <v>3</v>
      </c>
      <c r="D44" s="131">
        <f t="shared" si="7"/>
        <v>1.6666666666666666E-4</v>
      </c>
      <c r="E44" s="131">
        <f t="shared" si="8"/>
        <v>1.9641855032959654E-5</v>
      </c>
      <c r="F44" s="131">
        <f t="shared" si="9"/>
        <v>2.2194344524529566E-18</v>
      </c>
      <c r="G44" s="131">
        <f t="shared" si="10"/>
        <v>7.4463381822673626E-12</v>
      </c>
      <c r="H44" s="131">
        <f t="shared" si="11"/>
        <v>8.245198990862734E-23</v>
      </c>
      <c r="I44" s="130">
        <f t="shared" si="12"/>
        <v>1.0482338615980894E-14</v>
      </c>
      <c r="J44" s="131">
        <f t="shared" si="13"/>
        <v>3.8768182483885141E-14</v>
      </c>
      <c r="K44" s="130">
        <f t="shared" si="14"/>
        <v>2.5999236667448804E-19</v>
      </c>
      <c r="L44" s="134">
        <f t="shared" si="15"/>
        <v>0.11714352112861007</v>
      </c>
    </row>
    <row r="45" spans="1:12" x14ac:dyDescent="0.25">
      <c r="A45" s="135">
        <v>5</v>
      </c>
      <c r="B45" s="137">
        <v>70.19</v>
      </c>
      <c r="C45" s="130">
        <f>B45-B44</f>
        <v>2.7000000000000028</v>
      </c>
      <c r="D45" s="131">
        <f t="shared" si="7"/>
        <v>1.8518518518518499E-4</v>
      </c>
      <c r="E45" s="131">
        <f>SQRT(2)*D45*$B$13/C45</f>
        <v>2.4249203744394587E-5</v>
      </c>
      <c r="F45" s="131">
        <f t="shared" si="9"/>
        <v>2.4135518342303786E-18</v>
      </c>
      <c r="G45" s="131">
        <f t="shared" si="10"/>
        <v>8.0976138575518638E-12</v>
      </c>
      <c r="H45" s="131">
        <f t="shared" si="11"/>
        <v>8.9663450641658568E-23</v>
      </c>
      <c r="I45" s="130">
        <f t="shared" si="12"/>
        <v>1.0482338615980894E-14</v>
      </c>
      <c r="J45" s="131">
        <f t="shared" si="13"/>
        <v>4.3075758315427886E-14</v>
      </c>
      <c r="K45" s="130">
        <f t="shared" si="14"/>
        <v>3.0754425739707997E-19</v>
      </c>
      <c r="L45" s="134">
        <f t="shared" si="15"/>
        <v>0.12742392893134119</v>
      </c>
    </row>
    <row r="46" spans="1:12" x14ac:dyDescent="0.25">
      <c r="L46" s="134"/>
    </row>
    <row r="47" spans="1:12" x14ac:dyDescent="0.25">
      <c r="L47" s="134"/>
    </row>
    <row r="49" spans="1:12" x14ac:dyDescent="0.25">
      <c r="A49" s="130" t="s">
        <v>7</v>
      </c>
    </row>
    <row r="50" spans="1:12" x14ac:dyDescent="0.25">
      <c r="B50" s="130" t="s">
        <v>23</v>
      </c>
      <c r="C50" s="130" t="s">
        <v>27</v>
      </c>
      <c r="D50" s="130" t="s">
        <v>24</v>
      </c>
      <c r="E50" s="130" t="s">
        <v>29</v>
      </c>
      <c r="F50" s="130" t="s">
        <v>37</v>
      </c>
      <c r="G50" s="130" t="s">
        <v>39</v>
      </c>
      <c r="H50" s="130" t="s">
        <v>40</v>
      </c>
      <c r="I50" s="130" t="s">
        <v>41</v>
      </c>
      <c r="J50" s="130" t="s">
        <v>42</v>
      </c>
      <c r="K50" s="130" t="s">
        <v>2</v>
      </c>
      <c r="L50" s="130" t="s">
        <v>43</v>
      </c>
    </row>
    <row r="51" spans="1:12" x14ac:dyDescent="0.25">
      <c r="A51" s="135">
        <v>6</v>
      </c>
      <c r="B51" s="138">
        <v>72.62</v>
      </c>
      <c r="C51" s="130">
        <f>B51-B45</f>
        <v>2.4300000000000068</v>
      </c>
      <c r="D51" s="131">
        <f>$B$12/C51</f>
        <v>2.0576131687242741E-4</v>
      </c>
      <c r="E51" s="131">
        <f>SQRT(2)*D51*$B$13/C51</f>
        <v>2.9937288573326545E-5</v>
      </c>
      <c r="F51" s="131">
        <f>-(4*PI()/3)*$F$27^3*($B$9-$B$8)*($B$6/$E$18)*(1-ABS(D51)/$D$27)</f>
        <v>1.6844817810707857E-18</v>
      </c>
      <c r="G51" s="131">
        <f>F51*3/$F$27</f>
        <v>5.6515392873432888E-12</v>
      </c>
      <c r="H51" s="131">
        <f>F51/$E$18</f>
        <v>6.2578498166779697E-23</v>
      </c>
      <c r="I51" s="130">
        <f>-(4*PI()/3)*$F$27^3*($B$9-$B$8)*($B$6/$E$18)*(-1/$D$27)</f>
        <v>1.0482338615980894E-14</v>
      </c>
      <c r="J51" s="131">
        <f>-(4*PI()/3)*$F$27^3*($B$9-$B$8)*($B$6/$E$18)*(-ABS(D51)/$D$27^2)</f>
        <v>4.7861953683808683E-14</v>
      </c>
      <c r="K51" s="130">
        <f>SQRT(G51^2*$I$27^2+H51^2*$F$18^2+I51^2*E51^2+J51^2*$E$28^2)</f>
        <v>3.4061778768623921E-19</v>
      </c>
      <c r="L51" s="134">
        <f>K51/F51</f>
        <v>0.20220924412118987</v>
      </c>
    </row>
    <row r="52" spans="1:12" x14ac:dyDescent="0.25">
      <c r="A52" s="135">
        <v>7</v>
      </c>
      <c r="B52" s="138">
        <v>74.53</v>
      </c>
      <c r="C52" s="130">
        <f>B52-B51</f>
        <v>1.9099999999999966</v>
      </c>
      <c r="D52" s="131">
        <f t="shared" ref="D52:D55" si="16">$B$12/C52</f>
        <v>2.6178010471204235E-4</v>
      </c>
      <c r="E52" s="131">
        <f t="shared" ref="E52:E54" si="17">SQRT(2)*D52*$B$13/C52</f>
        <v>4.8457195607751304E-5</v>
      </c>
      <c r="F52" s="131">
        <f t="shared" ref="F52:F55" si="18">-(4*PI()/3)*$F$27^3*($B$9-$B$8)*($B$6/$E$18)*(1-ABS(D52)/$D$27)</f>
        <v>2.2716896840624222E-18</v>
      </c>
      <c r="G52" s="131">
        <f t="shared" ref="G52:G55" si="19">F52*3/$F$27</f>
        <v>7.6216576768019903E-12</v>
      </c>
      <c r="H52" s="131">
        <f t="shared" ref="H52:H55" si="20">F52/$E$18</f>
        <v>8.4393271762918993E-23</v>
      </c>
      <c r="I52" s="130">
        <f t="shared" ref="I52:I55" si="21">-(4*PI()/3)*$F$27^3*($B$9-$B$8)*($B$6/$E$18)*(-1/$D$27)</f>
        <v>1.0482338615980894E-14</v>
      </c>
      <c r="J52" s="131">
        <f t="shared" ref="J52:J55" si="22">-(4*PI()/3)*$F$27^3*($B$9-$B$8)*($B$6/$E$18)*(-ABS(D52)/$D$27^2)</f>
        <v>6.0892433220762109E-14</v>
      </c>
      <c r="K52" s="130">
        <f t="shared" ref="K52:K55" si="23">SQRT(G52^2*$I$27^2+H52^2*$F$18^2+I52^2*E52^2+J52^2*$E$28^2)</f>
        <v>5.3753071735839332E-19</v>
      </c>
      <c r="L52" s="134">
        <f t="shared" ref="L52:L55" si="24">K52/F52</f>
        <v>0.2366215426030974</v>
      </c>
    </row>
    <row r="53" spans="1:12" x14ac:dyDescent="0.25">
      <c r="A53" s="135">
        <v>8</v>
      </c>
      <c r="B53" s="138">
        <v>76.319999999999993</v>
      </c>
      <c r="C53" s="130">
        <f>B53-B52</f>
        <v>1.789999999999992</v>
      </c>
      <c r="D53" s="131">
        <f t="shared" si="16"/>
        <v>2.7932960893854871E-4</v>
      </c>
      <c r="E53" s="131">
        <f t="shared" si="17"/>
        <v>5.5172028119171826E-5</v>
      </c>
      <c r="F53" s="131">
        <f t="shared" si="18"/>
        <v>2.4556495299072499E-18</v>
      </c>
      <c r="G53" s="131">
        <f t="shared" si="19"/>
        <v>8.2388541984674086E-12</v>
      </c>
      <c r="H53" s="131">
        <f t="shared" si="20"/>
        <v>9.1227380036054342E-23</v>
      </c>
      <c r="I53" s="130">
        <f t="shared" si="21"/>
        <v>1.0482338615980894E-14</v>
      </c>
      <c r="J53" s="131">
        <f t="shared" si="22"/>
        <v>6.497460751489158E-14</v>
      </c>
      <c r="K53" s="130">
        <f t="shared" si="23"/>
        <v>6.0858529299945927E-19</v>
      </c>
      <c r="L53" s="134">
        <f t="shared" si="24"/>
        <v>0.24783068006550821</v>
      </c>
    </row>
    <row r="54" spans="1:12" x14ac:dyDescent="0.25">
      <c r="A54" s="135">
        <v>9</v>
      </c>
      <c r="B54" s="138">
        <v>78.33</v>
      </c>
      <c r="C54" s="130">
        <f>B54-B53</f>
        <v>2.0100000000000051</v>
      </c>
      <c r="D54" s="131">
        <f t="shared" si="16"/>
        <v>2.4875621890547202E-4</v>
      </c>
      <c r="E54" s="131">
        <f t="shared" si="17"/>
        <v>4.3755524689150272E-5</v>
      </c>
      <c r="F54" s="131">
        <f t="shared" si="18"/>
        <v>2.135168902942085E-18</v>
      </c>
      <c r="G54" s="131">
        <f t="shared" si="19"/>
        <v>7.1636221155328603E-12</v>
      </c>
      <c r="H54" s="131">
        <f t="shared" si="20"/>
        <v>7.932152474429846E-23</v>
      </c>
      <c r="I54" s="130">
        <f t="shared" si="21"/>
        <v>1.0482338615980894E-14</v>
      </c>
      <c r="J54" s="131">
        <f t="shared" si="22"/>
        <v>5.7862958931171718E-14</v>
      </c>
      <c r="K54" s="130">
        <f t="shared" si="23"/>
        <v>4.8769706496032014E-19</v>
      </c>
      <c r="L54" s="134">
        <f t="shared" si="24"/>
        <v>0.22841146866101047</v>
      </c>
    </row>
    <row r="55" spans="1:12" x14ac:dyDescent="0.25">
      <c r="A55" s="135">
        <v>10</v>
      </c>
      <c r="B55" s="138">
        <v>80.239999999999995</v>
      </c>
      <c r="C55" s="130">
        <f>B55-B54</f>
        <v>1.9099999999999966</v>
      </c>
      <c r="D55" s="131">
        <f t="shared" si="16"/>
        <v>2.6178010471204235E-4</v>
      </c>
      <c r="E55" s="131">
        <f>SQRT(2)*D55*$B$13/C55</f>
        <v>4.8457195607751304E-5</v>
      </c>
      <c r="F55" s="131">
        <f t="shared" si="18"/>
        <v>2.2716896840624222E-18</v>
      </c>
      <c r="G55" s="131">
        <f t="shared" si="19"/>
        <v>7.6216576768019903E-12</v>
      </c>
      <c r="H55" s="131">
        <f t="shared" si="20"/>
        <v>8.4393271762918993E-23</v>
      </c>
      <c r="I55" s="130">
        <f t="shared" si="21"/>
        <v>1.0482338615980894E-14</v>
      </c>
      <c r="J55" s="131">
        <f t="shared" si="22"/>
        <v>6.0892433220762109E-14</v>
      </c>
      <c r="K55" s="130">
        <f t="shared" si="23"/>
        <v>5.3753071735839332E-19</v>
      </c>
      <c r="L55" s="134">
        <f t="shared" si="24"/>
        <v>0.2366215426030974</v>
      </c>
    </row>
    <row r="56" spans="1:12" x14ac:dyDescent="0.25">
      <c r="L56" s="134"/>
    </row>
    <row r="57" spans="1:12" x14ac:dyDescent="0.25">
      <c r="L57" s="134"/>
    </row>
    <row r="59" spans="1:12" x14ac:dyDescent="0.25">
      <c r="B59" s="130" t="s">
        <v>38</v>
      </c>
    </row>
    <row r="60" spans="1:12" x14ac:dyDescent="0.25">
      <c r="A60" s="131"/>
      <c r="B60" s="130" t="s">
        <v>44</v>
      </c>
      <c r="C60" s="130" t="s">
        <v>45</v>
      </c>
    </row>
    <row r="61" spans="1:12" x14ac:dyDescent="0.25">
      <c r="A61" s="130">
        <v>1</v>
      </c>
      <c r="B61" s="131">
        <f>F41</f>
        <v>2.2021368639777403E-18</v>
      </c>
      <c r="C61" s="130">
        <f>K41</f>
        <v>2.5600246139800609E-19</v>
      </c>
    </row>
    <row r="62" spans="1:12" x14ac:dyDescent="0.25">
      <c r="A62" s="130">
        <v>2</v>
      </c>
      <c r="B62" s="131">
        <f t="shared" ref="B62:B65" si="25">F42</f>
        <v>2.1907941830103838E-18</v>
      </c>
      <c r="C62" s="130">
        <f t="shared" ref="C62:C65" si="26">K42</f>
        <v>2.5340804524467871E-19</v>
      </c>
    </row>
    <row r="63" spans="1:12" x14ac:dyDescent="0.25">
      <c r="A63" s="130">
        <v>3</v>
      </c>
      <c r="B63" s="131">
        <f t="shared" si="25"/>
        <v>2.304954697571687E-18</v>
      </c>
      <c r="C63" s="130">
        <f t="shared" si="26"/>
        <v>2.8031279794866189E-19</v>
      </c>
    </row>
    <row r="64" spans="1:12" x14ac:dyDescent="0.25">
      <c r="A64" s="130">
        <v>4</v>
      </c>
      <c r="B64" s="131">
        <f t="shared" si="25"/>
        <v>2.2194344524529566E-18</v>
      </c>
      <c r="C64" s="130">
        <f t="shared" si="26"/>
        <v>2.5999236667448804E-19</v>
      </c>
    </row>
    <row r="65" spans="1:3" x14ac:dyDescent="0.25">
      <c r="A65" s="130">
        <v>5</v>
      </c>
      <c r="B65" s="131">
        <f t="shared" si="25"/>
        <v>2.4135518342303786E-18</v>
      </c>
      <c r="C65" s="130">
        <f t="shared" si="26"/>
        <v>3.0754425739707997E-19</v>
      </c>
    </row>
    <row r="66" spans="1:3" x14ac:dyDescent="0.25">
      <c r="A66" s="130">
        <v>6</v>
      </c>
      <c r="B66" s="131">
        <f>F51</f>
        <v>1.6844817810707857E-18</v>
      </c>
      <c r="C66" s="130">
        <f>K51</f>
        <v>3.4061778768623921E-19</v>
      </c>
    </row>
    <row r="67" spans="1:3" x14ac:dyDescent="0.25">
      <c r="A67" s="130">
        <v>7</v>
      </c>
      <c r="B67" s="131">
        <f t="shared" ref="B67:B70" si="27">F52</f>
        <v>2.2716896840624222E-18</v>
      </c>
      <c r="C67" s="130">
        <f t="shared" ref="C67:C70" si="28">K52</f>
        <v>5.3753071735839332E-19</v>
      </c>
    </row>
    <row r="68" spans="1:3" x14ac:dyDescent="0.25">
      <c r="A68" s="130">
        <v>8</v>
      </c>
      <c r="B68" s="131">
        <f t="shared" si="27"/>
        <v>2.4556495299072499E-18</v>
      </c>
      <c r="C68" s="130">
        <f t="shared" si="28"/>
        <v>6.0858529299945927E-19</v>
      </c>
    </row>
    <row r="69" spans="1:3" x14ac:dyDescent="0.25">
      <c r="A69" s="130">
        <v>9</v>
      </c>
      <c r="B69" s="131">
        <f t="shared" si="27"/>
        <v>2.135168902942085E-18</v>
      </c>
      <c r="C69" s="130">
        <f t="shared" si="28"/>
        <v>4.8769706496032014E-19</v>
      </c>
    </row>
    <row r="70" spans="1:3" x14ac:dyDescent="0.25">
      <c r="A70" s="130">
        <v>10</v>
      </c>
      <c r="B70" s="131">
        <f t="shared" si="27"/>
        <v>2.2716896840624222E-18</v>
      </c>
      <c r="C70" s="130">
        <f t="shared" si="28"/>
        <v>5.3753071735839332E-19</v>
      </c>
    </row>
  </sheetData>
  <mergeCells count="2">
    <mergeCell ref="A1:C2"/>
    <mergeCell ref="A14:C15"/>
  </mergeCells>
  <conditionalFormatting sqref="C32:G36">
    <cfRule type="cellIs" dxfId="20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F2E2A78A-280E-44CA-ADEF-4CBCCEF8DDBA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9DC7A4AB-9BE9-4B78-81D9-91F26B57EB88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D7" workbookViewId="0">
      <selection activeCell="D61" sqref="D61:D71"/>
    </sheetView>
  </sheetViews>
  <sheetFormatPr defaultRowHeight="15" x14ac:dyDescent="0.25"/>
  <cols>
    <col min="1" max="1" width="13.140625" style="138" customWidth="1"/>
    <col min="2" max="2" width="9.140625" style="138"/>
    <col min="3" max="5" width="12" style="138" customWidth="1"/>
    <col min="6" max="7" width="12.140625" style="138" customWidth="1"/>
    <col min="8" max="9" width="12" style="138" customWidth="1"/>
    <col min="10" max="10" width="9.140625" style="138"/>
    <col min="11" max="11" width="12" style="138" customWidth="1"/>
    <col min="12" max="16384" width="9.140625" style="138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138" t="s">
        <v>1</v>
      </c>
      <c r="C4" s="138" t="s">
        <v>2</v>
      </c>
    </row>
    <row r="5" spans="1:5" x14ac:dyDescent="0.25">
      <c r="A5" s="138" t="str">
        <f>[1]Dati!A5</f>
        <v>d</v>
      </c>
      <c r="B5" s="139">
        <f>Dati!B5</f>
        <v>7.4300000000000008E-3</v>
      </c>
      <c r="C5" s="179">
        <f>Dati!C5</f>
        <v>1.0000000000000001E-5</v>
      </c>
    </row>
    <row r="6" spans="1:5" x14ac:dyDescent="0.25">
      <c r="A6" s="138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38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38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38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38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38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38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38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141"/>
    </row>
    <row r="15" spans="1:5" x14ac:dyDescent="0.25">
      <c r="A15" s="193"/>
      <c r="B15" s="193"/>
      <c r="C15" s="193"/>
      <c r="D15" s="141"/>
    </row>
    <row r="16" spans="1:5" x14ac:dyDescent="0.25">
      <c r="A16" s="138" t="s">
        <v>18</v>
      </c>
      <c r="B16" s="138">
        <v>200</v>
      </c>
      <c r="C16" s="138">
        <f>B16/100</f>
        <v>2</v>
      </c>
      <c r="D16" s="138" t="s">
        <v>19</v>
      </c>
      <c r="E16" s="138">
        <f>(1.8+(B18-15)*0.004765)*0.00001</f>
        <v>1.8262075000000001E-5</v>
      </c>
    </row>
    <row r="17" spans="1:10" x14ac:dyDescent="0.25">
      <c r="A17" s="138" t="s">
        <v>20</v>
      </c>
      <c r="E17" s="140"/>
    </row>
    <row r="18" spans="1:10" x14ac:dyDescent="0.25">
      <c r="A18" s="138" t="s">
        <v>21</v>
      </c>
      <c r="B18" s="138">
        <v>20.5</v>
      </c>
      <c r="C18" s="138">
        <v>0.5</v>
      </c>
      <c r="D18" s="138" t="s">
        <v>22</v>
      </c>
      <c r="E18" s="139">
        <f>B16/B5</f>
        <v>26917.900403768504</v>
      </c>
      <c r="F18" s="138">
        <f>SQRT((C16/B5)^2+(B16*C5/B5^2)^2)</f>
        <v>271.60606143374878</v>
      </c>
      <c r="G18" s="139"/>
    </row>
    <row r="21" spans="1:10" x14ac:dyDescent="0.25">
      <c r="B21" s="138" t="s">
        <v>23</v>
      </c>
      <c r="C21" s="138" t="s">
        <v>27</v>
      </c>
      <c r="D21" s="138" t="s">
        <v>24</v>
      </c>
      <c r="E21" s="138" t="s">
        <v>29</v>
      </c>
      <c r="F21" s="138" t="s">
        <v>25</v>
      </c>
      <c r="G21" s="138" t="s">
        <v>26</v>
      </c>
      <c r="H21" s="138" t="s">
        <v>28</v>
      </c>
      <c r="I21" s="138" t="s">
        <v>31</v>
      </c>
      <c r="J21" s="138" t="s">
        <v>32</v>
      </c>
    </row>
    <row r="22" spans="1:10" x14ac:dyDescent="0.25">
      <c r="A22" s="138">
        <v>1</v>
      </c>
      <c r="B22" s="144">
        <v>17.03</v>
      </c>
      <c r="C22" s="138">
        <f>B22</f>
        <v>17.03</v>
      </c>
      <c r="D22" s="139">
        <f>B12/B22</f>
        <v>2.9359953024075161E-5</v>
      </c>
      <c r="E22" s="139">
        <f>SQRT(2)*D22*$B$13/C22</f>
        <v>6.0953088310751702E-7</v>
      </c>
      <c r="F22" s="5">
        <f>(($B$10/(2*$B$7))^2+9*$E$16*D22/(2*$B$6*($B$9-$B$8)))^(1/2)-$B$10/(2*$B$7)</f>
        <v>7.1444389163044489E-7</v>
      </c>
      <c r="G22" s="138">
        <f>(($B$10/(2*$B$7))^2+9*$E$16*D22/(2*$B$6*($B$9-$B$8)))^(-1/2)*(9*$E$16)/(4*$B$6*$B$9)</f>
        <v>4.2928760093560283E-3</v>
      </c>
      <c r="H22" s="138">
        <f>(($B$10/(2*$B$7))^2+9*$E$16*D22/(2*$B$6*($B$9-$B$8)))^(-1/2)*((9*D22)/(4*$B$6*$B$9))*0.00000004765</f>
        <v>3.288641131638854E-10</v>
      </c>
      <c r="I22" s="138">
        <f>SQRT(G22^2*E22^2+H22^2*$C$18^2+$F$28^2)</f>
        <v>3.2942899945956777E-8</v>
      </c>
      <c r="J22" s="139">
        <f>I22/F22</f>
        <v>4.6109848977471425E-2</v>
      </c>
    </row>
    <row r="23" spans="1:10" x14ac:dyDescent="0.25">
      <c r="A23" s="138">
        <v>2</v>
      </c>
      <c r="B23" s="144">
        <v>31.23</v>
      </c>
      <c r="C23" s="138">
        <f>B23-B22</f>
        <v>14.2</v>
      </c>
      <c r="D23" s="139">
        <f>$B$12/(B23-B22)</f>
        <v>3.5211267605633805E-5</v>
      </c>
      <c r="E23" s="139">
        <f t="shared" ref="E23:E25" si="0">SQRT(2)*D23*$B$13/C23</f>
        <v>8.7669458091964351E-7</v>
      </c>
      <c r="F23" s="5">
        <f>(($B$10/(2*$B$7))^2+9*E16*D23/(2*$B$6*($B$9-$B$8)))^(1/2)-$B$10/(2*$B$7)</f>
        <v>7.860560826464202E-7</v>
      </c>
      <c r="G23" s="138">
        <f t="shared" ref="G23:G27" si="1">(($B$10/(2*$B$7))^2+9*$E$16*D23/(2*$B$6*($B$9-$B$8)))^(-1/2)*(9*$E$16)/(4*$B$6*$B$9)</f>
        <v>3.9209282278405552E-3</v>
      </c>
      <c r="H23" s="138">
        <f t="shared" ref="H23:H27" si="2">(($B$10/(2*$B$7))^2+9*$E$16*D23/(2*$B$6*($B$9-$B$8)))^(-1/2)*((9*D23)/(4*$B$6*$B$9))*0.00000004765</f>
        <v>3.6023286783568505E-10</v>
      </c>
      <c r="I23" s="138">
        <f t="shared" ref="I23:I27" si="3">SQRT(G23^2*E23^2+H23^2*$C$18^2+$F$28^2)</f>
        <v>3.3018318563148002E-8</v>
      </c>
      <c r="J23" s="139">
        <f t="shared" ref="J23:J27" si="4">I23/F23</f>
        <v>4.2005041742040859E-2</v>
      </c>
    </row>
    <row r="24" spans="1:10" x14ac:dyDescent="0.25">
      <c r="A24" s="138">
        <v>3</v>
      </c>
      <c r="B24" s="144">
        <v>47.66</v>
      </c>
      <c r="C24" s="138">
        <f t="shared" ref="C24:C26" si="5">B24-B23</f>
        <v>16.429999999999996</v>
      </c>
      <c r="D24" s="139">
        <f>$B$12/(B24-B23)</f>
        <v>3.0432136335970792E-5</v>
      </c>
      <c r="E24" s="139">
        <f t="shared" si="0"/>
        <v>6.5486214148382497E-7</v>
      </c>
      <c r="F24" s="5">
        <f>(($B$10/(2*$B$7))^2+9*E16*D24/(2*$B$6*($B$9-$B$8)))^(1/2)-$B$10/(2*$B$7)</f>
        <v>7.2806546818146406E-7</v>
      </c>
      <c r="G24" s="138">
        <f t="shared" si="1"/>
        <v>4.2167881653367364E-3</v>
      </c>
      <c r="H24" s="138">
        <f t="shared" si="2"/>
        <v>3.3483203947828009E-10</v>
      </c>
      <c r="I24" s="138">
        <f t="shared" si="3"/>
        <v>3.295473034246217E-8</v>
      </c>
      <c r="J24" s="139">
        <f t="shared" si="4"/>
        <v>4.5263416248507597E-2</v>
      </c>
    </row>
    <row r="25" spans="1:10" x14ac:dyDescent="0.25">
      <c r="A25" s="138">
        <v>4</v>
      </c>
      <c r="B25" s="144">
        <v>62.87</v>
      </c>
      <c r="C25" s="138">
        <f t="shared" si="5"/>
        <v>15.21</v>
      </c>
      <c r="D25" s="139">
        <f>$B$12/(B25-B24)</f>
        <v>3.2873109796186718E-5</v>
      </c>
      <c r="E25" s="139">
        <f t="shared" si="0"/>
        <v>7.641288249695449E-7</v>
      </c>
      <c r="F25" s="5">
        <f>(($B$10/(2*$B$7))^2+9*E16*D25/(2*$B$6*($B$9-$B$8)))^(1/2)-$B$10/(2*$B$7)</f>
        <v>7.5821082142709601E-7</v>
      </c>
      <c r="G25" s="138">
        <f t="shared" si="1"/>
        <v>4.0576287820141242E-3</v>
      </c>
      <c r="H25" s="138">
        <f t="shared" si="2"/>
        <v>3.4803737600886464E-10</v>
      </c>
      <c r="I25" s="138">
        <f t="shared" si="3"/>
        <v>3.2984913386664369E-8</v>
      </c>
      <c r="J25" s="139">
        <f t="shared" si="4"/>
        <v>4.3503617271751054E-2</v>
      </c>
    </row>
    <row r="26" spans="1:10" x14ac:dyDescent="0.25">
      <c r="A26" s="138">
        <v>5</v>
      </c>
      <c r="B26" s="144">
        <v>80.23</v>
      </c>
      <c r="C26" s="138">
        <f t="shared" si="5"/>
        <v>17.360000000000007</v>
      </c>
      <c r="D26" s="139">
        <f>$B$12/(B26-B25)</f>
        <v>2.880184331797234E-5</v>
      </c>
      <c r="E26" s="139">
        <f>SQRT(2)*D26*$B$13/C26</f>
        <v>5.8657772813394833E-7</v>
      </c>
      <c r="F26" s="5">
        <f>(($B$10/(2*$B$7))^2+9*E16*D26/(2*$B$6*($B$9-$B$8)))^(1/2)-$B$10/(2*$B$7)</f>
        <v>7.0725517602644407E-7</v>
      </c>
      <c r="G26" s="138">
        <f t="shared" si="1"/>
        <v>4.3341485509363533E-3</v>
      </c>
      <c r="H26" s="138">
        <f t="shared" si="2"/>
        <v>3.2571432465720368E-10</v>
      </c>
      <c r="I26" s="138">
        <f t="shared" si="3"/>
        <v>3.2937071810998053E-8</v>
      </c>
      <c r="J26" s="139">
        <f t="shared" si="4"/>
        <v>4.6570280328024842E-2</v>
      </c>
    </row>
    <row r="27" spans="1:10" x14ac:dyDescent="0.25">
      <c r="A27" s="7" t="s">
        <v>34</v>
      </c>
      <c r="B27" s="7"/>
      <c r="C27" s="7">
        <f>AVERAGE(C22:C26)</f>
        <v>16.045999999999999</v>
      </c>
      <c r="D27" s="7">
        <f>AVERAGE(D22:D26)</f>
        <v>3.1335662015967765E-5</v>
      </c>
      <c r="E27" s="8">
        <f>SQRT(2)*D27*$B$13/C27</f>
        <v>6.9044182676244949E-7</v>
      </c>
      <c r="F27" s="9">
        <f>AVERAGE(F22:F26)</f>
        <v>7.3880628798237384E-7</v>
      </c>
      <c r="G27" s="7">
        <f t="shared" si="1"/>
        <v>4.1557166195031209E-3</v>
      </c>
      <c r="H27" s="7">
        <f t="shared" si="2"/>
        <v>3.3977982032713723E-10</v>
      </c>
      <c r="I27" s="7">
        <f t="shared" si="3"/>
        <v>3.2963956755991784E-8</v>
      </c>
      <c r="J27" s="8">
        <f t="shared" si="4"/>
        <v>4.4617861667114324E-2</v>
      </c>
    </row>
    <row r="28" spans="1:10" x14ac:dyDescent="0.25">
      <c r="A28" s="138" t="s">
        <v>35</v>
      </c>
      <c r="C28" s="6">
        <f>_xlfn.STDEV.S(C22:C26)</f>
        <v>1.318040211829671</v>
      </c>
      <c r="D28" s="139">
        <f>_xlfn.STDEV.S(D22:D26)</f>
        <v>2.6703972659943947E-6</v>
      </c>
      <c r="E28" s="8">
        <f>SQRT(2)*D28*$B$13/C28</f>
        <v>7.1631199044580837E-7</v>
      </c>
      <c r="F28" s="139">
        <f>_xlfn.STDEV.S(F22:F26)</f>
        <v>3.2838404519942786E-8</v>
      </c>
    </row>
    <row r="30" spans="1:10" x14ac:dyDescent="0.25">
      <c r="A30" s="138" t="s">
        <v>31</v>
      </c>
      <c r="C30" s="138">
        <f t="array" ref="C30:G31">TRANSPOSE(A32:B36)</f>
        <v>3.2942899945956777E-8</v>
      </c>
      <c r="D30" s="138">
        <v>3.3018318563148002E-8</v>
      </c>
      <c r="E30" s="138">
        <v>3.295473034246217E-8</v>
      </c>
      <c r="F30" s="138">
        <v>3.2984913386664369E-8</v>
      </c>
      <c r="G30" s="138">
        <v>3.2937071810998053E-8</v>
      </c>
    </row>
    <row r="31" spans="1:10" x14ac:dyDescent="0.25">
      <c r="B31" s="138" t="s">
        <v>25</v>
      </c>
      <c r="C31" s="138">
        <v>7.1444389163044489E-7</v>
      </c>
      <c r="D31" s="138">
        <v>7.860560826464202E-7</v>
      </c>
      <c r="E31" s="138">
        <v>7.2806546818146406E-7</v>
      </c>
      <c r="F31" s="138">
        <v>7.5821082142709601E-7</v>
      </c>
      <c r="G31" s="138">
        <v>7.0725517602644407E-7</v>
      </c>
    </row>
    <row r="32" spans="1:10" x14ac:dyDescent="0.25">
      <c r="A32" s="138">
        <f>I22</f>
        <v>3.2942899945956777E-8</v>
      </c>
      <c r="B32" s="5">
        <f>F22</f>
        <v>7.1444389163044489E-7</v>
      </c>
      <c r="C32" s="138">
        <f t="shared" ref="C32:G36" si="6">(C$31-$B32)/SQRT(C$30^2+$A32^2)</f>
        <v>0</v>
      </c>
      <c r="D32" s="138">
        <f t="shared" si="6"/>
        <v>1.5353698408873555</v>
      </c>
      <c r="E32" s="138">
        <f t="shared" si="6"/>
        <v>0.29232944955085305</v>
      </c>
      <c r="F32" s="138">
        <f t="shared" si="6"/>
        <v>0.93884159059640948</v>
      </c>
      <c r="G32" s="138">
        <f t="shared" si="6"/>
        <v>-0.15431668824851341</v>
      </c>
    </row>
    <row r="33" spans="1:12" x14ac:dyDescent="0.25">
      <c r="A33" s="138">
        <f>I23</f>
        <v>3.3018318563148002E-8</v>
      </c>
      <c r="B33" s="5">
        <f>F23</f>
        <v>7.860560826464202E-7</v>
      </c>
      <c r="C33" s="138">
        <f t="shared" si="6"/>
        <v>-1.5353698408873555</v>
      </c>
      <c r="D33" s="138">
        <f t="shared" si="6"/>
        <v>0</v>
      </c>
      <c r="E33" s="138">
        <f t="shared" si="6"/>
        <v>-1.2430996707381841</v>
      </c>
      <c r="F33" s="138">
        <f t="shared" si="6"/>
        <v>-0.59662443576426094</v>
      </c>
      <c r="G33" s="138">
        <f t="shared" si="6"/>
        <v>-1.6896454661924707</v>
      </c>
    </row>
    <row r="34" spans="1:12" x14ac:dyDescent="0.25">
      <c r="A34" s="138">
        <f>I24</f>
        <v>3.295473034246217E-8</v>
      </c>
      <c r="B34" s="5">
        <f>F24</f>
        <v>7.2806546818146406E-7</v>
      </c>
      <c r="C34" s="138">
        <f t="shared" si="6"/>
        <v>-0.29232944955085305</v>
      </c>
      <c r="D34" s="138">
        <f t="shared" si="6"/>
        <v>1.2430996707381841</v>
      </c>
      <c r="E34" s="138">
        <f t="shared" si="6"/>
        <v>0</v>
      </c>
      <c r="F34" s="138">
        <f t="shared" si="6"/>
        <v>0.64653007698112575</v>
      </c>
      <c r="G34" s="138">
        <f t="shared" si="6"/>
        <v>-0.44664427719237065</v>
      </c>
    </row>
    <row r="35" spans="1:12" x14ac:dyDescent="0.25">
      <c r="A35" s="138">
        <f>I25</f>
        <v>3.2984913386664369E-8</v>
      </c>
      <c r="B35" s="5">
        <f>F25</f>
        <v>7.5821082142709601E-7</v>
      </c>
      <c r="C35" s="138">
        <f t="shared" si="6"/>
        <v>-0.93884159059640948</v>
      </c>
      <c r="D35" s="138">
        <f t="shared" si="6"/>
        <v>0.59662443576426094</v>
      </c>
      <c r="E35" s="138">
        <f t="shared" si="6"/>
        <v>-0.64653007698112575</v>
      </c>
      <c r="F35" s="138">
        <f t="shared" si="6"/>
        <v>0</v>
      </c>
      <c r="G35" s="138">
        <f t="shared" si="6"/>
        <v>-1.0931428356109731</v>
      </c>
    </row>
    <row r="36" spans="1:12" x14ac:dyDescent="0.25">
      <c r="A36" s="138">
        <f>I26</f>
        <v>3.2937071810998053E-8</v>
      </c>
      <c r="B36" s="5">
        <f>F26</f>
        <v>7.0725517602644407E-7</v>
      </c>
      <c r="C36" s="138">
        <f t="shared" si="6"/>
        <v>0.15431668824851341</v>
      </c>
      <c r="D36" s="138">
        <f t="shared" si="6"/>
        <v>1.6896454661924707</v>
      </c>
      <c r="E36" s="138">
        <f t="shared" si="6"/>
        <v>0.44664427719237065</v>
      </c>
      <c r="F36" s="138">
        <f t="shared" si="6"/>
        <v>1.0931428356109731</v>
      </c>
      <c r="G36" s="138">
        <f t="shared" si="6"/>
        <v>0</v>
      </c>
    </row>
    <row r="39" spans="1:12" x14ac:dyDescent="0.25">
      <c r="A39" s="138" t="s">
        <v>7</v>
      </c>
    </row>
    <row r="40" spans="1:12" x14ac:dyDescent="0.25">
      <c r="B40" s="138" t="s">
        <v>36</v>
      </c>
      <c r="C40" s="138" t="s">
        <v>27</v>
      </c>
      <c r="D40" s="138" t="s">
        <v>24</v>
      </c>
      <c r="E40" s="138" t="s">
        <v>29</v>
      </c>
      <c r="F40" s="138" t="s">
        <v>37</v>
      </c>
      <c r="G40" s="138" t="s">
        <v>39</v>
      </c>
      <c r="H40" s="138" t="s">
        <v>40</v>
      </c>
      <c r="I40" s="138" t="s">
        <v>41</v>
      </c>
      <c r="J40" s="138" t="s">
        <v>42</v>
      </c>
      <c r="K40" s="138" t="s">
        <v>2</v>
      </c>
      <c r="L40" s="138" t="s">
        <v>43</v>
      </c>
    </row>
    <row r="41" spans="1:12" x14ac:dyDescent="0.25">
      <c r="A41" s="143">
        <v>1</v>
      </c>
      <c r="B41" s="145">
        <v>89.19</v>
      </c>
      <c r="C41" s="138">
        <f>B41-B26</f>
        <v>8.9599999999999937</v>
      </c>
      <c r="D41" s="139">
        <f>$B$12/C41</f>
        <v>5.5803571428571467E-5</v>
      </c>
      <c r="E41" s="139">
        <f>SQRT(2)*D41*$B$13/C41</f>
        <v>2.2019577997528346E-6</v>
      </c>
      <c r="F41" s="139">
        <f>(4*PI()/3)*$F$27^3*($B$9-$B$8)*($B$6/$E$18)*(1+ABS(D41)/$D$27)</f>
        <v>7.409583946770674E-19</v>
      </c>
      <c r="G41" s="139">
        <f>F41*3/$F$27</f>
        <v>3.0087388537281031E-12</v>
      </c>
      <c r="H41" s="139">
        <f>F41/$E$18</f>
        <v>2.7526604362253057E-23</v>
      </c>
      <c r="I41" s="138">
        <f>(4*PI()/3)*$F$27^3*($B$9-$B$8)*($B$6/$E$18)*(1/$D$27)</f>
        <v>8.5031548406798751E-15</v>
      </c>
      <c r="J41" s="139">
        <f>(4*PI()/3)*$F$27^3*($B$9-$B$8)*($B$6/$E$18)*(ABS(D41)/$D$27^2)</f>
        <v>1.5142696148506056E-14</v>
      </c>
      <c r="K41" s="138">
        <f>SQRT(G41^2*$I$27^2+H41^2*$F$18^2+I41^2*E41^2+J41^2*$E$28^2)</f>
        <v>1.0178793799426031E-19</v>
      </c>
      <c r="L41" s="142">
        <f>K41/F41</f>
        <v>0.13737335149380775</v>
      </c>
    </row>
    <row r="42" spans="1:12" x14ac:dyDescent="0.25">
      <c r="A42" s="143">
        <v>2</v>
      </c>
      <c r="B42" s="145">
        <v>98.03</v>
      </c>
      <c r="C42" s="138">
        <f>B42-B41</f>
        <v>8.8400000000000034</v>
      </c>
      <c r="D42" s="139">
        <f t="shared" ref="D42:D45" si="7">$B$12/C42</f>
        <v>5.6561085972850661E-5</v>
      </c>
      <c r="E42" s="139">
        <f t="shared" ref="E42:E44" si="8">SQRT(2)*D42*$B$13/C42</f>
        <v>2.2621452173460408E-6</v>
      </c>
      <c r="F42" s="139">
        <f t="shared" ref="F42:F45" si="9">(4*PI()/3)*$F$27^3*($B$9-$B$8)*($B$6/$E$18)*(1+ABS(D42)/$D$27)</f>
        <v>7.4739965814114042E-19</v>
      </c>
      <c r="G42" s="139">
        <f t="shared" ref="G42:G45" si="10">F42*3/$F$27</f>
        <v>3.0348942759362584E-12</v>
      </c>
      <c r="H42" s="139">
        <f t="shared" ref="H42:H45" si="11">F42/$E$18</f>
        <v>2.7765897299943369E-23</v>
      </c>
      <c r="I42" s="138">
        <f t="shared" ref="I42:I45" si="12">(4*PI()/3)*$F$27^3*($B$9-$B$8)*($B$6/$E$18)*(1/$D$27)</f>
        <v>8.5031548406798751E-15</v>
      </c>
      <c r="J42" s="139">
        <f t="shared" ref="J42:J45" si="13">(4*PI()/3)*$F$27^3*($B$9-$B$8)*($B$6/$E$18)*(ABS(D42)/$D$27^2)</f>
        <v>1.5348253109797979E-14</v>
      </c>
      <c r="K42" s="138">
        <f t="shared" ref="K42:K45" si="14">SQRT(G42^2*$I$27^2+H42^2*$F$18^2+I42^2*E42^2+J42^2*$E$28^2)</f>
        <v>1.0274322155588898E-19</v>
      </c>
      <c r="L42" s="142">
        <f t="shared" ref="L42:L45" si="15">K42/F42</f>
        <v>0.13746757900775858</v>
      </c>
    </row>
    <row r="43" spans="1:12" x14ac:dyDescent="0.25">
      <c r="A43" s="143">
        <v>3</v>
      </c>
      <c r="B43" s="145">
        <v>108.1</v>
      </c>
      <c r="C43" s="138">
        <f>B43-B42</f>
        <v>10.069999999999993</v>
      </c>
      <c r="D43" s="139">
        <f t="shared" si="7"/>
        <v>4.9652432969215525E-5</v>
      </c>
      <c r="E43" s="139">
        <f t="shared" si="8"/>
        <v>1.7432756730358901E-6</v>
      </c>
      <c r="F43" s="139">
        <f t="shared" si="9"/>
        <v>6.886543119107028E-19</v>
      </c>
      <c r="G43" s="139">
        <f t="shared" si="10"/>
        <v>2.796352669620751E-12</v>
      </c>
      <c r="H43" s="139">
        <f t="shared" si="11"/>
        <v>2.5583507687482612E-23</v>
      </c>
      <c r="I43" s="138">
        <f t="shared" si="12"/>
        <v>8.5031548406798751E-15</v>
      </c>
      <c r="J43" s="139">
        <f t="shared" si="13"/>
        <v>1.347354096232515E-14</v>
      </c>
      <c r="K43" s="138">
        <f t="shared" si="14"/>
        <v>9.4117490093693436E-20</v>
      </c>
      <c r="L43" s="142">
        <f t="shared" si="15"/>
        <v>0.13666870077755</v>
      </c>
    </row>
    <row r="44" spans="1:12" x14ac:dyDescent="0.25">
      <c r="A44" s="143">
        <v>4</v>
      </c>
      <c r="B44" s="145">
        <v>116.8</v>
      </c>
      <c r="C44" s="138">
        <f>B44-B43</f>
        <v>8.7000000000000028</v>
      </c>
      <c r="D44" s="139">
        <f t="shared" si="7"/>
        <v>5.7471264367816076E-5</v>
      </c>
      <c r="E44" s="139">
        <f t="shared" si="8"/>
        <v>2.335535675738364E-6</v>
      </c>
      <c r="F44" s="139">
        <f t="shared" si="9"/>
        <v>7.5513904596617283E-19</v>
      </c>
      <c r="G44" s="139">
        <f t="shared" si="10"/>
        <v>3.0663208675242974E-12</v>
      </c>
      <c r="H44" s="139">
        <f t="shared" si="11"/>
        <v>2.8053415557643321E-23</v>
      </c>
      <c r="I44" s="138">
        <f t="shared" si="12"/>
        <v>8.5031548406798751E-15</v>
      </c>
      <c r="J44" s="139">
        <f t="shared" si="13"/>
        <v>1.5595236493174037E-14</v>
      </c>
      <c r="K44" s="138">
        <f t="shared" si="14"/>
        <v>1.0389428019312922E-19</v>
      </c>
      <c r="L44" s="142">
        <f t="shared" si="15"/>
        <v>0.13758297991358701</v>
      </c>
    </row>
    <row r="45" spans="1:12" x14ac:dyDescent="0.25">
      <c r="A45" s="143">
        <v>5</v>
      </c>
      <c r="B45" s="145">
        <v>126.08</v>
      </c>
      <c r="C45" s="138">
        <f>B45-B44</f>
        <v>9.2800000000000011</v>
      </c>
      <c r="D45" s="139">
        <f t="shared" si="7"/>
        <v>5.3879310344827579E-5</v>
      </c>
      <c r="E45" s="139">
        <f>SQRT(2)*D45*$B$13/C45</f>
        <v>2.0527169025044225E-6</v>
      </c>
      <c r="F45" s="139">
        <f t="shared" si="9"/>
        <v>7.2459610472809863E-19</v>
      </c>
      <c r="G45" s="139">
        <f t="shared" si="10"/>
        <v>2.9422980685786435E-12</v>
      </c>
      <c r="H45" s="139">
        <f t="shared" si="11"/>
        <v>2.6918745290648867E-23</v>
      </c>
      <c r="I45" s="138">
        <f t="shared" si="12"/>
        <v>8.5031548406798751E-15</v>
      </c>
      <c r="J45" s="139">
        <f t="shared" si="13"/>
        <v>1.4620534212350665E-14</v>
      </c>
      <c r="K45" s="138">
        <f t="shared" si="14"/>
        <v>9.9372111546191878E-20</v>
      </c>
      <c r="L45" s="142">
        <f t="shared" si="15"/>
        <v>0.13714138248573776</v>
      </c>
    </row>
    <row r="46" spans="1:12" x14ac:dyDescent="0.25">
      <c r="L46" s="142"/>
    </row>
    <row r="47" spans="1:12" x14ac:dyDescent="0.25">
      <c r="L47" s="142"/>
    </row>
    <row r="49" spans="1:12" x14ac:dyDescent="0.25">
      <c r="A49" s="138" t="s">
        <v>7</v>
      </c>
    </row>
    <row r="50" spans="1:12" x14ac:dyDescent="0.25">
      <c r="B50" s="138" t="s">
        <v>23</v>
      </c>
      <c r="C50" s="138" t="s">
        <v>27</v>
      </c>
      <c r="D50" s="138" t="s">
        <v>24</v>
      </c>
      <c r="E50" s="138" t="s">
        <v>29</v>
      </c>
      <c r="F50" s="138" t="s">
        <v>37</v>
      </c>
      <c r="G50" s="138" t="s">
        <v>39</v>
      </c>
      <c r="H50" s="138" t="s">
        <v>40</v>
      </c>
      <c r="I50" s="138" t="s">
        <v>41</v>
      </c>
      <c r="J50" s="138" t="s">
        <v>42</v>
      </c>
      <c r="K50" s="138" t="s">
        <v>2</v>
      </c>
      <c r="L50" s="138" t="s">
        <v>43</v>
      </c>
    </row>
    <row r="51" spans="1:12" x14ac:dyDescent="0.25">
      <c r="A51" s="143">
        <v>6</v>
      </c>
      <c r="B51" s="146">
        <v>130.31</v>
      </c>
      <c r="C51" s="138">
        <f>B51-B45</f>
        <v>4.230000000000004</v>
      </c>
      <c r="D51" s="139">
        <f>$B$12/C51</f>
        <v>1.1820330969267128E-4</v>
      </c>
      <c r="E51" s="139">
        <f>SQRT(2)*D51*$B$13/C51</f>
        <v>9.8797118016999232E-6</v>
      </c>
      <c r="F51" s="139">
        <f>-(4*PI()/3)*$F$27^3*($B$9-$B$8)*($B$6/$E$18)*(1-ABS(D51)/$D$27)</f>
        <v>7.3864905884063535E-19</v>
      </c>
      <c r="G51" s="139">
        <f>F51*3/$F$27</f>
        <v>2.9993615546688109E-12</v>
      </c>
      <c r="H51" s="139">
        <f>F51/$E$18</f>
        <v>2.7440812535929606E-23</v>
      </c>
      <c r="I51" s="138">
        <f>-(4*PI()/3)*$F$27^3*($B$9-$B$8)*($B$6/$E$18)*(-1/$D$27)</f>
        <v>8.5031548406798751E-15</v>
      </c>
      <c r="J51" s="139">
        <f>-(4*PI()/3)*$F$27^3*($B$9-$B$8)*($B$6/$E$18)*(-ABS(D51)/$D$27^2)</f>
        <v>3.2075309099435942E-14</v>
      </c>
      <c r="K51" s="138">
        <f>SQRT(G51^2*$I$27^2+H51^2*$F$18^2+I51^2*E51^2+J51^2*$E$28^2)</f>
        <v>1.3197100710790716E-19</v>
      </c>
      <c r="L51" s="142">
        <f>K51/F51</f>
        <v>0.17866536960738225</v>
      </c>
    </row>
    <row r="52" spans="1:12" x14ac:dyDescent="0.25">
      <c r="A52" s="143">
        <v>7</v>
      </c>
      <c r="B52" s="146">
        <v>134.4</v>
      </c>
      <c r="C52" s="138">
        <f>B52-B51</f>
        <v>4.0900000000000034</v>
      </c>
      <c r="D52" s="139">
        <f t="shared" ref="D52:D55" si="16">$B$12/C52</f>
        <v>1.2224938875305614E-4</v>
      </c>
      <c r="E52" s="139">
        <f t="shared" ref="E52:E54" si="17">SQRT(2)*D52*$B$13/C52</f>
        <v>1.0567649362248947E-5</v>
      </c>
      <c r="F52" s="139">
        <f t="shared" ref="F52:F55" si="18">-(4*PI()/3)*$F$27^3*($B$9-$B$8)*($B$6/$E$18)*(1-ABS(D52)/$D$27)</f>
        <v>7.7305349558872037E-19</v>
      </c>
      <c r="G52" s="139">
        <f t="shared" ref="G52:G55" si="19">F52*3/$F$27</f>
        <v>3.139064358939905E-12</v>
      </c>
      <c r="H52" s="139">
        <f t="shared" ref="H52:H55" si="20">F52/$E$18</f>
        <v>2.8718937361120964E-23</v>
      </c>
      <c r="I52" s="138">
        <f t="shared" ref="I52:I55" si="21">-(4*PI()/3)*$F$27^3*($B$9-$B$8)*($B$6/$E$18)*(-1/$D$27)</f>
        <v>8.5031548406798751E-15</v>
      </c>
      <c r="J52" s="139">
        <f t="shared" ref="J52:J55" si="22">-(4*PI()/3)*$F$27^3*($B$9-$B$8)*($B$6/$E$18)*(-ABS(D52)/$D$27^2)</f>
        <v>3.3173241440247938E-14</v>
      </c>
      <c r="K52" s="138">
        <f t="shared" ref="K52:K55" si="23">SQRT(G52^2*$I$27^2+H52^2*$F$18^2+I52^2*E52^2+J52^2*$E$28^2)</f>
        <v>1.3931007992644442E-19</v>
      </c>
      <c r="L52" s="142">
        <f t="shared" ref="L52:L55" si="24">K52/F52</f>
        <v>0.18020755448541445</v>
      </c>
    </row>
    <row r="53" spans="1:12" x14ac:dyDescent="0.25">
      <c r="A53" s="143">
        <v>8</v>
      </c>
      <c r="B53" s="146">
        <v>138.84</v>
      </c>
      <c r="C53" s="138">
        <f>B53-B52</f>
        <v>4.4399999999999977</v>
      </c>
      <c r="D53" s="139">
        <f t="shared" si="16"/>
        <v>1.1261261261261267E-4</v>
      </c>
      <c r="E53" s="139">
        <f t="shared" si="17"/>
        <v>8.9672457235937153E-6</v>
      </c>
      <c r="F53" s="139">
        <f t="shared" si="18"/>
        <v>6.9111049590156012E-19</v>
      </c>
      <c r="G53" s="139">
        <f t="shared" si="19"/>
        <v>2.8063262609293671E-12</v>
      </c>
      <c r="H53" s="139">
        <f t="shared" si="20"/>
        <v>2.567475492274296E-23</v>
      </c>
      <c r="I53" s="138">
        <f t="shared" si="21"/>
        <v>8.5031548406798751E-15</v>
      </c>
      <c r="J53" s="139">
        <f t="shared" si="22"/>
        <v>3.0558233669057263E-14</v>
      </c>
      <c r="K53" s="138">
        <f t="shared" si="23"/>
        <v>1.220633862152438E-19</v>
      </c>
      <c r="L53" s="142">
        <f t="shared" si="24"/>
        <v>0.1766192048002555</v>
      </c>
    </row>
    <row r="54" spans="1:12" x14ac:dyDescent="0.25">
      <c r="A54" s="143">
        <v>9</v>
      </c>
      <c r="B54" s="146">
        <v>143.66999999999999</v>
      </c>
      <c r="C54" s="138">
        <f>B54-B53</f>
        <v>4.8299999999999841</v>
      </c>
      <c r="D54" s="139">
        <f t="shared" si="16"/>
        <v>1.0351966873706038E-4</v>
      </c>
      <c r="E54" s="139">
        <f t="shared" si="17"/>
        <v>7.5775838250683939E-6</v>
      </c>
      <c r="F54" s="139">
        <f t="shared" si="18"/>
        <v>6.1379178617012727E-19</v>
      </c>
      <c r="G54" s="139">
        <f t="shared" si="19"/>
        <v>2.4923655746610438E-12</v>
      </c>
      <c r="H54" s="139">
        <f t="shared" si="20"/>
        <v>2.2802364856220228E-23</v>
      </c>
      <c r="I54" s="138">
        <f t="shared" si="21"/>
        <v>8.5031548406798751E-15</v>
      </c>
      <c r="J54" s="139">
        <f t="shared" si="22"/>
        <v>2.8090798652301161E-14</v>
      </c>
      <c r="K54" s="138">
        <f t="shared" si="23"/>
        <v>1.0651232911143143E-19</v>
      </c>
      <c r="L54" s="142">
        <f t="shared" si="24"/>
        <v>0.1735316951307474</v>
      </c>
    </row>
    <row r="55" spans="1:12" x14ac:dyDescent="0.25">
      <c r="A55" s="143">
        <v>10</v>
      </c>
      <c r="B55" s="146">
        <v>147.94999999999999</v>
      </c>
      <c r="C55" s="138">
        <f>B55-B54</f>
        <v>4.2800000000000011</v>
      </c>
      <c r="D55" s="139">
        <f t="shared" si="16"/>
        <v>1.1682242990654203E-4</v>
      </c>
      <c r="E55" s="139">
        <f>SQRT(2)*D55*$B$13/C55</f>
        <v>9.6502257455147183E-6</v>
      </c>
      <c r="F55" s="139">
        <f t="shared" si="18"/>
        <v>7.2690722420281347E-19</v>
      </c>
      <c r="G55" s="139">
        <f t="shared" si="19"/>
        <v>2.9516826102872411E-12</v>
      </c>
      <c r="H55" s="139">
        <f t="shared" si="20"/>
        <v>2.7004603379134522E-23</v>
      </c>
      <c r="I55" s="138">
        <f t="shared" si="21"/>
        <v>8.5031548406798751E-15</v>
      </c>
      <c r="J55" s="139">
        <f t="shared" si="22"/>
        <v>3.1700597544536016E-14</v>
      </c>
      <c r="K55" s="138">
        <f t="shared" si="23"/>
        <v>1.2949888466498787E-19</v>
      </c>
      <c r="L55" s="142">
        <f t="shared" si="24"/>
        <v>0.17815049892647175</v>
      </c>
    </row>
    <row r="56" spans="1:12" x14ac:dyDescent="0.25">
      <c r="L56" s="142"/>
    </row>
    <row r="57" spans="1:12" x14ac:dyDescent="0.25">
      <c r="L57" s="142"/>
    </row>
    <row r="59" spans="1:12" x14ac:dyDescent="0.25">
      <c r="B59" s="138" t="s">
        <v>38</v>
      </c>
    </row>
    <row r="60" spans="1:12" x14ac:dyDescent="0.25">
      <c r="A60" s="139"/>
      <c r="B60" s="138" t="s">
        <v>44</v>
      </c>
      <c r="C60" s="138" t="s">
        <v>45</v>
      </c>
    </row>
    <row r="61" spans="1:12" x14ac:dyDescent="0.25">
      <c r="A61" s="138">
        <v>1</v>
      </c>
      <c r="B61" s="139">
        <f>F41</f>
        <v>7.409583946770674E-19</v>
      </c>
      <c r="C61" s="138">
        <f>K41</f>
        <v>1.0178793799426031E-19</v>
      </c>
      <c r="D61" s="179"/>
    </row>
    <row r="62" spans="1:12" x14ac:dyDescent="0.25">
      <c r="A62" s="138">
        <v>2</v>
      </c>
      <c r="B62" s="139">
        <f t="shared" ref="B62:B65" si="25">F42</f>
        <v>7.4739965814114042E-19</v>
      </c>
      <c r="C62" s="138">
        <f t="shared" ref="C62:C65" si="26">K42</f>
        <v>1.0274322155588898E-19</v>
      </c>
      <c r="D62" s="179"/>
    </row>
    <row r="63" spans="1:12" x14ac:dyDescent="0.25">
      <c r="A63" s="138">
        <v>3</v>
      </c>
      <c r="B63" s="139">
        <f t="shared" si="25"/>
        <v>6.886543119107028E-19</v>
      </c>
      <c r="C63" s="138">
        <f t="shared" si="26"/>
        <v>9.4117490093693436E-20</v>
      </c>
      <c r="D63" s="179"/>
    </row>
    <row r="64" spans="1:12" x14ac:dyDescent="0.25">
      <c r="A64" s="138">
        <v>4</v>
      </c>
      <c r="B64" s="139">
        <f t="shared" si="25"/>
        <v>7.5513904596617283E-19</v>
      </c>
      <c r="C64" s="138">
        <f t="shared" si="26"/>
        <v>1.0389428019312922E-19</v>
      </c>
      <c r="D64" s="179"/>
    </row>
    <row r="65" spans="1:4" x14ac:dyDescent="0.25">
      <c r="A65" s="138">
        <v>5</v>
      </c>
      <c r="B65" s="139">
        <f t="shared" si="25"/>
        <v>7.2459610472809863E-19</v>
      </c>
      <c r="C65" s="138">
        <f t="shared" si="26"/>
        <v>9.9372111546191878E-20</v>
      </c>
      <c r="D65" s="179"/>
    </row>
    <row r="66" spans="1:4" x14ac:dyDescent="0.25">
      <c r="A66" s="138">
        <v>6</v>
      </c>
      <c r="B66" s="139">
        <f>F51</f>
        <v>7.3864905884063535E-19</v>
      </c>
      <c r="C66" s="138">
        <f>K51</f>
        <v>1.3197100710790716E-19</v>
      </c>
      <c r="D66" s="179"/>
    </row>
    <row r="67" spans="1:4" x14ac:dyDescent="0.25">
      <c r="A67" s="138">
        <v>7</v>
      </c>
      <c r="B67" s="139">
        <f t="shared" ref="B67:B70" si="27">F52</f>
        <v>7.7305349558872037E-19</v>
      </c>
      <c r="C67" s="138">
        <f t="shared" ref="C67:C70" si="28">K52</f>
        <v>1.3931007992644442E-19</v>
      </c>
      <c r="D67" s="179"/>
    </row>
    <row r="68" spans="1:4" x14ac:dyDescent="0.25">
      <c r="A68" s="138">
        <v>8</v>
      </c>
      <c r="B68" s="139">
        <f t="shared" si="27"/>
        <v>6.9111049590156012E-19</v>
      </c>
      <c r="C68" s="138">
        <f t="shared" si="28"/>
        <v>1.220633862152438E-19</v>
      </c>
      <c r="D68" s="179"/>
    </row>
    <row r="69" spans="1:4" x14ac:dyDescent="0.25">
      <c r="A69" s="138">
        <v>9</v>
      </c>
      <c r="B69" s="139">
        <f t="shared" si="27"/>
        <v>6.1379178617012727E-19</v>
      </c>
      <c r="C69" s="138">
        <f t="shared" si="28"/>
        <v>1.0651232911143143E-19</v>
      </c>
      <c r="D69" s="179"/>
    </row>
    <row r="70" spans="1:4" x14ac:dyDescent="0.25">
      <c r="A70" s="138">
        <v>10</v>
      </c>
      <c r="B70" s="139">
        <f t="shared" si="27"/>
        <v>7.2690722420281347E-19</v>
      </c>
      <c r="C70" s="138">
        <f t="shared" si="28"/>
        <v>1.2949888466498787E-19</v>
      </c>
      <c r="D70" s="179"/>
    </row>
  </sheetData>
  <mergeCells count="2">
    <mergeCell ref="A1:C2"/>
    <mergeCell ref="A14:C15"/>
  </mergeCells>
  <conditionalFormatting sqref="C32:G36">
    <cfRule type="cellIs" dxfId="17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3D6AE45A-1FB3-4A42-A1A8-45E18AA5577D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61E88586-E1A9-4D37-BE52-DD6A239BB4CD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D19" workbookViewId="0">
      <selection activeCell="B61" sqref="B61:B70"/>
    </sheetView>
  </sheetViews>
  <sheetFormatPr defaultRowHeight="15" x14ac:dyDescent="0.25"/>
  <cols>
    <col min="1" max="1" width="13.140625" style="146" customWidth="1"/>
    <col min="2" max="2" width="9.140625" style="146"/>
    <col min="3" max="5" width="12" style="146" customWidth="1"/>
    <col min="6" max="7" width="12.140625" style="146" customWidth="1"/>
    <col min="8" max="9" width="12" style="146" customWidth="1"/>
    <col min="10" max="10" width="9.140625" style="146"/>
    <col min="11" max="11" width="12" style="146" customWidth="1"/>
    <col min="12" max="16384" width="9.140625" style="146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146" t="s">
        <v>1</v>
      </c>
      <c r="C4" s="146" t="s">
        <v>2</v>
      </c>
    </row>
    <row r="5" spans="1:5" x14ac:dyDescent="0.25">
      <c r="A5" s="146" t="str">
        <f>[1]Dati!A5</f>
        <v>d</v>
      </c>
      <c r="B5" s="147">
        <f>Dati!B5</f>
        <v>7.4300000000000008E-3</v>
      </c>
      <c r="C5" s="179">
        <f>Dati!C5</f>
        <v>1.0000000000000001E-5</v>
      </c>
    </row>
    <row r="6" spans="1:5" x14ac:dyDescent="0.25">
      <c r="A6" s="146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46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46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46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46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46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46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46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149"/>
    </row>
    <row r="15" spans="1:5" x14ac:dyDescent="0.25">
      <c r="A15" s="193"/>
      <c r="B15" s="193"/>
      <c r="C15" s="193"/>
      <c r="D15" s="149"/>
    </row>
    <row r="16" spans="1:5" x14ac:dyDescent="0.25">
      <c r="A16" s="146" t="s">
        <v>18</v>
      </c>
      <c r="B16" s="146">
        <v>200</v>
      </c>
      <c r="C16" s="146">
        <f>B16/100</f>
        <v>2</v>
      </c>
      <c r="D16" s="146" t="s">
        <v>19</v>
      </c>
      <c r="E16" s="146">
        <f>(1.8+(B18-15)*0.004765)*0.00001</f>
        <v>1.8262075000000001E-5</v>
      </c>
    </row>
    <row r="17" spans="1:10" x14ac:dyDescent="0.25">
      <c r="A17" s="146" t="s">
        <v>20</v>
      </c>
      <c r="E17" s="148"/>
    </row>
    <row r="18" spans="1:10" x14ac:dyDescent="0.25">
      <c r="A18" s="146" t="s">
        <v>21</v>
      </c>
      <c r="B18" s="146">
        <v>20.5</v>
      </c>
      <c r="C18" s="146">
        <v>0.5</v>
      </c>
      <c r="D18" s="146" t="s">
        <v>22</v>
      </c>
      <c r="E18" s="147">
        <f>B16/B5</f>
        <v>26917.900403768504</v>
      </c>
      <c r="F18" s="146">
        <f>SQRT((C16/B5)^2+(B16*C5/B5^2)^2)</f>
        <v>271.60606143374878</v>
      </c>
      <c r="G18" s="147"/>
    </row>
    <row r="21" spans="1:10" x14ac:dyDescent="0.25">
      <c r="B21" s="146" t="s">
        <v>23</v>
      </c>
      <c r="C21" s="146" t="s">
        <v>27</v>
      </c>
      <c r="D21" s="146" t="s">
        <v>24</v>
      </c>
      <c r="E21" s="146" t="s">
        <v>29</v>
      </c>
      <c r="F21" s="146" t="s">
        <v>25</v>
      </c>
      <c r="G21" s="146" t="s">
        <v>26</v>
      </c>
      <c r="H21" s="146" t="s">
        <v>28</v>
      </c>
      <c r="I21" s="146" t="s">
        <v>31</v>
      </c>
      <c r="J21" s="146" t="s">
        <v>32</v>
      </c>
    </row>
    <row r="22" spans="1:10" x14ac:dyDescent="0.25">
      <c r="A22" s="146">
        <v>1</v>
      </c>
      <c r="B22" s="152">
        <v>20.36</v>
      </c>
      <c r="C22" s="146">
        <f>B22</f>
        <v>20.36</v>
      </c>
      <c r="D22" s="147">
        <f>B12/B22</f>
        <v>2.4557956777996073E-5</v>
      </c>
      <c r="E22" s="147">
        <f>SQRT(2)*D22*$B$13/C22</f>
        <v>4.2645132047660022E-7</v>
      </c>
      <c r="F22" s="5">
        <f>(($B$10/(2*$B$7))^2+9*$E$16*D22/(2*$B$6*($B$9-$B$8)))^(1/2)-$B$10/(2*$B$7)</f>
        <v>6.5014839371464713E-7</v>
      </c>
      <c r="G22" s="146">
        <f>(($B$10/(2*$B$7))^2+9*$E$16*D22/(2*$B$6*($B$9-$B$8)))^(-1/2)*(9*$E$16)/(4*$B$6*$B$9)</f>
        <v>4.6925396432570161E-3</v>
      </c>
      <c r="H22" s="146">
        <f>(($B$10/(2*$B$7))^2+9*$E$16*D22/(2*$B$6*($B$9-$B$8)))^(-1/2)*((9*D22)/(4*$B$6*$B$9))*0.00000004765</f>
        <v>3.0068583117867593E-10</v>
      </c>
      <c r="I22" s="146">
        <f>SQRT(G22^2*E22^2+H22^2*$C$18^2+$F$28^2)</f>
        <v>4.5396519957371391E-8</v>
      </c>
      <c r="J22" s="147">
        <f>I22/F22</f>
        <v>6.9824859057171049E-2</v>
      </c>
    </row>
    <row r="23" spans="1:10" x14ac:dyDescent="0.25">
      <c r="A23" s="146">
        <v>2</v>
      </c>
      <c r="B23" s="152">
        <v>40.54</v>
      </c>
      <c r="C23" s="146">
        <f>B23-B22</f>
        <v>20.18</v>
      </c>
      <c r="D23" s="147">
        <f>$B$12/(B23-B22)</f>
        <v>2.4777006937561945E-5</v>
      </c>
      <c r="E23" s="147">
        <f t="shared" ref="E23:E25" si="0">SQRT(2)*D23*$B$13/C23</f>
        <v>4.3409290443647633E-7</v>
      </c>
      <c r="F23" s="5">
        <f>(($B$10/(2*$B$7))^2+9*E16*D23/(2*$B$6*($B$9-$B$8)))^(1/2)-$B$10/(2*$B$7)</f>
        <v>6.5321106390942545E-7</v>
      </c>
      <c r="G23" s="146">
        <f t="shared" ref="G23:G27" si="1">(($B$10/(2*$B$7))^2+9*$E$16*D23/(2*$B$6*($B$9-$B$8)))^(-1/2)*(9*$E$16)/(4*$B$6*$B$9)</f>
        <v>4.671821435154766E-3</v>
      </c>
      <c r="H23" s="146">
        <f t="shared" ref="H23:H27" si="2">(($B$10/(2*$B$7))^2+9*$E$16*D23/(2*$B$6*($B$9-$B$8)))^(-1/2)*((9*D23)/(4*$B$6*$B$9))*0.00000004765</f>
        <v>3.0202845449029165E-10</v>
      </c>
      <c r="I23" s="146">
        <f t="shared" ref="I23:I27" si="3">SQRT(G23^2*E23^2+H23^2*$C$18^2+$F$28^2)</f>
        <v>4.5397714355832773E-8</v>
      </c>
      <c r="J23" s="147">
        <f t="shared" ref="J23:J27" si="4">I23/F23</f>
        <v>6.9499304075057181E-2</v>
      </c>
    </row>
    <row r="24" spans="1:10" x14ac:dyDescent="0.25">
      <c r="A24" s="146">
        <v>3</v>
      </c>
      <c r="B24" s="152">
        <v>60</v>
      </c>
      <c r="C24" s="146">
        <f t="shared" ref="C24:C26" si="5">B24-B23</f>
        <v>19.46</v>
      </c>
      <c r="D24" s="147">
        <f>$B$12/(B24-B23)</f>
        <v>2.5693730729701953E-5</v>
      </c>
      <c r="E24" s="147">
        <f t="shared" si="0"/>
        <v>4.6680912725985181E-7</v>
      </c>
      <c r="F24" s="5">
        <f>(($B$10/(2*$B$7))^2+9*E16*D24/(2*$B$6*($B$9-$B$8)))^(1/2)-$B$10/(2*$B$7)</f>
        <v>6.6588426053418252E-7</v>
      </c>
      <c r="G24" s="146">
        <f t="shared" si="1"/>
        <v>4.5880002846050332E-3</v>
      </c>
      <c r="H24" s="146">
        <f t="shared" si="2"/>
        <v>3.0758375003146429E-10</v>
      </c>
      <c r="I24" s="146">
        <f t="shared" si="3"/>
        <v>4.5402945711591418E-8</v>
      </c>
      <c r="J24" s="147">
        <f t="shared" si="4"/>
        <v>6.8184440453913836E-2</v>
      </c>
    </row>
    <row r="25" spans="1:10" x14ac:dyDescent="0.25">
      <c r="A25" s="146">
        <v>4</v>
      </c>
      <c r="B25" s="152">
        <v>78.099999999999994</v>
      </c>
      <c r="C25" s="146">
        <f t="shared" si="5"/>
        <v>18.099999999999994</v>
      </c>
      <c r="D25" s="147">
        <f>$B$12/(B25-B24)</f>
        <v>2.7624309392265204E-5</v>
      </c>
      <c r="E25" s="147">
        <f t="shared" si="0"/>
        <v>5.3959493085265102E-7</v>
      </c>
      <c r="F25" s="5">
        <f>(($B$10/(2*$B$7))^2+9*E16*D25/(2*$B$6*($B$9-$B$8)))^(1/2)-$B$10/(2*$B$7)</f>
        <v>6.918565134418809E-7</v>
      </c>
      <c r="G25" s="146">
        <f t="shared" si="1"/>
        <v>4.4252836525944814E-3</v>
      </c>
      <c r="H25" s="146">
        <f t="shared" si="2"/>
        <v>3.1896668572360106E-10</v>
      </c>
      <c r="I25" s="146">
        <f t="shared" si="3"/>
        <v>4.5415241652424455E-8</v>
      </c>
      <c r="J25" s="147">
        <f t="shared" si="4"/>
        <v>6.5642572946940314E-2</v>
      </c>
    </row>
    <row r="26" spans="1:10" x14ac:dyDescent="0.25">
      <c r="A26" s="146">
        <v>5</v>
      </c>
      <c r="B26" s="152">
        <v>93.25</v>
      </c>
      <c r="C26" s="146">
        <f t="shared" si="5"/>
        <v>15.150000000000006</v>
      </c>
      <c r="D26" s="147">
        <f>$B$12/(B26-B25)</f>
        <v>3.3003300330032994E-5</v>
      </c>
      <c r="E26" s="147">
        <f>SQRT(2)*D26*$B$13/C26</f>
        <v>7.7019331567335133E-7</v>
      </c>
      <c r="F26" s="5">
        <f>(($B$10/(2*$B$7))^2+9*E16*D26/(2*$B$6*($B$9-$B$8)))^(1/2)-$B$10/(2*$B$7)</f>
        <v>7.5978674115403346E-7</v>
      </c>
      <c r="G26" s="146">
        <f t="shared" si="1"/>
        <v>4.0496381634736274E-3</v>
      </c>
      <c r="H26" s="146">
        <f t="shared" si="2"/>
        <v>3.4872764344643321E-10</v>
      </c>
      <c r="I26" s="146">
        <f t="shared" si="3"/>
        <v>4.5459602409817446E-8</v>
      </c>
      <c r="J26" s="147">
        <f t="shared" si="4"/>
        <v>5.9832055427512798E-2</v>
      </c>
    </row>
    <row r="27" spans="1:10" x14ac:dyDescent="0.25">
      <c r="A27" s="7" t="s">
        <v>34</v>
      </c>
      <c r="B27" s="7"/>
      <c r="C27" s="7">
        <f>AVERAGE(C22:C26)</f>
        <v>18.649999999999999</v>
      </c>
      <c r="D27" s="7">
        <f>AVERAGE(D22:D26)</f>
        <v>2.7131260833511634E-5</v>
      </c>
      <c r="E27" s="8">
        <f>SQRT(2)*D27*$B$13/C27</f>
        <v>5.143350808985807E-7</v>
      </c>
      <c r="F27" s="9">
        <f>AVERAGE(F22:F26)</f>
        <v>6.8417739455083389E-7</v>
      </c>
      <c r="G27" s="7">
        <f t="shared" si="1"/>
        <v>4.4651884471951855E-3</v>
      </c>
      <c r="H27" s="7">
        <f t="shared" si="2"/>
        <v>3.1609858514804173E-10</v>
      </c>
      <c r="I27" s="7">
        <f t="shared" si="3"/>
        <v>4.5410529904851556E-8</v>
      </c>
      <c r="J27" s="8">
        <f t="shared" si="4"/>
        <v>6.6372449991078428E-2</v>
      </c>
    </row>
    <row r="28" spans="1:10" x14ac:dyDescent="0.25">
      <c r="A28" s="146" t="s">
        <v>35</v>
      </c>
      <c r="C28" s="6">
        <f>_xlfn.STDEV.S(C22:C26)</f>
        <v>2.149046300106181</v>
      </c>
      <c r="D28" s="147">
        <f>_xlfn.STDEV.S(D22:D26)</f>
        <v>3.4983868674748506E-6</v>
      </c>
      <c r="E28" s="8">
        <f>SQRT(2)*D28*$B$13/C28</f>
        <v>5.7554206186325706E-7</v>
      </c>
      <c r="F28" s="147">
        <f>_xlfn.STDEV.S(F22:F26)</f>
        <v>4.535214284948121E-8</v>
      </c>
    </row>
    <row r="30" spans="1:10" x14ac:dyDescent="0.25">
      <c r="A30" s="146" t="s">
        <v>31</v>
      </c>
      <c r="C30" s="146">
        <f t="array" ref="C30:G31">TRANSPOSE(A32:B36)</f>
        <v>4.5396519957371391E-8</v>
      </c>
      <c r="D30" s="146">
        <v>4.5397714355832773E-8</v>
      </c>
      <c r="E30" s="146">
        <v>4.5402945711591418E-8</v>
      </c>
      <c r="F30" s="146">
        <v>4.5415241652424455E-8</v>
      </c>
      <c r="G30" s="146">
        <v>4.5459602409817446E-8</v>
      </c>
    </row>
    <row r="31" spans="1:10" x14ac:dyDescent="0.25">
      <c r="B31" s="146" t="s">
        <v>25</v>
      </c>
      <c r="C31" s="146">
        <v>6.5014839371464713E-7</v>
      </c>
      <c r="D31" s="146">
        <v>6.5321106390942545E-7</v>
      </c>
      <c r="E31" s="146">
        <v>6.6588426053418252E-7</v>
      </c>
      <c r="F31" s="146">
        <v>6.918565134418809E-7</v>
      </c>
      <c r="G31" s="146">
        <v>7.5978674115403346E-7</v>
      </c>
    </row>
    <row r="32" spans="1:10" x14ac:dyDescent="0.25">
      <c r="A32" s="146">
        <f>I22</f>
        <v>4.5396519957371391E-8</v>
      </c>
      <c r="B32" s="5">
        <f>F22</f>
        <v>6.5014839371464713E-7</v>
      </c>
      <c r="C32" s="146">
        <f t="shared" ref="C32:G36" si="6">(C$31-$B32)/SQRT(C$30^2+$A32^2)</f>
        <v>0</v>
      </c>
      <c r="D32" s="146">
        <f t="shared" si="6"/>
        <v>4.7704237597460376E-2</v>
      </c>
      <c r="E32" s="146">
        <f t="shared" si="6"/>
        <v>0.24508818473988725</v>
      </c>
      <c r="F32" s="146">
        <f t="shared" si="6"/>
        <v>0.64952145273116912</v>
      </c>
      <c r="G32" s="146">
        <f t="shared" si="6"/>
        <v>1.7065663434928948</v>
      </c>
    </row>
    <row r="33" spans="1:12" x14ac:dyDescent="0.25">
      <c r="A33" s="146">
        <f>I23</f>
        <v>4.5397714355832773E-8</v>
      </c>
      <c r="B33" s="5">
        <f>F23</f>
        <v>6.5321106390942545E-7</v>
      </c>
      <c r="C33" s="146">
        <f t="shared" si="6"/>
        <v>-4.7704237597460376E-2</v>
      </c>
      <c r="D33" s="146">
        <f t="shared" si="6"/>
        <v>0</v>
      </c>
      <c r="E33" s="146">
        <f t="shared" si="6"/>
        <v>0.19738409943604365</v>
      </c>
      <c r="F33" s="146">
        <f t="shared" si="6"/>
        <v>0.60181850957373151</v>
      </c>
      <c r="G33" s="146">
        <f t="shared" si="6"/>
        <v>1.6588728192569935</v>
      </c>
    </row>
    <row r="34" spans="1:12" x14ac:dyDescent="0.25">
      <c r="A34" s="146">
        <f>I24</f>
        <v>4.5402945711591418E-8</v>
      </c>
      <c r="B34" s="5">
        <f>F24</f>
        <v>6.6588426053418252E-7</v>
      </c>
      <c r="C34" s="146">
        <f t="shared" si="6"/>
        <v>-0.24508818473988725</v>
      </c>
      <c r="D34" s="146">
        <f t="shared" si="6"/>
        <v>-0.19738409943604365</v>
      </c>
      <c r="E34" s="146">
        <f t="shared" si="6"/>
        <v>0</v>
      </c>
      <c r="F34" s="146">
        <f t="shared" si="6"/>
        <v>0.40443784485131873</v>
      </c>
      <c r="G34" s="146">
        <f t="shared" si="6"/>
        <v>1.4615277533191056</v>
      </c>
    </row>
    <row r="35" spans="1:12" x14ac:dyDescent="0.25">
      <c r="A35" s="146">
        <f>I25</f>
        <v>4.5415241652424455E-8</v>
      </c>
      <c r="B35" s="5">
        <f>F25</f>
        <v>6.918565134418809E-7</v>
      </c>
      <c r="C35" s="146">
        <f t="shared" si="6"/>
        <v>-0.64952145273116912</v>
      </c>
      <c r="D35" s="146">
        <f t="shared" si="6"/>
        <v>-0.60181850957373151</v>
      </c>
      <c r="E35" s="146">
        <f t="shared" si="6"/>
        <v>-0.40443784485131873</v>
      </c>
      <c r="F35" s="146">
        <f t="shared" si="6"/>
        <v>0</v>
      </c>
      <c r="G35" s="146">
        <f t="shared" si="6"/>
        <v>1.057144459182715</v>
      </c>
    </row>
    <row r="36" spans="1:12" x14ac:dyDescent="0.25">
      <c r="A36" s="146">
        <f>I26</f>
        <v>4.5459602409817446E-8</v>
      </c>
      <c r="B36" s="5">
        <f>F26</f>
        <v>7.5978674115403346E-7</v>
      </c>
      <c r="C36" s="146">
        <f t="shared" si="6"/>
        <v>-1.7065663434928948</v>
      </c>
      <c r="D36" s="146">
        <f t="shared" si="6"/>
        <v>-1.6588728192569935</v>
      </c>
      <c r="E36" s="146">
        <f t="shared" si="6"/>
        <v>-1.4615277533191056</v>
      </c>
      <c r="F36" s="146">
        <f t="shared" si="6"/>
        <v>-1.057144459182715</v>
      </c>
      <c r="G36" s="146">
        <f t="shared" si="6"/>
        <v>0</v>
      </c>
    </row>
    <row r="39" spans="1:12" x14ac:dyDescent="0.25">
      <c r="A39" s="146" t="s">
        <v>7</v>
      </c>
    </row>
    <row r="40" spans="1:12" x14ac:dyDescent="0.25">
      <c r="B40" s="146" t="s">
        <v>36</v>
      </c>
      <c r="C40" s="146" t="s">
        <v>27</v>
      </c>
      <c r="D40" s="146" t="s">
        <v>24</v>
      </c>
      <c r="E40" s="146" t="s">
        <v>29</v>
      </c>
      <c r="F40" s="146" t="s">
        <v>37</v>
      </c>
      <c r="G40" s="146" t="s">
        <v>39</v>
      </c>
      <c r="H40" s="146" t="s">
        <v>40</v>
      </c>
      <c r="I40" s="146" t="s">
        <v>41</v>
      </c>
      <c r="J40" s="146" t="s">
        <v>42</v>
      </c>
      <c r="K40" s="146" t="s">
        <v>2</v>
      </c>
      <c r="L40" s="146" t="s">
        <v>43</v>
      </c>
    </row>
    <row r="41" spans="1:12" x14ac:dyDescent="0.25">
      <c r="A41" s="151">
        <v>1</v>
      </c>
      <c r="B41" s="153">
        <v>108.85</v>
      </c>
      <c r="C41" s="146">
        <f>B41-B26</f>
        <v>15.599999999999994</v>
      </c>
      <c r="D41" s="147">
        <f>$B$12/C41</f>
        <v>3.2051282051282065E-5</v>
      </c>
      <c r="E41" s="147">
        <f>SQRT(2)*D41*$B$13/C41</f>
        <v>7.2639996423667416E-7</v>
      </c>
      <c r="F41" s="147">
        <f>(4*PI()/3)*$F$27^3*($B$9-$B$8)*($B$6/$E$18)*(1+ABS(D41)/$D$27)</f>
        <v>4.6159066800866917E-19</v>
      </c>
      <c r="G41" s="147">
        <f>F41*3/$F$27</f>
        <v>2.0239955529882971E-12</v>
      </c>
      <c r="H41" s="147">
        <f>F41/$E$18</f>
        <v>1.7148093316522059E-23</v>
      </c>
      <c r="I41" s="146">
        <f>(4*PI()/3)*$F$27^3*($B$9-$B$8)*($B$6/$E$18)*(1/$D$27)</f>
        <v>7.7994395899347159E-15</v>
      </c>
      <c r="J41" s="147">
        <f>(4*PI()/3)*$F$27^3*($B$9-$B$8)*($B$6/$E$18)*(ABS(D41)/$D$27^2)</f>
        <v>9.2138009977834805E-15</v>
      </c>
      <c r="K41" s="146">
        <f>SQRT(G41^2*$I$27^2+H41^2*$F$18^2+I41^2*E41^2+J41^2*$E$28^2)</f>
        <v>9.23552400788586E-20</v>
      </c>
      <c r="L41" s="150">
        <f>K41/F41</f>
        <v>0.20008038827406291</v>
      </c>
    </row>
    <row r="42" spans="1:12" x14ac:dyDescent="0.25">
      <c r="A42" s="151">
        <v>2</v>
      </c>
      <c r="B42" s="153">
        <v>124.19</v>
      </c>
      <c r="C42" s="146">
        <f>B42-B41</f>
        <v>15.340000000000003</v>
      </c>
      <c r="D42" s="147">
        <f t="shared" ref="D42:D45" si="7">$B$12/C42</f>
        <v>3.2594524119947841E-5</v>
      </c>
      <c r="E42" s="147">
        <f t="shared" ref="E42:E44" si="8">SQRT(2)*D42*$B$13/C42</f>
        <v>7.5123236749555408E-7</v>
      </c>
      <c r="F42" s="147">
        <f t="shared" ref="F42:F45" si="9">(4*PI()/3)*$F$27^3*($B$9-$B$8)*($B$6/$E$18)*(1+ABS(D42)/$D$27)</f>
        <v>4.6582765170593911E-19</v>
      </c>
      <c r="G42" s="147">
        <f t="shared" ref="G42:G45" si="10">F42*3/$F$27</f>
        <v>2.0425739965221625E-12</v>
      </c>
      <c r="H42" s="147">
        <f t="shared" ref="H42:H45" si="11">F42/$E$18</f>
        <v>1.730549726087564E-23</v>
      </c>
      <c r="I42" s="146">
        <f t="shared" ref="I42:I45" si="12">(4*PI()/3)*$F$27^3*($B$9-$B$8)*($B$6/$E$18)*(1/$D$27)</f>
        <v>7.7994395899347159E-15</v>
      </c>
      <c r="J42" s="147">
        <f t="shared" ref="J42:J45" si="13">(4*PI()/3)*$F$27^3*($B$9-$B$8)*($B$6/$E$18)*(ABS(D42)/$D$27^2)</f>
        <v>9.3699671163899737E-15</v>
      </c>
      <c r="K42" s="146">
        <f t="shared" ref="K42:K45" si="14">SQRT(G42^2*$I$27^2+H42^2*$F$18^2+I42^2*E42^2+J42^2*$E$28^2)</f>
        <v>9.3214150423829879E-20</v>
      </c>
      <c r="L42" s="150">
        <f t="shared" ref="L42:L45" si="15">K42/F42</f>
        <v>0.20010437354344252</v>
      </c>
    </row>
    <row r="43" spans="1:12" x14ac:dyDescent="0.25">
      <c r="A43" s="151">
        <v>3</v>
      </c>
      <c r="B43" s="153">
        <v>139.16999999999999</v>
      </c>
      <c r="C43" s="146">
        <f>B43-B42</f>
        <v>14.97999999999999</v>
      </c>
      <c r="D43" s="147">
        <f t="shared" si="7"/>
        <v>3.3377837116154894E-5</v>
      </c>
      <c r="E43" s="147">
        <f t="shared" si="8"/>
        <v>7.8777353024610078E-7</v>
      </c>
      <c r="F43" s="147">
        <f t="shared" si="9"/>
        <v>4.7193705409986663E-19</v>
      </c>
      <c r="G43" s="147">
        <f t="shared" si="10"/>
        <v>2.0693626734468298E-12</v>
      </c>
      <c r="H43" s="147">
        <f t="shared" si="11"/>
        <v>1.7532461559810045E-23</v>
      </c>
      <c r="I43" s="146">
        <f t="shared" si="12"/>
        <v>7.7994395899347159E-15</v>
      </c>
      <c r="J43" s="147">
        <f t="shared" si="13"/>
        <v>9.5951465664500876E-15</v>
      </c>
      <c r="K43" s="146">
        <f t="shared" si="14"/>
        <v>9.4453405010519363E-20</v>
      </c>
      <c r="L43" s="150">
        <f t="shared" si="15"/>
        <v>0.20013983684894568</v>
      </c>
    </row>
    <row r="44" spans="1:12" x14ac:dyDescent="0.25">
      <c r="A44" s="151">
        <v>4</v>
      </c>
      <c r="B44" s="153">
        <v>155.01</v>
      </c>
      <c r="C44" s="146">
        <f>B44-B43</f>
        <v>15.840000000000003</v>
      </c>
      <c r="D44" s="147">
        <f t="shared" si="7"/>
        <v>3.1565656565656559E-5</v>
      </c>
      <c r="E44" s="147">
        <f t="shared" si="8"/>
        <v>7.0455460259411035E-7</v>
      </c>
      <c r="F44" s="147">
        <f t="shared" si="9"/>
        <v>4.5780306137020032E-19</v>
      </c>
      <c r="G44" s="147">
        <f t="shared" si="10"/>
        <v>2.0073875504352951E-12</v>
      </c>
      <c r="H44" s="147">
        <f t="shared" si="11"/>
        <v>1.7007383729902942E-23</v>
      </c>
      <c r="I44" s="146">
        <f t="shared" si="12"/>
        <v>7.7994395899347159E-15</v>
      </c>
      <c r="J44" s="147">
        <f t="shared" si="13"/>
        <v>9.0741979523625116E-15</v>
      </c>
      <c r="K44" s="146">
        <f t="shared" si="14"/>
        <v>9.1587789812843918E-20</v>
      </c>
      <c r="L44" s="150">
        <f t="shared" si="15"/>
        <v>0.20005936513120404</v>
      </c>
    </row>
    <row r="45" spans="1:12" x14ac:dyDescent="0.25">
      <c r="A45" s="151">
        <v>5</v>
      </c>
      <c r="B45" s="153">
        <v>170.73</v>
      </c>
      <c r="C45" s="146">
        <f>B45-B44</f>
        <v>15.719999999999999</v>
      </c>
      <c r="D45" s="147">
        <f t="shared" si="7"/>
        <v>3.1806615776081425E-5</v>
      </c>
      <c r="E45" s="147">
        <f>SQRT(2)*D45*$B$13/C45</f>
        <v>7.1535221698034995E-7</v>
      </c>
      <c r="F45" s="147">
        <f t="shared" si="9"/>
        <v>4.5968240817554738E-19</v>
      </c>
      <c r="G45" s="147">
        <f t="shared" si="10"/>
        <v>2.0156281623890747E-12</v>
      </c>
      <c r="H45" s="147">
        <f t="shared" si="11"/>
        <v>1.7077201463721586E-23</v>
      </c>
      <c r="I45" s="146">
        <f t="shared" si="12"/>
        <v>7.7994395899347159E-15</v>
      </c>
      <c r="J45" s="147">
        <f t="shared" si="13"/>
        <v>9.1434666390217699E-15</v>
      </c>
      <c r="K45" s="146">
        <f t="shared" si="14"/>
        <v>9.1968543255123578E-20</v>
      </c>
      <c r="L45" s="150">
        <f t="shared" si="15"/>
        <v>0.20006974732868579</v>
      </c>
    </row>
    <row r="46" spans="1:12" x14ac:dyDescent="0.25">
      <c r="L46" s="150"/>
    </row>
    <row r="47" spans="1:12" x14ac:dyDescent="0.25">
      <c r="L47" s="150"/>
    </row>
    <row r="49" spans="1:12" x14ac:dyDescent="0.25">
      <c r="A49" s="146" t="s">
        <v>7</v>
      </c>
    </row>
    <row r="50" spans="1:12" x14ac:dyDescent="0.25">
      <c r="B50" s="146" t="s">
        <v>23</v>
      </c>
      <c r="C50" s="146" t="s">
        <v>27</v>
      </c>
      <c r="D50" s="146" t="s">
        <v>24</v>
      </c>
      <c r="E50" s="146" t="s">
        <v>29</v>
      </c>
      <c r="F50" s="146" t="s">
        <v>37</v>
      </c>
      <c r="G50" s="146" t="s">
        <v>39</v>
      </c>
      <c r="H50" s="146" t="s">
        <v>40</v>
      </c>
      <c r="I50" s="146" t="s">
        <v>41</v>
      </c>
      <c r="J50" s="146" t="s">
        <v>42</v>
      </c>
      <c r="K50" s="146" t="s">
        <v>2</v>
      </c>
      <c r="L50" s="146" t="s">
        <v>43</v>
      </c>
    </row>
    <row r="51" spans="1:12" x14ac:dyDescent="0.25">
      <c r="A51" s="151">
        <v>6</v>
      </c>
      <c r="B51" s="154">
        <v>177.85</v>
      </c>
      <c r="C51" s="146">
        <f>B51-B45</f>
        <v>7.1200000000000045</v>
      </c>
      <c r="D51" s="147">
        <f>$B$12/C51</f>
        <v>7.0224719101123547E-5</v>
      </c>
      <c r="E51" s="147">
        <f>SQRT(2)*D51*$B$13/C51</f>
        <v>3.4871049918065241E-6</v>
      </c>
      <c r="F51" s="147">
        <f>-(4*PI()/3)*$F$27^3*($B$9-$B$8)*($B$6/$E$18)*(1-ABS(D51)/$D$27)</f>
        <v>3.3610482447961185E-19</v>
      </c>
      <c r="G51" s="147">
        <f>F51*3/$F$27</f>
        <v>1.4737617487359392E-12</v>
      </c>
      <c r="H51" s="147">
        <f>F51/$E$18</f>
        <v>1.2486294229417581E-23</v>
      </c>
      <c r="I51" s="146">
        <f>-(4*PI()/3)*$F$27^3*($B$9-$B$8)*($B$6/$E$18)*(-1/$D$27)</f>
        <v>7.7994395899347159E-15</v>
      </c>
      <c r="J51" s="147">
        <f>-(4*PI()/3)*$F$27^3*($B$9-$B$8)*($B$6/$E$18)*(-ABS(D51)/$D$27^2)</f>
        <v>2.018754151199749E-14</v>
      </c>
      <c r="K51" s="146">
        <f>SQRT(G51^2*$I$27^2+H51^2*$F$18^2+I51^2*E51^2+J51^2*$E$28^2)</f>
        <v>7.3246580732809098E-20</v>
      </c>
      <c r="L51" s="150">
        <f>K51/F51</f>
        <v>0.21792778739851812</v>
      </c>
    </row>
    <row r="52" spans="1:12" x14ac:dyDescent="0.25">
      <c r="A52" s="151">
        <v>7</v>
      </c>
      <c r="B52" s="154">
        <v>183.46</v>
      </c>
      <c r="C52" s="146">
        <f>B52-B51</f>
        <v>5.6100000000000136</v>
      </c>
      <c r="D52" s="147">
        <f t="shared" ref="D52:D55" si="16">$B$12/C52</f>
        <v>8.912655971479479E-5</v>
      </c>
      <c r="E52" s="147">
        <f t="shared" ref="E52:E54" si="17">SQRT(2)*D52*$B$13/C52</f>
        <v>5.6169335791585573E-6</v>
      </c>
      <c r="F52" s="147">
        <f t="shared" ref="F52:F55" si="18">-(4*PI()/3)*$F$27^3*($B$9-$B$8)*($B$6/$E$18)*(1-ABS(D52)/$D$27)</f>
        <v>4.8352858848451526E-19</v>
      </c>
      <c r="G52" s="147">
        <f t="shared" ref="G52:G55" si="19">F52*3/$F$27</f>
        <v>2.1201895546488538E-12</v>
      </c>
      <c r="H52" s="147">
        <f t="shared" ref="H52:H55" si="20">F52/$E$18</f>
        <v>1.7963087062199741E-23</v>
      </c>
      <c r="I52" s="146">
        <f t="shared" ref="I52:I55" si="21">-(4*PI()/3)*$F$27^3*($B$9-$B$8)*($B$6/$E$18)*(-1/$D$27)</f>
        <v>7.7994395899347159E-15</v>
      </c>
      <c r="J52" s="147">
        <f t="shared" ref="J52:J55" si="22">-(4*PI()/3)*$F$27^3*($B$9-$B$8)*($B$6/$E$18)*(-ABS(D52)/$D$27^2)</f>
        <v>2.5621264806670565E-14</v>
      </c>
      <c r="K52" s="146">
        <f t="shared" ref="K52:K55" si="23">SQRT(G52^2*$I$27^2+H52^2*$F$18^2+I52^2*E52^2+J52^2*$E$28^2)</f>
        <v>1.0691167721558865E-19</v>
      </c>
      <c r="L52" s="150">
        <f t="shared" ref="L52:L55" si="24">K52/F52</f>
        <v>0.22110725148780408</v>
      </c>
    </row>
    <row r="53" spans="1:12" x14ac:dyDescent="0.25">
      <c r="A53" s="151">
        <v>8</v>
      </c>
      <c r="B53" s="154">
        <v>188.85</v>
      </c>
      <c r="C53" s="146">
        <f>B53-B52</f>
        <v>5.3899999999999864</v>
      </c>
      <c r="D53" s="147">
        <f t="shared" si="16"/>
        <v>9.2764378478664433E-5</v>
      </c>
      <c r="E53" s="147">
        <f t="shared" si="17"/>
        <v>6.0848164262355495E-6</v>
      </c>
      <c r="F53" s="147">
        <f t="shared" si="18"/>
        <v>5.1190153617244758E-19</v>
      </c>
      <c r="G53" s="147">
        <f t="shared" si="19"/>
        <v>2.2446000419606688E-12</v>
      </c>
      <c r="H53" s="147">
        <f t="shared" si="20"/>
        <v>1.9017142068806429E-23</v>
      </c>
      <c r="I53" s="146">
        <f t="shared" si="21"/>
        <v>7.7994395899347159E-15</v>
      </c>
      <c r="J53" s="147">
        <f t="shared" si="22"/>
        <v>2.6667030717147049E-14</v>
      </c>
      <c r="K53" s="146">
        <f t="shared" si="23"/>
        <v>1.1359547215415235E-19</v>
      </c>
      <c r="L53" s="150">
        <f t="shared" si="24"/>
        <v>0.2219088323186526</v>
      </c>
    </row>
    <row r="54" spans="1:12" x14ac:dyDescent="0.25">
      <c r="A54" s="151">
        <v>9</v>
      </c>
      <c r="B54" s="154">
        <v>194.44</v>
      </c>
      <c r="C54" s="146">
        <f>B54-B53</f>
        <v>5.5900000000000034</v>
      </c>
      <c r="D54" s="147">
        <f t="shared" si="16"/>
        <v>8.9445438282647528E-5</v>
      </c>
      <c r="E54" s="147">
        <f t="shared" si="17"/>
        <v>5.6571982071433686E-6</v>
      </c>
      <c r="F54" s="147">
        <f t="shared" si="18"/>
        <v>4.8601566261100761E-19</v>
      </c>
      <c r="G54" s="147">
        <f t="shared" si="19"/>
        <v>2.1310949462021299E-12</v>
      </c>
      <c r="H54" s="147">
        <f t="shared" si="20"/>
        <v>1.8055481865998934E-23</v>
      </c>
      <c r="I54" s="146">
        <f t="shared" si="21"/>
        <v>7.7994395899347159E-15</v>
      </c>
      <c r="J54" s="147">
        <f t="shared" si="22"/>
        <v>2.5712933017070146E-14</v>
      </c>
      <c r="K54" s="146">
        <f t="shared" si="23"/>
        <v>1.0749478559895536E-19</v>
      </c>
      <c r="L54" s="150">
        <f t="shared" si="24"/>
        <v>0.22117555846135553</v>
      </c>
    </row>
    <row r="55" spans="1:12" x14ac:dyDescent="0.25">
      <c r="A55" s="151">
        <v>10</v>
      </c>
      <c r="B55" s="154">
        <v>200.28</v>
      </c>
      <c r="C55" s="146">
        <f>B55-B54</f>
        <v>5.8400000000000034</v>
      </c>
      <c r="D55" s="147">
        <f t="shared" si="16"/>
        <v>8.561643835616433E-5</v>
      </c>
      <c r="E55" s="147">
        <f>SQRT(2)*D55*$B$13/C55</f>
        <v>5.1832161081064892E-6</v>
      </c>
      <c r="F55" s="147">
        <f t="shared" si="18"/>
        <v>4.5615160899453739E-19</v>
      </c>
      <c r="G55" s="147">
        <f t="shared" si="19"/>
        <v>2.0001462162923549E-12</v>
      </c>
      <c r="H55" s="147">
        <f t="shared" si="20"/>
        <v>1.6946032274147065E-23</v>
      </c>
      <c r="I55" s="146">
        <f t="shared" si="21"/>
        <v>7.7994395899347159E-15</v>
      </c>
      <c r="J55" s="147">
        <f t="shared" si="22"/>
        <v>2.4612208144764062E-14</v>
      </c>
      <c r="K55" s="146">
        <f t="shared" si="23"/>
        <v>1.0052755297516826E-19</v>
      </c>
      <c r="L55" s="150">
        <f t="shared" si="24"/>
        <v>0.2203818883742491</v>
      </c>
    </row>
    <row r="56" spans="1:12" x14ac:dyDescent="0.25">
      <c r="L56" s="150"/>
    </row>
    <row r="57" spans="1:12" x14ac:dyDescent="0.25">
      <c r="L57" s="150"/>
    </row>
    <row r="59" spans="1:12" x14ac:dyDescent="0.25">
      <c r="B59" s="146" t="s">
        <v>38</v>
      </c>
    </row>
    <row r="60" spans="1:12" x14ac:dyDescent="0.25">
      <c r="A60" s="147"/>
      <c r="B60" s="146" t="s">
        <v>44</v>
      </c>
      <c r="C60" s="146" t="s">
        <v>45</v>
      </c>
    </row>
    <row r="61" spans="1:12" x14ac:dyDescent="0.25">
      <c r="A61" s="146">
        <v>1</v>
      </c>
      <c r="B61" s="147">
        <f>F41</f>
        <v>4.6159066800866917E-19</v>
      </c>
      <c r="C61" s="146">
        <f>K41</f>
        <v>9.23552400788586E-20</v>
      </c>
    </row>
    <row r="62" spans="1:12" x14ac:dyDescent="0.25">
      <c r="A62" s="146">
        <v>2</v>
      </c>
      <c r="B62" s="147">
        <f t="shared" ref="B62:B65" si="25">F42</f>
        <v>4.6582765170593911E-19</v>
      </c>
      <c r="C62" s="146">
        <f t="shared" ref="C62:C65" si="26">K42</f>
        <v>9.3214150423829879E-20</v>
      </c>
    </row>
    <row r="63" spans="1:12" x14ac:dyDescent="0.25">
      <c r="A63" s="146">
        <v>3</v>
      </c>
      <c r="B63" s="147">
        <f t="shared" si="25"/>
        <v>4.7193705409986663E-19</v>
      </c>
      <c r="C63" s="146">
        <f t="shared" si="26"/>
        <v>9.4453405010519363E-20</v>
      </c>
    </row>
    <row r="64" spans="1:12" x14ac:dyDescent="0.25">
      <c r="A64" s="146">
        <v>4</v>
      </c>
      <c r="B64" s="147">
        <f t="shared" si="25"/>
        <v>4.5780306137020032E-19</v>
      </c>
      <c r="C64" s="146">
        <f t="shared" si="26"/>
        <v>9.1587789812843918E-20</v>
      </c>
    </row>
    <row r="65" spans="1:3" x14ac:dyDescent="0.25">
      <c r="A65" s="146">
        <v>5</v>
      </c>
      <c r="B65" s="147">
        <f t="shared" si="25"/>
        <v>4.5968240817554738E-19</v>
      </c>
      <c r="C65" s="146">
        <f t="shared" si="26"/>
        <v>9.1968543255123578E-20</v>
      </c>
    </row>
    <row r="66" spans="1:3" x14ac:dyDescent="0.25">
      <c r="A66" s="146">
        <v>6</v>
      </c>
      <c r="B66" s="147">
        <f>F51</f>
        <v>3.3610482447961185E-19</v>
      </c>
      <c r="C66" s="146">
        <f>K51</f>
        <v>7.3246580732809098E-20</v>
      </c>
    </row>
    <row r="67" spans="1:3" x14ac:dyDescent="0.25">
      <c r="A67" s="146">
        <v>7</v>
      </c>
      <c r="B67" s="147">
        <f t="shared" ref="B67:B70" si="27">F52</f>
        <v>4.8352858848451526E-19</v>
      </c>
      <c r="C67" s="146">
        <f t="shared" ref="C67:C70" si="28">K52</f>
        <v>1.0691167721558865E-19</v>
      </c>
    </row>
    <row r="68" spans="1:3" x14ac:dyDescent="0.25">
      <c r="A68" s="146">
        <v>8</v>
      </c>
      <c r="B68" s="147">
        <f t="shared" si="27"/>
        <v>5.1190153617244758E-19</v>
      </c>
      <c r="C68" s="146">
        <f t="shared" si="28"/>
        <v>1.1359547215415235E-19</v>
      </c>
    </row>
    <row r="69" spans="1:3" x14ac:dyDescent="0.25">
      <c r="A69" s="146">
        <v>9</v>
      </c>
      <c r="B69" s="147">
        <f t="shared" si="27"/>
        <v>4.8601566261100761E-19</v>
      </c>
      <c r="C69" s="146">
        <f t="shared" si="28"/>
        <v>1.0749478559895536E-19</v>
      </c>
    </row>
    <row r="70" spans="1:3" x14ac:dyDescent="0.25">
      <c r="A70" s="146">
        <v>10</v>
      </c>
      <c r="B70" s="147">
        <f t="shared" si="27"/>
        <v>4.5615160899453739E-19</v>
      </c>
      <c r="C70" s="146">
        <f t="shared" si="28"/>
        <v>1.0052755297516826E-19</v>
      </c>
    </row>
  </sheetData>
  <mergeCells count="2">
    <mergeCell ref="A1:C2"/>
    <mergeCell ref="A14:C15"/>
  </mergeCells>
  <conditionalFormatting sqref="C32:G36">
    <cfRule type="cellIs" dxfId="14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9231413D-8295-4AED-B253-B4E196C19934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93AEEF0B-A21F-4EB5-995E-7C9C46045D7D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E19" workbookViewId="0">
      <selection activeCell="B61" sqref="B61:B70"/>
    </sheetView>
  </sheetViews>
  <sheetFormatPr defaultRowHeight="15" x14ac:dyDescent="0.25"/>
  <cols>
    <col min="1" max="1" width="13.140625" style="154" customWidth="1"/>
    <col min="2" max="2" width="9.140625" style="154"/>
    <col min="3" max="5" width="12" style="154" customWidth="1"/>
    <col min="6" max="7" width="12.140625" style="154" customWidth="1"/>
    <col min="8" max="9" width="12" style="154" customWidth="1"/>
    <col min="10" max="10" width="9.140625" style="154"/>
    <col min="11" max="11" width="12" style="154" customWidth="1"/>
    <col min="12" max="16384" width="9.140625" style="154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154" t="s">
        <v>1</v>
      </c>
      <c r="C4" s="154" t="s">
        <v>2</v>
      </c>
    </row>
    <row r="5" spans="1:5" x14ac:dyDescent="0.25">
      <c r="A5" s="154" t="str">
        <f>[1]Dati!A5</f>
        <v>d</v>
      </c>
      <c r="B5" s="155">
        <f>Dati!B5</f>
        <v>7.4300000000000008E-3</v>
      </c>
      <c r="C5" s="179">
        <f>Dati!C5</f>
        <v>1.0000000000000001E-5</v>
      </c>
    </row>
    <row r="6" spans="1:5" x14ac:dyDescent="0.25">
      <c r="A6" s="154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54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54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54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54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54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54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54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157"/>
    </row>
    <row r="15" spans="1:5" x14ac:dyDescent="0.25">
      <c r="A15" s="193"/>
      <c r="B15" s="193"/>
      <c r="C15" s="193"/>
      <c r="D15" s="157"/>
    </row>
    <row r="16" spans="1:5" x14ac:dyDescent="0.25">
      <c r="A16" s="154" t="s">
        <v>18</v>
      </c>
      <c r="B16" s="154">
        <v>200</v>
      </c>
      <c r="C16" s="154">
        <f>B16/100</f>
        <v>2</v>
      </c>
      <c r="D16" s="154" t="s">
        <v>19</v>
      </c>
      <c r="E16" s="154">
        <f>(1.8+(B18-15)*0.004765)*0.00001</f>
        <v>1.8285900000000001E-5</v>
      </c>
    </row>
    <row r="17" spans="1:10" x14ac:dyDescent="0.25">
      <c r="A17" s="154" t="s">
        <v>20</v>
      </c>
      <c r="E17" s="156"/>
    </row>
    <row r="18" spans="1:10" x14ac:dyDescent="0.25">
      <c r="A18" s="154" t="s">
        <v>21</v>
      </c>
      <c r="B18" s="154">
        <v>21</v>
      </c>
      <c r="C18" s="154">
        <v>0.5</v>
      </c>
      <c r="D18" s="154" t="s">
        <v>22</v>
      </c>
      <c r="E18" s="155">
        <f>B16/B5</f>
        <v>26917.900403768504</v>
      </c>
      <c r="F18" s="154">
        <f>SQRT((C16/B5)^2+(B16*C5/B5^2)^2)</f>
        <v>271.60606143374878</v>
      </c>
      <c r="G18" s="155"/>
    </row>
    <row r="21" spans="1:10" x14ac:dyDescent="0.25">
      <c r="B21" s="154" t="s">
        <v>23</v>
      </c>
      <c r="C21" s="154" t="s">
        <v>27</v>
      </c>
      <c r="D21" s="154" t="s">
        <v>24</v>
      </c>
      <c r="E21" s="154" t="s">
        <v>29</v>
      </c>
      <c r="F21" s="154" t="s">
        <v>25</v>
      </c>
      <c r="G21" s="154" t="s">
        <v>26</v>
      </c>
      <c r="H21" s="154" t="s">
        <v>28</v>
      </c>
      <c r="I21" s="154" t="s">
        <v>31</v>
      </c>
      <c r="J21" s="154" t="s">
        <v>32</v>
      </c>
    </row>
    <row r="22" spans="1:10" x14ac:dyDescent="0.25">
      <c r="A22" s="154">
        <v>1</v>
      </c>
      <c r="B22" s="160">
        <v>16.434999999999999</v>
      </c>
      <c r="C22" s="154">
        <f>B22</f>
        <v>16.434999999999999</v>
      </c>
      <c r="D22" s="155">
        <f>B12/B22</f>
        <v>3.0422878004259206E-5</v>
      </c>
      <c r="E22" s="155">
        <f>SQRT(2)*D22*$B$13/C22</f>
        <v>6.5446374627388951E-7</v>
      </c>
      <c r="F22" s="5">
        <f>(($B$10/(2*$B$7))^2+9*$E$16*D22/(2*$B$6*($B$9-$B$8)))^(1/2)-$B$10/(2*$B$7)</f>
        <v>7.2844856851585162E-7</v>
      </c>
      <c r="G22" s="154">
        <f>(($B$10/(2*$B$7))^2+9*$E$16*D22/(2*$B$6*($B$9-$B$8)))^(-1/2)*(9*$E$16)/(4*$B$6*$B$9)</f>
        <v>4.2201857564746204E-3</v>
      </c>
      <c r="H22" s="154">
        <f>(($B$10/(2*$B$7))^2+9*$E$16*D22/(2*$B$6*($B$9-$B$8)))^(-1/2)*((9*D22)/(4*$B$6*$B$9))*0.00000004765</f>
        <v>3.3456339910145617E-10</v>
      </c>
      <c r="I22" s="154">
        <f>SQRT(G22^2*E22^2+H22^2*$C$18^2+$F$28^2)</f>
        <v>4.3183022093802967E-8</v>
      </c>
      <c r="J22" s="155">
        <f>I22/F22</f>
        <v>5.9280811247641667E-2</v>
      </c>
    </row>
    <row r="23" spans="1:10" x14ac:dyDescent="0.25">
      <c r="A23" s="154">
        <v>2</v>
      </c>
      <c r="B23" s="160">
        <v>31.13</v>
      </c>
      <c r="C23" s="154">
        <f>B23-B22</f>
        <v>14.695</v>
      </c>
      <c r="D23" s="155">
        <f>$B$12/(B23-B22)</f>
        <v>3.4025178632187818E-5</v>
      </c>
      <c r="E23" s="155">
        <f t="shared" ref="E23:E25" si="0">SQRT(2)*D23*$B$13/C23</f>
        <v>8.1862655807770074E-7</v>
      </c>
      <c r="F23" s="5">
        <f>(($B$10/(2*$B$7))^2+9*E16*D23/(2*$B$6*($B$9-$B$8)))^(1/2)-$B$10/(2*$B$7)</f>
        <v>7.7257866859460383E-7</v>
      </c>
      <c r="G23" s="154">
        <f t="shared" ref="G23:G27" si="1">(($B$10/(2*$B$7))^2+9*$E$16*D23/(2*$B$6*($B$9-$B$8)))^(-1/2)*(9*$E$16)/(4*$B$6*$B$9)</f>
        <v>3.9911236660877215E-3</v>
      </c>
      <c r="H23" s="154">
        <f t="shared" ref="H23:H27" si="2">(($B$10/(2*$B$7))^2+9*$E$16*D23/(2*$B$6*($B$9-$B$8)))^(-1/2)*((9*D23)/(4*$B$6*$B$9))*0.00000004765</f>
        <v>3.538687102760681E-10</v>
      </c>
      <c r="I23" s="154">
        <f t="shared" ref="I23:I27" si="3">SQRT(G23^2*E23^2+H23^2*$C$18^2+$F$28^2)</f>
        <v>4.3218319734329611E-8</v>
      </c>
      <c r="J23" s="155">
        <f t="shared" ref="J23:J27" si="4">I23/F23</f>
        <v>5.5940348201624517E-2</v>
      </c>
    </row>
    <row r="24" spans="1:10" x14ac:dyDescent="0.25">
      <c r="A24" s="154">
        <v>3</v>
      </c>
      <c r="B24" s="160">
        <v>48.39</v>
      </c>
      <c r="C24" s="154">
        <f t="shared" ref="C24:C26" si="5">B24-B23</f>
        <v>17.260000000000002</v>
      </c>
      <c r="D24" s="155">
        <f>$B$12/(B24-B23)</f>
        <v>2.896871378910776E-5</v>
      </c>
      <c r="E24" s="155">
        <f t="shared" si="0"/>
        <v>5.933943789840771E-7</v>
      </c>
      <c r="F24" s="5">
        <f>(($B$10/(2*$B$7))^2+9*E16*D24/(2*$B$6*($B$9-$B$8)))^(1/2)-$B$10/(2*$B$7)</f>
        <v>7.0989933555419862E-7</v>
      </c>
      <c r="G24" s="154">
        <f t="shared" si="1"/>
        <v>4.3245101820791722E-3</v>
      </c>
      <c r="H24" s="154">
        <f t="shared" si="2"/>
        <v>3.264470147732005E-10</v>
      </c>
      <c r="I24" s="154">
        <f t="shared" si="3"/>
        <v>4.3170924421135086E-8</v>
      </c>
      <c r="J24" s="155">
        <f t="shared" si="4"/>
        <v>6.081274098873856E-2</v>
      </c>
    </row>
    <row r="25" spans="1:10" x14ac:dyDescent="0.25">
      <c r="A25" s="154">
        <v>4</v>
      </c>
      <c r="B25" s="160">
        <v>62.016500000000001</v>
      </c>
      <c r="C25" s="154">
        <f t="shared" si="5"/>
        <v>13.6265</v>
      </c>
      <c r="D25" s="155">
        <f>$B$12/(B25-B24)</f>
        <v>3.669320808718306E-5</v>
      </c>
      <c r="E25" s="155">
        <f t="shared" si="0"/>
        <v>9.5204257373266096E-7</v>
      </c>
      <c r="F25" s="5">
        <f>(($B$10/(2*$B$7))^2+9*E16*D25/(2*$B$6*($B$9-$B$8)))^(1/2)-$B$10/(2*$B$7)</f>
        <v>8.0377781422439028E-7</v>
      </c>
      <c r="G25" s="154">
        <f t="shared" si="1"/>
        <v>3.8436307701777365E-3</v>
      </c>
      <c r="H25" s="154">
        <f t="shared" si="2"/>
        <v>3.6751401874775404E-10</v>
      </c>
      <c r="I25" s="154">
        <f t="shared" si="3"/>
        <v>4.324975425219217E-8</v>
      </c>
      <c r="J25" s="155">
        <f t="shared" si="4"/>
        <v>5.3808096574457273E-2</v>
      </c>
    </row>
    <row r="26" spans="1:10" x14ac:dyDescent="0.25">
      <c r="A26" s="154">
        <v>5</v>
      </c>
      <c r="B26" s="160">
        <v>75.643000000000001</v>
      </c>
      <c r="C26" s="154">
        <f t="shared" si="5"/>
        <v>13.6265</v>
      </c>
      <c r="D26" s="155">
        <f>$B$12/(B26-B25)</f>
        <v>3.669320808718306E-5</v>
      </c>
      <c r="E26" s="155">
        <f>SQRT(2)*D26*$B$13/C26</f>
        <v>9.5204257373266096E-7</v>
      </c>
      <c r="F26" s="5">
        <f>(($B$10/(2*$B$7))^2+9*E16*D26/(2*$B$6*($B$9-$B$8)))^(1/2)-$B$10/(2*$B$7)</f>
        <v>8.0377781422439028E-7</v>
      </c>
      <c r="G26" s="154">
        <f t="shared" si="1"/>
        <v>3.8436307701777365E-3</v>
      </c>
      <c r="H26" s="154">
        <f t="shared" si="2"/>
        <v>3.6751401874775404E-10</v>
      </c>
      <c r="I26" s="154">
        <f t="shared" si="3"/>
        <v>4.324975425219217E-8</v>
      </c>
      <c r="J26" s="155">
        <f t="shared" si="4"/>
        <v>5.3808096574457273E-2</v>
      </c>
    </row>
    <row r="27" spans="1:10" x14ac:dyDescent="0.25">
      <c r="A27" s="7" t="s">
        <v>34</v>
      </c>
      <c r="B27" s="7"/>
      <c r="C27" s="7">
        <f>AVERAGE(C22:C26)</f>
        <v>15.1286</v>
      </c>
      <c r="D27" s="7">
        <f>AVERAGE(D22:D26)</f>
        <v>3.336063731998418E-5</v>
      </c>
      <c r="E27" s="8">
        <f>SQRT(2)*D27*$B$13/C27</f>
        <v>7.7963370284315225E-7</v>
      </c>
      <c r="F27" s="9">
        <f>AVERAGE(F22:F26)</f>
        <v>7.6369644022268675E-7</v>
      </c>
      <c r="G27" s="7">
        <f t="shared" si="1"/>
        <v>4.030579657004432E-3</v>
      </c>
      <c r="H27" s="7">
        <f t="shared" si="2"/>
        <v>3.5038734472648175E-10</v>
      </c>
      <c r="I27" s="7">
        <f t="shared" si="3"/>
        <v>4.3209052488094057E-8</v>
      </c>
      <c r="J27" s="8">
        <f t="shared" si="4"/>
        <v>5.6578831866094206E-2</v>
      </c>
    </row>
    <row r="28" spans="1:10" x14ac:dyDescent="0.25">
      <c r="A28" s="154" t="s">
        <v>35</v>
      </c>
      <c r="C28" s="6">
        <f>_xlfn.STDEV.S(C22:C26)</f>
        <v>1.6545516537721028</v>
      </c>
      <c r="D28" s="155">
        <f>_xlfn.STDEV.S(D22:D26)</f>
        <v>3.5557380770592924E-6</v>
      </c>
      <c r="E28" s="8">
        <f>SQRT(2)*D28*$B$13/C28</f>
        <v>7.5980900949199292E-7</v>
      </c>
      <c r="F28" s="155">
        <f>_xlfn.STDEV.S(F22:F26)</f>
        <v>4.309428034888602E-8</v>
      </c>
    </row>
    <row r="30" spans="1:10" x14ac:dyDescent="0.25">
      <c r="A30" s="154" t="s">
        <v>31</v>
      </c>
      <c r="C30" s="154">
        <f t="array" ref="C30:G31">TRANSPOSE(A32:B36)</f>
        <v>4.3183022093802967E-8</v>
      </c>
      <c r="D30" s="154">
        <v>4.3218319734329611E-8</v>
      </c>
      <c r="E30" s="154">
        <v>4.3170924421135086E-8</v>
      </c>
      <c r="F30" s="154">
        <v>4.324975425219217E-8</v>
      </c>
      <c r="G30" s="154">
        <v>4.324975425219217E-8</v>
      </c>
    </row>
    <row r="31" spans="1:10" x14ac:dyDescent="0.25">
      <c r="B31" s="154" t="s">
        <v>25</v>
      </c>
      <c r="C31" s="154">
        <v>7.2844856851585162E-7</v>
      </c>
      <c r="D31" s="154">
        <v>7.7257866859460383E-7</v>
      </c>
      <c r="E31" s="154">
        <v>7.0989933555419862E-7</v>
      </c>
      <c r="F31" s="154">
        <v>8.0377781422439028E-7</v>
      </c>
      <c r="G31" s="154">
        <v>8.0377781422439028E-7</v>
      </c>
    </row>
    <row r="32" spans="1:10" x14ac:dyDescent="0.25">
      <c r="A32" s="154">
        <f>I22</f>
        <v>4.3183022093802967E-8</v>
      </c>
      <c r="B32" s="5">
        <f>F22</f>
        <v>7.2844856851585162E-7</v>
      </c>
      <c r="C32" s="154">
        <f t="shared" ref="C32:G36" si="6">(C$31-$B32)/SQRT(C$30^2+$A32^2)</f>
        <v>0</v>
      </c>
      <c r="D32" s="154">
        <f t="shared" si="6"/>
        <v>0.72231957874456876</v>
      </c>
      <c r="E32" s="154">
        <f t="shared" si="6"/>
        <v>-0.30377970697639334</v>
      </c>
      <c r="F32" s="154">
        <f t="shared" si="6"/>
        <v>1.2325371656068813</v>
      </c>
      <c r="G32" s="154">
        <f t="shared" si="6"/>
        <v>1.2325371656068813</v>
      </c>
    </row>
    <row r="33" spans="1:12" x14ac:dyDescent="0.25">
      <c r="A33" s="154">
        <f>I23</f>
        <v>4.3218319734329611E-8</v>
      </c>
      <c r="B33" s="5">
        <f>F23</f>
        <v>7.7257866859460383E-7</v>
      </c>
      <c r="C33" s="154">
        <f t="shared" si="6"/>
        <v>-0.72231957874456876</v>
      </c>
      <c r="D33" s="154">
        <f t="shared" si="6"/>
        <v>0</v>
      </c>
      <c r="E33" s="154">
        <f t="shared" si="6"/>
        <v>-1.0260762250283417</v>
      </c>
      <c r="F33" s="154">
        <f t="shared" si="6"/>
        <v>0.51027217254038826</v>
      </c>
      <c r="G33" s="154">
        <f t="shared" si="6"/>
        <v>0.51027217254038826</v>
      </c>
    </row>
    <row r="34" spans="1:12" x14ac:dyDescent="0.25">
      <c r="A34" s="154">
        <f>I24</f>
        <v>4.3170924421135086E-8</v>
      </c>
      <c r="B34" s="5">
        <f>F24</f>
        <v>7.0989933555419862E-7</v>
      </c>
      <c r="C34" s="154">
        <f t="shared" si="6"/>
        <v>0.30377970697639334</v>
      </c>
      <c r="D34" s="154">
        <f t="shared" si="6"/>
        <v>1.0260762250283417</v>
      </c>
      <c r="E34" s="154">
        <f t="shared" si="6"/>
        <v>0</v>
      </c>
      <c r="F34" s="154">
        <f t="shared" si="6"/>
        <v>1.5362545695741032</v>
      </c>
      <c r="G34" s="154">
        <f t="shared" si="6"/>
        <v>1.5362545695741032</v>
      </c>
    </row>
    <row r="35" spans="1:12" x14ac:dyDescent="0.25">
      <c r="A35" s="154">
        <f>I25</f>
        <v>4.324975425219217E-8</v>
      </c>
      <c r="B35" s="5">
        <f>F25</f>
        <v>8.0377781422439028E-7</v>
      </c>
      <c r="C35" s="154">
        <f t="shared" si="6"/>
        <v>-1.2325371656068813</v>
      </c>
      <c r="D35" s="154">
        <f t="shared" si="6"/>
        <v>-0.51027217254038826</v>
      </c>
      <c r="E35" s="154">
        <f t="shared" si="6"/>
        <v>-1.5362545695741032</v>
      </c>
      <c r="F35" s="154">
        <f t="shared" si="6"/>
        <v>0</v>
      </c>
      <c r="G35" s="154">
        <f t="shared" si="6"/>
        <v>0</v>
      </c>
    </row>
    <row r="36" spans="1:12" x14ac:dyDescent="0.25">
      <c r="A36" s="154">
        <f>I26</f>
        <v>4.324975425219217E-8</v>
      </c>
      <c r="B36" s="5">
        <f>F26</f>
        <v>8.0377781422439028E-7</v>
      </c>
      <c r="C36" s="154">
        <f t="shared" si="6"/>
        <v>-1.2325371656068813</v>
      </c>
      <c r="D36" s="154">
        <f t="shared" si="6"/>
        <v>-0.51027217254038826</v>
      </c>
      <c r="E36" s="154">
        <f t="shared" si="6"/>
        <v>-1.5362545695741032</v>
      </c>
      <c r="F36" s="154">
        <f t="shared" si="6"/>
        <v>0</v>
      </c>
      <c r="G36" s="154">
        <f t="shared" si="6"/>
        <v>0</v>
      </c>
    </row>
    <row r="39" spans="1:12" x14ac:dyDescent="0.25">
      <c r="A39" s="154" t="s">
        <v>7</v>
      </c>
    </row>
    <row r="40" spans="1:12" x14ac:dyDescent="0.25">
      <c r="B40" s="154" t="s">
        <v>36</v>
      </c>
      <c r="C40" s="154" t="s">
        <v>27</v>
      </c>
      <c r="D40" s="154" t="s">
        <v>24</v>
      </c>
      <c r="E40" s="154" t="s">
        <v>29</v>
      </c>
      <c r="F40" s="154" t="s">
        <v>37</v>
      </c>
      <c r="G40" s="154" t="s">
        <v>39</v>
      </c>
      <c r="H40" s="154" t="s">
        <v>40</v>
      </c>
      <c r="I40" s="154" t="s">
        <v>41</v>
      </c>
      <c r="J40" s="154" t="s">
        <v>42</v>
      </c>
      <c r="K40" s="154" t="s">
        <v>2</v>
      </c>
      <c r="L40" s="154" t="s">
        <v>43</v>
      </c>
    </row>
    <row r="41" spans="1:12" x14ac:dyDescent="0.25">
      <c r="A41" s="159">
        <v>1</v>
      </c>
      <c r="B41" s="161">
        <v>78.278999999999996</v>
      </c>
      <c r="C41" s="154">
        <f>B41-B26</f>
        <v>2.6359999999999957</v>
      </c>
      <c r="D41" s="155">
        <f>$B$12/C41</f>
        <v>1.8968133535660121E-4</v>
      </c>
      <c r="E41" s="155">
        <f>SQRT(2)*D41*$B$13/C41</f>
        <v>2.5441001232013009E-5</v>
      </c>
      <c r="F41" s="155">
        <f>(4*PI()/3)*$F$27^3*($B$9-$B$8)*($B$6/$E$18)*(1+ABS(D41)/$D$27)</f>
        <v>1.9676224548295804E-18</v>
      </c>
      <c r="G41" s="155">
        <f>F41*3/$F$27</f>
        <v>7.7293372779995151E-12</v>
      </c>
      <c r="H41" s="155">
        <f>F41/$E$18</f>
        <v>7.309717419691891E-23</v>
      </c>
      <c r="I41" s="154">
        <f>(4*PI()/3)*$F$27^3*($B$9-$B$8)*($B$6/$E$18)*(1/$D$27)</f>
        <v>8.8217586637052649E-15</v>
      </c>
      <c r="J41" s="155">
        <f>(4*PI()/3)*$F$27^3*($B$9-$B$8)*($B$6/$E$18)*(ABS(D41)/$D$27^2)</f>
        <v>5.0158603010947348E-14</v>
      </c>
      <c r="K41" s="154">
        <f>SQRT(G41^2*$I$27^2+H41^2*$F$18^2+I41^2*E41^2+J41^2*$E$28^2)</f>
        <v>4.0467056172759682E-19</v>
      </c>
      <c r="L41" s="158">
        <f>K41/F41</f>
        <v>0.20566474057780873</v>
      </c>
    </row>
    <row r="42" spans="1:12" x14ac:dyDescent="0.25">
      <c r="A42" s="159">
        <v>2</v>
      </c>
      <c r="B42" s="161">
        <v>80.727999999999994</v>
      </c>
      <c r="C42" s="154">
        <f>B42-B41</f>
        <v>2.4489999999999981</v>
      </c>
      <c r="D42" s="155">
        <f t="shared" ref="D42:D45" si="7">$B$12/C42</f>
        <v>2.0416496529195607E-4</v>
      </c>
      <c r="E42" s="155">
        <f t="shared" ref="E42:E44" si="8">SQRT(2)*D42*$B$13/C42</f>
        <v>2.9474567463997219E-5</v>
      </c>
      <c r="F42" s="155">
        <f t="shared" ref="F42:F45" si="9">(4*PI()/3)*$F$27^3*($B$9-$B$8)*($B$6/$E$18)*(1+ABS(D42)/$D$27)</f>
        <v>2.0953935426936981E-18</v>
      </c>
      <c r="G42" s="155">
        <f t="shared" ref="G42:G45" si="10">F42*3/$F$27</f>
        <v>8.2312556363993297E-12</v>
      </c>
      <c r="H42" s="155">
        <f t="shared" ref="H42:H45" si="11">F42/$E$18</f>
        <v>7.7843870111070892E-23</v>
      </c>
      <c r="I42" s="154">
        <f t="shared" ref="I42:I45" si="12">(4*PI()/3)*$F$27^3*($B$9-$B$8)*($B$6/$E$18)*(1/$D$27)</f>
        <v>8.8217586637052649E-15</v>
      </c>
      <c r="J42" s="155">
        <f t="shared" ref="J42:J45" si="13">(4*PI()/3)*$F$27^3*($B$9-$B$8)*($B$6/$E$18)*(ABS(D42)/$D$27^2)</f>
        <v>5.3988598422563125E-14</v>
      </c>
      <c r="K42" s="154">
        <f t="shared" ref="K42:K45" si="14">SQRT(G42^2*$I$27^2+H42^2*$F$18^2+I42^2*E42^2+J42^2*$E$28^2)</f>
        <v>4.4298563815780639E-19</v>
      </c>
      <c r="L42" s="158">
        <f t="shared" ref="L42:L45" si="15">K42/F42</f>
        <v>0.21140927903611539</v>
      </c>
    </row>
    <row r="43" spans="1:12" x14ac:dyDescent="0.25">
      <c r="A43" s="159">
        <v>3</v>
      </c>
      <c r="B43" s="161">
        <v>83.061000000000007</v>
      </c>
      <c r="C43" s="154">
        <f>B43-B42</f>
        <v>2.3330000000000126</v>
      </c>
      <c r="D43" s="155">
        <f t="shared" si="7"/>
        <v>2.1431633090441377E-4</v>
      </c>
      <c r="E43" s="155">
        <f t="shared" si="8"/>
        <v>3.2478467831446681E-5</v>
      </c>
      <c r="F43" s="155">
        <f t="shared" si="9"/>
        <v>2.1849464402338365E-18</v>
      </c>
      <c r="G43" s="155">
        <f t="shared" si="10"/>
        <v>8.583042915310932E-12</v>
      </c>
      <c r="H43" s="155">
        <f t="shared" si="11"/>
        <v>8.1170760254687029E-23</v>
      </c>
      <c r="I43" s="154">
        <f t="shared" si="12"/>
        <v>8.8217586637052649E-15</v>
      </c>
      <c r="J43" s="155">
        <f t="shared" si="13"/>
        <v>5.6672986513868965E-14</v>
      </c>
      <c r="K43" s="154">
        <f t="shared" si="14"/>
        <v>4.711404627779075E-19</v>
      </c>
      <c r="L43" s="158">
        <f t="shared" si="15"/>
        <v>0.21563021138746324</v>
      </c>
    </row>
    <row r="44" spans="1:12" x14ac:dyDescent="0.25">
      <c r="A44" s="159">
        <v>4</v>
      </c>
      <c r="B44" s="161">
        <v>85.65</v>
      </c>
      <c r="C44" s="154">
        <f>B44-B43</f>
        <v>2.5889999999999986</v>
      </c>
      <c r="D44" s="155">
        <f t="shared" si="7"/>
        <v>1.9312475859405186E-4</v>
      </c>
      <c r="E44" s="155">
        <f t="shared" si="8"/>
        <v>2.6373083510403463E-5</v>
      </c>
      <c r="F44" s="155">
        <f t="shared" si="9"/>
        <v>1.9979995036073646E-18</v>
      </c>
      <c r="G44" s="155">
        <f t="shared" si="10"/>
        <v>7.8486662960931175E-12</v>
      </c>
      <c r="H44" s="155">
        <f t="shared" si="11"/>
        <v>7.4225681559013595E-23</v>
      </c>
      <c r="I44" s="154">
        <f t="shared" si="12"/>
        <v>8.8217586637052649E-15</v>
      </c>
      <c r="J44" s="155">
        <f t="shared" si="13"/>
        <v>5.1069168612150277E-14</v>
      </c>
      <c r="K44" s="154">
        <f t="shared" si="14"/>
        <v>4.1358535426656862E-19</v>
      </c>
      <c r="L44" s="158">
        <f t="shared" si="15"/>
        <v>0.20699972823809271</v>
      </c>
    </row>
    <row r="45" spans="1:12" x14ac:dyDescent="0.25">
      <c r="A45" s="159">
        <v>5</v>
      </c>
      <c r="B45" s="161">
        <v>88.200999999999993</v>
      </c>
      <c r="C45" s="154">
        <f>B45-B44</f>
        <v>2.5509999999999877</v>
      </c>
      <c r="D45" s="155">
        <f t="shared" si="7"/>
        <v>1.9600156801254505E-4</v>
      </c>
      <c r="E45" s="155">
        <f>SQRT(2)*D45*$B$13/C45</f>
        <v>2.7164648738703958E-5</v>
      </c>
      <c r="F45" s="155">
        <f t="shared" si="9"/>
        <v>2.023378022018786E-18</v>
      </c>
      <c r="G45" s="155">
        <f t="shared" si="10"/>
        <v>7.9483597753661968E-12</v>
      </c>
      <c r="H45" s="155">
        <f t="shared" si="11"/>
        <v>7.5168493517997906E-23</v>
      </c>
      <c r="I45" s="154">
        <f t="shared" si="12"/>
        <v>8.8217586637052649E-15</v>
      </c>
      <c r="J45" s="155">
        <f t="shared" si="13"/>
        <v>5.1829901033656458E-14</v>
      </c>
      <c r="K45" s="154">
        <f t="shared" si="14"/>
        <v>4.2112560448372642E-19</v>
      </c>
      <c r="L45" s="158">
        <f t="shared" si="15"/>
        <v>0.20812996874580883</v>
      </c>
    </row>
    <row r="46" spans="1:12" x14ac:dyDescent="0.25">
      <c r="L46" s="158"/>
    </row>
    <row r="47" spans="1:12" x14ac:dyDescent="0.25">
      <c r="L47" s="158"/>
    </row>
    <row r="49" spans="1:12" x14ac:dyDescent="0.25">
      <c r="A49" s="154" t="s">
        <v>7</v>
      </c>
    </row>
    <row r="50" spans="1:12" x14ac:dyDescent="0.25">
      <c r="B50" s="154" t="s">
        <v>23</v>
      </c>
      <c r="C50" s="154" t="s">
        <v>27</v>
      </c>
      <c r="D50" s="154" t="s">
        <v>24</v>
      </c>
      <c r="E50" s="154" t="s">
        <v>29</v>
      </c>
      <c r="F50" s="154" t="s">
        <v>37</v>
      </c>
      <c r="G50" s="154" t="s">
        <v>39</v>
      </c>
      <c r="H50" s="154" t="s">
        <v>40</v>
      </c>
      <c r="I50" s="154" t="s">
        <v>41</v>
      </c>
      <c r="J50" s="154" t="s">
        <v>42</v>
      </c>
      <c r="K50" s="154" t="s">
        <v>2</v>
      </c>
      <c r="L50" s="154" t="s">
        <v>43</v>
      </c>
    </row>
    <row r="51" spans="1:12" x14ac:dyDescent="0.25">
      <c r="A51" s="159">
        <v>6</v>
      </c>
      <c r="B51" s="162">
        <v>89.823999999999998</v>
      </c>
      <c r="C51" s="154">
        <f>B51-B45</f>
        <v>1.6230000000000047</v>
      </c>
      <c r="D51" s="155">
        <f>$B$12/C51</f>
        <v>3.0807147258163809E-4</v>
      </c>
      <c r="E51" s="155">
        <f>SQRT(2)*D51*$B$13/C51</f>
        <v>6.7110113170856813E-5</v>
      </c>
      <c r="F51" s="155">
        <f>-(4*PI()/3)*$F$27^3*($B$9-$B$8)*($B$6/$E$18)*(1-ABS(D51)/$D$27)</f>
        <v>2.4234326909832056E-18</v>
      </c>
      <c r="G51" s="155">
        <f>F51*3/$F$27</f>
        <v>9.5198794835676659E-12</v>
      </c>
      <c r="H51" s="155">
        <f>F51/$E$18</f>
        <v>9.0030524470026093E-23</v>
      </c>
      <c r="I51" s="154">
        <f>-(4*PI()/3)*$F$27^3*($B$9-$B$8)*($B$6/$E$18)*(-1/$D$27)</f>
        <v>8.8217586637052649E-15</v>
      </c>
      <c r="J51" s="155">
        <f>-(4*PI()/3)*$F$27^3*($B$9-$B$8)*($B$6/$E$18)*(-ABS(D51)/$D$27^2)</f>
        <v>8.1465235697385477E-14</v>
      </c>
      <c r="K51" s="154">
        <f>SQRT(G51^2*$I$27^2+H51^2*$F$18^2+I51^2*E51^2+J51^2*$E$28^2)</f>
        <v>7.2397002171940924E-19</v>
      </c>
      <c r="L51" s="158">
        <f>K51/F51</f>
        <v>0.29873741672837173</v>
      </c>
    </row>
    <row r="52" spans="1:12" x14ac:dyDescent="0.25">
      <c r="A52" s="159">
        <v>7</v>
      </c>
      <c r="B52" s="162">
        <v>91.921000000000006</v>
      </c>
      <c r="C52" s="154">
        <f>B52-B51</f>
        <v>2.0970000000000084</v>
      </c>
      <c r="D52" s="155">
        <f t="shared" ref="D52:D55" si="16">$B$12/C52</f>
        <v>2.3843586075345636E-4</v>
      </c>
      <c r="E52" s="155">
        <f t="shared" ref="E52:E54" si="17">SQRT(2)*D52*$B$13/C52</f>
        <v>4.0200194090801077E-5</v>
      </c>
      <c r="F52" s="155">
        <f t="shared" ref="F52:F55" si="18">-(4*PI()/3)*$F$27^3*($B$9-$B$8)*($B$6/$E$18)*(1-ABS(D52)/$D$27)</f>
        <v>1.8091241290355264E-18</v>
      </c>
      <c r="G52" s="155">
        <f t="shared" ref="G52:G55" si="19">F52*3/$F$27</f>
        <v>7.1067142666319204E-12</v>
      </c>
      <c r="H52" s="155">
        <f t="shared" ref="H52:H55" si="20">F52/$E$18</f>
        <v>6.7208961393669816E-23</v>
      </c>
      <c r="I52" s="154">
        <f t="shared" ref="I52:I55" si="21">-(4*PI()/3)*$F$27^3*($B$9-$B$8)*($B$6/$E$18)*(-1/$D$27)</f>
        <v>8.8217586637052649E-15</v>
      </c>
      <c r="J52" s="155">
        <f t="shared" ref="J52:J55" si="22">-(4*PI()/3)*$F$27^3*($B$9-$B$8)*($B$6/$E$18)*(-ABS(D52)/$D$27^2)</f>
        <v>6.305106224933546E-14</v>
      </c>
      <c r="K52" s="154">
        <f t="shared" ref="K52:K55" si="23">SQRT(G52^2*$I$27^2+H52^2*$F$18^2+I52^2*E52^2+J52^2*$E$28^2)</f>
        <v>4.7190035426769105E-19</v>
      </c>
      <c r="L52" s="158">
        <f t="shared" ref="L52:L55" si="24">K52/F52</f>
        <v>0.260844652223653</v>
      </c>
    </row>
    <row r="53" spans="1:12" x14ac:dyDescent="0.25">
      <c r="A53" s="159">
        <v>8</v>
      </c>
      <c r="B53" s="162">
        <v>93.896000000000001</v>
      </c>
      <c r="C53" s="154">
        <f>B53-B52</f>
        <v>1.9749999999999943</v>
      </c>
      <c r="D53" s="155">
        <f t="shared" si="16"/>
        <v>2.5316455696202604E-4</v>
      </c>
      <c r="E53" s="155">
        <f t="shared" si="17"/>
        <v>4.5320094932642307E-5</v>
      </c>
      <c r="F53" s="155">
        <f t="shared" si="18"/>
        <v>1.9390571324185588E-18</v>
      </c>
      <c r="G53" s="155">
        <f t="shared" si="19"/>
        <v>7.6171251964451266E-12</v>
      </c>
      <c r="H53" s="155">
        <f t="shared" si="20"/>
        <v>7.2035972469349464E-23</v>
      </c>
      <c r="I53" s="154">
        <f t="shared" si="21"/>
        <v>8.8217586637052649E-15</v>
      </c>
      <c r="J53" s="155">
        <f t="shared" si="22"/>
        <v>6.694586204397841E-14</v>
      </c>
      <c r="K53" s="154">
        <f t="shared" si="23"/>
        <v>5.2070941541885397E-19</v>
      </c>
      <c r="L53" s="158">
        <f t="shared" si="24"/>
        <v>0.26853742817230991</v>
      </c>
    </row>
    <row r="54" spans="1:12" x14ac:dyDescent="0.25">
      <c r="A54" s="159">
        <v>9</v>
      </c>
      <c r="B54" s="162">
        <v>95.641999999999996</v>
      </c>
      <c r="C54" s="154">
        <f>B54-B53</f>
        <v>1.7459999999999951</v>
      </c>
      <c r="D54" s="155">
        <f t="shared" si="16"/>
        <v>2.8636884306987482E-4</v>
      </c>
      <c r="E54" s="155">
        <f t="shared" si="17"/>
        <v>5.7987786613761546E-5</v>
      </c>
      <c r="F54" s="155">
        <f t="shared" si="18"/>
        <v>2.2319773310626225E-18</v>
      </c>
      <c r="G54" s="155">
        <f t="shared" si="19"/>
        <v>8.7677925947060809E-12</v>
      </c>
      <c r="H54" s="155">
        <f t="shared" si="20"/>
        <v>8.2917957848976433E-23</v>
      </c>
      <c r="I54" s="154">
        <f t="shared" si="21"/>
        <v>8.8217586637052649E-15</v>
      </c>
      <c r="J54" s="155">
        <f t="shared" si="22"/>
        <v>7.5726275794305489E-14</v>
      </c>
      <c r="K54" s="154">
        <f t="shared" si="23"/>
        <v>6.3955557683529658E-19</v>
      </c>
      <c r="L54" s="158">
        <f t="shared" si="24"/>
        <v>0.28654214715111398</v>
      </c>
    </row>
    <row r="55" spans="1:12" x14ac:dyDescent="0.25">
      <c r="A55" s="159">
        <v>10</v>
      </c>
      <c r="B55" s="162">
        <v>97.638999999999996</v>
      </c>
      <c r="C55" s="154">
        <f>B55-B54</f>
        <v>1.9969999999999999</v>
      </c>
      <c r="D55" s="155">
        <f t="shared" si="16"/>
        <v>2.5037556334501755E-4</v>
      </c>
      <c r="E55" s="155">
        <f>SQRT(2)*D55*$B$13/C55</f>
        <v>4.4327055254047049E-5</v>
      </c>
      <c r="F55" s="155">
        <f t="shared" si="18"/>
        <v>1.9144533038146956E-18</v>
      </c>
      <c r="G55" s="155">
        <f t="shared" si="19"/>
        <v>7.5204749020034409E-12</v>
      </c>
      <c r="H55" s="155">
        <f t="shared" si="20"/>
        <v>7.1121940236715944E-23</v>
      </c>
      <c r="I55" s="154">
        <f t="shared" si="21"/>
        <v>8.8217586637052649E-15</v>
      </c>
      <c r="J55" s="155">
        <f t="shared" si="22"/>
        <v>6.6208351295371563E-14</v>
      </c>
      <c r="K55" s="154">
        <f t="shared" si="23"/>
        <v>5.1128495680917936E-19</v>
      </c>
      <c r="L55" s="158">
        <f t="shared" si="24"/>
        <v>0.26706577579636165</v>
      </c>
    </row>
    <row r="56" spans="1:12" x14ac:dyDescent="0.25">
      <c r="L56" s="158"/>
    </row>
    <row r="57" spans="1:12" x14ac:dyDescent="0.25">
      <c r="L57" s="158"/>
    </row>
    <row r="59" spans="1:12" x14ac:dyDescent="0.25">
      <c r="B59" s="154" t="s">
        <v>38</v>
      </c>
    </row>
    <row r="60" spans="1:12" x14ac:dyDescent="0.25">
      <c r="A60" s="155"/>
      <c r="B60" s="154" t="s">
        <v>44</v>
      </c>
      <c r="C60" s="154" t="s">
        <v>45</v>
      </c>
    </row>
    <row r="61" spans="1:12" x14ac:dyDescent="0.25">
      <c r="A61" s="154">
        <v>1</v>
      </c>
      <c r="B61" s="155">
        <f>F41</f>
        <v>1.9676224548295804E-18</v>
      </c>
      <c r="C61" s="154">
        <f>K41</f>
        <v>4.0467056172759682E-19</v>
      </c>
    </row>
    <row r="62" spans="1:12" x14ac:dyDescent="0.25">
      <c r="A62" s="154">
        <v>2</v>
      </c>
      <c r="B62" s="155">
        <f t="shared" ref="B62:B65" si="25">F42</f>
        <v>2.0953935426936981E-18</v>
      </c>
      <c r="C62" s="154">
        <f t="shared" ref="C62:C65" si="26">K42</f>
        <v>4.4298563815780639E-19</v>
      </c>
    </row>
    <row r="63" spans="1:12" x14ac:dyDescent="0.25">
      <c r="A63" s="154">
        <v>3</v>
      </c>
      <c r="B63" s="155">
        <f t="shared" si="25"/>
        <v>2.1849464402338365E-18</v>
      </c>
      <c r="C63" s="154">
        <f t="shared" si="26"/>
        <v>4.711404627779075E-19</v>
      </c>
    </row>
    <row r="64" spans="1:12" x14ac:dyDescent="0.25">
      <c r="A64" s="154">
        <v>4</v>
      </c>
      <c r="B64" s="155">
        <f t="shared" si="25"/>
        <v>1.9979995036073646E-18</v>
      </c>
      <c r="C64" s="154">
        <f t="shared" si="26"/>
        <v>4.1358535426656862E-19</v>
      </c>
    </row>
    <row r="65" spans="1:3" x14ac:dyDescent="0.25">
      <c r="A65" s="154">
        <v>5</v>
      </c>
      <c r="B65" s="155">
        <f t="shared" si="25"/>
        <v>2.023378022018786E-18</v>
      </c>
      <c r="C65" s="154">
        <f t="shared" si="26"/>
        <v>4.2112560448372642E-19</v>
      </c>
    </row>
    <row r="66" spans="1:3" x14ac:dyDescent="0.25">
      <c r="A66" s="154">
        <v>6</v>
      </c>
      <c r="B66" s="155">
        <f>F51</f>
        <v>2.4234326909832056E-18</v>
      </c>
      <c r="C66" s="154">
        <f>K51</f>
        <v>7.2397002171940924E-19</v>
      </c>
    </row>
    <row r="67" spans="1:3" x14ac:dyDescent="0.25">
      <c r="A67" s="154">
        <v>7</v>
      </c>
      <c r="B67" s="155">
        <f t="shared" ref="B67:B70" si="27">F52</f>
        <v>1.8091241290355264E-18</v>
      </c>
      <c r="C67" s="154">
        <f t="shared" ref="C67:C70" si="28">K52</f>
        <v>4.7190035426769105E-19</v>
      </c>
    </row>
    <row r="68" spans="1:3" x14ac:dyDescent="0.25">
      <c r="A68" s="154">
        <v>8</v>
      </c>
      <c r="B68" s="155">
        <f t="shared" si="27"/>
        <v>1.9390571324185588E-18</v>
      </c>
      <c r="C68" s="154">
        <f t="shared" si="28"/>
        <v>5.2070941541885397E-19</v>
      </c>
    </row>
    <row r="69" spans="1:3" x14ac:dyDescent="0.25">
      <c r="A69" s="154">
        <v>9</v>
      </c>
      <c r="B69" s="155">
        <f t="shared" si="27"/>
        <v>2.2319773310626225E-18</v>
      </c>
      <c r="C69" s="154">
        <f t="shared" si="28"/>
        <v>6.3955557683529658E-19</v>
      </c>
    </row>
    <row r="70" spans="1:3" x14ac:dyDescent="0.25">
      <c r="A70" s="154">
        <v>10</v>
      </c>
      <c r="B70" s="155">
        <f t="shared" si="27"/>
        <v>1.9144533038146956E-18</v>
      </c>
      <c r="C70" s="154">
        <f t="shared" si="28"/>
        <v>5.1128495680917936E-19</v>
      </c>
    </row>
  </sheetData>
  <mergeCells count="2">
    <mergeCell ref="A1:C2"/>
    <mergeCell ref="A14:C15"/>
  </mergeCells>
  <conditionalFormatting sqref="C32:G36">
    <cfRule type="cellIs" dxfId="11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C5B7184C-EF93-4B71-B66B-749531A22401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5BA46A46-6C2C-443D-9145-292D58501D89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C19" workbookViewId="0">
      <selection activeCell="B61" sqref="B61:B70"/>
    </sheetView>
  </sheetViews>
  <sheetFormatPr defaultRowHeight="15" x14ac:dyDescent="0.25"/>
  <cols>
    <col min="1" max="1" width="13.140625" style="162" customWidth="1"/>
    <col min="2" max="2" width="9.140625" style="162"/>
    <col min="3" max="5" width="12" style="162" customWidth="1"/>
    <col min="6" max="7" width="12.140625" style="162" customWidth="1"/>
    <col min="8" max="9" width="12" style="162" customWidth="1"/>
    <col min="10" max="10" width="9.140625" style="162"/>
    <col min="11" max="11" width="12" style="162" customWidth="1"/>
    <col min="12" max="16384" width="9.140625" style="162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162" t="s">
        <v>1</v>
      </c>
      <c r="C4" s="162" t="s">
        <v>2</v>
      </c>
    </row>
    <row r="5" spans="1:5" x14ac:dyDescent="0.25">
      <c r="A5" s="162" t="str">
        <f>[1]Dati!A5</f>
        <v>d</v>
      </c>
      <c r="B5" s="163">
        <f>Dati!B5</f>
        <v>7.4300000000000008E-3</v>
      </c>
      <c r="C5" s="179">
        <f>Dati!C5</f>
        <v>1.0000000000000001E-5</v>
      </c>
    </row>
    <row r="6" spans="1:5" x14ac:dyDescent="0.25">
      <c r="A6" s="162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62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62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62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62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62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62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62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165"/>
    </row>
    <row r="15" spans="1:5" x14ac:dyDescent="0.25">
      <c r="A15" s="193"/>
      <c r="B15" s="193"/>
      <c r="C15" s="193"/>
      <c r="D15" s="165"/>
    </row>
    <row r="16" spans="1:5" x14ac:dyDescent="0.25">
      <c r="A16" s="162" t="s">
        <v>18</v>
      </c>
      <c r="B16" s="162">
        <v>200</v>
      </c>
      <c r="C16" s="162">
        <f>B16/100</f>
        <v>2</v>
      </c>
      <c r="D16" s="162" t="s">
        <v>19</v>
      </c>
      <c r="E16" s="162">
        <f>(1.8+(B18-15)*0.004765)*0.00001</f>
        <v>1.8285900000000001E-5</v>
      </c>
    </row>
    <row r="17" spans="1:10" x14ac:dyDescent="0.25">
      <c r="A17" s="162" t="s">
        <v>20</v>
      </c>
      <c r="E17" s="164"/>
    </row>
    <row r="18" spans="1:10" x14ac:dyDescent="0.25">
      <c r="A18" s="162" t="s">
        <v>21</v>
      </c>
      <c r="B18" s="162">
        <v>21</v>
      </c>
      <c r="C18" s="162">
        <v>0.5</v>
      </c>
      <c r="D18" s="162" t="s">
        <v>22</v>
      </c>
      <c r="E18" s="163">
        <f>B16/B5</f>
        <v>26917.900403768504</v>
      </c>
      <c r="F18" s="162">
        <f>SQRT((C16/B5)^2+(B16*C5/B5^2)^2)</f>
        <v>271.60606143374878</v>
      </c>
      <c r="G18" s="163"/>
    </row>
    <row r="21" spans="1:10" x14ac:dyDescent="0.25">
      <c r="B21" s="162" t="s">
        <v>23</v>
      </c>
      <c r="C21" s="162" t="s">
        <v>27</v>
      </c>
      <c r="D21" s="162" t="s">
        <v>24</v>
      </c>
      <c r="E21" s="162" t="s">
        <v>29</v>
      </c>
      <c r="F21" s="162" t="s">
        <v>25</v>
      </c>
      <c r="G21" s="162" t="s">
        <v>26</v>
      </c>
      <c r="H21" s="162" t="s">
        <v>28</v>
      </c>
      <c r="I21" s="162" t="s">
        <v>31</v>
      </c>
      <c r="J21" s="162" t="s">
        <v>32</v>
      </c>
    </row>
    <row r="22" spans="1:10" x14ac:dyDescent="0.25">
      <c r="A22" s="162">
        <v>1</v>
      </c>
      <c r="B22" s="168">
        <v>20.286999999999999</v>
      </c>
      <c r="C22" s="162">
        <f>B22</f>
        <v>20.286999999999999</v>
      </c>
      <c r="D22" s="163">
        <f>B12/B22</f>
        <v>2.4646325232907775E-5</v>
      </c>
      <c r="E22" s="163">
        <f>SQRT(2)*D22*$B$13/C22</f>
        <v>4.2952589598063307E-7</v>
      </c>
      <c r="F22" s="5">
        <f>(($B$10/(2*$B$7))^2+9*$E$16*D22/(2*$B$6*($B$9-$B$8)))^(1/2)-$B$10/(2*$B$7)</f>
        <v>6.5183516613924272E-7</v>
      </c>
      <c r="G22" s="162">
        <f>(($B$10/(2*$B$7))^2+9*$E$16*D22/(2*$B$6*($B$9-$B$8)))^(-1/2)*(9*$E$16)/(4*$B$6*$B$9)</f>
        <v>4.6872134137288281E-3</v>
      </c>
      <c r="H22" s="162">
        <f>(($B$10/(2*$B$7))^2+9*$E$16*D22/(2*$B$6*($B$9-$B$8)))^(-1/2)*((9*D22)/(4*$B$6*$B$9))*0.00000004765</f>
        <v>3.010325569918915E-10</v>
      </c>
      <c r="I22" s="162">
        <f>SQRT(G22^2*E22^2+H22^2*$C$18^2+$F$28^2)</f>
        <v>9.9191318474804468E-9</v>
      </c>
      <c r="J22" s="163">
        <f>I22/F22</f>
        <v>1.5217239515061017E-2</v>
      </c>
    </row>
    <row r="23" spans="1:10" x14ac:dyDescent="0.25">
      <c r="A23" s="162">
        <v>2</v>
      </c>
      <c r="B23" s="168">
        <v>39.957999999999998</v>
      </c>
      <c r="C23" s="162">
        <f>B23-B22</f>
        <v>19.670999999999999</v>
      </c>
      <c r="D23" s="163">
        <f>$B$12/(B23-B22)</f>
        <v>2.5418128209038688E-5</v>
      </c>
      <c r="E23" s="163">
        <f t="shared" ref="E23:E25" si="0">SQRT(2)*D23*$B$13/C23</f>
        <v>4.5684842716893731E-7</v>
      </c>
      <c r="F23" s="5">
        <f>(($B$10/(2*$B$7))^2+9*E16*D23/(2*$B$6*($B$9-$B$8)))^(1/2)-$B$10/(2*$B$7)</f>
        <v>6.6255486051775838E-7</v>
      </c>
      <c r="G23" s="162">
        <f t="shared" ref="G23:G27" si="1">(($B$10/(2*$B$7))^2+9*$E$16*D23/(2*$B$6*($B$9-$B$8)))^(-1/2)*(9*$E$16)/(4*$B$6*$B$9)</f>
        <v>4.6157423500870322E-3</v>
      </c>
      <c r="H23" s="162">
        <f t="shared" ref="H23:H27" si="2">(($B$10/(2*$B$7))^2+9*$E$16*D23/(2*$B$6*($B$9-$B$8)))^(-1/2)*((9*D23)/(4*$B$6*$B$9))*0.00000004765</f>
        <v>3.05725517708138E-10</v>
      </c>
      <c r="I23" s="162">
        <f t="shared" ref="I23:I27" si="3">SQRT(G23^2*E23^2+H23^2*$C$18^2+$F$28^2)</f>
        <v>9.9389731373180765E-9</v>
      </c>
      <c r="J23" s="163">
        <f t="shared" ref="J23:J27" si="4">I23/F23</f>
        <v>1.5000981397300734E-2</v>
      </c>
    </row>
    <row r="24" spans="1:10" x14ac:dyDescent="0.25">
      <c r="A24" s="162">
        <v>3</v>
      </c>
      <c r="B24" s="168">
        <v>60.975000000000001</v>
      </c>
      <c r="C24" s="162">
        <f t="shared" ref="C24:C26" si="5">B24-B23</f>
        <v>21.017000000000003</v>
      </c>
      <c r="D24" s="163">
        <f>$B$12/(B24-B23)</f>
        <v>2.379026502355236E-5</v>
      </c>
      <c r="E24" s="163">
        <f t="shared" si="0"/>
        <v>4.0020596955747759E-7</v>
      </c>
      <c r="F24" s="5">
        <f>(($B$10/(2*$B$7))^2+9*E16*D24/(2*$B$6*($B$9-$B$8)))^(1/2)-$B$10/(2*$B$7)</f>
        <v>6.3974763231505399E-7</v>
      </c>
      <c r="G24" s="162">
        <f t="shared" si="1"/>
        <v>4.770506406900632E-3</v>
      </c>
      <c r="H24" s="162">
        <f t="shared" si="2"/>
        <v>2.9574017676470578E-10</v>
      </c>
      <c r="I24" s="162">
        <f t="shared" si="3"/>
        <v>9.8984887945368135E-9</v>
      </c>
      <c r="J24" s="163">
        <f t="shared" si="4"/>
        <v>1.5472489923436158E-2</v>
      </c>
    </row>
    <row r="25" spans="1:10" x14ac:dyDescent="0.25">
      <c r="A25" s="162">
        <v>4</v>
      </c>
      <c r="B25" s="168">
        <v>82.025000000000006</v>
      </c>
      <c r="C25" s="162">
        <f t="shared" si="5"/>
        <v>21.050000000000004</v>
      </c>
      <c r="D25" s="163">
        <f>$B$12/(B25-B24)</f>
        <v>2.3752969121140138E-5</v>
      </c>
      <c r="E25" s="163">
        <f t="shared" si="0"/>
        <v>3.9895215056705121E-7</v>
      </c>
      <c r="F25" s="5">
        <f>(($B$10/(2*$B$7))^2+9*E16*D25/(2*$B$6*($B$9-$B$8)))^(1/2)-$B$10/(2*$B$7)</f>
        <v>6.3921612904685364E-7</v>
      </c>
      <c r="G25" s="162">
        <f t="shared" si="1"/>
        <v>4.77423689743989E-3</v>
      </c>
      <c r="H25" s="162">
        <f t="shared" si="2"/>
        <v>2.9550744952834814E-10</v>
      </c>
      <c r="I25" s="162">
        <f t="shared" si="3"/>
        <v>9.8976214324514093E-9</v>
      </c>
      <c r="J25" s="163">
        <f t="shared" si="4"/>
        <v>1.5483998263951703E-2</v>
      </c>
    </row>
    <row r="26" spans="1:10" x14ac:dyDescent="0.25">
      <c r="A26" s="162">
        <v>5</v>
      </c>
      <c r="B26" s="168">
        <v>102.358</v>
      </c>
      <c r="C26" s="162">
        <f t="shared" si="5"/>
        <v>20.332999999999998</v>
      </c>
      <c r="D26" s="163">
        <f>$B$12/(B26-B25)</f>
        <v>2.4590567058476371E-5</v>
      </c>
      <c r="E26" s="163">
        <f>SQRT(2)*D26*$B$13/C26</f>
        <v>4.2758463385312491E-7</v>
      </c>
      <c r="F26" s="5">
        <f>(($B$10/(2*$B$7))^2+9*E16*D26/(2*$B$6*($B$9-$B$8)))^(1/2)-$B$10/(2*$B$7)</f>
        <v>6.510542958477685E-7</v>
      </c>
      <c r="G26" s="162">
        <f t="shared" si="1"/>
        <v>4.6925062693187036E-3</v>
      </c>
      <c r="H26" s="162">
        <f t="shared" si="2"/>
        <v>3.0069068176536633E-10</v>
      </c>
      <c r="I26" s="162">
        <f t="shared" si="3"/>
        <v>9.9177440221010924E-9</v>
      </c>
      <c r="J26" s="163">
        <f t="shared" si="4"/>
        <v>1.5233359314812185E-2</v>
      </c>
    </row>
    <row r="27" spans="1:10" x14ac:dyDescent="0.25">
      <c r="A27" s="7" t="s">
        <v>34</v>
      </c>
      <c r="B27" s="7"/>
      <c r="C27" s="7">
        <f>AVERAGE(C22:C26)</f>
        <v>20.471600000000002</v>
      </c>
      <c r="D27" s="7">
        <f>AVERAGE(D22:D26)</f>
        <v>2.4439650929023066E-5</v>
      </c>
      <c r="E27" s="8">
        <f>SQRT(2)*D27*$B$13/C27</f>
        <v>4.2208334721624878E-7</v>
      </c>
      <c r="F27" s="9">
        <f>AVERAGE(F22:F26)</f>
        <v>6.4888161677333543E-7</v>
      </c>
      <c r="G27" s="7">
        <f t="shared" si="1"/>
        <v>4.7069224490456155E-3</v>
      </c>
      <c r="H27" s="7">
        <f t="shared" si="2"/>
        <v>2.9976340007666646E-10</v>
      </c>
      <c r="I27" s="7">
        <f t="shared" si="3"/>
        <v>9.9137642865401382E-9</v>
      </c>
      <c r="J27" s="8">
        <f t="shared" si="4"/>
        <v>1.5278232624061489E-2</v>
      </c>
    </row>
    <row r="28" spans="1:10" x14ac:dyDescent="0.25">
      <c r="A28" s="162" t="s">
        <v>35</v>
      </c>
      <c r="C28" s="6">
        <f>_xlfn.STDEV.S(C22:C26)</f>
        <v>0.57581576914843391</v>
      </c>
      <c r="D28" s="163">
        <f>_xlfn.STDEV.S(D22:D26)</f>
        <v>6.9212384965111943E-7</v>
      </c>
      <c r="E28" s="8">
        <f>SQRT(2)*D28*$B$13/C28</f>
        <v>4.2496705867661468E-7</v>
      </c>
      <c r="F28" s="163">
        <f>_xlfn.STDEV.S(F22:F26)</f>
        <v>9.7114997269555254E-9</v>
      </c>
    </row>
    <row r="30" spans="1:10" x14ac:dyDescent="0.25">
      <c r="A30" s="162" t="s">
        <v>31</v>
      </c>
      <c r="C30" s="162">
        <f t="array" ref="C30:G31">TRANSPOSE(A32:B36)</f>
        <v>9.9191318474804468E-9</v>
      </c>
      <c r="D30" s="162">
        <v>9.9389731373180765E-9</v>
      </c>
      <c r="E30" s="162">
        <v>9.8984887945368135E-9</v>
      </c>
      <c r="F30" s="162">
        <v>9.8976214324514093E-9</v>
      </c>
      <c r="G30" s="162">
        <v>9.9177440221010924E-9</v>
      </c>
    </row>
    <row r="31" spans="1:10" x14ac:dyDescent="0.25">
      <c r="B31" s="162" t="s">
        <v>25</v>
      </c>
      <c r="C31" s="162">
        <v>6.5183516613924272E-7</v>
      </c>
      <c r="D31" s="162">
        <v>6.6255486051775838E-7</v>
      </c>
      <c r="E31" s="162">
        <v>6.3974763231505399E-7</v>
      </c>
      <c r="F31" s="162">
        <v>6.3921612904685364E-7</v>
      </c>
      <c r="G31" s="162">
        <v>6.510542958477685E-7</v>
      </c>
    </row>
    <row r="32" spans="1:10" x14ac:dyDescent="0.25">
      <c r="A32" s="162">
        <f>I22</f>
        <v>9.9191318474804468E-9</v>
      </c>
      <c r="B32" s="5">
        <f>F22</f>
        <v>6.5183516613924272E-7</v>
      </c>
      <c r="C32" s="162">
        <f t="shared" ref="C32:G36" si="6">(C$31-$B32)/SQRT(C$30^2+$A32^2)</f>
        <v>0</v>
      </c>
      <c r="D32" s="162">
        <f t="shared" si="6"/>
        <v>0.76341270322948829</v>
      </c>
      <c r="E32" s="162">
        <f t="shared" si="6"/>
        <v>-0.8625831175497376</v>
      </c>
      <c r="F32" s="162">
        <f t="shared" si="6"/>
        <v>-0.90055129791683874</v>
      </c>
      <c r="G32" s="162">
        <f t="shared" si="6"/>
        <v>-5.5669923087426909E-2</v>
      </c>
    </row>
    <row r="33" spans="1:12" x14ac:dyDescent="0.25">
      <c r="A33" s="162">
        <f>I23</f>
        <v>9.9389731373180765E-9</v>
      </c>
      <c r="B33" s="5">
        <f>F23</f>
        <v>6.6255486051775838E-7</v>
      </c>
      <c r="C33" s="162">
        <f t="shared" si="6"/>
        <v>-0.76341270322948829</v>
      </c>
      <c r="D33" s="162">
        <f t="shared" si="6"/>
        <v>0</v>
      </c>
      <c r="E33" s="162">
        <f t="shared" si="6"/>
        <v>-1.6259249488601366</v>
      </c>
      <c r="F33" s="162">
        <f t="shared" si="6"/>
        <v>-1.6638883626461802</v>
      </c>
      <c r="G33" s="162">
        <f t="shared" si="6"/>
        <v>-0.81908026919057442</v>
      </c>
    </row>
    <row r="34" spans="1:12" x14ac:dyDescent="0.25">
      <c r="A34" s="162">
        <f>I24</f>
        <v>9.8984887945368135E-9</v>
      </c>
      <c r="B34" s="5">
        <f>F24</f>
        <v>6.3974763231505399E-7</v>
      </c>
      <c r="C34" s="162">
        <f t="shared" si="6"/>
        <v>0.8625831175497376</v>
      </c>
      <c r="D34" s="162">
        <f t="shared" si="6"/>
        <v>1.6259249488601366</v>
      </c>
      <c r="E34" s="162">
        <f t="shared" si="6"/>
        <v>0</v>
      </c>
      <c r="F34" s="162">
        <f t="shared" si="6"/>
        <v>-3.7970041639206482E-2</v>
      </c>
      <c r="G34" s="162">
        <f t="shared" si="6"/>
        <v>0.8069156994861294</v>
      </c>
    </row>
    <row r="35" spans="1:12" x14ac:dyDescent="0.25">
      <c r="A35" s="162">
        <f>I25</f>
        <v>9.8976214324514093E-9</v>
      </c>
      <c r="B35" s="5">
        <f>F25</f>
        <v>6.3921612904685364E-7</v>
      </c>
      <c r="C35" s="162">
        <f t="shared" si="6"/>
        <v>0.90055129791683874</v>
      </c>
      <c r="D35" s="162">
        <f t="shared" si="6"/>
        <v>1.6638883626461802</v>
      </c>
      <c r="E35" s="162">
        <f t="shared" si="6"/>
        <v>3.7970041639206482E-2</v>
      </c>
      <c r="F35" s="162">
        <f t="shared" si="6"/>
        <v>0</v>
      </c>
      <c r="G35" s="162">
        <f t="shared" si="6"/>
        <v>0.84488411023576804</v>
      </c>
    </row>
    <row r="36" spans="1:12" x14ac:dyDescent="0.25">
      <c r="A36" s="162">
        <f>I26</f>
        <v>9.9177440221010924E-9</v>
      </c>
      <c r="B36" s="5">
        <f>F26</f>
        <v>6.510542958477685E-7</v>
      </c>
      <c r="C36" s="162">
        <f t="shared" si="6"/>
        <v>5.5669923087426909E-2</v>
      </c>
      <c r="D36" s="162">
        <f t="shared" si="6"/>
        <v>0.81908026919057442</v>
      </c>
      <c r="E36" s="162">
        <f t="shared" si="6"/>
        <v>-0.8069156994861294</v>
      </c>
      <c r="F36" s="162">
        <f t="shared" si="6"/>
        <v>-0.84488411023576804</v>
      </c>
      <c r="G36" s="162">
        <f t="shared" si="6"/>
        <v>0</v>
      </c>
    </row>
    <row r="39" spans="1:12" x14ac:dyDescent="0.25">
      <c r="A39" s="162" t="s">
        <v>7</v>
      </c>
    </row>
    <row r="40" spans="1:12" x14ac:dyDescent="0.25">
      <c r="B40" s="162" t="s">
        <v>36</v>
      </c>
      <c r="C40" s="162" t="s">
        <v>27</v>
      </c>
      <c r="D40" s="162" t="s">
        <v>24</v>
      </c>
      <c r="E40" s="162" t="s">
        <v>29</v>
      </c>
      <c r="F40" s="162" t="s">
        <v>37</v>
      </c>
      <c r="G40" s="162" t="s">
        <v>39</v>
      </c>
      <c r="H40" s="162" t="s">
        <v>40</v>
      </c>
      <c r="I40" s="162" t="s">
        <v>41</v>
      </c>
      <c r="J40" s="162" t="s">
        <v>42</v>
      </c>
      <c r="K40" s="162" t="s">
        <v>2</v>
      </c>
      <c r="L40" s="162" t="s">
        <v>43</v>
      </c>
    </row>
    <row r="41" spans="1:12" x14ac:dyDescent="0.25">
      <c r="A41" s="167">
        <v>1</v>
      </c>
      <c r="B41" s="169">
        <v>109.126</v>
      </c>
      <c r="C41" s="162">
        <f>B41-B26</f>
        <v>6.7680000000000007</v>
      </c>
      <c r="D41" s="163">
        <f>$B$12/C41</f>
        <v>7.387706855791962E-5</v>
      </c>
      <c r="E41" s="163">
        <f>SQRT(2)*D41*$B$13/C41</f>
        <v>3.859262422539039E-6</v>
      </c>
      <c r="F41" s="163">
        <f>(4*PI()/3)*$F$27^3*($B$9-$B$8)*($B$6/$E$18)*(1+ABS(D41)/$D$27)</f>
        <v>7.2619959882858048E-19</v>
      </c>
      <c r="G41" s="163">
        <f>F41*3/$F$27</f>
        <v>3.3574672793462116E-12</v>
      </c>
      <c r="H41" s="163">
        <f>F41/$E$18</f>
        <v>2.6978315096481767E-23</v>
      </c>
      <c r="I41" s="162">
        <f>(4*PI()/3)*$F$27^3*($B$9-$B$8)*($B$6/$E$18)*(1/$D$27)</f>
        <v>7.3863286185522703E-15</v>
      </c>
      <c r="J41" s="163">
        <f>(4*PI()/3)*$F$27^3*($B$9-$B$8)*($B$6/$E$18)*(ABS(D41)/$D$27^2)</f>
        <v>2.2327663653169962E-14</v>
      </c>
      <c r="K41" s="162">
        <f>SQRT(G41^2*$I$27^2+H41^2*$F$18^2+I41^2*E41^2+J41^2*$E$28^2)</f>
        <v>4.5433511065897546E-20</v>
      </c>
      <c r="L41" s="166">
        <f>K41/F41</f>
        <v>6.256339323126249E-2</v>
      </c>
    </row>
    <row r="42" spans="1:12" x14ac:dyDescent="0.25">
      <c r="A42" s="167">
        <v>2</v>
      </c>
      <c r="B42" s="169">
        <v>115.92400000000001</v>
      </c>
      <c r="C42" s="162">
        <f>B42-B41</f>
        <v>6.7980000000000018</v>
      </c>
      <c r="D42" s="163">
        <f t="shared" ref="D42:D45" si="7">$B$12/C42</f>
        <v>7.3551044424830813E-5</v>
      </c>
      <c r="E42" s="163">
        <f t="shared" ref="E42:E44" si="8">SQRT(2)*D42*$B$13/C42</f>
        <v>3.8252752483194225E-6</v>
      </c>
      <c r="F42" s="163">
        <f t="shared" ref="F42:F45" si="9">(4*PI()/3)*$F$27^3*($B$9-$B$8)*($B$6/$E$18)*(1+ABS(D42)/$D$27)</f>
        <v>7.2379147744400785E-19</v>
      </c>
      <c r="G42" s="163">
        <f t="shared" ref="G42:G45" si="10">F42*3/$F$27</f>
        <v>3.3463337166639424E-12</v>
      </c>
      <c r="H42" s="163">
        <f t="shared" ref="H42:H45" si="11">F42/$E$18</f>
        <v>2.6888853387044895E-23</v>
      </c>
      <c r="I42" s="162">
        <f t="shared" ref="I42:I45" si="12">(4*PI()/3)*$F$27^3*($B$9-$B$8)*($B$6/$E$18)*(1/$D$27)</f>
        <v>7.3863286185522703E-15</v>
      </c>
      <c r="J42" s="163">
        <f t="shared" ref="J42:J45" si="13">(4*PI()/3)*$F$27^3*($B$9-$B$8)*($B$6/$E$18)*(ABS(D42)/$D$27^2)</f>
        <v>2.2229130274294534E-14</v>
      </c>
      <c r="K42" s="162">
        <f t="shared" ref="K42:K45" si="14">SQRT(G42^2*$I$27^2+H42^2*$F$18^2+I42^2*E42^2+J42^2*$E$28^2)</f>
        <v>4.5182638419596739E-20</v>
      </c>
      <c r="L42" s="166">
        <f t="shared" ref="L42:L45" si="15">K42/F42</f>
        <v>6.2424938435520674E-2</v>
      </c>
    </row>
    <row r="43" spans="1:12" x14ac:dyDescent="0.25">
      <c r="A43" s="167">
        <v>3</v>
      </c>
      <c r="B43" s="169">
        <v>122.93600000000001</v>
      </c>
      <c r="C43" s="162">
        <f>B43-B42</f>
        <v>7.0120000000000005</v>
      </c>
      <c r="D43" s="163">
        <f t="shared" si="7"/>
        <v>7.1306332002281798E-5</v>
      </c>
      <c r="E43" s="163">
        <f t="shared" si="8"/>
        <v>3.5953501782909857E-6</v>
      </c>
      <c r="F43" s="163">
        <f t="shared" si="9"/>
        <v>7.072112938369143E-19</v>
      </c>
      <c r="G43" s="163">
        <f t="shared" si="10"/>
        <v>3.2696778991226427E-12</v>
      </c>
      <c r="H43" s="163">
        <f t="shared" si="11"/>
        <v>2.6272899566041369E-23</v>
      </c>
      <c r="I43" s="162">
        <f t="shared" si="12"/>
        <v>7.3863286185522703E-15</v>
      </c>
      <c r="J43" s="163">
        <f t="shared" si="13"/>
        <v>2.155071700009331E-14</v>
      </c>
      <c r="K43" s="162">
        <f t="shared" si="14"/>
        <v>4.3482878650497949E-20</v>
      </c>
      <c r="L43" s="166">
        <f t="shared" si="15"/>
        <v>6.1484989039959068E-2</v>
      </c>
    </row>
    <row r="44" spans="1:12" x14ac:dyDescent="0.25">
      <c r="A44" s="167">
        <v>4</v>
      </c>
      <c r="B44" s="169">
        <v>129.48099999999999</v>
      </c>
      <c r="C44" s="162">
        <f>B44-B43</f>
        <v>6.5449999999999875</v>
      </c>
      <c r="D44" s="163">
        <f t="shared" si="7"/>
        <v>7.639419404125301E-5</v>
      </c>
      <c r="E44" s="163">
        <f t="shared" si="8"/>
        <v>4.1267267112185674E-6</v>
      </c>
      <c r="F44" s="163">
        <f t="shared" si="9"/>
        <v>7.4479191482261292E-19</v>
      </c>
      <c r="G44" s="163">
        <f t="shared" si="10"/>
        <v>3.4434258680013452E-12</v>
      </c>
      <c r="H44" s="163">
        <f t="shared" si="11"/>
        <v>2.7669019635660073E-23</v>
      </c>
      <c r="I44" s="162">
        <f t="shared" si="12"/>
        <v>7.3863286185522703E-15</v>
      </c>
      <c r="J44" s="163">
        <f t="shared" si="13"/>
        <v>2.3088407579015213E-14</v>
      </c>
      <c r="K44" s="162">
        <f t="shared" si="14"/>
        <v>4.7404824412332147E-20</v>
      </c>
      <c r="L44" s="166">
        <f t="shared" si="15"/>
        <v>6.3648414367686243E-2</v>
      </c>
    </row>
    <row r="45" spans="1:12" x14ac:dyDescent="0.25">
      <c r="A45" s="167">
        <v>5</v>
      </c>
      <c r="B45" s="169">
        <v>136.09</v>
      </c>
      <c r="C45" s="162">
        <f>B45-B44</f>
        <v>6.6090000000000089</v>
      </c>
      <c r="D45" s="163">
        <f t="shared" si="7"/>
        <v>7.5654410652140918E-5</v>
      </c>
      <c r="E45" s="163">
        <f>SQRT(2)*D45*$B$13/C45</f>
        <v>4.0471891964594156E-6</v>
      </c>
      <c r="F45" s="163">
        <f t="shared" si="9"/>
        <v>7.3932763160408483E-19</v>
      </c>
      <c r="G45" s="163">
        <f t="shared" si="10"/>
        <v>3.4181626316392177E-12</v>
      </c>
      <c r="H45" s="163">
        <f t="shared" si="11"/>
        <v>2.7466021514091754E-23</v>
      </c>
      <c r="I45" s="162">
        <f t="shared" si="12"/>
        <v>7.3863286185522703E-15</v>
      </c>
      <c r="J45" s="163">
        <f t="shared" si="13"/>
        <v>2.2864824875874427E-14</v>
      </c>
      <c r="K45" s="162">
        <f t="shared" si="14"/>
        <v>4.6819114038303942E-20</v>
      </c>
      <c r="L45" s="166">
        <f t="shared" si="15"/>
        <v>6.3326611960549464E-2</v>
      </c>
    </row>
    <row r="46" spans="1:12" x14ac:dyDescent="0.25">
      <c r="L46" s="166"/>
    </row>
    <row r="47" spans="1:12" x14ac:dyDescent="0.25">
      <c r="L47" s="166"/>
    </row>
    <row r="49" spans="1:12" x14ac:dyDescent="0.25">
      <c r="A49" s="162" t="s">
        <v>7</v>
      </c>
    </row>
    <row r="50" spans="1:12" x14ac:dyDescent="0.25">
      <c r="B50" s="162" t="s">
        <v>23</v>
      </c>
      <c r="C50" s="162" t="s">
        <v>27</v>
      </c>
      <c r="D50" s="162" t="s">
        <v>24</v>
      </c>
      <c r="E50" s="162" t="s">
        <v>29</v>
      </c>
      <c r="F50" s="162" t="s">
        <v>37</v>
      </c>
      <c r="G50" s="162" t="s">
        <v>39</v>
      </c>
      <c r="H50" s="162" t="s">
        <v>40</v>
      </c>
      <c r="I50" s="162" t="s">
        <v>41</v>
      </c>
      <c r="J50" s="162" t="s">
        <v>42</v>
      </c>
      <c r="K50" s="162" t="s">
        <v>2</v>
      </c>
      <c r="L50" s="162" t="s">
        <v>43</v>
      </c>
    </row>
    <row r="51" spans="1:12" x14ac:dyDescent="0.25">
      <c r="A51" s="167">
        <v>6</v>
      </c>
      <c r="B51" s="170">
        <v>140.56100000000001</v>
      </c>
      <c r="C51" s="162">
        <f>B51-B45</f>
        <v>4.4710000000000036</v>
      </c>
      <c r="D51" s="163">
        <f>$B$12/C51</f>
        <v>1.1183180496533206E-4</v>
      </c>
      <c r="E51" s="163">
        <f>SQRT(2)*D51*$B$13/C51</f>
        <v>8.8433267326456776E-6</v>
      </c>
      <c r="F51" s="163">
        <f>-(4*PI()/3)*$F$27^3*($B$9-$B$8)*($B$6/$E$18)*(1-ABS(D51)/$D$27)</f>
        <v>6.455071683953174E-19</v>
      </c>
      <c r="G51" s="163">
        <f>F51*3/$F$27</f>
        <v>2.9843987795733929E-12</v>
      </c>
      <c r="H51" s="163">
        <f>F51/$E$18</f>
        <v>2.3980591305886042E-23</v>
      </c>
      <c r="I51" s="162">
        <f>-(4*PI()/3)*$F$27^3*($B$9-$B$8)*($B$6/$E$18)*(-1/$D$27)</f>
        <v>7.3863286185522703E-15</v>
      </c>
      <c r="J51" s="163">
        <f>-(4*PI()/3)*$F$27^3*($B$9-$B$8)*($B$6/$E$18)*(-ABS(D51)/$D$27^2)</f>
        <v>3.3798619459775034E-14</v>
      </c>
      <c r="K51" s="162">
        <f>SQRT(G51^2*$I$27^2+H51^2*$F$18^2+I51^2*E51^2+J51^2*$E$28^2)</f>
        <v>7.3421802169311908E-20</v>
      </c>
      <c r="L51" s="166">
        <f>K51/F51</f>
        <v>0.11374281458691314</v>
      </c>
    </row>
    <row r="52" spans="1:12" x14ac:dyDescent="0.25">
      <c r="A52" s="167">
        <v>7</v>
      </c>
      <c r="B52" s="170">
        <v>144.26</v>
      </c>
      <c r="C52" s="162">
        <f>B52-B51</f>
        <v>3.6989999999999839</v>
      </c>
      <c r="D52" s="163">
        <f t="shared" ref="D52:D55" si="16">$B$12/C52</f>
        <v>1.3517166801838395E-4</v>
      </c>
      <c r="E52" s="163">
        <f t="shared" ref="E52:E54" si="17">SQRT(2)*D52*$B$13/C52</f>
        <v>1.2919816582873275E-5</v>
      </c>
      <c r="F52" s="163">
        <f t="shared" ref="F52:F55" si="18">-(4*PI()/3)*$F$27^3*($B$9-$B$8)*($B$6/$E$18)*(1-ABS(D52)/$D$27)</f>
        <v>8.1790306681716528E-19</v>
      </c>
      <c r="G52" s="163">
        <f t="shared" ref="G52:G55" si="19">F52*3/$F$27</f>
        <v>3.7814435438207445E-12</v>
      </c>
      <c r="H52" s="163">
        <f t="shared" ref="H52:H55" si="20">F52/$E$18</f>
        <v>3.0385098932257694E-23</v>
      </c>
      <c r="I52" s="162">
        <f t="shared" ref="I52:I55" si="21">-(4*PI()/3)*$F$27^3*($B$9-$B$8)*($B$6/$E$18)*(-1/$D$27)</f>
        <v>7.3863286185522703E-15</v>
      </c>
      <c r="J52" s="163">
        <f t="shared" ref="J52:J55" si="22">-(4*PI()/3)*$F$27^3*($B$9-$B$8)*($B$6/$E$18)*(-ABS(D52)/$D$27^2)</f>
        <v>4.0852562207260067E-14</v>
      </c>
      <c r="K52" s="162">
        <f t="shared" ref="K52:K55" si="23">SQRT(G52^2*$I$27^2+H52^2*$F$18^2+I52^2*E52^2+J52^2*$E$28^2)</f>
        <v>1.0431574684964284E-19</v>
      </c>
      <c r="L52" s="166">
        <f t="shared" ref="L52:L55" si="24">K52/F52</f>
        <v>0.12754047647184294</v>
      </c>
    </row>
    <row r="53" spans="1:12" x14ac:dyDescent="0.25">
      <c r="A53" s="167">
        <v>8</v>
      </c>
      <c r="B53" s="170">
        <v>148.25</v>
      </c>
      <c r="C53" s="162">
        <f>B53-B52</f>
        <v>3.9900000000000091</v>
      </c>
      <c r="D53" s="163">
        <f t="shared" si="16"/>
        <v>1.2531328320801978E-4</v>
      </c>
      <c r="E53" s="163">
        <f t="shared" si="17"/>
        <v>1.1103994026208134E-5</v>
      </c>
      <c r="F53" s="163">
        <f t="shared" si="18"/>
        <v>7.4508579695967155E-19</v>
      </c>
      <c r="G53" s="163">
        <f t="shared" si="19"/>
        <v>3.4447845848895816E-12</v>
      </c>
      <c r="H53" s="163">
        <f t="shared" si="20"/>
        <v>2.7679937357051799E-23</v>
      </c>
      <c r="I53" s="162">
        <f t="shared" si="21"/>
        <v>7.3863286185522703E-15</v>
      </c>
      <c r="J53" s="163">
        <f t="shared" si="22"/>
        <v>3.787308962522656E-14</v>
      </c>
      <c r="K53" s="162">
        <f t="shared" si="23"/>
        <v>9.0602158132860089E-20</v>
      </c>
      <c r="L53" s="166">
        <f t="shared" si="24"/>
        <v>0.12159963121369768</v>
      </c>
    </row>
    <row r="54" spans="1:12" x14ac:dyDescent="0.25">
      <c r="A54" s="167">
        <v>9</v>
      </c>
      <c r="B54" s="170">
        <v>152.11500000000001</v>
      </c>
      <c r="C54" s="162">
        <f>B54-B53</f>
        <v>3.8650000000000091</v>
      </c>
      <c r="D54" s="163">
        <f t="shared" si="16"/>
        <v>1.2936610608020669E-4</v>
      </c>
      <c r="E54" s="163">
        <f t="shared" si="17"/>
        <v>1.1833848753559146E-5</v>
      </c>
      <c r="F54" s="163">
        <f t="shared" si="18"/>
        <v>7.7502127852642891E-19</v>
      </c>
      <c r="G54" s="163">
        <f t="shared" si="19"/>
        <v>3.5831864788234067E-12</v>
      </c>
      <c r="H54" s="163">
        <f t="shared" si="20"/>
        <v>2.8792040497256835E-23</v>
      </c>
      <c r="I54" s="162">
        <f t="shared" si="21"/>
        <v>7.3863286185522703E-15</v>
      </c>
      <c r="J54" s="163">
        <f t="shared" si="22"/>
        <v>3.9097963157737117E-14</v>
      </c>
      <c r="K54" s="162">
        <f t="shared" si="23"/>
        <v>9.6121681696920931E-20</v>
      </c>
      <c r="L54" s="166">
        <f t="shared" si="24"/>
        <v>0.12402457114426581</v>
      </c>
    </row>
    <row r="55" spans="1:12" x14ac:dyDescent="0.25">
      <c r="A55" s="167">
        <v>10</v>
      </c>
      <c r="B55" s="170">
        <f>B54+C54</f>
        <v>155.98000000000002</v>
      </c>
      <c r="C55" s="162">
        <f>B55-B54</f>
        <v>3.8650000000000091</v>
      </c>
      <c r="D55" s="163">
        <f t="shared" si="16"/>
        <v>1.2936610608020669E-4</v>
      </c>
      <c r="E55" s="163">
        <f>SQRT(2)*D55*$B$13/C55</f>
        <v>1.1833848753559146E-5</v>
      </c>
      <c r="F55" s="163">
        <f t="shared" si="18"/>
        <v>7.7502127852642891E-19</v>
      </c>
      <c r="G55" s="163">
        <f t="shared" si="19"/>
        <v>3.5831864788234067E-12</v>
      </c>
      <c r="H55" s="163">
        <f t="shared" si="20"/>
        <v>2.8792040497256835E-23</v>
      </c>
      <c r="I55" s="162">
        <f t="shared" si="21"/>
        <v>7.3863286185522703E-15</v>
      </c>
      <c r="J55" s="163">
        <f t="shared" si="22"/>
        <v>3.9097963157737117E-14</v>
      </c>
      <c r="K55" s="162">
        <f t="shared" si="23"/>
        <v>9.6121681696920931E-20</v>
      </c>
      <c r="L55" s="166">
        <f t="shared" si="24"/>
        <v>0.12402457114426581</v>
      </c>
    </row>
    <row r="56" spans="1:12" x14ac:dyDescent="0.25">
      <c r="L56" s="166"/>
    </row>
    <row r="57" spans="1:12" x14ac:dyDescent="0.25">
      <c r="L57" s="166"/>
    </row>
    <row r="59" spans="1:12" x14ac:dyDescent="0.25">
      <c r="B59" s="162" t="s">
        <v>38</v>
      </c>
    </row>
    <row r="60" spans="1:12" x14ac:dyDescent="0.25">
      <c r="A60" s="163"/>
      <c r="B60" s="162" t="s">
        <v>44</v>
      </c>
      <c r="C60" s="162" t="s">
        <v>45</v>
      </c>
    </row>
    <row r="61" spans="1:12" x14ac:dyDescent="0.25">
      <c r="A61" s="162">
        <v>1</v>
      </c>
      <c r="B61" s="163">
        <f>F41</f>
        <v>7.2619959882858048E-19</v>
      </c>
      <c r="C61" s="162">
        <f>K41</f>
        <v>4.5433511065897546E-20</v>
      </c>
    </row>
    <row r="62" spans="1:12" x14ac:dyDescent="0.25">
      <c r="A62" s="162">
        <v>2</v>
      </c>
      <c r="B62" s="163">
        <f t="shared" ref="B62:B65" si="25">F42</f>
        <v>7.2379147744400785E-19</v>
      </c>
      <c r="C62" s="162">
        <f t="shared" ref="C62:C65" si="26">K42</f>
        <v>4.5182638419596739E-20</v>
      </c>
    </row>
    <row r="63" spans="1:12" x14ac:dyDescent="0.25">
      <c r="A63" s="162">
        <v>3</v>
      </c>
      <c r="B63" s="163">
        <f t="shared" si="25"/>
        <v>7.072112938369143E-19</v>
      </c>
      <c r="C63" s="162">
        <f t="shared" si="26"/>
        <v>4.3482878650497949E-20</v>
      </c>
    </row>
    <row r="64" spans="1:12" x14ac:dyDescent="0.25">
      <c r="A64" s="162">
        <v>4</v>
      </c>
      <c r="B64" s="163">
        <f t="shared" si="25"/>
        <v>7.4479191482261292E-19</v>
      </c>
      <c r="C64" s="162">
        <f t="shared" si="26"/>
        <v>4.7404824412332147E-20</v>
      </c>
    </row>
    <row r="65" spans="1:3" x14ac:dyDescent="0.25">
      <c r="A65" s="162">
        <v>5</v>
      </c>
      <c r="B65" s="163">
        <f t="shared" si="25"/>
        <v>7.3932763160408483E-19</v>
      </c>
      <c r="C65" s="162">
        <f t="shared" si="26"/>
        <v>4.6819114038303942E-20</v>
      </c>
    </row>
    <row r="66" spans="1:3" x14ac:dyDescent="0.25">
      <c r="A66" s="162">
        <v>6</v>
      </c>
      <c r="B66" s="163">
        <f>F51</f>
        <v>6.455071683953174E-19</v>
      </c>
      <c r="C66" s="162">
        <f>K51</f>
        <v>7.3421802169311908E-20</v>
      </c>
    </row>
    <row r="67" spans="1:3" x14ac:dyDescent="0.25">
      <c r="A67" s="162">
        <v>7</v>
      </c>
      <c r="B67" s="163">
        <f t="shared" ref="B67:B70" si="27">F52</f>
        <v>8.1790306681716528E-19</v>
      </c>
      <c r="C67" s="162">
        <f t="shared" ref="C67:C70" si="28">K52</f>
        <v>1.0431574684964284E-19</v>
      </c>
    </row>
    <row r="68" spans="1:3" x14ac:dyDescent="0.25">
      <c r="A68" s="162">
        <v>8</v>
      </c>
      <c r="B68" s="163">
        <f t="shared" si="27"/>
        <v>7.4508579695967155E-19</v>
      </c>
      <c r="C68" s="162">
        <f t="shared" si="28"/>
        <v>9.0602158132860089E-20</v>
      </c>
    </row>
    <row r="69" spans="1:3" x14ac:dyDescent="0.25">
      <c r="A69" s="162">
        <v>9</v>
      </c>
      <c r="B69" s="163">
        <f t="shared" si="27"/>
        <v>7.7502127852642891E-19</v>
      </c>
      <c r="C69" s="162">
        <f t="shared" si="28"/>
        <v>9.6121681696920931E-20</v>
      </c>
    </row>
    <row r="70" spans="1:3" x14ac:dyDescent="0.25">
      <c r="A70" s="162">
        <v>10</v>
      </c>
      <c r="B70" s="163">
        <f t="shared" si="27"/>
        <v>7.7502127852642891E-19</v>
      </c>
      <c r="C70" s="162">
        <f t="shared" si="28"/>
        <v>9.6121681696920931E-20</v>
      </c>
    </row>
  </sheetData>
  <mergeCells count="2">
    <mergeCell ref="A1:C2"/>
    <mergeCell ref="A14:C15"/>
  </mergeCells>
  <conditionalFormatting sqref="C32:G36">
    <cfRule type="cellIs" dxfId="8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7A237712-2455-458C-A398-33C94FE932C2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D7118B34-D1E4-4C79-BC59-8E4EEC0070C3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E19" workbookViewId="0">
      <selection activeCell="B61" sqref="B61:B70"/>
    </sheetView>
  </sheetViews>
  <sheetFormatPr defaultRowHeight="15" x14ac:dyDescent="0.25"/>
  <cols>
    <col min="1" max="1" width="13.140625" style="170" customWidth="1"/>
    <col min="2" max="2" width="9.140625" style="170"/>
    <col min="3" max="5" width="12" style="170" customWidth="1"/>
    <col min="6" max="7" width="12.140625" style="170" customWidth="1"/>
    <col min="8" max="9" width="12" style="170" customWidth="1"/>
    <col min="10" max="10" width="9.140625" style="170"/>
    <col min="11" max="11" width="12" style="170" customWidth="1"/>
    <col min="12" max="16384" width="9.140625" style="170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170" t="s">
        <v>1</v>
      </c>
      <c r="C4" s="170" t="s">
        <v>2</v>
      </c>
    </row>
    <row r="5" spans="1:5" x14ac:dyDescent="0.25">
      <c r="A5" s="170" t="str">
        <f>[1]Dati!A5</f>
        <v>d</v>
      </c>
      <c r="B5" s="171">
        <f>Dati!B5</f>
        <v>7.4300000000000008E-3</v>
      </c>
      <c r="C5" s="179">
        <f>Dati!C5</f>
        <v>1.0000000000000001E-5</v>
      </c>
    </row>
    <row r="6" spans="1:5" x14ac:dyDescent="0.25">
      <c r="A6" s="170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70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70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70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70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70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70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70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173"/>
    </row>
    <row r="15" spans="1:5" x14ac:dyDescent="0.25">
      <c r="A15" s="193"/>
      <c r="B15" s="193"/>
      <c r="C15" s="193"/>
      <c r="D15" s="173"/>
    </row>
    <row r="16" spans="1:5" x14ac:dyDescent="0.25">
      <c r="A16" s="170" t="s">
        <v>18</v>
      </c>
      <c r="B16" s="170">
        <v>200</v>
      </c>
      <c r="C16" s="170">
        <f>B16/100</f>
        <v>2</v>
      </c>
      <c r="D16" s="170" t="s">
        <v>19</v>
      </c>
      <c r="E16" s="170">
        <f>(1.8+(B18-15)*0.004765)*0.00001</f>
        <v>1.8285900000000001E-5</v>
      </c>
    </row>
    <row r="17" spans="1:10" x14ac:dyDescent="0.25">
      <c r="A17" s="170" t="s">
        <v>20</v>
      </c>
      <c r="E17" s="172"/>
    </row>
    <row r="18" spans="1:10" x14ac:dyDescent="0.25">
      <c r="A18" s="170" t="s">
        <v>21</v>
      </c>
      <c r="B18" s="170">
        <v>21</v>
      </c>
      <c r="C18" s="170">
        <v>0.5</v>
      </c>
      <c r="D18" s="170" t="s">
        <v>22</v>
      </c>
      <c r="E18" s="171">
        <f>B16/B5</f>
        <v>26917.900403768504</v>
      </c>
      <c r="F18" s="170">
        <f>SQRT((C16/B5)^2+(B16*C5/B5^2)^2)</f>
        <v>271.60606143374878</v>
      </c>
      <c r="G18" s="171"/>
    </row>
    <row r="21" spans="1:10" x14ac:dyDescent="0.25">
      <c r="B21" s="170" t="s">
        <v>23</v>
      </c>
      <c r="C21" s="170" t="s">
        <v>27</v>
      </c>
      <c r="D21" s="170" t="s">
        <v>24</v>
      </c>
      <c r="E21" s="170" t="s">
        <v>29</v>
      </c>
      <c r="F21" s="170" t="s">
        <v>25</v>
      </c>
      <c r="G21" s="170" t="s">
        <v>26</v>
      </c>
      <c r="H21" s="170" t="s">
        <v>28</v>
      </c>
      <c r="I21" s="170" t="s">
        <v>31</v>
      </c>
      <c r="J21" s="170" t="s">
        <v>32</v>
      </c>
    </row>
    <row r="22" spans="1:10" x14ac:dyDescent="0.25">
      <c r="A22" s="170">
        <v>1</v>
      </c>
      <c r="B22" s="176">
        <v>17.59</v>
      </c>
      <c r="C22" s="170">
        <f>B22</f>
        <v>17.59</v>
      </c>
      <c r="D22" s="171">
        <f>B12/B22</f>
        <v>2.8425241614553725E-5</v>
      </c>
      <c r="E22" s="171">
        <f>SQRT(2)*D22*$B$13/C22</f>
        <v>5.7133829171452494E-7</v>
      </c>
      <c r="F22" s="5">
        <f>(($B$10/(2*$B$7))^2+9*$E$16*D22/(2*$B$6*($B$9-$B$8)))^(1/2)-$B$10/(2*$B$7)</f>
        <v>7.0284801834540604E-7</v>
      </c>
      <c r="G22" s="170">
        <f>(($B$10/(2*$B$7))^2+9*$E$16*D22/(2*$B$6*($B$9-$B$8)))^(-1/2)*(9*$E$16)/(4*$B$6*$B$9)</f>
        <v>4.3655340029054527E-3</v>
      </c>
      <c r="H22" s="170">
        <f>(($B$10/(2*$B$7))^2+9*$E$16*D22/(2*$B$6*($B$9-$B$8)))^(-1/2)*((9*D22)/(4*$B$6*$B$9))*0.00000004765</f>
        <v>3.233613465706034E-10</v>
      </c>
      <c r="I22" s="170">
        <f>SQRT(G22^2*E22^2+H22^2*$C$18^2+$F$28^2)</f>
        <v>2.5513859897637218E-8</v>
      </c>
      <c r="J22" s="171">
        <f>I22/F22</f>
        <v>3.6300678427891281E-2</v>
      </c>
    </row>
    <row r="23" spans="1:10" x14ac:dyDescent="0.25">
      <c r="A23" s="170">
        <v>2</v>
      </c>
      <c r="B23" s="176">
        <v>37.033000000000001</v>
      </c>
      <c r="C23" s="170">
        <f>B23-B22</f>
        <v>19.443000000000001</v>
      </c>
      <c r="D23" s="171">
        <f>$B$12/(B23-B22)</f>
        <v>2.5716196060278763E-5</v>
      </c>
      <c r="E23" s="171">
        <f t="shared" ref="E23:E25" si="0">SQRT(2)*D23*$B$13/C23</f>
        <v>4.676257938730106E-7</v>
      </c>
      <c r="F23" s="5">
        <f>(($B$10/(2*$B$7))^2+9*E16*D23/(2*$B$6*($B$9-$B$8)))^(1/2)-$B$10/(2*$B$7)</f>
        <v>6.6665127478382774E-7</v>
      </c>
      <c r="G23" s="170">
        <f t="shared" ref="G23:G27" si="1">(($B$10/(2*$B$7))^2+9*$E$16*D23/(2*$B$6*($B$9-$B$8)))^(-1/2)*(9*$E$16)/(4*$B$6*$B$9)</f>
        <v>4.5890027258823482E-3</v>
      </c>
      <c r="H23" s="170">
        <f t="shared" ref="H23:H27" si="2">(($B$10/(2*$B$7))^2+9*$E$16*D23/(2*$B$6*($B$9-$B$8)))^(-1/2)*((9*D23)/(4*$B$6*$B$9))*0.00000004765</f>
        <v>3.075187554629709E-10</v>
      </c>
      <c r="I23" s="170">
        <f t="shared" ref="I23:I27" si="3">SQRT(G23^2*E23^2+H23^2*$C$18^2+$F$28^2)</f>
        <v>2.5482122602052475E-8</v>
      </c>
      <c r="J23" s="171">
        <f t="shared" ref="J23:J27" si="4">I23/F23</f>
        <v>3.8224066413606511E-2</v>
      </c>
    </row>
    <row r="24" spans="1:10" x14ac:dyDescent="0.25">
      <c r="A24" s="170">
        <v>3</v>
      </c>
      <c r="B24" s="176">
        <v>53.688000000000002</v>
      </c>
      <c r="C24" s="170">
        <f t="shared" ref="C24:C26" si="5">B24-B23</f>
        <v>16.655000000000001</v>
      </c>
      <c r="D24" s="171">
        <f>$B$12/(B24-B23)</f>
        <v>3.0021014710297206E-5</v>
      </c>
      <c r="E24" s="171">
        <f t="shared" si="0"/>
        <v>6.3728799398835932E-7</v>
      </c>
      <c r="F24" s="5">
        <f>(($B$10/(2*$B$7))^2+9*E16*D24/(2*$B$6*($B$9-$B$8)))^(1/2)-$B$10/(2*$B$7)</f>
        <v>7.2336746717839697E-7</v>
      </c>
      <c r="G24" s="170">
        <f t="shared" si="1"/>
        <v>4.2482589591553684E-3</v>
      </c>
      <c r="H24" s="170">
        <f t="shared" si="2"/>
        <v>3.3234022827636406E-10</v>
      </c>
      <c r="I24" s="170">
        <f t="shared" si="3"/>
        <v>2.5535608931918872E-8</v>
      </c>
      <c r="J24" s="171">
        <f t="shared" si="4"/>
        <v>3.5301019316675016E-2</v>
      </c>
    </row>
    <row r="25" spans="1:10" x14ac:dyDescent="0.25">
      <c r="A25" s="170">
        <v>4</v>
      </c>
      <c r="B25" s="176">
        <v>71.561000000000007</v>
      </c>
      <c r="C25" s="170">
        <f t="shared" si="5"/>
        <v>17.873000000000005</v>
      </c>
      <c r="D25" s="171">
        <f>$B$12/(B25-B24)</f>
        <v>2.797515805964303E-5</v>
      </c>
      <c r="E25" s="171">
        <f t="shared" si="0"/>
        <v>5.5338846217028701E-7</v>
      </c>
      <c r="F25" s="5">
        <f>(($B$10/(2*$B$7))^2+9*E16*D25/(2*$B$6*($B$9-$B$8)))^(1/2)-$B$10/(2*$B$7)</f>
        <v>6.9695733822854769E-7</v>
      </c>
      <c r="G25" s="170">
        <f t="shared" si="1"/>
        <v>4.4004068335531899E-3</v>
      </c>
      <c r="H25" s="170">
        <f t="shared" si="2"/>
        <v>3.2078344268179521E-10</v>
      </c>
      <c r="I25" s="170">
        <f t="shared" si="3"/>
        <v>2.5508145635600109E-8</v>
      </c>
      <c r="J25" s="171">
        <f t="shared" si="4"/>
        <v>3.6599292720604693E-2</v>
      </c>
    </row>
    <row r="26" spans="1:10" x14ac:dyDescent="0.25">
      <c r="A26" s="170">
        <v>5</v>
      </c>
      <c r="B26" s="176">
        <v>91.186000000000007</v>
      </c>
      <c r="C26" s="170">
        <f t="shared" si="5"/>
        <v>19.625</v>
      </c>
      <c r="D26" s="171">
        <f>$B$12/(B26-B25)</f>
        <v>2.5477707006369428E-5</v>
      </c>
      <c r="E26" s="171">
        <f>SQRT(2)*D26*$B$13/C26</f>
        <v>4.5899259600733346E-7</v>
      </c>
      <c r="F26" s="5">
        <f>(($B$10/(2*$B$7))^2+9*E16*D26/(2*$B$6*($B$9-$B$8)))^(1/2)-$B$10/(2*$B$7)</f>
        <v>6.6337557196938779E-7</v>
      </c>
      <c r="G26" s="170">
        <f t="shared" si="1"/>
        <v>4.6103601670704755E-3</v>
      </c>
      <c r="H26" s="170">
        <f t="shared" si="2"/>
        <v>3.0608479612851015E-10</v>
      </c>
      <c r="I26" s="170">
        <f t="shared" si="3"/>
        <v>2.5479624794941185E-8</v>
      </c>
      <c r="J26" s="171">
        <f t="shared" si="4"/>
        <v>3.8409048918245321E-2</v>
      </c>
    </row>
    <row r="27" spans="1:10" x14ac:dyDescent="0.25">
      <c r="A27" s="7" t="s">
        <v>34</v>
      </c>
      <c r="B27" s="7"/>
      <c r="C27" s="7">
        <f>AVERAGE(C22:C26)</f>
        <v>18.237200000000001</v>
      </c>
      <c r="D27" s="7">
        <f>AVERAGE(D22:D26)</f>
        <v>2.7523063490228429E-5</v>
      </c>
      <c r="E27" s="8">
        <f>SQRT(2)*D27*$B$13/C27</f>
        <v>5.3357272040029189E-7</v>
      </c>
      <c r="F27" s="9">
        <f>AVERAGE(F22:F26)</f>
        <v>6.906399341011132E-7</v>
      </c>
      <c r="G27" s="7">
        <f t="shared" si="1"/>
        <v>4.4362905245624255E-3</v>
      </c>
      <c r="H27" s="7">
        <f t="shared" si="2"/>
        <v>3.1817299503307135E-10</v>
      </c>
      <c r="I27" s="7">
        <f t="shared" si="3"/>
        <v>2.5501730964007035E-8</v>
      </c>
      <c r="J27" s="8">
        <f t="shared" si="4"/>
        <v>3.6924784833356379E-2</v>
      </c>
    </row>
    <row r="28" spans="1:10" x14ac:dyDescent="0.25">
      <c r="A28" s="170" t="s">
        <v>35</v>
      </c>
      <c r="C28" s="6">
        <f>_xlfn.STDEV.S(C22:C26)</f>
        <v>1.2683462461015915</v>
      </c>
      <c r="D28" s="171">
        <f>_xlfn.STDEV.S(D22:D26)</f>
        <v>1.9174415389409754E-6</v>
      </c>
      <c r="E28" s="8">
        <f>SQRT(2)*D28*$B$13/C28</f>
        <v>5.34489662771996E-7</v>
      </c>
      <c r="F28" s="171">
        <f>_xlfn.STDEV.S(F22:F26)</f>
        <v>2.5391137998524356E-8</v>
      </c>
    </row>
    <row r="30" spans="1:10" x14ac:dyDescent="0.25">
      <c r="A30" s="170" t="s">
        <v>31</v>
      </c>
      <c r="C30" s="170">
        <f t="array" ref="C30:G31">TRANSPOSE(A32:B36)</f>
        <v>2.5513859897637218E-8</v>
      </c>
      <c r="D30" s="170">
        <v>2.5482122602052475E-8</v>
      </c>
      <c r="E30" s="170">
        <v>2.5535608931918872E-8</v>
      </c>
      <c r="F30" s="170">
        <v>2.5508145635600109E-8</v>
      </c>
      <c r="G30" s="170">
        <v>2.5479624794941185E-8</v>
      </c>
    </row>
    <row r="31" spans="1:10" x14ac:dyDescent="0.25">
      <c r="B31" s="170" t="s">
        <v>25</v>
      </c>
      <c r="C31" s="170">
        <v>7.0284801834540604E-7</v>
      </c>
      <c r="D31" s="170">
        <v>6.6665127478382774E-7</v>
      </c>
      <c r="E31" s="170">
        <v>7.2336746717839697E-7</v>
      </c>
      <c r="F31" s="170">
        <v>6.9695733822854769E-7</v>
      </c>
      <c r="G31" s="170">
        <v>6.6337557196938779E-7</v>
      </c>
    </row>
    <row r="32" spans="1:10" x14ac:dyDescent="0.25">
      <c r="A32" s="170">
        <f>I22</f>
        <v>2.5513859897637218E-8</v>
      </c>
      <c r="B32" s="5">
        <f>F22</f>
        <v>7.0284801834540604E-7</v>
      </c>
      <c r="C32" s="170">
        <f t="shared" ref="C32:G36" si="6">(C$31-$B32)/SQRT(C$30^2+$A32^2)</f>
        <v>0</v>
      </c>
      <c r="D32" s="170">
        <f t="shared" si="6"/>
        <v>-1.0038029122283201</v>
      </c>
      <c r="E32" s="170">
        <f t="shared" si="6"/>
        <v>0.56844627111273049</v>
      </c>
      <c r="F32" s="170">
        <f t="shared" si="6"/>
        <v>-0.16327620942280327</v>
      </c>
      <c r="G32" s="170">
        <f t="shared" si="6"/>
        <v>-1.0946978179897231</v>
      </c>
    </row>
    <row r="33" spans="1:12" x14ac:dyDescent="0.25">
      <c r="A33" s="170">
        <f>I23</f>
        <v>2.5482122602052475E-8</v>
      </c>
      <c r="B33" s="5">
        <f>F23</f>
        <v>6.6665127478382774E-7</v>
      </c>
      <c r="C33" s="170">
        <f t="shared" si="6"/>
        <v>1.0038029122283201</v>
      </c>
      <c r="D33" s="170">
        <f t="shared" si="6"/>
        <v>0</v>
      </c>
      <c r="E33" s="170">
        <f t="shared" si="6"/>
        <v>1.5721742617626802</v>
      </c>
      <c r="F33" s="170">
        <f t="shared" si="6"/>
        <v>0.84053765248586731</v>
      </c>
      <c r="G33" s="170">
        <f t="shared" si="6"/>
        <v>-9.090236456832286E-2</v>
      </c>
    </row>
    <row r="34" spans="1:12" x14ac:dyDescent="0.25">
      <c r="A34" s="170">
        <f>I24</f>
        <v>2.5535608931918872E-8</v>
      </c>
      <c r="B34" s="5">
        <f>F24</f>
        <v>7.2336746717839697E-7</v>
      </c>
      <c r="C34" s="170">
        <f t="shared" si="6"/>
        <v>-0.56844627111273049</v>
      </c>
      <c r="D34" s="170">
        <f t="shared" si="6"/>
        <v>-1.5721742617626802</v>
      </c>
      <c r="E34" s="170">
        <f t="shared" si="6"/>
        <v>0</v>
      </c>
      <c r="F34" s="170">
        <f t="shared" si="6"/>
        <v>-0.73171649412075945</v>
      </c>
      <c r="G34" s="170">
        <f t="shared" si="6"/>
        <v>-1.6630581603261121</v>
      </c>
    </row>
    <row r="35" spans="1:12" x14ac:dyDescent="0.25">
      <c r="A35" s="170">
        <f>I25</f>
        <v>2.5508145635600109E-8</v>
      </c>
      <c r="B35" s="5">
        <f>F25</f>
        <v>6.9695733822854769E-7</v>
      </c>
      <c r="C35" s="170">
        <f t="shared" si="6"/>
        <v>0.16327620942280327</v>
      </c>
      <c r="D35" s="170">
        <f t="shared" si="6"/>
        <v>-0.84053765248586731</v>
      </c>
      <c r="E35" s="170">
        <f t="shared" si="6"/>
        <v>0.73171649412075945</v>
      </c>
      <c r="F35" s="170">
        <f t="shared" si="6"/>
        <v>0</v>
      </c>
      <c r="G35" s="170">
        <f t="shared" si="6"/>
        <v>-0.93143476290998939</v>
      </c>
    </row>
    <row r="36" spans="1:12" x14ac:dyDescent="0.25">
      <c r="A36" s="170">
        <f>I26</f>
        <v>2.5479624794941185E-8</v>
      </c>
      <c r="B36" s="5">
        <f>F26</f>
        <v>6.6337557196938779E-7</v>
      </c>
      <c r="C36" s="170">
        <f t="shared" si="6"/>
        <v>1.0946978179897231</v>
      </c>
      <c r="D36" s="170">
        <f t="shared" si="6"/>
        <v>9.090236456832286E-2</v>
      </c>
      <c r="E36" s="170">
        <f t="shared" si="6"/>
        <v>1.6630581603261121</v>
      </c>
      <c r="F36" s="170">
        <f t="shared" si="6"/>
        <v>0.93143476290998939</v>
      </c>
      <c r="G36" s="170">
        <f t="shared" si="6"/>
        <v>0</v>
      </c>
    </row>
    <row r="39" spans="1:12" x14ac:dyDescent="0.25">
      <c r="A39" s="170" t="s">
        <v>7</v>
      </c>
    </row>
    <row r="40" spans="1:12" x14ac:dyDescent="0.25">
      <c r="B40" s="170" t="s">
        <v>36</v>
      </c>
      <c r="C40" s="170" t="s">
        <v>27</v>
      </c>
      <c r="D40" s="170" t="s">
        <v>24</v>
      </c>
      <c r="E40" s="170" t="s">
        <v>29</v>
      </c>
      <c r="F40" s="170" t="s">
        <v>37</v>
      </c>
      <c r="G40" s="170" t="s">
        <v>39</v>
      </c>
      <c r="H40" s="170" t="s">
        <v>40</v>
      </c>
      <c r="I40" s="170" t="s">
        <v>41</v>
      </c>
      <c r="J40" s="170" t="s">
        <v>42</v>
      </c>
      <c r="K40" s="170" t="s">
        <v>2</v>
      </c>
      <c r="L40" s="170" t="s">
        <v>43</v>
      </c>
    </row>
    <row r="41" spans="1:12" x14ac:dyDescent="0.25">
      <c r="A41" s="175">
        <v>1</v>
      </c>
      <c r="B41" s="177">
        <v>96.070499999999996</v>
      </c>
      <c r="C41" s="170">
        <f>B41-B26</f>
        <v>4.8844999999999885</v>
      </c>
      <c r="D41" s="171">
        <f>$B$12/C41</f>
        <v>1.0236462278636527E-4</v>
      </c>
      <c r="E41" s="171">
        <f>SQRT(2)*D41*$B$13/C41</f>
        <v>7.4094297190953061E-6</v>
      </c>
      <c r="F41" s="171">
        <f>(4*PI()/3)*$F$27^3*($B$9-$B$8)*($B$6/$E$18)*(1+ABS(D41)/$D$27)</f>
        <v>1.0271963813071417E-18</v>
      </c>
      <c r="G41" s="171">
        <f>F41*3/$F$27</f>
        <v>4.4619330446511144E-12</v>
      </c>
      <c r="H41" s="171">
        <f>F41/$E$18</f>
        <v>3.8160345565560321E-23</v>
      </c>
      <c r="I41" s="170">
        <f>(4*PI()/3)*$F$27^3*($B$9-$B$8)*($B$6/$E$18)*(1/$D$27)</f>
        <v>7.9083430520099037E-15</v>
      </c>
      <c r="J41" s="171">
        <f>(4*PI()/3)*$F$27^3*($B$9-$B$8)*($B$6/$E$18)*(ABS(D41)/$D$27^2)</f>
        <v>2.9412952292595518E-14</v>
      </c>
      <c r="K41" s="170">
        <f>SQRT(G41^2*$I$27^2+H41^2*$F$18^2+I41^2*E41^2+J41^2*$E$28^2)</f>
        <v>1.2936608770918652E-19</v>
      </c>
      <c r="L41" s="174">
        <f>K41/F41</f>
        <v>0.12594094962110736</v>
      </c>
    </row>
    <row r="42" spans="1:12" x14ac:dyDescent="0.25">
      <c r="A42" s="175">
        <v>2</v>
      </c>
      <c r="B42" s="177">
        <v>100.955</v>
      </c>
      <c r="C42" s="170">
        <f>B42-B41</f>
        <v>4.8845000000000027</v>
      </c>
      <c r="D42" s="171">
        <f t="shared" ref="D42:D45" si="7">$B$12/C42</f>
        <v>1.0236462278636497E-4</v>
      </c>
      <c r="E42" s="171">
        <f t="shared" ref="E42:E44" si="8">SQRT(2)*D42*$B$13/C42</f>
        <v>7.4094297190952621E-6</v>
      </c>
      <c r="F42" s="171">
        <f t="shared" ref="F42:F45" si="9">(4*PI()/3)*$F$27^3*($B$9-$B$8)*($B$6/$E$18)*(1+ABS(D42)/$D$27)</f>
        <v>1.0271963813071394E-18</v>
      </c>
      <c r="G42" s="171">
        <f t="shared" ref="G42:G45" si="10">F42*3/$F$27</f>
        <v>4.4619330446511047E-12</v>
      </c>
      <c r="H42" s="171">
        <f t="shared" ref="H42:H45" si="11">F42/$E$18</f>
        <v>3.8160345565560232E-23</v>
      </c>
      <c r="I42" s="170">
        <f t="shared" ref="I42:I45" si="12">(4*PI()/3)*$F$27^3*($B$9-$B$8)*($B$6/$E$18)*(1/$D$27)</f>
        <v>7.9083430520099037E-15</v>
      </c>
      <c r="J42" s="171">
        <f t="shared" ref="J42:J45" si="13">(4*PI()/3)*$F$27^3*($B$9-$B$8)*($B$6/$E$18)*(ABS(D42)/$D$27^2)</f>
        <v>2.9412952292595436E-14</v>
      </c>
      <c r="K42" s="170">
        <f t="shared" ref="K42:K45" si="14">SQRT(G42^2*$I$27^2+H42^2*$F$18^2+I42^2*E42^2+J42^2*$E$28^2)</f>
        <v>1.2936608770918616E-19</v>
      </c>
      <c r="L42" s="174">
        <f t="shared" ref="L42:L45" si="15">K42/F42</f>
        <v>0.12594094962110727</v>
      </c>
    </row>
    <row r="43" spans="1:12" x14ac:dyDescent="0.25">
      <c r="A43" s="175">
        <v>3</v>
      </c>
      <c r="B43" s="177">
        <v>105.765</v>
      </c>
      <c r="C43" s="170">
        <f>B43-B42</f>
        <v>4.8100000000000023</v>
      </c>
      <c r="D43" s="171">
        <f t="shared" si="7"/>
        <v>1.039501039501039E-4</v>
      </c>
      <c r="E43" s="171">
        <f t="shared" si="8"/>
        <v>7.640730084008831E-6</v>
      </c>
      <c r="F43" s="171">
        <f t="shared" si="9"/>
        <v>1.0397349102524868E-18</v>
      </c>
      <c r="G43" s="171">
        <f t="shared" si="10"/>
        <v>4.5163978749899406E-12</v>
      </c>
      <c r="H43" s="171">
        <f t="shared" si="11"/>
        <v>3.8626151915879887E-23</v>
      </c>
      <c r="I43" s="170">
        <f t="shared" si="12"/>
        <v>7.9083430520099037E-15</v>
      </c>
      <c r="J43" s="171">
        <f t="shared" si="13"/>
        <v>2.986851673039136E-14</v>
      </c>
      <c r="K43" s="170">
        <f t="shared" si="14"/>
        <v>1.3145976955649447E-19</v>
      </c>
      <c r="L43" s="174">
        <f t="shared" si="15"/>
        <v>0.12643585231217358</v>
      </c>
    </row>
    <row r="44" spans="1:12" x14ac:dyDescent="0.25">
      <c r="A44" s="175">
        <v>4</v>
      </c>
      <c r="B44" s="177">
        <v>110.501</v>
      </c>
      <c r="C44" s="170">
        <f>B44-B43</f>
        <v>4.7360000000000042</v>
      </c>
      <c r="D44" s="171">
        <f t="shared" si="7"/>
        <v>1.0557432432432424E-4</v>
      </c>
      <c r="E44" s="171">
        <f t="shared" si="8"/>
        <v>7.8813683117522681E-6</v>
      </c>
      <c r="F44" s="171">
        <f t="shared" si="9"/>
        <v>1.0525798021638851E-18</v>
      </c>
      <c r="G44" s="171">
        <f t="shared" si="10"/>
        <v>4.5721934840063075E-12</v>
      </c>
      <c r="H44" s="171">
        <f t="shared" si="11"/>
        <v>3.9103339650388332E-23</v>
      </c>
      <c r="I44" s="170">
        <f t="shared" si="12"/>
        <v>7.9083430520099037E-15</v>
      </c>
      <c r="J44" s="171">
        <f t="shared" si="13"/>
        <v>3.033521230430371E-14</v>
      </c>
      <c r="K44" s="170">
        <f t="shared" si="14"/>
        <v>1.3362570802983315E-19</v>
      </c>
      <c r="L44" s="174">
        <f t="shared" si="15"/>
        <v>0.12695066707068337</v>
      </c>
    </row>
    <row r="45" spans="1:12" x14ac:dyDescent="0.25">
      <c r="A45" s="175">
        <v>5</v>
      </c>
      <c r="B45" s="177">
        <v>115.755</v>
      </c>
      <c r="C45" s="170">
        <f>B45-B44</f>
        <v>5.2539999999999907</v>
      </c>
      <c r="D45" s="171">
        <f t="shared" si="7"/>
        <v>9.516558812333477E-5</v>
      </c>
      <c r="E45" s="171">
        <f>SQRT(2)*D45*$B$13/C45</f>
        <v>6.4039049008009232E-6</v>
      </c>
      <c r="F45" s="171">
        <f t="shared" si="9"/>
        <v>9.7026394554858617E-19</v>
      </c>
      <c r="G45" s="171">
        <f t="shared" si="10"/>
        <v>4.2146300741126903E-12</v>
      </c>
      <c r="H45" s="171">
        <f t="shared" si="11"/>
        <v>3.6045305577129976E-23</v>
      </c>
      <c r="I45" s="170">
        <f t="shared" si="12"/>
        <v>7.9083430520099037E-15</v>
      </c>
      <c r="J45" s="171">
        <f t="shared" si="13"/>
        <v>2.7344416725006234E-14</v>
      </c>
      <c r="K45" s="170">
        <f t="shared" si="14"/>
        <v>1.2010963656364757E-19</v>
      </c>
      <c r="L45" s="174">
        <f t="shared" si="15"/>
        <v>0.12379068305556558</v>
      </c>
    </row>
    <row r="46" spans="1:12" x14ac:dyDescent="0.25">
      <c r="L46" s="174"/>
    </row>
    <row r="47" spans="1:12" x14ac:dyDescent="0.25">
      <c r="L47" s="174"/>
    </row>
    <row r="49" spans="1:12" x14ac:dyDescent="0.25">
      <c r="A49" s="170" t="s">
        <v>7</v>
      </c>
    </row>
    <row r="50" spans="1:12" x14ac:dyDescent="0.25">
      <c r="B50" s="170" t="s">
        <v>23</v>
      </c>
      <c r="C50" s="170" t="s">
        <v>27</v>
      </c>
      <c r="D50" s="170" t="s">
        <v>24</v>
      </c>
      <c r="E50" s="170" t="s">
        <v>29</v>
      </c>
      <c r="F50" s="170" t="s">
        <v>37</v>
      </c>
      <c r="G50" s="170" t="s">
        <v>39</v>
      </c>
      <c r="H50" s="170" t="s">
        <v>40</v>
      </c>
      <c r="I50" s="170" t="s">
        <v>41</v>
      </c>
      <c r="J50" s="170" t="s">
        <v>42</v>
      </c>
      <c r="K50" s="170" t="s">
        <v>2</v>
      </c>
      <c r="L50" s="170" t="s">
        <v>43</v>
      </c>
    </row>
    <row r="51" spans="1:12" x14ac:dyDescent="0.25">
      <c r="A51" s="175">
        <v>6</v>
      </c>
      <c r="B51" s="178">
        <v>119.25700000000001</v>
      </c>
      <c r="C51" s="170">
        <f>B51-B45</f>
        <v>3.5020000000000095</v>
      </c>
      <c r="D51" s="171">
        <f>$B$12/C51</f>
        <v>1.4277555682467124E-4</v>
      </c>
      <c r="E51" s="171">
        <f>SQRT(2)*D51*$B$13/C51</f>
        <v>1.4414272475501146E-5</v>
      </c>
      <c r="F51" s="171">
        <f>-(4*PI()/3)*$F$27^3*($B$9-$B$8)*($B$6/$E$18)*(1-ABS(D51)/$D$27)</f>
        <v>9.1145625488825836E-19</v>
      </c>
      <c r="G51" s="171">
        <f>F51*3/$F$27</f>
        <v>3.9591813760720787E-12</v>
      </c>
      <c r="H51" s="171">
        <f>F51/$E$18</f>
        <v>3.3860599869098798E-23</v>
      </c>
      <c r="I51" s="170">
        <f>-(4*PI()/3)*$F$27^3*($B$9-$B$8)*($B$6/$E$18)*(-1/$D$27)</f>
        <v>7.9083430520099037E-15</v>
      </c>
      <c r="J51" s="171">
        <f>-(4*PI()/3)*$F$27^3*($B$9-$B$8)*($B$6/$E$18)*(-ABS(D51)/$D$27^2)</f>
        <v>4.1024433316157082E-14</v>
      </c>
      <c r="K51" s="170">
        <f>SQRT(G51^2*$I$27^2+H51^2*$F$18^2+I51^2*E51^2+J51^2*$E$28^2)</f>
        <v>1.5412305096026204E-19</v>
      </c>
      <c r="L51" s="174">
        <f>K51/F51</f>
        <v>0.16909539007898633</v>
      </c>
    </row>
    <row r="52" spans="1:12" x14ac:dyDescent="0.25">
      <c r="A52" s="175">
        <v>7</v>
      </c>
      <c r="B52" s="178">
        <v>122.625</v>
      </c>
      <c r="C52" s="170">
        <f>B52-B51</f>
        <v>3.367999999999995</v>
      </c>
      <c r="D52" s="171">
        <f t="shared" ref="D52:D55" si="16">$B$12/C52</f>
        <v>1.4845605700712611E-4</v>
      </c>
      <c r="E52" s="171">
        <f t="shared" ref="E52:E54" si="17">SQRT(2)*D52*$B$13/C52</f>
        <v>1.5584068381525494E-5</v>
      </c>
      <c r="F52" s="171">
        <f t="shared" ref="F52:F55" si="18">-(4*PI()/3)*$F$27^3*($B$9-$B$8)*($B$6/$E$18)*(1-ABS(D52)/$D$27)</f>
        <v>9.5637959903811643E-19</v>
      </c>
      <c r="G52" s="171">
        <f t="shared" ref="G52:G55" si="19">F52*3/$F$27</f>
        <v>4.1543192848363338E-12</v>
      </c>
      <c r="H52" s="171">
        <f t="shared" ref="H52:H55" si="20">F52/$E$18</f>
        <v>3.5529502104266029E-23</v>
      </c>
      <c r="I52" s="170">
        <f t="shared" ref="I52:I55" si="21">-(4*PI()/3)*$F$27^3*($B$9-$B$8)*($B$6/$E$18)*(-1/$D$27)</f>
        <v>7.9083430520099037E-15</v>
      </c>
      <c r="J52" s="171">
        <f t="shared" ref="J52:J55" si="22">-(4*PI()/3)*$F$27^3*($B$9-$B$8)*($B$6/$E$18)*(-ABS(D52)/$D$27^2)</f>
        <v>4.2656640579923607E-14</v>
      </c>
      <c r="K52" s="170">
        <f t="shared" ref="K52:K55" si="23">SQRT(G52^2*$I$27^2+H52^2*$F$18^2+I52^2*E52^2+J52^2*$E$28^2)</f>
        <v>1.6439538417838571E-19</v>
      </c>
      <c r="L52" s="174">
        <f t="shared" ref="L52:L55" si="24">K52/F52</f>
        <v>0.17189344517985033</v>
      </c>
    </row>
    <row r="53" spans="1:12" x14ac:dyDescent="0.25">
      <c r="A53" s="175">
        <v>8</v>
      </c>
      <c r="B53" s="178">
        <v>125.708</v>
      </c>
      <c r="C53" s="170">
        <f>B53-B52</f>
        <v>3.0829999999999984</v>
      </c>
      <c r="D53" s="171">
        <f t="shared" si="16"/>
        <v>1.6217969510217328E-4</v>
      </c>
      <c r="E53" s="171">
        <f t="shared" si="17"/>
        <v>1.8598501812765732E-5</v>
      </c>
      <c r="F53" s="171">
        <f t="shared" si="18"/>
        <v>1.0649108370153811E-18</v>
      </c>
      <c r="G53" s="171">
        <f t="shared" si="19"/>
        <v>4.6257570020247606E-12</v>
      </c>
      <c r="H53" s="171">
        <f t="shared" si="20"/>
        <v>3.9561437595121407E-23</v>
      </c>
      <c r="I53" s="170">
        <f t="shared" si="21"/>
        <v>7.9083430520099037E-15</v>
      </c>
      <c r="J53" s="171">
        <f t="shared" si="22"/>
        <v>4.6599923929024505E-14</v>
      </c>
      <c r="K53" s="170">
        <f t="shared" si="23"/>
        <v>1.9048629476625642E-19</v>
      </c>
      <c r="L53" s="174">
        <f t="shared" si="24"/>
        <v>0.17887534631550109</v>
      </c>
    </row>
    <row r="54" spans="1:12" x14ac:dyDescent="0.25">
      <c r="A54" s="175">
        <v>9</v>
      </c>
      <c r="B54" s="178">
        <v>128.79300000000001</v>
      </c>
      <c r="C54" s="170">
        <f>B54-B53</f>
        <v>3.085000000000008</v>
      </c>
      <c r="D54" s="171">
        <f t="shared" si="16"/>
        <v>1.6207455429497527E-4</v>
      </c>
      <c r="E54" s="171">
        <f t="shared" si="17"/>
        <v>1.8574394878405838E-5</v>
      </c>
      <c r="F54" s="171">
        <f t="shared" si="18"/>
        <v>1.064079347443294E-18</v>
      </c>
      <c r="G54" s="171">
        <f t="shared" si="19"/>
        <v>4.6221451797233064E-12</v>
      </c>
      <c r="H54" s="171">
        <f t="shared" si="20"/>
        <v>3.9530547757518378E-23</v>
      </c>
      <c r="I54" s="170">
        <f t="shared" si="21"/>
        <v>7.9083430520099037E-15</v>
      </c>
      <c r="J54" s="171">
        <f t="shared" si="22"/>
        <v>4.6569713281420459E-14</v>
      </c>
      <c r="K54" s="170">
        <f t="shared" si="23"/>
        <v>1.9027946914386023E-19</v>
      </c>
      <c r="L54" s="174">
        <f t="shared" si="24"/>
        <v>0.17882075204358802</v>
      </c>
    </row>
    <row r="55" spans="1:12" x14ac:dyDescent="0.25">
      <c r="A55" s="175">
        <v>10</v>
      </c>
      <c r="B55" s="178">
        <v>132.227</v>
      </c>
      <c r="C55" s="170">
        <f>B55-B54</f>
        <v>3.4339999999999975</v>
      </c>
      <c r="D55" s="171">
        <f t="shared" si="16"/>
        <v>1.4560279557367513E-4</v>
      </c>
      <c r="E55" s="171">
        <f>SQRT(2)*D55*$B$13/C55</f>
        <v>1.4990786853503844E-5</v>
      </c>
      <c r="F55" s="171">
        <f t="shared" si="18"/>
        <v>9.3381502880531661E-19</v>
      </c>
      <c r="G55" s="171">
        <f t="shared" si="19"/>
        <v>4.0563033616961451E-12</v>
      </c>
      <c r="H55" s="171">
        <f t="shared" si="20"/>
        <v>3.4691228320117515E-23</v>
      </c>
      <c r="I55" s="170">
        <f t="shared" si="21"/>
        <v>7.9083430520099037E-15</v>
      </c>
      <c r="J55" s="171">
        <f t="shared" si="22"/>
        <v>4.1836798332318755E-14</v>
      </c>
      <c r="K55" s="170">
        <f t="shared" si="23"/>
        <v>1.591975448108531E-19</v>
      </c>
      <c r="L55" s="174">
        <f t="shared" si="24"/>
        <v>0.17048081247366911</v>
      </c>
    </row>
    <row r="56" spans="1:12" x14ac:dyDescent="0.25">
      <c r="L56" s="174"/>
    </row>
    <row r="57" spans="1:12" x14ac:dyDescent="0.25">
      <c r="L57" s="174"/>
    </row>
    <row r="59" spans="1:12" x14ac:dyDescent="0.25">
      <c r="B59" s="170" t="s">
        <v>38</v>
      </c>
    </row>
    <row r="60" spans="1:12" x14ac:dyDescent="0.25">
      <c r="A60" s="171"/>
      <c r="B60" s="170" t="s">
        <v>44</v>
      </c>
      <c r="C60" s="170" t="s">
        <v>45</v>
      </c>
    </row>
    <row r="61" spans="1:12" x14ac:dyDescent="0.25">
      <c r="A61" s="170">
        <v>1</v>
      </c>
      <c r="B61" s="171">
        <f>F41</f>
        <v>1.0271963813071417E-18</v>
      </c>
      <c r="C61" s="170">
        <f>K41</f>
        <v>1.2936608770918652E-19</v>
      </c>
    </row>
    <row r="62" spans="1:12" x14ac:dyDescent="0.25">
      <c r="A62" s="170">
        <v>2</v>
      </c>
      <c r="B62" s="171">
        <f t="shared" ref="B62:B65" si="25">F42</f>
        <v>1.0271963813071394E-18</v>
      </c>
      <c r="C62" s="170">
        <f t="shared" ref="C62:C65" si="26">K42</f>
        <v>1.2936608770918616E-19</v>
      </c>
    </row>
    <row r="63" spans="1:12" x14ac:dyDescent="0.25">
      <c r="A63" s="170">
        <v>3</v>
      </c>
      <c r="B63" s="171">
        <f t="shared" si="25"/>
        <v>1.0397349102524868E-18</v>
      </c>
      <c r="C63" s="170">
        <f t="shared" si="26"/>
        <v>1.3145976955649447E-19</v>
      </c>
    </row>
    <row r="64" spans="1:12" x14ac:dyDescent="0.25">
      <c r="A64" s="170">
        <v>4</v>
      </c>
      <c r="B64" s="171">
        <f t="shared" si="25"/>
        <v>1.0525798021638851E-18</v>
      </c>
      <c r="C64" s="170">
        <f t="shared" si="26"/>
        <v>1.3362570802983315E-19</v>
      </c>
    </row>
    <row r="65" spans="1:3" x14ac:dyDescent="0.25">
      <c r="A65" s="170">
        <v>5</v>
      </c>
      <c r="B65" s="171">
        <f t="shared" si="25"/>
        <v>9.7026394554858617E-19</v>
      </c>
      <c r="C65" s="170">
        <f t="shared" si="26"/>
        <v>1.2010963656364757E-19</v>
      </c>
    </row>
    <row r="66" spans="1:3" x14ac:dyDescent="0.25">
      <c r="A66" s="170">
        <v>6</v>
      </c>
      <c r="B66" s="171">
        <f>F51</f>
        <v>9.1145625488825836E-19</v>
      </c>
      <c r="C66" s="170">
        <f>K51</f>
        <v>1.5412305096026204E-19</v>
      </c>
    </row>
    <row r="67" spans="1:3" x14ac:dyDescent="0.25">
      <c r="A67" s="170">
        <v>7</v>
      </c>
      <c r="B67" s="171">
        <f t="shared" ref="B67:B70" si="27">F52</f>
        <v>9.5637959903811643E-19</v>
      </c>
      <c r="C67" s="170">
        <f t="shared" ref="C67:C70" si="28">K52</f>
        <v>1.6439538417838571E-19</v>
      </c>
    </row>
    <row r="68" spans="1:3" x14ac:dyDescent="0.25">
      <c r="A68" s="170">
        <v>8</v>
      </c>
      <c r="B68" s="171">
        <f t="shared" si="27"/>
        <v>1.0649108370153811E-18</v>
      </c>
      <c r="C68" s="170">
        <f t="shared" si="28"/>
        <v>1.9048629476625642E-19</v>
      </c>
    </row>
    <row r="69" spans="1:3" x14ac:dyDescent="0.25">
      <c r="A69" s="170">
        <v>9</v>
      </c>
      <c r="B69" s="171">
        <f t="shared" si="27"/>
        <v>1.064079347443294E-18</v>
      </c>
      <c r="C69" s="170">
        <f t="shared" si="28"/>
        <v>1.9027946914386023E-19</v>
      </c>
    </row>
    <row r="70" spans="1:3" x14ac:dyDescent="0.25">
      <c r="A70" s="170">
        <v>10</v>
      </c>
      <c r="B70" s="171">
        <f t="shared" si="27"/>
        <v>9.3381502880531661E-19</v>
      </c>
      <c r="C70" s="170">
        <f t="shared" si="28"/>
        <v>1.591975448108531E-19</v>
      </c>
    </row>
  </sheetData>
  <mergeCells count="2">
    <mergeCell ref="A1:C2"/>
    <mergeCell ref="A14:C15"/>
  </mergeCells>
  <conditionalFormatting sqref="C32:G36">
    <cfRule type="cellIs" dxfId="5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6280A63D-E64D-4983-99B9-49379657DA0C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3B99DA12-F559-4FDB-A8F8-C27BAAA5ED1F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C13" workbookViewId="0">
      <selection activeCell="B61" sqref="B61:B70"/>
    </sheetView>
  </sheetViews>
  <sheetFormatPr defaultRowHeight="15" x14ac:dyDescent="0.25"/>
  <cols>
    <col min="1" max="1" width="13.140625" style="178" customWidth="1"/>
    <col min="2" max="2" width="9.140625" style="178"/>
    <col min="3" max="5" width="12" style="178" customWidth="1"/>
    <col min="6" max="7" width="12.140625" style="178" customWidth="1"/>
    <col min="8" max="9" width="12" style="178" customWidth="1"/>
    <col min="10" max="10" width="9.140625" style="178"/>
    <col min="11" max="11" width="12" style="178" customWidth="1"/>
    <col min="12" max="16384" width="9.140625" style="178"/>
  </cols>
  <sheetData>
    <row r="1" spans="1:5" x14ac:dyDescent="0.25">
      <c r="A1" s="193" t="str">
        <f>[1]Dati!A1</f>
        <v>Costanti varie</v>
      </c>
      <c r="B1" s="193"/>
      <c r="C1" s="193"/>
    </row>
    <row r="2" spans="1:5" x14ac:dyDescent="0.25">
      <c r="A2" s="193"/>
      <c r="B2" s="193"/>
      <c r="C2" s="193"/>
    </row>
    <row r="4" spans="1:5" x14ac:dyDescent="0.25">
      <c r="B4" s="178" t="s">
        <v>1</v>
      </c>
      <c r="C4" s="178" t="s">
        <v>2</v>
      </c>
    </row>
    <row r="5" spans="1:5" x14ac:dyDescent="0.25">
      <c r="A5" s="178" t="str">
        <f>[1]Dati!A5</f>
        <v>d</v>
      </c>
      <c r="B5" s="179">
        <f>Dati!B5</f>
        <v>7.4300000000000008E-3</v>
      </c>
      <c r="C5" s="179">
        <f>Dati!C5</f>
        <v>1.0000000000000001E-5</v>
      </c>
    </row>
    <row r="6" spans="1:5" x14ac:dyDescent="0.25">
      <c r="A6" s="178" t="str">
        <f>[1]Dati!A6</f>
        <v>g</v>
      </c>
      <c r="B6" s="179">
        <f>Dati!B6</f>
        <v>9.8059999999999992</v>
      </c>
      <c r="C6" s="179">
        <f>Dati!C6</f>
        <v>0</v>
      </c>
    </row>
    <row r="7" spans="1:5" x14ac:dyDescent="0.25">
      <c r="A7" s="178" t="str">
        <f>[1]Dati!A7</f>
        <v>pressione</v>
      </c>
      <c r="B7" s="179">
        <f>Dati!B7</f>
        <v>101325</v>
      </c>
      <c r="C7" s="179">
        <f>Dati!C7</f>
        <v>0</v>
      </c>
    </row>
    <row r="8" spans="1:5" x14ac:dyDescent="0.25">
      <c r="A8" s="178" t="str">
        <f>[1]Dati!A8</f>
        <v>densità aria</v>
      </c>
      <c r="B8" s="179">
        <f>Dati!B8</f>
        <v>860</v>
      </c>
      <c r="C8" s="179">
        <f>Dati!C8</f>
        <v>0</v>
      </c>
    </row>
    <row r="9" spans="1:5" x14ac:dyDescent="0.25">
      <c r="A9" s="178" t="str">
        <f>[1]Dati!A9</f>
        <v>densità olio</v>
      </c>
      <c r="B9" s="179">
        <f>Dati!B9</f>
        <v>1293</v>
      </c>
      <c r="C9" s="179">
        <f>Dati!C9</f>
        <v>0</v>
      </c>
    </row>
    <row r="10" spans="1:5" x14ac:dyDescent="0.25">
      <c r="A10" s="178" t="str">
        <f>[1]Dati!A10</f>
        <v>cst corr vis</v>
      </c>
      <c r="B10" s="179">
        <f>Dati!B10</f>
        <v>8.2000000000000007E-3</v>
      </c>
      <c r="C10" s="179">
        <f>Dati!C10</f>
        <v>0</v>
      </c>
    </row>
    <row r="11" spans="1:5" x14ac:dyDescent="0.25">
      <c r="A11" s="178" t="str">
        <f>[1]Dati!A11</f>
        <v>e</v>
      </c>
      <c r="B11" s="179">
        <f>Dati!B11</f>
        <v>1.6021766200000001E-19</v>
      </c>
      <c r="C11" s="179">
        <f>Dati!C11</f>
        <v>0</v>
      </c>
    </row>
    <row r="12" spans="1:5" x14ac:dyDescent="0.25">
      <c r="A12" s="178" t="str">
        <f>[1]Dati!A12</f>
        <v>deltax</v>
      </c>
      <c r="B12" s="179">
        <f>Dati!B12</f>
        <v>5.0000000000000001E-4</v>
      </c>
      <c r="C12" s="179">
        <f>Dati!C12</f>
        <v>0</v>
      </c>
    </row>
    <row r="13" spans="1:5" x14ac:dyDescent="0.25">
      <c r="A13" s="178" t="s">
        <v>30</v>
      </c>
      <c r="B13" s="179">
        <f>Dati!B13</f>
        <v>0.25</v>
      </c>
      <c r="C13" s="179">
        <f>Dati!C13</f>
        <v>0</v>
      </c>
    </row>
    <row r="14" spans="1:5" x14ac:dyDescent="0.25">
      <c r="A14" s="193" t="s">
        <v>17</v>
      </c>
      <c r="B14" s="193"/>
      <c r="C14" s="193"/>
      <c r="D14" s="181"/>
    </row>
    <row r="15" spans="1:5" x14ac:dyDescent="0.25">
      <c r="A15" s="193"/>
      <c r="B15" s="193"/>
      <c r="C15" s="193"/>
      <c r="D15" s="181"/>
    </row>
    <row r="16" spans="1:5" x14ac:dyDescent="0.25">
      <c r="A16" s="178" t="s">
        <v>18</v>
      </c>
      <c r="B16" s="178">
        <v>301</v>
      </c>
      <c r="C16" s="178">
        <f>B16/100</f>
        <v>3.01</v>
      </c>
      <c r="D16" s="178" t="s">
        <v>19</v>
      </c>
      <c r="E16" s="178">
        <f>(1.8+(B18-15)*0.004765)*0.00001</f>
        <v>1.8309725000000004E-5</v>
      </c>
    </row>
    <row r="17" spans="1:10" x14ac:dyDescent="0.25">
      <c r="A17" s="178" t="s">
        <v>20</v>
      </c>
      <c r="E17" s="180"/>
    </row>
    <row r="18" spans="1:10" x14ac:dyDescent="0.25">
      <c r="A18" s="178" t="s">
        <v>21</v>
      </c>
      <c r="B18" s="178">
        <v>21.5</v>
      </c>
      <c r="C18" s="178">
        <v>0.5</v>
      </c>
      <c r="D18" s="178" t="s">
        <v>22</v>
      </c>
      <c r="E18" s="179">
        <f>B16/B5</f>
        <v>40511.440107671595</v>
      </c>
      <c r="F18" s="178">
        <f>SQRT((C16/B5)^2+(B16*C5/B5^2)^2)</f>
        <v>408.7671224577918</v>
      </c>
      <c r="G18" s="179"/>
    </row>
    <row r="21" spans="1:10" x14ac:dyDescent="0.25">
      <c r="B21" s="178" t="s">
        <v>23</v>
      </c>
      <c r="C21" s="178" t="s">
        <v>27</v>
      </c>
      <c r="D21" s="178" t="s">
        <v>24</v>
      </c>
      <c r="E21" s="178" t="s">
        <v>29</v>
      </c>
      <c r="F21" s="178" t="s">
        <v>25</v>
      </c>
      <c r="G21" s="178" t="s">
        <v>26</v>
      </c>
      <c r="H21" s="178" t="s">
        <v>28</v>
      </c>
      <c r="I21" s="178" t="s">
        <v>31</v>
      </c>
      <c r="J21" s="178" t="s">
        <v>32</v>
      </c>
    </row>
    <row r="22" spans="1:10" x14ac:dyDescent="0.25">
      <c r="A22" s="178">
        <v>1</v>
      </c>
      <c r="B22" s="184">
        <v>13.528</v>
      </c>
      <c r="C22" s="178">
        <f>B22</f>
        <v>13.528</v>
      </c>
      <c r="D22" s="179">
        <f>B12/B22</f>
        <v>3.6960378474275573E-5</v>
      </c>
      <c r="E22" s="179">
        <f>SQRT(2)*D22*$B$13/C22</f>
        <v>9.6595706144225171E-7</v>
      </c>
      <c r="F22" s="5">
        <f>(($B$10/(2*$B$7))^2+9*$E$16*D22/(2*$B$6*($B$9-$B$8)))^(1/2)-$B$10/(2*$B$7)</f>
        <v>8.0738929312517486E-7</v>
      </c>
      <c r="G22" s="178">
        <f>(($B$10/(2*$B$7))^2+9*$E$16*D22/(2*$B$6*($B$9-$B$8)))^(-1/2)*(9*$E$16)/(4*$B$6*$B$9)</f>
        <v>3.8322452036160513E-3</v>
      </c>
      <c r="H22" s="178">
        <f>(($B$10/(2*$B$7))^2+9*$E$16*D22/(2*$B$6*($B$9-$B$8)))^(-1/2)*((9*D22)/(4*$B$6*$B$9))*0.00000004765</f>
        <v>3.6861311454617227E-10</v>
      </c>
      <c r="I22" s="178">
        <f>SQRT(G22^2*E22^2+H22^2*$C$18^2+$F$28^2)</f>
        <v>4.0665817165179372E-8</v>
      </c>
      <c r="J22" s="179">
        <f>I22/F22</f>
        <v>5.0367050333022786E-2</v>
      </c>
    </row>
    <row r="23" spans="1:10" x14ac:dyDescent="0.25">
      <c r="A23" s="178">
        <v>2</v>
      </c>
      <c r="B23" s="184">
        <v>28.977</v>
      </c>
      <c r="C23" s="178">
        <f>B23-B22</f>
        <v>15.449</v>
      </c>
      <c r="D23" s="179">
        <f>$B$12/(B23-B22)</f>
        <v>3.2364554340086736E-5</v>
      </c>
      <c r="E23" s="179">
        <f t="shared" ref="E23:E25" si="0">SQRT(2)*D23*$B$13/C23</f>
        <v>7.40669164475236E-7</v>
      </c>
      <c r="F23" s="5">
        <f>(($B$10/(2*$B$7))^2+9*E16*D23/(2*$B$6*($B$9-$B$8)))^(1/2)-$B$10/(2*$B$7)</f>
        <v>7.5305539991570649E-7</v>
      </c>
      <c r="G23" s="178">
        <f t="shared" ref="G23:G27" si="1">(($B$10/(2*$B$7))^2+9*$E$16*D23/(2*$B$6*($B$9-$B$8)))^(-1/2)*(9*$E$16)/(4*$B$6*$B$9)</f>
        <v>4.0946469041863226E-3</v>
      </c>
      <c r="H23" s="178">
        <f t="shared" ref="H23:H27" si="2">(($B$10/(2*$B$7))^2+9*$E$16*D23/(2*$B$6*($B$9-$B$8)))^(-1/2)*((9*D23)/(4*$B$6*$B$9))*0.00000004765</f>
        <v>3.4487933431279788E-10</v>
      </c>
      <c r="I23" s="178">
        <f t="shared" ref="I23:I27" si="3">SQRT(G23^2*E23^2+H23^2*$C$18^2+$F$28^2)</f>
        <v>4.061033109660125E-8</v>
      </c>
      <c r="J23" s="179">
        <f t="shared" ref="J23:J27" si="4">I23/F23</f>
        <v>5.3927415036326649E-2</v>
      </c>
    </row>
    <row r="24" spans="1:10" x14ac:dyDescent="0.25">
      <c r="A24" s="178">
        <v>3</v>
      </c>
      <c r="B24" s="184">
        <v>40.915999999999997</v>
      </c>
      <c r="C24" s="178">
        <f t="shared" ref="C24:C26" si="5">B24-B23</f>
        <v>11.938999999999997</v>
      </c>
      <c r="D24" s="179">
        <f>$B$12/(B24-B23)</f>
        <v>4.1879554401541178E-5</v>
      </c>
      <c r="E24" s="179">
        <f t="shared" si="0"/>
        <v>1.2401925165592052E-6</v>
      </c>
      <c r="F24" s="5">
        <f>(($B$10/(2*$B$7))^2+9*E16*D24/(2*$B$6*($B$9-$B$8)))^(1/2)-$B$10/(2*$B$7)</f>
        <v>8.6192839244047845E-7</v>
      </c>
      <c r="G24" s="178">
        <f t="shared" si="1"/>
        <v>3.6006306229278617E-3</v>
      </c>
      <c r="H24" s="178">
        <f t="shared" si="2"/>
        <v>3.9242955360684726E-10</v>
      </c>
      <c r="I24" s="178">
        <f t="shared" si="3"/>
        <v>4.0742489838866566E-8</v>
      </c>
      <c r="J24" s="179">
        <f t="shared" si="4"/>
        <v>4.726899612102068E-2</v>
      </c>
    </row>
    <row r="25" spans="1:10" x14ac:dyDescent="0.25">
      <c r="A25" s="178">
        <v>4</v>
      </c>
      <c r="B25" s="184">
        <v>55.386000000000003</v>
      </c>
      <c r="C25" s="178">
        <f t="shared" si="5"/>
        <v>14.470000000000006</v>
      </c>
      <c r="D25" s="179">
        <f>$B$12/(B25-B24)</f>
        <v>3.455425017277124E-5</v>
      </c>
      <c r="E25" s="179">
        <f t="shared" si="0"/>
        <v>8.442828132682434E-7</v>
      </c>
      <c r="F25" s="5">
        <f>(($B$10/(2*$B$7))^2+9*E16*D25/(2*$B$6*($B$9-$B$8)))^(1/2)-$B$10/(2*$B$7)</f>
        <v>7.7939219575358506E-7</v>
      </c>
      <c r="G25" s="178">
        <f t="shared" si="1"/>
        <v>3.9631117650790705E-3</v>
      </c>
      <c r="H25" s="178">
        <f t="shared" si="2"/>
        <v>3.5638455708568813E-10</v>
      </c>
      <c r="I25" s="178">
        <f t="shared" si="3"/>
        <v>4.0634946686118097E-8</v>
      </c>
      <c r="J25" s="179">
        <f t="shared" si="4"/>
        <v>5.2136712309299747E-2</v>
      </c>
    </row>
    <row r="26" spans="1:10" x14ac:dyDescent="0.25">
      <c r="A26" s="178">
        <v>5</v>
      </c>
      <c r="B26" s="184">
        <v>69.381</v>
      </c>
      <c r="C26" s="178">
        <f t="shared" si="5"/>
        <v>13.994999999999997</v>
      </c>
      <c r="D26" s="179">
        <f>$B$12/(B26-B25)</f>
        <v>3.5727045373347629E-5</v>
      </c>
      <c r="E26" s="179">
        <f>SQRT(2)*D26*$B$13/C26</f>
        <v>9.0256649000548712E-7</v>
      </c>
      <c r="F26" s="5">
        <f>(($B$10/(2*$B$7))^2+9*E16*D26/(2*$B$6*($B$9-$B$8)))^(1/2)-$B$10/(2*$B$7)</f>
        <v>7.9315601170881271E-7</v>
      </c>
      <c r="G26" s="178">
        <f t="shared" si="1"/>
        <v>3.8976772148810678E-3</v>
      </c>
      <c r="H26" s="178">
        <f t="shared" si="2"/>
        <v>3.6239655058583164E-10</v>
      </c>
      <c r="I26" s="178">
        <f t="shared" si="3"/>
        <v>4.064947789666455E-8</v>
      </c>
      <c r="J26" s="179">
        <f t="shared" si="4"/>
        <v>5.1250292876287226E-2</v>
      </c>
    </row>
    <row r="27" spans="1:10" x14ac:dyDescent="0.25">
      <c r="A27" s="7" t="s">
        <v>34</v>
      </c>
      <c r="B27" s="7"/>
      <c r="C27" s="7">
        <f>AVERAGE(C22:C26)</f>
        <v>13.876200000000001</v>
      </c>
      <c r="D27" s="7">
        <f>AVERAGE(D22:D26)</f>
        <v>3.6297156552404471E-5</v>
      </c>
      <c r="E27" s="8">
        <f>SQRT(2)*D27*$B$13/C27</f>
        <v>9.2481967455048674E-7</v>
      </c>
      <c r="F27" s="9">
        <f>AVERAGE(F22:F26)</f>
        <v>7.9898425858875149E-7</v>
      </c>
      <c r="G27" s="7">
        <f t="shared" si="1"/>
        <v>3.8670176553152443E-3</v>
      </c>
      <c r="H27" s="7">
        <f t="shared" si="2"/>
        <v>3.652833212958487E-10</v>
      </c>
      <c r="I27" s="7">
        <f t="shared" si="3"/>
        <v>4.0654578419949347E-8</v>
      </c>
      <c r="J27" s="8">
        <f t="shared" si="4"/>
        <v>5.0882827769044736E-2</v>
      </c>
    </row>
    <row r="28" spans="1:10" x14ac:dyDescent="0.25">
      <c r="A28" s="178" t="s">
        <v>35</v>
      </c>
      <c r="C28" s="6">
        <f>_xlfn.STDEV.S(C22:C26)</f>
        <v>1.2956078496211749</v>
      </c>
      <c r="D28" s="179">
        <f>_xlfn.STDEV.S(D22:D26)</f>
        <v>3.550744239897978E-6</v>
      </c>
      <c r="E28" s="8">
        <f>SQRT(2)*D28*$B$13/C28</f>
        <v>9.6894879535696618E-7</v>
      </c>
      <c r="F28" s="179">
        <f>_xlfn.STDEV.S(F22:F26)</f>
        <v>4.0496561702019085E-8</v>
      </c>
    </row>
    <row r="30" spans="1:10" x14ac:dyDescent="0.25">
      <c r="A30" s="178" t="s">
        <v>31</v>
      </c>
      <c r="C30" s="178">
        <f t="array" ref="C30:G31">TRANSPOSE(A32:B36)</f>
        <v>4.0665817165179372E-8</v>
      </c>
      <c r="D30" s="178">
        <v>4.061033109660125E-8</v>
      </c>
      <c r="E30" s="178">
        <v>4.0742489838866566E-8</v>
      </c>
      <c r="F30" s="178">
        <v>4.0634946686118097E-8</v>
      </c>
      <c r="G30" s="178">
        <v>4.064947789666455E-8</v>
      </c>
    </row>
    <row r="31" spans="1:10" x14ac:dyDescent="0.25">
      <c r="B31" s="178" t="s">
        <v>25</v>
      </c>
      <c r="C31" s="178">
        <v>8.0738929312517486E-7</v>
      </c>
      <c r="D31" s="178">
        <v>7.5305539991570649E-7</v>
      </c>
      <c r="E31" s="178">
        <v>8.6192839244047845E-7</v>
      </c>
      <c r="F31" s="178">
        <v>7.7939219575358506E-7</v>
      </c>
      <c r="G31" s="178">
        <v>7.9315601170881271E-7</v>
      </c>
    </row>
    <row r="32" spans="1:10" x14ac:dyDescent="0.25">
      <c r="A32" s="178">
        <f>I22</f>
        <v>4.0665817165179372E-8</v>
      </c>
      <c r="B32" s="5">
        <f>F22</f>
        <v>8.0738929312517486E-7</v>
      </c>
      <c r="C32" s="178">
        <f t="shared" ref="C32:G36" si="6">(C$31-$B32)/SQRT(C$30^2+$A32^2)</f>
        <v>0</v>
      </c>
      <c r="D32" s="178">
        <f t="shared" si="6"/>
        <v>-0.94541525909816304</v>
      </c>
      <c r="E32" s="178">
        <f t="shared" si="6"/>
        <v>0.9474450773038694</v>
      </c>
      <c r="F32" s="178">
        <f t="shared" si="6"/>
        <v>-0.48700491951254832</v>
      </c>
      <c r="G32" s="178">
        <f t="shared" si="6"/>
        <v>-0.24754136591921033</v>
      </c>
    </row>
    <row r="33" spans="1:12" x14ac:dyDescent="0.25">
      <c r="A33" s="178">
        <f>I23</f>
        <v>4.061033109660125E-8</v>
      </c>
      <c r="B33" s="5">
        <f>F23</f>
        <v>7.5305539991570649E-7</v>
      </c>
      <c r="C33" s="178">
        <f t="shared" si="6"/>
        <v>0.94541525909816304</v>
      </c>
      <c r="D33" s="178">
        <f t="shared" si="6"/>
        <v>0</v>
      </c>
      <c r="E33" s="178">
        <f t="shared" si="6"/>
        <v>1.8926136508639302</v>
      </c>
      <c r="F33" s="178">
        <f t="shared" si="6"/>
        <v>0.4584371322291092</v>
      </c>
      <c r="G33" s="178">
        <f t="shared" si="6"/>
        <v>0.6978950994235873</v>
      </c>
    </row>
    <row r="34" spans="1:12" x14ac:dyDescent="0.25">
      <c r="A34" s="178">
        <f>I24</f>
        <v>4.0742489838866566E-8</v>
      </c>
      <c r="B34" s="5">
        <f>F24</f>
        <v>8.6192839244047845E-7</v>
      </c>
      <c r="C34" s="178">
        <f t="shared" si="6"/>
        <v>-0.9474450773038694</v>
      </c>
      <c r="D34" s="178">
        <f t="shared" si="6"/>
        <v>-1.8926136508639302</v>
      </c>
      <c r="E34" s="178">
        <f t="shared" si="6"/>
        <v>0</v>
      </c>
      <c r="F34" s="178">
        <f t="shared" si="6"/>
        <v>-1.4343497632679447</v>
      </c>
      <c r="G34" s="178">
        <f t="shared" si="6"/>
        <v>-1.1949430975510427</v>
      </c>
    </row>
    <row r="35" spans="1:12" x14ac:dyDescent="0.25">
      <c r="A35" s="178">
        <f>I25</f>
        <v>4.0634946686118097E-8</v>
      </c>
      <c r="B35" s="5">
        <f>F25</f>
        <v>7.7939219575358506E-7</v>
      </c>
      <c r="C35" s="178">
        <f t="shared" si="6"/>
        <v>0.48700491951254832</v>
      </c>
      <c r="D35" s="178">
        <f t="shared" si="6"/>
        <v>-0.4584371322291092</v>
      </c>
      <c r="E35" s="178">
        <f t="shared" si="6"/>
        <v>1.4343497632679447</v>
      </c>
      <c r="F35" s="178">
        <f t="shared" si="6"/>
        <v>0</v>
      </c>
      <c r="G35" s="178">
        <f t="shared" si="6"/>
        <v>0.23946746234303323</v>
      </c>
    </row>
    <row r="36" spans="1:12" x14ac:dyDescent="0.25">
      <c r="A36" s="178">
        <f>I26</f>
        <v>4.064947789666455E-8</v>
      </c>
      <c r="B36" s="5">
        <f>F26</f>
        <v>7.9315601170881271E-7</v>
      </c>
      <c r="C36" s="178">
        <f t="shared" si="6"/>
        <v>0.24754136591921033</v>
      </c>
      <c r="D36" s="178">
        <f t="shared" si="6"/>
        <v>-0.6978950994235873</v>
      </c>
      <c r="E36" s="178">
        <f t="shared" si="6"/>
        <v>1.1949430975510427</v>
      </c>
      <c r="F36" s="178">
        <f t="shared" si="6"/>
        <v>-0.23946746234303323</v>
      </c>
      <c r="G36" s="178">
        <f t="shared" si="6"/>
        <v>0</v>
      </c>
    </row>
    <row r="39" spans="1:12" x14ac:dyDescent="0.25">
      <c r="A39" s="178" t="s">
        <v>7</v>
      </c>
    </row>
    <row r="40" spans="1:12" x14ac:dyDescent="0.25">
      <c r="B40" s="178" t="s">
        <v>36</v>
      </c>
      <c r="C40" s="178" t="s">
        <v>27</v>
      </c>
      <c r="D40" s="178" t="s">
        <v>24</v>
      </c>
      <c r="E40" s="178" t="s">
        <v>29</v>
      </c>
      <c r="F40" s="178" t="s">
        <v>37</v>
      </c>
      <c r="G40" s="178" t="s">
        <v>39</v>
      </c>
      <c r="H40" s="178" t="s">
        <v>40</v>
      </c>
      <c r="I40" s="178" t="s">
        <v>41</v>
      </c>
      <c r="J40" s="178" t="s">
        <v>42</v>
      </c>
      <c r="K40" s="178" t="s">
        <v>2</v>
      </c>
      <c r="L40" s="178" t="s">
        <v>43</v>
      </c>
    </row>
    <row r="41" spans="1:12" x14ac:dyDescent="0.25">
      <c r="A41" s="183">
        <v>1</v>
      </c>
      <c r="B41" s="185">
        <v>80.088999999999999</v>
      </c>
      <c r="C41" s="178">
        <f>B41-B26</f>
        <v>10.707999999999998</v>
      </c>
      <c r="D41" s="179">
        <f>$B$12/C41</f>
        <v>4.6694060515502437E-5</v>
      </c>
      <c r="E41" s="179">
        <f>SQRT(2)*D41*$B$13/C41</f>
        <v>1.5417298669988233E-6</v>
      </c>
      <c r="F41" s="179">
        <f>(4*PI()/3)*$F$27^3*($B$9-$B$8)*($B$6/$E$18)*(1+ABS(D41)/$D$27)</f>
        <v>5.1199404624120645E-19</v>
      </c>
      <c r="G41" s="179">
        <f>F41*3/$F$27</f>
        <v>1.9224185235346558E-12</v>
      </c>
      <c r="H41" s="179">
        <f>F41/$E$18</f>
        <v>1.2638258350738088E-23</v>
      </c>
      <c r="I41" s="178">
        <f>(4*PI()/3)*$F$27^3*($B$9-$B$8)*($B$6/$E$18)*(1/$D$27)</f>
        <v>6.1692557879018859E-15</v>
      </c>
      <c r="J41" s="179">
        <f>(4*PI()/3)*$F$27^3*($B$9-$B$8)*($B$6/$E$18)*(ABS(D41)/$D$27^2)</f>
        <v>7.9363683124875951E-15</v>
      </c>
      <c r="K41" s="178">
        <f>SQRT(G41^2*$I$27^2+H41^2*$F$18^2+I41^2*E41^2+J41^2*$E$28^2)</f>
        <v>7.9274907697534007E-20</v>
      </c>
      <c r="L41" s="182">
        <f>K41/F41</f>
        <v>0.15483560459253204</v>
      </c>
    </row>
    <row r="42" spans="1:12" x14ac:dyDescent="0.25">
      <c r="A42" s="183">
        <v>2</v>
      </c>
      <c r="B42" s="185">
        <v>93.748000000000005</v>
      </c>
      <c r="C42" s="178">
        <f>B42-B41</f>
        <v>13.659000000000006</v>
      </c>
      <c r="D42" s="179">
        <f t="shared" ref="D42:D45" si="7">$B$12/C42</f>
        <v>3.6605900871220428E-5</v>
      </c>
      <c r="E42" s="179">
        <f t="shared" ref="E42:E44" si="8">SQRT(2)*D42*$B$13/C42</f>
        <v>9.4751741479912518E-7</v>
      </c>
      <c r="F42" s="179">
        <f t="shared" ref="F42:F45" si="9">(4*PI()/3)*$F$27^3*($B$9-$B$8)*($B$6/$E$18)*(1+ABS(D42)/$D$27)</f>
        <v>4.4975760896644138E-19</v>
      </c>
      <c r="G42" s="179">
        <f t="shared" ref="G42:G45" si="10">F42*3/$F$27</f>
        <v>1.6887351814446873E-12</v>
      </c>
      <c r="H42" s="179">
        <f t="shared" ref="H42:H45" si="11">F42/$E$18</f>
        <v>1.1101990148241395E-23</v>
      </c>
      <c r="I42" s="178">
        <f t="shared" ref="I42:I45" si="12">(4*PI()/3)*$F$27^3*($B$9-$B$8)*($B$6/$E$18)*(1/$D$27)</f>
        <v>6.1692557879018859E-15</v>
      </c>
      <c r="J42" s="179">
        <f t="shared" ref="J42:J45" si="13">(4*PI()/3)*$F$27^3*($B$9-$B$8)*($B$6/$E$18)*(ABS(D42)/$D$27^2)</f>
        <v>6.2217315974900883E-15</v>
      </c>
      <c r="K42" s="178">
        <f t="shared" ref="K42:K45" si="14">SQRT(G42^2*$I$27^2+H42^2*$F$18^2+I42^2*E42^2+J42^2*$E$28^2)</f>
        <v>6.9315159820453615E-20</v>
      </c>
      <c r="L42" s="182">
        <f t="shared" ref="L42:L45" si="15">K42/F42</f>
        <v>0.15411670294971164</v>
      </c>
    </row>
    <row r="43" spans="1:12" x14ac:dyDescent="0.25">
      <c r="A43" s="183">
        <v>3</v>
      </c>
      <c r="B43" s="185">
        <v>104.708</v>
      </c>
      <c r="C43" s="178">
        <f>B43-B42</f>
        <v>10.959999999999994</v>
      </c>
      <c r="D43" s="179">
        <f t="shared" si="7"/>
        <v>4.5620437956204404E-5</v>
      </c>
      <c r="E43" s="179">
        <f t="shared" si="8"/>
        <v>1.4716478576428975E-6</v>
      </c>
      <c r="F43" s="179">
        <f t="shared" si="9"/>
        <v>5.0537059405323505E-19</v>
      </c>
      <c r="G43" s="179">
        <f t="shared" si="10"/>
        <v>1.8975490015755985E-12</v>
      </c>
      <c r="H43" s="179">
        <f t="shared" si="11"/>
        <v>1.2474762504370555E-23</v>
      </c>
      <c r="I43" s="178">
        <f t="shared" si="12"/>
        <v>6.1692557879018859E-15</v>
      </c>
      <c r="J43" s="179">
        <f t="shared" si="13"/>
        <v>7.753889770996095E-15</v>
      </c>
      <c r="K43" s="178">
        <f t="shared" si="14"/>
        <v>7.8205386611623502E-20</v>
      </c>
      <c r="L43" s="182">
        <f t="shared" si="15"/>
        <v>0.1547485895140655</v>
      </c>
    </row>
    <row r="44" spans="1:12" x14ac:dyDescent="0.25">
      <c r="A44" s="183">
        <v>4</v>
      </c>
      <c r="B44" s="185">
        <v>116.18600000000001</v>
      </c>
      <c r="C44" s="178">
        <f>B44-B43</f>
        <v>11.478000000000009</v>
      </c>
      <c r="D44" s="179">
        <f t="shared" si="7"/>
        <v>4.3561596096880961E-5</v>
      </c>
      <c r="E44" s="179">
        <f t="shared" si="8"/>
        <v>1.3418147760678666E-6</v>
      </c>
      <c r="F44" s="179">
        <f t="shared" si="9"/>
        <v>4.9266907199622926E-19</v>
      </c>
      <c r="G44" s="179">
        <f t="shared" si="10"/>
        <v>1.8498577413769037E-12</v>
      </c>
      <c r="H44" s="179">
        <f t="shared" si="11"/>
        <v>1.2161233238976692E-23</v>
      </c>
      <c r="I44" s="178">
        <f t="shared" si="12"/>
        <v>6.1692557879018859E-15</v>
      </c>
      <c r="J44" s="179">
        <f t="shared" si="13"/>
        <v>7.4039581712943969E-15</v>
      </c>
      <c r="K44" s="178">
        <f t="shared" si="14"/>
        <v>7.6161173809261215E-20</v>
      </c>
      <c r="L44" s="182">
        <f t="shared" si="15"/>
        <v>0.15458890792690988</v>
      </c>
    </row>
    <row r="45" spans="1:12" x14ac:dyDescent="0.25">
      <c r="A45" s="183">
        <v>5</v>
      </c>
      <c r="B45" s="185">
        <v>128.03800000000001</v>
      </c>
      <c r="C45" s="178">
        <f>B45-B44</f>
        <v>11.852000000000004</v>
      </c>
      <c r="D45" s="179">
        <f t="shared" si="7"/>
        <v>4.21869726628417E-5</v>
      </c>
      <c r="E45" s="179">
        <f>SQRT(2)*D45*$B$13/C45</f>
        <v>1.2584666911756184E-6</v>
      </c>
      <c r="F45" s="179">
        <f t="shared" si="9"/>
        <v>4.8418866841959694E-19</v>
      </c>
      <c r="G45" s="179">
        <f t="shared" si="10"/>
        <v>1.8180157989901617E-12</v>
      </c>
      <c r="H45" s="179">
        <f t="shared" si="11"/>
        <v>1.19518996888957E-23</v>
      </c>
      <c r="I45" s="178">
        <f t="shared" si="12"/>
        <v>6.1692557879018859E-15</v>
      </c>
      <c r="J45" s="179">
        <f t="shared" si="13"/>
        <v>7.1703199367294223E-15</v>
      </c>
      <c r="K45" s="178">
        <f t="shared" si="14"/>
        <v>7.4801081943060945E-20</v>
      </c>
      <c r="L45" s="182">
        <f t="shared" si="15"/>
        <v>0.15448746908351535</v>
      </c>
    </row>
    <row r="46" spans="1:12" x14ac:dyDescent="0.25">
      <c r="L46" s="182"/>
    </row>
    <row r="47" spans="1:12" x14ac:dyDescent="0.25">
      <c r="L47" s="182"/>
    </row>
    <row r="49" spans="1:12" x14ac:dyDescent="0.25">
      <c r="A49" s="178" t="s">
        <v>7</v>
      </c>
    </row>
    <row r="50" spans="1:12" x14ac:dyDescent="0.25">
      <c r="B50" s="178" t="s">
        <v>23</v>
      </c>
      <c r="C50" s="178" t="s">
        <v>27</v>
      </c>
      <c r="D50" s="178" t="s">
        <v>24</v>
      </c>
      <c r="E50" s="178" t="s">
        <v>29</v>
      </c>
      <c r="F50" s="178" t="s">
        <v>37</v>
      </c>
      <c r="G50" s="178" t="s">
        <v>39</v>
      </c>
      <c r="H50" s="178" t="s">
        <v>40</v>
      </c>
      <c r="I50" s="178" t="s">
        <v>41</v>
      </c>
      <c r="J50" s="178" t="s">
        <v>42</v>
      </c>
      <c r="K50" s="178" t="s">
        <v>2</v>
      </c>
      <c r="L50" s="178" t="s">
        <v>43</v>
      </c>
    </row>
    <row r="51" spans="1:12" x14ac:dyDescent="0.25">
      <c r="A51" s="183">
        <v>6</v>
      </c>
      <c r="B51" s="186">
        <v>136.30099999999999</v>
      </c>
      <c r="C51" s="178">
        <f>B51-B45</f>
        <v>8.2629999999999768</v>
      </c>
      <c r="D51" s="179">
        <f>$B$12/C51</f>
        <v>6.0510710395740214E-5</v>
      </c>
      <c r="E51" s="179">
        <f>SQRT(2)*D51*$B$13/C51</f>
        <v>2.5891040575604107E-6</v>
      </c>
      <c r="F51" s="179">
        <f>-(4*PI()/3)*$F$27^3*($B$9-$B$8)*($B$6/$E$18)*(1-ABS(D51)/$D$27)</f>
        <v>1.49379607193673E-19</v>
      </c>
      <c r="G51" s="179">
        <f>F51*3/$F$27</f>
        <v>5.6088567047937593E-13</v>
      </c>
      <c r="H51" s="179">
        <f>F51/$E$18</f>
        <v>3.6873437921893373E-24</v>
      </c>
      <c r="I51" s="178">
        <f>-(4*PI()/3)*$F$27^3*($B$9-$B$8)*($B$6/$E$18)*(-1/$D$27)</f>
        <v>6.1692557879018859E-15</v>
      </c>
      <c r="J51" s="179">
        <f>-(4*PI()/3)*$F$27^3*($B$9-$B$8)*($B$6/$E$18)*(-ABS(D51)/$D$27^2)</f>
        <v>1.028471885394135E-14</v>
      </c>
      <c r="K51" s="178">
        <f>SQRT(G51^2*$I$27^2+H51^2*$F$18^2+I51^2*E51^2+J51^2*$E$28^2)</f>
        <v>2.9608602968273747E-20</v>
      </c>
      <c r="L51" s="182">
        <f>K51/F51</f>
        <v>0.19821047547598467</v>
      </c>
    </row>
    <row r="52" spans="1:12" x14ac:dyDescent="0.25">
      <c r="A52" s="183">
        <v>7</v>
      </c>
      <c r="B52" s="186">
        <v>143.542</v>
      </c>
      <c r="C52" s="178">
        <f>B52-B51</f>
        <v>7.2410000000000139</v>
      </c>
      <c r="D52" s="179">
        <f t="shared" ref="D52:D55" si="16">$B$12/C52</f>
        <v>6.9051236017124572E-5</v>
      </c>
      <c r="E52" s="179">
        <f t="shared" ref="E52:E54" si="17">SQRT(2)*D52*$B$13/C52</f>
        <v>3.3715368897266583E-6</v>
      </c>
      <c r="F52" s="179">
        <f t="shared" ref="F52:F55" si="18">-(4*PI()/3)*$F$27^3*($B$9-$B$8)*($B$6/$E$18)*(1-ABS(D52)/$D$27)</f>
        <v>2.0206829431512281E-19</v>
      </c>
      <c r="G52" s="179">
        <f t="shared" ref="G52:G55" si="19">F52*3/$F$27</f>
        <v>7.5871943211510844E-13</v>
      </c>
      <c r="H52" s="179">
        <f t="shared" ref="H52:H55" si="20">F52/$E$18</f>
        <v>4.9879316503699758E-24</v>
      </c>
      <c r="I52" s="178">
        <f t="shared" ref="I52:I55" si="21">-(4*PI()/3)*$F$27^3*($B$9-$B$8)*($B$6/$E$18)*(-1/$D$27)</f>
        <v>6.1692557879018859E-15</v>
      </c>
      <c r="J52" s="179">
        <f t="shared" ref="J52:J55" si="22">-(4*PI()/3)*$F$27^3*($B$9-$B$8)*($B$6/$E$18)*(-ABS(D52)/$D$27^2)</f>
        <v>1.1736311544001794E-14</v>
      </c>
      <c r="K52" s="178">
        <f t="shared" ref="K52:K55" si="23">SQRT(G52^2*$I$27^2+H52^2*$F$18^2+I52^2*E52^2+J52^2*$E$28^2)</f>
        <v>3.8955763096103906E-20</v>
      </c>
      <c r="L52" s="182">
        <f t="shared" ref="L52:L55" si="24">K52/F52</f>
        <v>0.19278513350220552</v>
      </c>
    </row>
    <row r="53" spans="1:12" x14ac:dyDescent="0.25">
      <c r="A53" s="183">
        <v>8</v>
      </c>
      <c r="B53" s="186">
        <v>150.43700000000001</v>
      </c>
      <c r="C53" s="178">
        <f>B53-B52</f>
        <v>6.8950000000000102</v>
      </c>
      <c r="D53" s="179">
        <f t="shared" si="16"/>
        <v>7.2516316171138405E-5</v>
      </c>
      <c r="E53" s="179">
        <f t="shared" si="17"/>
        <v>3.7184031117679182E-6</v>
      </c>
      <c r="F53" s="179">
        <f t="shared" si="18"/>
        <v>2.2344526011081656E-19</v>
      </c>
      <c r="G53" s="179">
        <f t="shared" si="19"/>
        <v>8.3898496513118546E-13</v>
      </c>
      <c r="H53" s="179">
        <f t="shared" si="20"/>
        <v>5.5156089123699907E-24</v>
      </c>
      <c r="I53" s="178">
        <f t="shared" si="21"/>
        <v>6.1692557879018859E-15</v>
      </c>
      <c r="J53" s="179">
        <f t="shared" si="22"/>
        <v>1.2325254806398409E-14</v>
      </c>
      <c r="K53" s="178">
        <f t="shared" si="23"/>
        <v>4.2864160277393117E-20</v>
      </c>
      <c r="L53" s="182">
        <f t="shared" si="24"/>
        <v>0.19183293597785359</v>
      </c>
    </row>
    <row r="54" spans="1:12" x14ac:dyDescent="0.25">
      <c r="A54" s="183">
        <v>9</v>
      </c>
      <c r="B54" s="186">
        <v>157.352</v>
      </c>
      <c r="C54" s="178">
        <f>B54-B53</f>
        <v>6.914999999999992</v>
      </c>
      <c r="D54" s="179">
        <f t="shared" si="16"/>
        <v>7.2306579898770871E-5</v>
      </c>
      <c r="E54" s="179">
        <f t="shared" si="17"/>
        <v>3.6969250159673069E-6</v>
      </c>
      <c r="F54" s="179">
        <f t="shared" si="18"/>
        <v>2.2215134339858021E-19</v>
      </c>
      <c r="G54" s="179">
        <f t="shared" si="19"/>
        <v>8.3412660891830397E-13</v>
      </c>
      <c r="H54" s="179">
        <f t="shared" si="20"/>
        <v>5.4836693735928611E-24</v>
      </c>
      <c r="I54" s="178">
        <f t="shared" si="21"/>
        <v>6.1692557879018859E-15</v>
      </c>
      <c r="J54" s="179">
        <f t="shared" si="22"/>
        <v>1.2289606925541179E-14</v>
      </c>
      <c r="K54" s="178">
        <f t="shared" si="23"/>
        <v>4.2625780832997821E-20</v>
      </c>
      <c r="L54" s="182">
        <f t="shared" si="24"/>
        <v>0.19187721388890888</v>
      </c>
    </row>
    <row r="55" spans="1:12" x14ac:dyDescent="0.25">
      <c r="A55" s="183">
        <v>10</v>
      </c>
      <c r="B55" s="186">
        <v>165.107</v>
      </c>
      <c r="C55" s="178">
        <f>B55-B54</f>
        <v>7.7549999999999955</v>
      </c>
      <c r="D55" s="179">
        <f t="shared" si="16"/>
        <v>6.4474532559638986E-5</v>
      </c>
      <c r="E55" s="179">
        <f>SQRT(2)*D55*$B$13/C55</f>
        <v>2.9394183872826308E-6</v>
      </c>
      <c r="F55" s="179">
        <f t="shared" si="18"/>
        <v>1.7383344002051928E-19</v>
      </c>
      <c r="G55" s="179">
        <f t="shared" si="19"/>
        <v>6.5270412333615376E-13</v>
      </c>
      <c r="H55" s="179">
        <f t="shared" si="20"/>
        <v>4.2909716257556759E-24</v>
      </c>
      <c r="I55" s="178">
        <f t="shared" si="21"/>
        <v>6.1692557879018859E-15</v>
      </c>
      <c r="J55" s="179">
        <f t="shared" si="22"/>
        <v>1.0958430933606344E-14</v>
      </c>
      <c r="K55" s="178">
        <f t="shared" si="23"/>
        <v>3.3893844446652269E-20</v>
      </c>
      <c r="L55" s="182">
        <f t="shared" si="24"/>
        <v>0.19497885126504683</v>
      </c>
    </row>
    <row r="56" spans="1:12" x14ac:dyDescent="0.25">
      <c r="L56" s="182"/>
    </row>
    <row r="57" spans="1:12" x14ac:dyDescent="0.25">
      <c r="L57" s="182"/>
    </row>
    <row r="59" spans="1:12" x14ac:dyDescent="0.25">
      <c r="B59" s="178" t="s">
        <v>38</v>
      </c>
    </row>
    <row r="60" spans="1:12" x14ac:dyDescent="0.25">
      <c r="A60" s="179"/>
      <c r="B60" s="178" t="s">
        <v>44</v>
      </c>
      <c r="C60" s="178" t="s">
        <v>45</v>
      </c>
    </row>
    <row r="61" spans="1:12" x14ac:dyDescent="0.25">
      <c r="A61" s="178">
        <v>1</v>
      </c>
      <c r="B61" s="179">
        <f>F41</f>
        <v>5.1199404624120645E-19</v>
      </c>
      <c r="C61" s="178">
        <f>K41</f>
        <v>7.9274907697534007E-20</v>
      </c>
    </row>
    <row r="62" spans="1:12" x14ac:dyDescent="0.25">
      <c r="A62" s="178">
        <v>2</v>
      </c>
      <c r="B62" s="179">
        <f t="shared" ref="B62:B65" si="25">F42</f>
        <v>4.4975760896644138E-19</v>
      </c>
      <c r="C62" s="178">
        <f t="shared" ref="C62:C65" si="26">K42</f>
        <v>6.9315159820453615E-20</v>
      </c>
    </row>
    <row r="63" spans="1:12" x14ac:dyDescent="0.25">
      <c r="A63" s="178">
        <v>3</v>
      </c>
      <c r="B63" s="179">
        <f t="shared" si="25"/>
        <v>5.0537059405323505E-19</v>
      </c>
      <c r="C63" s="178">
        <f t="shared" si="26"/>
        <v>7.8205386611623502E-20</v>
      </c>
    </row>
    <row r="64" spans="1:12" x14ac:dyDescent="0.25">
      <c r="A64" s="178">
        <v>4</v>
      </c>
      <c r="B64" s="179">
        <f t="shared" si="25"/>
        <v>4.9266907199622926E-19</v>
      </c>
      <c r="C64" s="178">
        <f t="shared" si="26"/>
        <v>7.6161173809261215E-20</v>
      </c>
    </row>
    <row r="65" spans="1:3" x14ac:dyDescent="0.25">
      <c r="A65" s="178">
        <v>5</v>
      </c>
      <c r="B65" s="179">
        <f t="shared" si="25"/>
        <v>4.8418866841959694E-19</v>
      </c>
      <c r="C65" s="178">
        <f t="shared" si="26"/>
        <v>7.4801081943060945E-20</v>
      </c>
    </row>
    <row r="66" spans="1:3" x14ac:dyDescent="0.25">
      <c r="A66" s="178">
        <v>6</v>
      </c>
      <c r="B66" s="179">
        <f>F51</f>
        <v>1.49379607193673E-19</v>
      </c>
      <c r="C66" s="178">
        <f>K51</f>
        <v>2.9608602968273747E-20</v>
      </c>
    </row>
    <row r="67" spans="1:3" x14ac:dyDescent="0.25">
      <c r="A67" s="178">
        <v>7</v>
      </c>
      <c r="B67" s="179">
        <f t="shared" ref="B67:B70" si="27">F52</f>
        <v>2.0206829431512281E-19</v>
      </c>
      <c r="C67" s="178">
        <f t="shared" ref="C67:C70" si="28">K52</f>
        <v>3.8955763096103906E-20</v>
      </c>
    </row>
    <row r="68" spans="1:3" x14ac:dyDescent="0.25">
      <c r="A68" s="178">
        <v>8</v>
      </c>
      <c r="B68" s="179">
        <f t="shared" si="27"/>
        <v>2.2344526011081656E-19</v>
      </c>
      <c r="C68" s="178">
        <f t="shared" si="28"/>
        <v>4.2864160277393117E-20</v>
      </c>
    </row>
    <row r="69" spans="1:3" x14ac:dyDescent="0.25">
      <c r="A69" s="178">
        <v>9</v>
      </c>
      <c r="B69" s="179">
        <f t="shared" si="27"/>
        <v>2.2215134339858021E-19</v>
      </c>
      <c r="C69" s="178">
        <f t="shared" si="28"/>
        <v>4.2625780832997821E-20</v>
      </c>
    </row>
    <row r="70" spans="1:3" x14ac:dyDescent="0.25">
      <c r="A70" s="178">
        <v>10</v>
      </c>
      <c r="B70" s="179">
        <f t="shared" si="27"/>
        <v>1.7383344002051928E-19</v>
      </c>
      <c r="C70" s="178">
        <f t="shared" si="28"/>
        <v>3.3893844446652269E-20</v>
      </c>
    </row>
  </sheetData>
  <mergeCells count="2">
    <mergeCell ref="A1:C2"/>
    <mergeCell ref="A14:C15"/>
  </mergeCells>
  <conditionalFormatting sqref="C32:G36">
    <cfRule type="cellIs" dxfId="2" priority="5" operator="notBetween">
      <formula>-1.96</formula>
      <formula>1.96</formula>
    </cfRule>
  </conditionalFormatting>
  <conditionalFormatting sqref="L41:L47">
    <cfRule type="cellIs" priority="4" operator="greaterThan">
      <formula>0.04</formula>
    </cfRule>
  </conditionalFormatting>
  <conditionalFormatting sqref="L51:L57">
    <cfRule type="cellIs" priority="2" operator="greaterThan">
      <formula>0.04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2E9CEB8E-626D-4F63-95DC-1721033221DC}">
            <xm:f>Dati!$B$14</xm:f>
            <x14:dxf>
              <fill>
                <patternFill>
                  <bgColor theme="5"/>
                </patternFill>
              </fill>
            </x14:dxf>
          </x14:cfRule>
          <xm:sqref>L41:L47</xm:sqref>
        </x14:conditionalFormatting>
        <x14:conditionalFormatting xmlns:xm="http://schemas.microsoft.com/office/excel/2006/main">
          <x14:cfRule type="cellIs" priority="1" operator="greaterThan" id="{1F26D0DB-C053-4931-8523-D6068126C1F3}">
            <xm:f>Dati!$B$14</xm:f>
            <x14:dxf>
              <fill>
                <patternFill>
                  <bgColor theme="5"/>
                </patternFill>
              </fill>
            </x14:dxf>
          </x14:cfRule>
          <xm:sqref>L51:L57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B130"/>
  <sheetViews>
    <sheetView tabSelected="1" topLeftCell="A4" workbookViewId="0">
      <selection activeCell="K10" sqref="K10"/>
    </sheetView>
  </sheetViews>
  <sheetFormatPr defaultRowHeight="15" x14ac:dyDescent="0.25"/>
  <cols>
    <col min="3" max="4" width="12" bestFit="1" customWidth="1"/>
    <col min="5" max="5" width="11.7109375" bestFit="1" customWidth="1"/>
    <col min="6" max="7" width="12" bestFit="1" customWidth="1"/>
    <col min="9" max="9" width="11" bestFit="1" customWidth="1"/>
    <col min="12" max="19" width="11" customWidth="1"/>
  </cols>
  <sheetData>
    <row r="4" spans="2:28" x14ac:dyDescent="0.25">
      <c r="B4" t="s">
        <v>38</v>
      </c>
    </row>
    <row r="5" spans="2:28" x14ac:dyDescent="0.25">
      <c r="B5">
        <v>1.5157757890000001</v>
      </c>
      <c r="C5">
        <f>B5*0.0000000000000000001</f>
        <v>1.5157757890000001E-19</v>
      </c>
      <c r="E5">
        <f>C5-1.6021E-19</f>
        <v>-8.6324210999999979E-21</v>
      </c>
      <c r="F5">
        <f>E5/F10</f>
        <v>-0.63040479724727971</v>
      </c>
    </row>
    <row r="6" spans="2:28" x14ac:dyDescent="0.25">
      <c r="B6" t="s">
        <v>68</v>
      </c>
      <c r="C6" t="s">
        <v>47</v>
      </c>
    </row>
    <row r="7" spans="2:28" x14ac:dyDescent="0.25">
      <c r="B7" s="179">
        <f>C7*10000000000000000000</f>
        <v>30.7</v>
      </c>
      <c r="C7" s="179">
        <v>3.0699999999999998E-18</v>
      </c>
      <c r="D7">
        <f>(C7/INT(C7/$C$5+0.5))^2</f>
        <v>2.3562249999999999E-38</v>
      </c>
      <c r="E7" s="179">
        <f>C7/INT(C7/$C$5+0.5)</f>
        <v>1.5349999999999999E-19</v>
      </c>
    </row>
    <row r="8" spans="2:28" x14ac:dyDescent="0.25">
      <c r="B8" s="179">
        <f t="shared" ref="B8:B71" si="0">C8*10000000000000000000</f>
        <v>34.4</v>
      </c>
      <c r="C8" s="179">
        <v>3.4400000000000002E-18</v>
      </c>
      <c r="D8" s="186">
        <f t="shared" ref="D8:D71" si="1">(C8/INT(C8/$C$5+0.5))^2</f>
        <v>2.2369754253308127E-38</v>
      </c>
      <c r="E8" s="179">
        <f t="shared" ref="E8:E71" si="2">C8/INT(C8/$C$5+0.5)</f>
        <v>1.4956521739130435E-19</v>
      </c>
      <c r="F8">
        <f>SUM(D7:D130)</f>
        <v>2.8599142589052974E-36</v>
      </c>
    </row>
    <row r="9" spans="2:28" x14ac:dyDescent="0.25">
      <c r="B9" s="179">
        <f t="shared" si="0"/>
        <v>33.800000000000004</v>
      </c>
      <c r="C9" s="179">
        <v>3.3800000000000001E-18</v>
      </c>
      <c r="D9" s="186">
        <f t="shared" si="1"/>
        <v>2.360413223140496E-38</v>
      </c>
      <c r="E9" s="179">
        <f t="shared" si="2"/>
        <v>1.5363636363636364E-19</v>
      </c>
    </row>
    <row r="10" spans="2:28" x14ac:dyDescent="0.25">
      <c r="B10" s="179">
        <f t="shared" si="0"/>
        <v>34.1</v>
      </c>
      <c r="C10" s="179">
        <v>3.41E-18</v>
      </c>
      <c r="D10" s="186">
        <f t="shared" si="1"/>
        <v>2.4024999999999998E-38</v>
      </c>
      <c r="E10" s="179">
        <f t="shared" si="2"/>
        <v>1.5499999999999999E-19</v>
      </c>
      <c r="F10">
        <f>SQRT(F8/(COUNT(D7:D130)*(COUNT(D7:D130)-1)))</f>
        <v>1.3693457184485676E-20</v>
      </c>
    </row>
    <row r="11" spans="2:28" x14ac:dyDescent="0.25">
      <c r="B11" s="179">
        <f t="shared" si="0"/>
        <v>57.6</v>
      </c>
      <c r="C11" s="179">
        <v>5.7600000000000002E-18</v>
      </c>
      <c r="D11" s="186">
        <f t="shared" si="1"/>
        <v>2.297617728531856E-38</v>
      </c>
      <c r="E11" s="179">
        <f t="shared" si="2"/>
        <v>1.5157894736842106E-19</v>
      </c>
    </row>
    <row r="12" spans="2:28" x14ac:dyDescent="0.25">
      <c r="B12" s="179">
        <f t="shared" si="0"/>
        <v>44.400000000000006</v>
      </c>
      <c r="C12" s="179">
        <v>4.4400000000000003E-18</v>
      </c>
      <c r="D12" s="186">
        <f t="shared" si="1"/>
        <v>2.3440665873959574E-38</v>
      </c>
      <c r="E12" s="179">
        <f t="shared" si="2"/>
        <v>1.5310344827586208E-19</v>
      </c>
    </row>
    <row r="13" spans="2:28" x14ac:dyDescent="0.25">
      <c r="B13" s="179">
        <f t="shared" si="0"/>
        <v>48.7</v>
      </c>
      <c r="C13" s="179">
        <v>4.8700000000000003E-18</v>
      </c>
      <c r="D13" s="186">
        <f t="shared" si="1"/>
        <v>2.3161035156250004E-38</v>
      </c>
      <c r="E13" s="179">
        <f t="shared" si="2"/>
        <v>1.5218750000000001E-19</v>
      </c>
    </row>
    <row r="14" spans="2:28" x14ac:dyDescent="0.25">
      <c r="B14" s="179">
        <f t="shared" si="0"/>
        <v>105</v>
      </c>
      <c r="C14" s="179">
        <v>1.05E-17</v>
      </c>
      <c r="D14" s="186">
        <f t="shared" si="1"/>
        <v>2.3156899810964079E-38</v>
      </c>
      <c r="E14" s="179">
        <f t="shared" si="2"/>
        <v>1.5217391304347825E-19</v>
      </c>
    </row>
    <row r="15" spans="2:28" x14ac:dyDescent="0.25">
      <c r="B15" s="179">
        <f t="shared" si="0"/>
        <v>106</v>
      </c>
      <c r="C15" s="179">
        <v>1.0600000000000001E-17</v>
      </c>
      <c r="D15" s="186">
        <f t="shared" si="1"/>
        <v>2.2930612244897962E-38</v>
      </c>
      <c r="E15" s="179">
        <f t="shared" si="2"/>
        <v>1.5142857142857144E-19</v>
      </c>
      <c r="M15" s="187">
        <v>3.0699999999999998E-18</v>
      </c>
      <c r="N15" s="187">
        <v>9.6900000000000001E-18</v>
      </c>
      <c r="O15" s="187">
        <v>1.4599999999999999E-18</v>
      </c>
      <c r="P15" s="187">
        <v>1.71E-18</v>
      </c>
      <c r="Q15" s="187">
        <v>7.4900000000000002E-19</v>
      </c>
      <c r="R15" s="187">
        <v>2.4300000000000002E-18</v>
      </c>
      <c r="S15" s="187">
        <v>4.8599999999999996E-19</v>
      </c>
      <c r="V15" s="189">
        <f>M15*10000000000000000000</f>
        <v>30.7</v>
      </c>
      <c r="W15" s="189">
        <f t="shared" ref="W15:AB15" si="3">N15*10000000000000000000</f>
        <v>96.9</v>
      </c>
      <c r="X15" s="189">
        <f t="shared" si="3"/>
        <v>14.6</v>
      </c>
      <c r="Y15" s="189">
        <f t="shared" si="3"/>
        <v>17.099999999999998</v>
      </c>
      <c r="Z15" s="189">
        <f t="shared" si="3"/>
        <v>7.49</v>
      </c>
      <c r="AA15" s="189">
        <f t="shared" si="3"/>
        <v>24.3</v>
      </c>
      <c r="AB15" s="189">
        <f t="shared" si="3"/>
        <v>4.8599999999999994</v>
      </c>
    </row>
    <row r="16" spans="2:28" x14ac:dyDescent="0.25">
      <c r="B16" s="179">
        <f t="shared" si="0"/>
        <v>86.3</v>
      </c>
      <c r="C16" s="179">
        <v>8.6299999999999995E-18</v>
      </c>
      <c r="D16" s="186">
        <f t="shared" si="1"/>
        <v>2.2923022468451826E-38</v>
      </c>
      <c r="E16" s="179">
        <f t="shared" si="2"/>
        <v>1.5140350877192981E-19</v>
      </c>
      <c r="F16" s="191" t="s">
        <v>56</v>
      </c>
      <c r="G16" s="191" t="s">
        <v>57</v>
      </c>
      <c r="H16" s="191" t="s">
        <v>58</v>
      </c>
      <c r="I16" s="191" t="s">
        <v>66</v>
      </c>
      <c r="M16" s="188">
        <v>3.4400000000000002E-18</v>
      </c>
      <c r="N16" s="188">
        <v>4.4300000000000003E-18</v>
      </c>
      <c r="O16" s="188">
        <v>1.5100000000000001E-18</v>
      </c>
      <c r="P16" s="188">
        <v>1.67E-18</v>
      </c>
      <c r="Q16" s="188">
        <v>7.57E-19</v>
      </c>
      <c r="R16" s="188">
        <v>2.1400000000000002E-18</v>
      </c>
      <c r="S16" s="188">
        <v>4.5600000000000002E-19</v>
      </c>
      <c r="V16" s="190">
        <f t="shared" ref="V16:V32" si="4">M16*10000000000000000000</f>
        <v>34.4</v>
      </c>
      <c r="W16" s="190">
        <f t="shared" ref="W16:W32" si="5">N16*10000000000000000000</f>
        <v>44.300000000000004</v>
      </c>
      <c r="X16" s="190">
        <f t="shared" ref="X16:X32" si="6">O16*10000000000000000000</f>
        <v>15.100000000000001</v>
      </c>
      <c r="Y16" s="190">
        <f t="shared" ref="Y16:Y32" si="7">P16*10000000000000000000</f>
        <v>16.7</v>
      </c>
      <c r="Z16" s="190">
        <f t="shared" ref="Z16:Z32" si="8">Q16*10000000000000000000</f>
        <v>7.57</v>
      </c>
      <c r="AA16" s="190">
        <f t="shared" ref="AA16:AA31" si="9">R16*10000000000000000000</f>
        <v>21.400000000000002</v>
      </c>
      <c r="AB16" s="190">
        <f t="shared" ref="AB16:AB31" si="10">S16*10000000000000000000</f>
        <v>4.5600000000000005</v>
      </c>
    </row>
    <row r="17" spans="2:28" x14ac:dyDescent="0.25">
      <c r="B17" s="179">
        <f t="shared" si="0"/>
        <v>96.9</v>
      </c>
      <c r="C17" s="179">
        <v>9.6900000000000001E-18</v>
      </c>
      <c r="D17" s="186">
        <f t="shared" si="1"/>
        <v>2.2923852539062499E-38</v>
      </c>
      <c r="E17" s="179">
        <f t="shared" si="2"/>
        <v>1.5140625E-19</v>
      </c>
      <c r="F17" s="192" t="str">
        <f>"\num{" &amp; TEXT(C5*10000000000000000000,"0.00")&amp;"E-19}"</f>
        <v>\num{1.52E-19}</v>
      </c>
      <c r="G17" s="192" t="str">
        <f>"\num{"&amp;TEXT(F10*10000000000000000000,"0.00")&amp;"E-19}"</f>
        <v>\num{0.14E-19}</v>
      </c>
      <c r="H17" s="192">
        <f>F10/C5</f>
        <v>9.0339595630562458E-2</v>
      </c>
      <c r="I17" s="196">
        <f>F5</f>
        <v>-0.63040479724727971</v>
      </c>
      <c r="M17" s="187">
        <v>3.3800000000000001E-18</v>
      </c>
      <c r="N17" s="187">
        <v>4.6899999999999997E-18</v>
      </c>
      <c r="O17" s="187">
        <v>1.3600000000000001E-18</v>
      </c>
      <c r="P17" s="187">
        <v>1.7599999999999999E-18</v>
      </c>
      <c r="Q17" s="187">
        <v>6.8999999999999999E-19</v>
      </c>
      <c r="R17" s="187">
        <v>2.0399999999999999E-18</v>
      </c>
      <c r="S17" s="187">
        <v>1.9699999999999999E-18</v>
      </c>
      <c r="V17" s="189">
        <f t="shared" si="4"/>
        <v>33.800000000000004</v>
      </c>
      <c r="W17" s="189">
        <f t="shared" si="5"/>
        <v>46.9</v>
      </c>
      <c r="X17" s="189">
        <f t="shared" si="6"/>
        <v>13.600000000000001</v>
      </c>
      <c r="Y17" s="189">
        <f t="shared" si="7"/>
        <v>17.599999999999998</v>
      </c>
      <c r="Z17" s="189">
        <f t="shared" si="8"/>
        <v>6.8999999999999995</v>
      </c>
      <c r="AA17" s="189">
        <f t="shared" si="9"/>
        <v>20.399999999999999</v>
      </c>
      <c r="AB17" s="189">
        <f t="shared" si="10"/>
        <v>19.7</v>
      </c>
    </row>
    <row r="18" spans="2:28" x14ac:dyDescent="0.25">
      <c r="B18" s="179">
        <f t="shared" si="0"/>
        <v>44.300000000000004</v>
      </c>
      <c r="C18" s="179">
        <v>4.4300000000000003E-18</v>
      </c>
      <c r="D18" s="186">
        <f t="shared" si="1"/>
        <v>2.3335196195005945E-38</v>
      </c>
      <c r="E18" s="179">
        <f t="shared" si="2"/>
        <v>1.5275862068965517E-19</v>
      </c>
      <c r="M18" s="188">
        <v>3.41E-18</v>
      </c>
      <c r="N18" s="188">
        <v>4.64E-18</v>
      </c>
      <c r="O18" s="188">
        <v>1.44E-18</v>
      </c>
      <c r="P18" s="188">
        <v>2.1299999999999998E-18</v>
      </c>
      <c r="Q18" s="188">
        <v>7.3200000000000003E-19</v>
      </c>
      <c r="R18" s="188">
        <v>2.0800000000000001E-18</v>
      </c>
      <c r="S18" s="188">
        <v>2.1E-18</v>
      </c>
      <c r="V18" s="190">
        <f t="shared" si="4"/>
        <v>34.1</v>
      </c>
      <c r="W18" s="190">
        <f t="shared" si="5"/>
        <v>46.4</v>
      </c>
      <c r="X18" s="190">
        <f t="shared" si="6"/>
        <v>14.4</v>
      </c>
      <c r="Y18" s="190">
        <f t="shared" si="7"/>
        <v>21.299999999999997</v>
      </c>
      <c r="Z18" s="190">
        <f t="shared" si="8"/>
        <v>7.32</v>
      </c>
      <c r="AA18" s="190">
        <f t="shared" si="9"/>
        <v>20.8</v>
      </c>
      <c r="AB18" s="190">
        <f t="shared" si="10"/>
        <v>21</v>
      </c>
    </row>
    <row r="19" spans="2:28" x14ac:dyDescent="0.25">
      <c r="B19" s="179">
        <f t="shared" si="0"/>
        <v>46.9</v>
      </c>
      <c r="C19" s="179">
        <v>4.6899999999999997E-18</v>
      </c>
      <c r="D19" s="186">
        <f t="shared" si="1"/>
        <v>2.2888761706555667E-38</v>
      </c>
      <c r="E19" s="179">
        <f t="shared" si="2"/>
        <v>1.5129032258064515E-19</v>
      </c>
      <c r="M19" s="187">
        <v>5.7600000000000002E-18</v>
      </c>
      <c r="N19" s="187">
        <v>4.35E-18</v>
      </c>
      <c r="O19" s="187">
        <v>1.7800000000000002E-18</v>
      </c>
      <c r="P19" s="187">
        <v>2.54E-18</v>
      </c>
      <c r="Q19" s="187">
        <v>7.1599999999999998E-19</v>
      </c>
      <c r="R19" s="187">
        <v>1.34E-18</v>
      </c>
      <c r="S19" s="187">
        <v>2.18E-18</v>
      </c>
      <c r="V19" s="189">
        <f t="shared" si="4"/>
        <v>57.6</v>
      </c>
      <c r="W19" s="189">
        <f t="shared" si="5"/>
        <v>43.5</v>
      </c>
      <c r="X19" s="189">
        <f t="shared" si="6"/>
        <v>17.8</v>
      </c>
      <c r="Y19" s="189">
        <f t="shared" si="7"/>
        <v>25.4</v>
      </c>
      <c r="Z19" s="189">
        <f t="shared" si="8"/>
        <v>7.16</v>
      </c>
      <c r="AA19" s="189">
        <f t="shared" si="9"/>
        <v>13.4</v>
      </c>
      <c r="AB19" s="189">
        <f t="shared" si="10"/>
        <v>21.8</v>
      </c>
    </row>
    <row r="20" spans="2:28" x14ac:dyDescent="0.25">
      <c r="B20" s="179">
        <f t="shared" si="0"/>
        <v>46.4</v>
      </c>
      <c r="C20" s="179">
        <v>4.64E-18</v>
      </c>
      <c r="D20" s="186">
        <f t="shared" si="1"/>
        <v>2.2403329864724243E-38</v>
      </c>
      <c r="E20" s="179">
        <f t="shared" si="2"/>
        <v>1.496774193548387E-19</v>
      </c>
      <c r="M20" s="188">
        <v>4.4400000000000003E-18</v>
      </c>
      <c r="N20" s="188">
        <v>3.9799999999999996E-18</v>
      </c>
      <c r="O20" s="188">
        <v>1.7900000000000001E-18</v>
      </c>
      <c r="P20" s="188">
        <v>2.1199999999999999E-18</v>
      </c>
      <c r="Q20" s="188">
        <v>8.3399999999999995E-19</v>
      </c>
      <c r="R20" s="188">
        <v>1.9099999999999999E-18</v>
      </c>
      <c r="S20" s="188">
        <v>2.0000000000000001E-18</v>
      </c>
      <c r="V20" s="190">
        <f t="shared" si="4"/>
        <v>44.400000000000006</v>
      </c>
      <c r="W20" s="190">
        <f t="shared" si="5"/>
        <v>39.799999999999997</v>
      </c>
      <c r="X20" s="190">
        <f t="shared" si="6"/>
        <v>17.900000000000002</v>
      </c>
      <c r="Y20" s="190">
        <f t="shared" si="7"/>
        <v>21.2</v>
      </c>
      <c r="Z20" s="190">
        <f t="shared" si="8"/>
        <v>8.34</v>
      </c>
      <c r="AA20" s="190">
        <f t="shared" si="9"/>
        <v>19.099999999999998</v>
      </c>
      <c r="AB20" s="190">
        <f t="shared" si="10"/>
        <v>20</v>
      </c>
    </row>
    <row r="21" spans="2:28" x14ac:dyDescent="0.25">
      <c r="B21" s="179">
        <f t="shared" si="0"/>
        <v>43.5</v>
      </c>
      <c r="C21" s="179">
        <v>4.35E-18</v>
      </c>
      <c r="D21" s="186">
        <f t="shared" si="1"/>
        <v>2.2499999999999998E-38</v>
      </c>
      <c r="E21" s="179">
        <f t="shared" si="2"/>
        <v>1.5E-19</v>
      </c>
      <c r="M21" s="187">
        <v>4.8700000000000003E-18</v>
      </c>
      <c r="N21" s="187">
        <v>1.44E-18</v>
      </c>
      <c r="O21" s="187">
        <v>1.7E-18</v>
      </c>
      <c r="P21" s="187">
        <v>2.1E-18</v>
      </c>
      <c r="Q21" s="187">
        <v>9.1599999999999998E-19</v>
      </c>
      <c r="R21" s="187">
        <v>2.2599999999999999E-18</v>
      </c>
      <c r="S21" s="187">
        <v>2.02E-18</v>
      </c>
      <c r="V21" s="189">
        <f t="shared" si="4"/>
        <v>48.7</v>
      </c>
      <c r="W21" s="189">
        <f t="shared" si="5"/>
        <v>14.4</v>
      </c>
      <c r="X21" s="189">
        <f t="shared" si="6"/>
        <v>17</v>
      </c>
      <c r="Y21" s="189">
        <f t="shared" si="7"/>
        <v>21</v>
      </c>
      <c r="Z21" s="189">
        <f t="shared" si="8"/>
        <v>9.16</v>
      </c>
      <c r="AA21" s="189">
        <f t="shared" si="9"/>
        <v>22.599999999999998</v>
      </c>
      <c r="AB21" s="189">
        <f t="shared" si="10"/>
        <v>20.2</v>
      </c>
    </row>
    <row r="22" spans="2:28" x14ac:dyDescent="0.25">
      <c r="B22" s="179">
        <f t="shared" si="0"/>
        <v>39.799999999999997</v>
      </c>
      <c r="C22" s="179">
        <v>3.9799999999999996E-18</v>
      </c>
      <c r="D22" s="186">
        <f t="shared" si="1"/>
        <v>2.3432544378698222E-38</v>
      </c>
      <c r="E22" s="179">
        <f t="shared" si="2"/>
        <v>1.5307692307692307E-19</v>
      </c>
      <c r="M22" s="188">
        <v>1.05E-17</v>
      </c>
      <c r="N22" s="188">
        <v>1.3899999999999999E-18</v>
      </c>
      <c r="O22" s="188">
        <v>1.9099999999999999E-18</v>
      </c>
      <c r="P22" s="188">
        <v>2.03E-18</v>
      </c>
      <c r="Q22" s="188">
        <v>1.13E-18</v>
      </c>
      <c r="R22" s="188">
        <v>1.8000000000000001E-18</v>
      </c>
      <c r="S22" s="188">
        <v>2.4199999999999998E-18</v>
      </c>
      <c r="V22" s="190">
        <f t="shared" si="4"/>
        <v>105</v>
      </c>
      <c r="W22" s="190">
        <f t="shared" si="5"/>
        <v>13.899999999999999</v>
      </c>
      <c r="X22" s="190">
        <f t="shared" si="6"/>
        <v>19.099999999999998</v>
      </c>
      <c r="Y22" s="190">
        <f t="shared" si="7"/>
        <v>20.3</v>
      </c>
      <c r="Z22" s="190">
        <f t="shared" si="8"/>
        <v>11.299999999999999</v>
      </c>
      <c r="AA22" s="190">
        <f t="shared" si="9"/>
        <v>18</v>
      </c>
      <c r="AB22" s="190">
        <f t="shared" si="10"/>
        <v>24.2</v>
      </c>
    </row>
    <row r="23" spans="2:28" x14ac:dyDescent="0.25">
      <c r="B23" s="179">
        <f t="shared" si="0"/>
        <v>14.4</v>
      </c>
      <c r="C23" s="179">
        <v>1.44E-18</v>
      </c>
      <c r="D23" s="186">
        <f t="shared" si="1"/>
        <v>2.0736000000000003E-38</v>
      </c>
      <c r="E23" s="179">
        <f t="shared" si="2"/>
        <v>1.4400000000000001E-19</v>
      </c>
      <c r="F23" s="179">
        <v>187400000000</v>
      </c>
      <c r="G23" s="179">
        <v>15500000000</v>
      </c>
      <c r="H23" s="179">
        <f>1/G23^2</f>
        <v>4.1623309053069721E-21</v>
      </c>
      <c r="I23" s="179">
        <f>H23*F23</f>
        <v>7.8002081165452661E-10</v>
      </c>
      <c r="M23" s="187">
        <v>1.0600000000000001E-17</v>
      </c>
      <c r="N23" s="187">
        <v>1.49E-18</v>
      </c>
      <c r="O23" s="187">
        <v>1.5299999999999999E-18</v>
      </c>
      <c r="P23" s="187">
        <v>2.0800000000000001E-18</v>
      </c>
      <c r="Q23" s="187">
        <v>9.2599999999999993E-19</v>
      </c>
      <c r="R23" s="187">
        <v>1.9400000000000001E-18</v>
      </c>
      <c r="S23" s="187">
        <v>1.81E-18</v>
      </c>
      <c r="V23" s="189">
        <f t="shared" si="4"/>
        <v>106</v>
      </c>
      <c r="W23" s="189">
        <f t="shared" si="5"/>
        <v>14.9</v>
      </c>
      <c r="X23" s="189">
        <f t="shared" si="6"/>
        <v>15.299999999999999</v>
      </c>
      <c r="Y23" s="189">
        <f t="shared" si="7"/>
        <v>20.8</v>
      </c>
      <c r="Z23" s="189">
        <f t="shared" si="8"/>
        <v>9.26</v>
      </c>
      <c r="AA23" s="189">
        <f t="shared" si="9"/>
        <v>19.400000000000002</v>
      </c>
      <c r="AB23" s="189">
        <f t="shared" si="10"/>
        <v>18.100000000000001</v>
      </c>
    </row>
    <row r="24" spans="2:28" x14ac:dyDescent="0.25">
      <c r="B24" s="179">
        <f t="shared" si="0"/>
        <v>13.899999999999999</v>
      </c>
      <c r="C24" s="179">
        <v>1.3899999999999999E-18</v>
      </c>
      <c r="D24" s="186">
        <f t="shared" si="1"/>
        <v>2.3853086419753082E-38</v>
      </c>
      <c r="E24" s="179">
        <f t="shared" si="2"/>
        <v>1.5444444444444443E-19</v>
      </c>
      <c r="F24" s="179">
        <v>168400000000</v>
      </c>
      <c r="G24" s="179">
        <v>14700000000</v>
      </c>
      <c r="H24" s="179">
        <f>1/G24^2</f>
        <v>4.6277014207043365E-21</v>
      </c>
      <c r="I24" s="179">
        <f>H24*F24</f>
        <v>7.7930491924661029E-10</v>
      </c>
      <c r="M24" s="188">
        <v>8.6299999999999995E-18</v>
      </c>
      <c r="N24" s="188">
        <v>1.52E-18</v>
      </c>
      <c r="O24" s="188">
        <v>1.7900000000000001E-18</v>
      </c>
      <c r="P24" s="188">
        <v>1.55E-18</v>
      </c>
      <c r="Q24" s="188">
        <v>9.92E-19</v>
      </c>
      <c r="R24" s="188">
        <v>1.8600000000000001E-18</v>
      </c>
      <c r="S24" s="188">
        <v>1.9400000000000001E-18</v>
      </c>
      <c r="V24" s="190">
        <f t="shared" si="4"/>
        <v>86.3</v>
      </c>
      <c r="W24" s="190">
        <f t="shared" si="5"/>
        <v>15.2</v>
      </c>
      <c r="X24" s="190">
        <f t="shared" si="6"/>
        <v>17.900000000000002</v>
      </c>
      <c r="Y24" s="190">
        <f t="shared" si="7"/>
        <v>15.5</v>
      </c>
      <c r="Z24" s="190">
        <f t="shared" si="8"/>
        <v>9.92</v>
      </c>
      <c r="AA24" s="190">
        <f t="shared" si="9"/>
        <v>18.600000000000001</v>
      </c>
      <c r="AB24" s="190">
        <f t="shared" si="10"/>
        <v>19.400000000000002</v>
      </c>
    </row>
    <row r="25" spans="2:28" x14ac:dyDescent="0.25">
      <c r="B25" s="179">
        <f t="shared" si="0"/>
        <v>14.9</v>
      </c>
      <c r="C25" s="179">
        <v>1.49E-18</v>
      </c>
      <c r="D25" s="186">
        <f t="shared" si="1"/>
        <v>2.2200999999999996E-38</v>
      </c>
      <c r="E25" s="179">
        <f t="shared" si="2"/>
        <v>1.4899999999999999E-19</v>
      </c>
      <c r="H25" s="179">
        <f>H24+H23</f>
        <v>8.7900323260113086E-21</v>
      </c>
      <c r="I25" s="179">
        <f>I24+I23</f>
        <v>1.5593257309011368E-9</v>
      </c>
      <c r="M25" s="187">
        <v>1.4300000000000001E-18</v>
      </c>
      <c r="N25" s="187">
        <v>1.34E-18</v>
      </c>
      <c r="O25" s="187">
        <v>1.8199999999999999E-18</v>
      </c>
      <c r="P25" s="187">
        <v>2.2200000000000001E-18</v>
      </c>
      <c r="Q25" s="187">
        <v>1.89E-18</v>
      </c>
      <c r="R25" s="187">
        <v>1.7499999999999999E-18</v>
      </c>
      <c r="S25" s="187">
        <v>2.2300000000000001E-18</v>
      </c>
      <c r="V25" s="189">
        <f t="shared" si="4"/>
        <v>14.3</v>
      </c>
      <c r="W25" s="189">
        <f t="shared" si="5"/>
        <v>13.4</v>
      </c>
      <c r="X25" s="189">
        <f t="shared" si="6"/>
        <v>18.2</v>
      </c>
      <c r="Y25" s="189">
        <f t="shared" si="7"/>
        <v>22.200000000000003</v>
      </c>
      <c r="Z25" s="189">
        <f t="shared" si="8"/>
        <v>18.899999999999999</v>
      </c>
      <c r="AA25" s="189">
        <f t="shared" si="9"/>
        <v>17.5</v>
      </c>
      <c r="AB25" s="189">
        <f t="shared" si="10"/>
        <v>22.3</v>
      </c>
    </row>
    <row r="26" spans="2:28" x14ac:dyDescent="0.25">
      <c r="B26" s="179">
        <f t="shared" si="0"/>
        <v>15.2</v>
      </c>
      <c r="C26" s="179">
        <v>1.52E-18</v>
      </c>
      <c r="D26" s="186">
        <f t="shared" si="1"/>
        <v>2.3103999999999997E-38</v>
      </c>
      <c r="E26" s="179">
        <f t="shared" si="2"/>
        <v>1.5199999999999999E-19</v>
      </c>
      <c r="M26" s="188">
        <v>1.66E-18</v>
      </c>
      <c r="N26" s="188">
        <v>1.63E-18</v>
      </c>
      <c r="O26" s="188">
        <v>1.7900000000000001E-18</v>
      </c>
      <c r="P26" s="188">
        <v>2.1999999999999998E-18</v>
      </c>
      <c r="Q26" s="188">
        <v>2.2699999999999999E-18</v>
      </c>
      <c r="R26" s="188">
        <v>4.7199999999999997E-19</v>
      </c>
      <c r="S26" s="188">
        <v>1.9099999999999999E-18</v>
      </c>
      <c r="V26" s="190">
        <f t="shared" si="4"/>
        <v>16.600000000000001</v>
      </c>
      <c r="W26" s="190">
        <f t="shared" si="5"/>
        <v>16.3</v>
      </c>
      <c r="X26" s="190">
        <f t="shared" si="6"/>
        <v>17.900000000000002</v>
      </c>
      <c r="Y26" s="190">
        <f t="shared" si="7"/>
        <v>22</v>
      </c>
      <c r="Z26" s="190">
        <f t="shared" si="8"/>
        <v>22.7</v>
      </c>
      <c r="AA26" s="190">
        <f t="shared" si="9"/>
        <v>4.72</v>
      </c>
      <c r="AB26" s="190">
        <f t="shared" si="10"/>
        <v>19.099999999999998</v>
      </c>
    </row>
    <row r="27" spans="2:28" x14ac:dyDescent="0.25">
      <c r="B27" s="179">
        <f t="shared" si="0"/>
        <v>13.4</v>
      </c>
      <c r="C27" s="179">
        <v>1.34E-18</v>
      </c>
      <c r="D27" s="186">
        <f t="shared" si="1"/>
        <v>2.21679012345679E-38</v>
      </c>
      <c r="E27" s="179">
        <f t="shared" si="2"/>
        <v>1.4888888888888888E-19</v>
      </c>
      <c r="I27" s="179">
        <f>I25/H25</f>
        <v>177397041679.44952</v>
      </c>
      <c r="J27" s="179">
        <v>175880000000</v>
      </c>
      <c r="M27" s="187">
        <v>1.7699999999999998E-18</v>
      </c>
      <c r="N27" s="187">
        <v>1.67E-18</v>
      </c>
      <c r="O27" s="187">
        <v>1.5100000000000001E-18</v>
      </c>
      <c r="P27" s="187">
        <v>2.1899999999999999E-18</v>
      </c>
      <c r="Q27" s="187">
        <v>2.46E-18</v>
      </c>
      <c r="R27" s="187">
        <v>4.5799999999999999E-19</v>
      </c>
      <c r="S27" s="187">
        <v>1.0299999999999999E-18</v>
      </c>
      <c r="V27" s="189">
        <f t="shared" si="4"/>
        <v>17.7</v>
      </c>
      <c r="W27" s="189">
        <f t="shared" si="5"/>
        <v>16.7</v>
      </c>
      <c r="X27" s="189">
        <f t="shared" si="6"/>
        <v>15.100000000000001</v>
      </c>
      <c r="Y27" s="189">
        <f t="shared" si="7"/>
        <v>21.9</v>
      </c>
      <c r="Z27" s="189">
        <f t="shared" si="8"/>
        <v>24.6</v>
      </c>
      <c r="AA27" s="189">
        <f t="shared" si="9"/>
        <v>4.58</v>
      </c>
      <c r="AB27" s="189">
        <f t="shared" si="10"/>
        <v>10.299999999999999</v>
      </c>
    </row>
    <row r="28" spans="2:28" x14ac:dyDescent="0.25">
      <c r="B28" s="179">
        <f t="shared" si="0"/>
        <v>14.3</v>
      </c>
      <c r="C28" s="179">
        <v>1.4300000000000001E-18</v>
      </c>
      <c r="D28" s="186">
        <f t="shared" si="1"/>
        <v>2.5245679012345685E-38</v>
      </c>
      <c r="E28" s="179">
        <f t="shared" si="2"/>
        <v>1.588888888888889E-19</v>
      </c>
      <c r="I28" s="179">
        <f>SQRT(H25^-1)</f>
        <v>10666078210.574499</v>
      </c>
      <c r="M28" s="188">
        <v>1.5400000000000001E-18</v>
      </c>
      <c r="N28" s="188">
        <v>1.73E-18</v>
      </c>
      <c r="O28" s="188">
        <v>1.6900000000000001E-18</v>
      </c>
      <c r="P28" s="188">
        <v>2.3000000000000001E-18</v>
      </c>
      <c r="Q28" s="188">
        <v>2.1400000000000002E-18</v>
      </c>
      <c r="R28" s="188">
        <v>4.5999999999999996E-19</v>
      </c>
      <c r="S28" s="188">
        <v>1.0299999999999999E-18</v>
      </c>
      <c r="V28" s="190">
        <f t="shared" si="4"/>
        <v>15.4</v>
      </c>
      <c r="W28" s="190">
        <f t="shared" si="5"/>
        <v>17.3</v>
      </c>
      <c r="X28" s="190">
        <f t="shared" si="6"/>
        <v>16.900000000000002</v>
      </c>
      <c r="Y28" s="190">
        <f t="shared" si="7"/>
        <v>23</v>
      </c>
      <c r="Z28" s="190">
        <f t="shared" si="8"/>
        <v>21.400000000000002</v>
      </c>
      <c r="AA28" s="190">
        <f t="shared" si="9"/>
        <v>4.5999999999999996</v>
      </c>
      <c r="AB28" s="190">
        <f t="shared" si="10"/>
        <v>10.299999999999999</v>
      </c>
    </row>
    <row r="29" spans="2:28" x14ac:dyDescent="0.25">
      <c r="B29" s="179">
        <f t="shared" si="0"/>
        <v>14.6</v>
      </c>
      <c r="C29" s="179">
        <v>1.4599999999999999E-18</v>
      </c>
      <c r="D29" s="186">
        <f t="shared" si="1"/>
        <v>2.1315999999999995E-38</v>
      </c>
      <c r="E29" s="179">
        <f t="shared" si="2"/>
        <v>1.4599999999999998E-19</v>
      </c>
      <c r="M29" s="187">
        <v>1.63E-18</v>
      </c>
      <c r="N29" s="187">
        <v>2.03E-18</v>
      </c>
      <c r="O29" s="187">
        <v>1.73E-18</v>
      </c>
      <c r="P29" s="187">
        <v>2.2200000000000001E-18</v>
      </c>
      <c r="Q29" s="187">
        <v>2.2699999999999999E-18</v>
      </c>
      <c r="R29" s="187">
        <v>3.3599999999999998E-19</v>
      </c>
      <c r="S29" s="187">
        <v>1.0400000000000001E-18</v>
      </c>
      <c r="V29" s="189">
        <f t="shared" si="4"/>
        <v>16.3</v>
      </c>
      <c r="W29" s="189">
        <f t="shared" si="5"/>
        <v>20.3</v>
      </c>
      <c r="X29" s="189">
        <f t="shared" si="6"/>
        <v>17.3</v>
      </c>
      <c r="Y29" s="189">
        <f t="shared" si="7"/>
        <v>22.200000000000003</v>
      </c>
      <c r="Z29" s="189">
        <f t="shared" si="8"/>
        <v>22.7</v>
      </c>
      <c r="AA29" s="189">
        <f t="shared" si="9"/>
        <v>3.36</v>
      </c>
      <c r="AB29" s="189">
        <f t="shared" si="10"/>
        <v>10.4</v>
      </c>
    </row>
    <row r="30" spans="2:28" x14ac:dyDescent="0.25">
      <c r="B30" s="179">
        <f t="shared" si="0"/>
        <v>15.100000000000001</v>
      </c>
      <c r="C30" s="179">
        <v>1.5100000000000001E-18</v>
      </c>
      <c r="D30" s="186">
        <f t="shared" si="1"/>
        <v>2.2801000000000003E-38</v>
      </c>
      <c r="E30" s="179">
        <f t="shared" si="2"/>
        <v>1.5100000000000001E-19</v>
      </c>
      <c r="M30" s="188">
        <v>1.56E-18</v>
      </c>
      <c r="N30" s="188">
        <v>1.62E-18</v>
      </c>
      <c r="O30" s="188">
        <v>1.6099999999999999E-18</v>
      </c>
      <c r="P30" s="188">
        <v>2.4099999999999999E-18</v>
      </c>
      <c r="Q30" s="188">
        <v>4.6200000000000003E-19</v>
      </c>
      <c r="R30" s="188">
        <v>4.8399999999999999E-19</v>
      </c>
      <c r="S30" s="188">
        <v>1.05E-18</v>
      </c>
      <c r="V30" s="190">
        <f t="shared" si="4"/>
        <v>15.6</v>
      </c>
      <c r="W30" s="190">
        <f t="shared" si="5"/>
        <v>16.2</v>
      </c>
      <c r="X30" s="190">
        <f t="shared" si="6"/>
        <v>16.099999999999998</v>
      </c>
      <c r="Y30" s="190">
        <f t="shared" si="7"/>
        <v>24.099999999999998</v>
      </c>
      <c r="Z30" s="190">
        <f t="shared" si="8"/>
        <v>4.62</v>
      </c>
      <c r="AA30" s="190">
        <f t="shared" si="9"/>
        <v>4.84</v>
      </c>
      <c r="AB30" s="190">
        <f t="shared" si="10"/>
        <v>10.5</v>
      </c>
    </row>
    <row r="31" spans="2:28" x14ac:dyDescent="0.25">
      <c r="B31" s="179">
        <f t="shared" si="0"/>
        <v>13.600000000000001</v>
      </c>
      <c r="C31" s="179">
        <v>1.3600000000000001E-18</v>
      </c>
      <c r="D31" s="186">
        <f t="shared" si="1"/>
        <v>2.2834567901234567E-38</v>
      </c>
      <c r="E31" s="179">
        <f t="shared" si="2"/>
        <v>1.5111111111111111E-19</v>
      </c>
      <c r="M31" s="187">
        <v>1.89E-18</v>
      </c>
      <c r="N31" s="187">
        <v>1.66E-18</v>
      </c>
      <c r="O31" s="187">
        <v>1.73E-18</v>
      </c>
      <c r="P31" s="187">
        <v>1.6799999999999999E-18</v>
      </c>
      <c r="Q31" s="187">
        <v>4.6599999999999997E-19</v>
      </c>
      <c r="R31" s="187">
        <v>5.1199999999999995E-19</v>
      </c>
      <c r="S31" s="187">
        <v>9.7000000000000004E-19</v>
      </c>
      <c r="V31" s="189">
        <f t="shared" si="4"/>
        <v>18.899999999999999</v>
      </c>
      <c r="W31" s="189">
        <f t="shared" si="5"/>
        <v>16.600000000000001</v>
      </c>
      <c r="X31" s="189">
        <f t="shared" si="6"/>
        <v>17.3</v>
      </c>
      <c r="Y31" s="189">
        <f t="shared" si="7"/>
        <v>16.8</v>
      </c>
      <c r="Z31" s="189">
        <f t="shared" si="8"/>
        <v>4.6599999999999993</v>
      </c>
      <c r="AA31" s="189">
        <f t="shared" si="9"/>
        <v>5.1199999999999992</v>
      </c>
      <c r="AB31" s="189">
        <f t="shared" si="10"/>
        <v>9.7000000000000011</v>
      </c>
    </row>
    <row r="32" spans="2:28" x14ac:dyDescent="0.25">
      <c r="B32" s="179">
        <f t="shared" si="0"/>
        <v>14.4</v>
      </c>
      <c r="C32" s="179">
        <v>1.44E-18</v>
      </c>
      <c r="D32" s="186">
        <f t="shared" si="1"/>
        <v>2.0736000000000003E-38</v>
      </c>
      <c r="E32" s="179">
        <f t="shared" si="2"/>
        <v>1.4400000000000001E-19</v>
      </c>
      <c r="F32" s="191" t="s">
        <v>59</v>
      </c>
      <c r="G32" s="191" t="s">
        <v>60</v>
      </c>
      <c r="H32" s="191" t="s">
        <v>58</v>
      </c>
      <c r="I32" s="191" t="s">
        <v>66</v>
      </c>
      <c r="M32" s="188">
        <v>9.5599999999999996E-19</v>
      </c>
      <c r="N32" s="188">
        <v>1.0599999999999999E-18</v>
      </c>
      <c r="O32" s="188">
        <v>1.0599999999999999E-18</v>
      </c>
      <c r="P32" s="188">
        <v>9.34E-19</v>
      </c>
      <c r="Q32" s="188">
        <v>9.1100000000000001E-19</v>
      </c>
      <c r="R32" s="188"/>
      <c r="S32" s="188"/>
      <c r="V32" s="190">
        <f t="shared" si="4"/>
        <v>9.5599999999999987</v>
      </c>
      <c r="W32" s="190">
        <f t="shared" si="5"/>
        <v>10.6</v>
      </c>
      <c r="X32" s="190">
        <f t="shared" si="6"/>
        <v>10.6</v>
      </c>
      <c r="Y32" s="190">
        <f t="shared" si="7"/>
        <v>9.34</v>
      </c>
      <c r="Z32" s="190">
        <f t="shared" si="8"/>
        <v>9.11</v>
      </c>
      <c r="AA32" s="190"/>
      <c r="AB32" s="190"/>
    </row>
    <row r="33" spans="2:19" x14ac:dyDescent="0.25">
      <c r="B33" s="179">
        <f t="shared" si="0"/>
        <v>17.8</v>
      </c>
      <c r="C33" s="179">
        <v>1.7800000000000002E-18</v>
      </c>
      <c r="D33" s="186">
        <f t="shared" si="1"/>
        <v>2.2002777777777781E-38</v>
      </c>
      <c r="E33" s="179">
        <f t="shared" si="2"/>
        <v>1.4833333333333334E-19</v>
      </c>
      <c r="F33" s="192" t="str">
        <f>"\num{" &amp; TEXT(I27*0.00000000001,"0.00")&amp;"E11}"</f>
        <v>\num{1.77E11}</v>
      </c>
      <c r="G33" s="192" t="str">
        <f>"\num{"&amp;TEXT(I28*0.00000000001,"0.00")&amp;"E11}"</f>
        <v>\num{0.11E11}</v>
      </c>
      <c r="H33" s="196">
        <f>I28/I27</f>
        <v>6.0125457051576674E-2</v>
      </c>
      <c r="I33" s="196">
        <f>(I27-J27)/I28</f>
        <v>0.14223050398650813</v>
      </c>
    </row>
    <row r="34" spans="2:19" x14ac:dyDescent="0.25">
      <c r="B34" s="179">
        <f t="shared" si="0"/>
        <v>17.900000000000002</v>
      </c>
      <c r="C34" s="179">
        <v>1.7900000000000001E-18</v>
      </c>
      <c r="D34" s="186">
        <f t="shared" si="1"/>
        <v>2.2250694444444444E-38</v>
      </c>
      <c r="E34" s="179">
        <f t="shared" si="2"/>
        <v>1.4916666666666667E-19</v>
      </c>
    </row>
    <row r="35" spans="2:19" x14ac:dyDescent="0.25">
      <c r="B35" s="179">
        <f t="shared" si="0"/>
        <v>17</v>
      </c>
      <c r="C35" s="179">
        <v>1.7E-18</v>
      </c>
      <c r="D35" s="186">
        <f t="shared" si="1"/>
        <v>2.3884297520661154E-38</v>
      </c>
      <c r="E35" s="179">
        <f t="shared" si="2"/>
        <v>1.5454545454545454E-19</v>
      </c>
      <c r="L35" s="186" t="s">
        <v>48</v>
      </c>
      <c r="M35" s="186" t="s">
        <v>49</v>
      </c>
      <c r="N35" s="186" t="s">
        <v>50</v>
      </c>
      <c r="O35" s="186" t="s">
        <v>51</v>
      </c>
      <c r="P35" s="186" t="s">
        <v>52</v>
      </c>
      <c r="Q35" s="186" t="s">
        <v>53</v>
      </c>
      <c r="R35" s="186" t="s">
        <v>54</v>
      </c>
      <c r="S35" s="186" t="s">
        <v>55</v>
      </c>
    </row>
    <row r="36" spans="2:19" x14ac:dyDescent="0.25">
      <c r="B36" s="179">
        <f t="shared" si="0"/>
        <v>19.099999999999998</v>
      </c>
      <c r="C36" s="179">
        <v>1.9099999999999999E-18</v>
      </c>
      <c r="D36" s="186">
        <f t="shared" si="1"/>
        <v>2.1586390532544379E-38</v>
      </c>
      <c r="E36" s="179">
        <f t="shared" si="2"/>
        <v>1.4692307692307692E-19</v>
      </c>
    </row>
    <row r="37" spans="2:19" x14ac:dyDescent="0.25">
      <c r="B37" s="179">
        <f t="shared" si="0"/>
        <v>15.299999999999999</v>
      </c>
      <c r="C37" s="179">
        <v>1.5299999999999999E-18</v>
      </c>
      <c r="D37" s="186">
        <f t="shared" si="1"/>
        <v>2.3409E-38</v>
      </c>
      <c r="E37" s="179">
        <f t="shared" si="2"/>
        <v>1.53E-19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</row>
    <row r="38" spans="2:19" x14ac:dyDescent="0.25">
      <c r="B38" s="179">
        <f t="shared" si="0"/>
        <v>17.900000000000002</v>
      </c>
      <c r="C38" s="179">
        <v>1.7900000000000001E-18</v>
      </c>
      <c r="D38" s="186">
        <f t="shared" si="1"/>
        <v>2.2250694444444444E-38</v>
      </c>
      <c r="E38" s="179">
        <f t="shared" si="2"/>
        <v>1.4916666666666667E-19</v>
      </c>
      <c r="F38" s="179">
        <f>C5/I27</f>
        <v>8.5445381425184966E-31</v>
      </c>
      <c r="G38" s="179">
        <f>F10/I27</f>
        <v>7.7191012064503827E-32</v>
      </c>
      <c r="H38" s="179">
        <f>C5*I28/I27^2</f>
        <v>5.1374426111355465E-32</v>
      </c>
      <c r="I38">
        <f>SQRT(SUMSQ(G38:H38))</f>
        <v>9.2724236323700703E-32</v>
      </c>
      <c r="J38" s="179">
        <f>I38/F38</f>
        <v>0.10851872246001854</v>
      </c>
    </row>
    <row r="39" spans="2:19" x14ac:dyDescent="0.25">
      <c r="B39" s="179">
        <f t="shared" si="0"/>
        <v>18.2</v>
      </c>
      <c r="C39" s="179">
        <v>1.8199999999999999E-18</v>
      </c>
      <c r="D39" s="186">
        <f t="shared" si="1"/>
        <v>2.3002777777777775E-38</v>
      </c>
      <c r="E39" s="179">
        <f t="shared" si="2"/>
        <v>1.5166666666666665E-19</v>
      </c>
    </row>
    <row r="40" spans="2:19" x14ac:dyDescent="0.25">
      <c r="B40" s="179">
        <f t="shared" si="0"/>
        <v>17.099999999999998</v>
      </c>
      <c r="C40" s="179">
        <v>1.71E-18</v>
      </c>
      <c r="D40" s="186">
        <f t="shared" si="1"/>
        <v>2.4166115702479336E-38</v>
      </c>
      <c r="E40" s="179">
        <f t="shared" si="2"/>
        <v>1.5545454545454544E-19</v>
      </c>
    </row>
    <row r="41" spans="2:19" x14ac:dyDescent="0.25">
      <c r="B41" s="179">
        <f t="shared" si="0"/>
        <v>16.7</v>
      </c>
      <c r="C41" s="179">
        <v>1.67E-18</v>
      </c>
      <c r="D41" s="186">
        <f t="shared" si="1"/>
        <v>2.3048760330578512E-38</v>
      </c>
      <c r="E41" s="179">
        <f t="shared" si="2"/>
        <v>1.5181818181818182E-19</v>
      </c>
      <c r="F41" s="191" t="s">
        <v>69</v>
      </c>
      <c r="G41" s="191" t="s">
        <v>67</v>
      </c>
      <c r="H41" s="191" t="s">
        <v>58</v>
      </c>
      <c r="I41" s="191" t="s">
        <v>66</v>
      </c>
    </row>
    <row r="42" spans="2:19" x14ac:dyDescent="0.25">
      <c r="B42" s="179">
        <f t="shared" si="0"/>
        <v>17.599999999999998</v>
      </c>
      <c r="C42" s="179">
        <v>1.7599999999999999E-18</v>
      </c>
      <c r="D42" s="186">
        <f t="shared" si="1"/>
        <v>2.1511111111111107E-38</v>
      </c>
      <c r="E42" s="179">
        <f t="shared" si="2"/>
        <v>1.4666666666666666E-19</v>
      </c>
      <c r="F42" s="195">
        <f>F38</f>
        <v>8.5445381425184966E-31</v>
      </c>
      <c r="G42" s="195">
        <f>I38</f>
        <v>9.2724236323700703E-32</v>
      </c>
      <c r="H42" s="196">
        <f>J38</f>
        <v>0.10851872246001854</v>
      </c>
      <c r="I42" s="196">
        <f>(F42-9.11E-31)/I38</f>
        <v>-0.60983177635184183</v>
      </c>
    </row>
    <row r="43" spans="2:19" x14ac:dyDescent="0.25">
      <c r="B43" s="179">
        <f t="shared" si="0"/>
        <v>21.299999999999997</v>
      </c>
      <c r="C43" s="179">
        <v>2.1299999999999998E-18</v>
      </c>
      <c r="D43" s="186">
        <f t="shared" si="1"/>
        <v>2.3147448979591832E-38</v>
      </c>
      <c r="E43" s="179">
        <f t="shared" si="2"/>
        <v>1.5214285714285713E-19</v>
      </c>
    </row>
    <row r="44" spans="2:19" x14ac:dyDescent="0.25">
      <c r="B44" s="179">
        <f t="shared" si="0"/>
        <v>25.4</v>
      </c>
      <c r="C44" s="179">
        <v>2.54E-18</v>
      </c>
      <c r="D44" s="186">
        <f t="shared" si="1"/>
        <v>2.232387543252595E-38</v>
      </c>
      <c r="E44" s="179">
        <f t="shared" si="2"/>
        <v>1.4941176470588235E-19</v>
      </c>
    </row>
    <row r="45" spans="2:19" x14ac:dyDescent="0.25">
      <c r="B45" s="179">
        <f t="shared" si="0"/>
        <v>21.2</v>
      </c>
      <c r="C45" s="179">
        <v>2.1199999999999999E-18</v>
      </c>
      <c r="D45" s="186">
        <f t="shared" si="1"/>
        <v>2.2930612244897957E-38</v>
      </c>
      <c r="E45" s="179">
        <f t="shared" si="2"/>
        <v>1.5142857142857142E-19</v>
      </c>
    </row>
    <row r="46" spans="2:19" x14ac:dyDescent="0.25">
      <c r="B46" s="179">
        <f t="shared" si="0"/>
        <v>21</v>
      </c>
      <c r="C46" s="179">
        <v>2.1E-18</v>
      </c>
      <c r="D46" s="186">
        <f t="shared" si="1"/>
        <v>2.2499999999999998E-38</v>
      </c>
      <c r="E46" s="179">
        <f t="shared" si="2"/>
        <v>1.5E-19</v>
      </c>
    </row>
    <row r="47" spans="2:19" x14ac:dyDescent="0.25">
      <c r="B47" s="179">
        <f t="shared" si="0"/>
        <v>20.3</v>
      </c>
      <c r="C47" s="179">
        <v>2.03E-18</v>
      </c>
      <c r="D47" s="186">
        <f t="shared" si="1"/>
        <v>2.4384023668639052E-38</v>
      </c>
      <c r="E47" s="179">
        <f t="shared" si="2"/>
        <v>1.5615384615384615E-19</v>
      </c>
    </row>
    <row r="48" spans="2:19" x14ac:dyDescent="0.25">
      <c r="B48" s="179">
        <f t="shared" si="0"/>
        <v>20.8</v>
      </c>
      <c r="C48" s="179">
        <v>2.0800000000000001E-18</v>
      </c>
      <c r="D48" s="186">
        <f t="shared" si="1"/>
        <v>2.2073469387755102E-38</v>
      </c>
      <c r="E48" s="179">
        <f t="shared" si="2"/>
        <v>1.4857142857142858E-19</v>
      </c>
    </row>
    <row r="49" spans="2:5" x14ac:dyDescent="0.25">
      <c r="B49" s="179">
        <f t="shared" si="0"/>
        <v>15.5</v>
      </c>
      <c r="C49" s="179">
        <v>1.55E-18</v>
      </c>
      <c r="D49" s="186">
        <f t="shared" si="1"/>
        <v>2.4024999999999998E-38</v>
      </c>
      <c r="E49" s="179">
        <f t="shared" si="2"/>
        <v>1.5499999999999999E-19</v>
      </c>
    </row>
    <row r="50" spans="2:5" x14ac:dyDescent="0.25">
      <c r="B50" s="179">
        <f t="shared" si="0"/>
        <v>22.200000000000003</v>
      </c>
      <c r="C50" s="179">
        <v>2.2200000000000001E-18</v>
      </c>
      <c r="D50" s="186">
        <f t="shared" si="1"/>
        <v>2.1904000000000002E-38</v>
      </c>
      <c r="E50" s="179">
        <f t="shared" si="2"/>
        <v>1.48E-19</v>
      </c>
    </row>
    <row r="51" spans="2:5" x14ac:dyDescent="0.25">
      <c r="B51" s="179">
        <f t="shared" si="0"/>
        <v>7.49</v>
      </c>
      <c r="C51" s="179">
        <v>7.4900000000000002E-19</v>
      </c>
      <c r="D51" s="186">
        <f t="shared" si="1"/>
        <v>2.2440040000000005E-38</v>
      </c>
      <c r="E51" s="179">
        <f t="shared" si="2"/>
        <v>1.4980000000000001E-19</v>
      </c>
    </row>
    <row r="52" spans="2:5" x14ac:dyDescent="0.25">
      <c r="B52" s="179">
        <f t="shared" si="0"/>
        <v>7.57</v>
      </c>
      <c r="C52" s="179">
        <v>7.57E-19</v>
      </c>
      <c r="D52" s="186">
        <f t="shared" si="1"/>
        <v>2.2921959999999999E-38</v>
      </c>
      <c r="E52" s="179">
        <f t="shared" si="2"/>
        <v>1.5139999999999999E-19</v>
      </c>
    </row>
    <row r="53" spans="2:5" x14ac:dyDescent="0.25">
      <c r="B53" s="179">
        <f t="shared" si="0"/>
        <v>6.8999999999999995</v>
      </c>
      <c r="C53" s="179">
        <v>6.8999999999999999E-19</v>
      </c>
      <c r="D53" s="186">
        <f t="shared" si="1"/>
        <v>1.9044000000000003E-38</v>
      </c>
      <c r="E53" s="179">
        <f t="shared" si="2"/>
        <v>1.3800000000000001E-19</v>
      </c>
    </row>
    <row r="54" spans="2:5" x14ac:dyDescent="0.25">
      <c r="B54" s="179">
        <f t="shared" si="0"/>
        <v>7.32</v>
      </c>
      <c r="C54" s="179">
        <v>7.3200000000000003E-19</v>
      </c>
      <c r="D54" s="186">
        <f t="shared" si="1"/>
        <v>2.1432959999999999E-38</v>
      </c>
      <c r="E54" s="179">
        <f t="shared" si="2"/>
        <v>1.464E-19</v>
      </c>
    </row>
    <row r="55" spans="2:5" x14ac:dyDescent="0.25">
      <c r="B55" s="179">
        <f t="shared" si="0"/>
        <v>7.16</v>
      </c>
      <c r="C55" s="179">
        <v>7.1599999999999998E-19</v>
      </c>
      <c r="D55" s="186">
        <f t="shared" si="1"/>
        <v>2.0506239999999997E-38</v>
      </c>
      <c r="E55" s="179">
        <f t="shared" si="2"/>
        <v>1.4319999999999999E-19</v>
      </c>
    </row>
    <row r="56" spans="2:5" x14ac:dyDescent="0.25">
      <c r="B56" s="179">
        <f t="shared" si="0"/>
        <v>8.34</v>
      </c>
      <c r="C56" s="179">
        <v>8.3399999999999995E-19</v>
      </c>
      <c r="D56" s="186">
        <f t="shared" si="1"/>
        <v>1.9320999999999998E-38</v>
      </c>
      <c r="E56" s="179">
        <f t="shared" si="2"/>
        <v>1.3899999999999999E-19</v>
      </c>
    </row>
    <row r="57" spans="2:5" x14ac:dyDescent="0.25">
      <c r="B57" s="179">
        <f t="shared" si="0"/>
        <v>9.16</v>
      </c>
      <c r="C57" s="179">
        <v>9.1599999999999998E-19</v>
      </c>
      <c r="D57" s="186">
        <f t="shared" si="1"/>
        <v>2.330711111111111E-38</v>
      </c>
      <c r="E57" s="179">
        <f t="shared" si="2"/>
        <v>1.5266666666666666E-19</v>
      </c>
    </row>
    <row r="58" spans="2:5" x14ac:dyDescent="0.25">
      <c r="B58" s="179">
        <f t="shared" si="0"/>
        <v>11.299999999999999</v>
      </c>
      <c r="C58" s="179">
        <v>1.13E-18</v>
      </c>
      <c r="D58" s="186">
        <f t="shared" si="1"/>
        <v>2.6059183673469381E-38</v>
      </c>
      <c r="E58" s="179">
        <f t="shared" si="2"/>
        <v>1.6142857142857141E-19</v>
      </c>
    </row>
    <row r="59" spans="2:5" x14ac:dyDescent="0.25">
      <c r="B59" s="179">
        <f t="shared" si="0"/>
        <v>9.26</v>
      </c>
      <c r="C59" s="179">
        <v>9.2599999999999993E-19</v>
      </c>
      <c r="D59" s="186">
        <f t="shared" si="1"/>
        <v>2.3818777777777777E-38</v>
      </c>
      <c r="E59" s="179">
        <f t="shared" si="2"/>
        <v>1.5433333333333332E-19</v>
      </c>
    </row>
    <row r="60" spans="2:5" x14ac:dyDescent="0.25">
      <c r="B60" s="179">
        <f t="shared" si="0"/>
        <v>9.92</v>
      </c>
      <c r="C60" s="179">
        <v>9.92E-19</v>
      </c>
      <c r="D60" s="186">
        <f t="shared" si="1"/>
        <v>2.0082938775510205E-38</v>
      </c>
      <c r="E60" s="179">
        <f t="shared" si="2"/>
        <v>1.4171428571428572E-19</v>
      </c>
    </row>
    <row r="61" spans="2:5" x14ac:dyDescent="0.25">
      <c r="B61" s="179">
        <f t="shared" si="0"/>
        <v>18.899999999999999</v>
      </c>
      <c r="C61" s="179">
        <v>1.89E-18</v>
      </c>
      <c r="D61" s="186">
        <f t="shared" si="1"/>
        <v>2.480625E-38</v>
      </c>
      <c r="E61" s="179">
        <f t="shared" si="2"/>
        <v>1.575E-19</v>
      </c>
    </row>
    <row r="62" spans="2:5" x14ac:dyDescent="0.25">
      <c r="B62" s="179">
        <f t="shared" si="0"/>
        <v>24.3</v>
      </c>
      <c r="C62" s="179">
        <v>2.4300000000000002E-18</v>
      </c>
      <c r="D62" s="186">
        <f t="shared" si="1"/>
        <v>2.3066015625000004E-38</v>
      </c>
      <c r="E62" s="179">
        <f t="shared" si="2"/>
        <v>1.5187500000000001E-19</v>
      </c>
    </row>
    <row r="63" spans="2:5" x14ac:dyDescent="0.25">
      <c r="B63" s="179">
        <f t="shared" si="0"/>
        <v>21.400000000000002</v>
      </c>
      <c r="C63" s="179">
        <v>2.1400000000000002E-18</v>
      </c>
      <c r="D63" s="186">
        <f t="shared" si="1"/>
        <v>2.3365306122448981E-38</v>
      </c>
      <c r="E63" s="179">
        <f t="shared" si="2"/>
        <v>1.5285714285714286E-19</v>
      </c>
    </row>
    <row r="64" spans="2:5" x14ac:dyDescent="0.25">
      <c r="B64" s="179">
        <f t="shared" si="0"/>
        <v>20.399999999999999</v>
      </c>
      <c r="C64" s="179">
        <v>2.0399999999999999E-18</v>
      </c>
      <c r="D64" s="186">
        <f t="shared" si="1"/>
        <v>2.4624852071005914E-38</v>
      </c>
      <c r="E64" s="179">
        <f t="shared" si="2"/>
        <v>1.5692307692307692E-19</v>
      </c>
    </row>
    <row r="65" spans="2:5" x14ac:dyDescent="0.25">
      <c r="B65" s="179">
        <f t="shared" si="0"/>
        <v>20.8</v>
      </c>
      <c r="C65" s="179">
        <v>2.0800000000000001E-18</v>
      </c>
      <c r="D65" s="186">
        <f t="shared" si="1"/>
        <v>2.2073469387755102E-38</v>
      </c>
      <c r="E65" s="179">
        <f t="shared" si="2"/>
        <v>1.4857142857142858E-19</v>
      </c>
    </row>
    <row r="66" spans="2:5" x14ac:dyDescent="0.25">
      <c r="B66" s="179">
        <f t="shared" si="0"/>
        <v>13.4</v>
      </c>
      <c r="C66" s="179">
        <v>1.34E-18</v>
      </c>
      <c r="D66" s="186">
        <f t="shared" si="1"/>
        <v>2.21679012345679E-38</v>
      </c>
      <c r="E66" s="179">
        <f t="shared" si="2"/>
        <v>1.4888888888888888E-19</v>
      </c>
    </row>
    <row r="67" spans="2:5" x14ac:dyDescent="0.25">
      <c r="B67" s="179">
        <f t="shared" si="0"/>
        <v>19.099999999999998</v>
      </c>
      <c r="C67" s="179">
        <v>1.9099999999999999E-18</v>
      </c>
      <c r="D67" s="186">
        <f t="shared" si="1"/>
        <v>2.1586390532544379E-38</v>
      </c>
      <c r="E67" s="179">
        <f t="shared" si="2"/>
        <v>1.4692307692307692E-19</v>
      </c>
    </row>
    <row r="68" spans="2:5" x14ac:dyDescent="0.25">
      <c r="B68" s="179">
        <f t="shared" si="0"/>
        <v>22.599999999999998</v>
      </c>
      <c r="C68" s="179">
        <v>2.2599999999999999E-18</v>
      </c>
      <c r="D68" s="186">
        <f t="shared" si="1"/>
        <v>2.2700444444444445E-38</v>
      </c>
      <c r="E68" s="179">
        <f t="shared" si="2"/>
        <v>1.5066666666666667E-19</v>
      </c>
    </row>
    <row r="69" spans="2:5" x14ac:dyDescent="0.25">
      <c r="B69" s="179">
        <f t="shared" si="0"/>
        <v>18</v>
      </c>
      <c r="C69" s="179">
        <v>1.8000000000000001E-18</v>
      </c>
      <c r="D69" s="186">
        <f t="shared" si="1"/>
        <v>2.2499999999999998E-38</v>
      </c>
      <c r="E69" s="179">
        <f t="shared" si="2"/>
        <v>1.5E-19</v>
      </c>
    </row>
    <row r="70" spans="2:5" x14ac:dyDescent="0.25">
      <c r="B70" s="179">
        <f t="shared" si="0"/>
        <v>19.400000000000002</v>
      </c>
      <c r="C70" s="179">
        <v>1.9400000000000001E-18</v>
      </c>
      <c r="D70" s="186">
        <f t="shared" si="1"/>
        <v>2.22698224852071E-38</v>
      </c>
      <c r="E70" s="179">
        <f t="shared" si="2"/>
        <v>1.4923076923076923E-19</v>
      </c>
    </row>
    <row r="71" spans="2:5" x14ac:dyDescent="0.25">
      <c r="B71" s="179">
        <f t="shared" si="0"/>
        <v>18.600000000000001</v>
      </c>
      <c r="C71" s="179">
        <v>1.8600000000000001E-18</v>
      </c>
      <c r="D71" s="186">
        <f t="shared" si="1"/>
        <v>2.4025000000000008E-38</v>
      </c>
      <c r="E71" s="179">
        <f t="shared" si="2"/>
        <v>1.5500000000000002E-19</v>
      </c>
    </row>
    <row r="72" spans="2:5" x14ac:dyDescent="0.25">
      <c r="B72" s="179">
        <f t="shared" ref="B72:B130" si="11">C72*10000000000000000000</f>
        <v>17.5</v>
      </c>
      <c r="C72" s="179">
        <v>1.7499999999999999E-18</v>
      </c>
      <c r="D72" s="186">
        <f t="shared" ref="D72:D130" si="12">(C72/INT(C72/$C$5+0.5))^2</f>
        <v>2.126736111111111E-38</v>
      </c>
      <c r="E72" s="179">
        <f t="shared" ref="E72:E130" si="13">C72/INT(C72/$C$5+0.5)</f>
        <v>1.4583333333333333E-19</v>
      </c>
    </row>
    <row r="73" spans="2:5" x14ac:dyDescent="0.25">
      <c r="B73" s="179">
        <f t="shared" si="11"/>
        <v>16.600000000000001</v>
      </c>
      <c r="C73" s="179">
        <v>1.66E-18</v>
      </c>
      <c r="D73" s="186">
        <f t="shared" si="12"/>
        <v>2.2773553719008269E-38</v>
      </c>
      <c r="E73" s="179">
        <f t="shared" si="13"/>
        <v>1.5090909090909092E-19</v>
      </c>
    </row>
    <row r="74" spans="2:5" x14ac:dyDescent="0.25">
      <c r="B74" s="179">
        <f t="shared" si="11"/>
        <v>17.7</v>
      </c>
      <c r="C74" s="179">
        <v>1.7699999999999998E-18</v>
      </c>
      <c r="D74" s="186">
        <f t="shared" si="12"/>
        <v>2.1756249999999996E-38</v>
      </c>
      <c r="E74" s="179">
        <f t="shared" si="13"/>
        <v>1.4749999999999999E-19</v>
      </c>
    </row>
    <row r="75" spans="2:5" x14ac:dyDescent="0.25">
      <c r="B75" s="179">
        <f t="shared" si="11"/>
        <v>15.4</v>
      </c>
      <c r="C75" s="179">
        <v>1.5400000000000001E-18</v>
      </c>
      <c r="D75" s="186">
        <f t="shared" si="12"/>
        <v>2.3716000000000003E-38</v>
      </c>
      <c r="E75" s="179">
        <f t="shared" si="13"/>
        <v>1.5400000000000001E-19</v>
      </c>
    </row>
    <row r="76" spans="2:5" x14ac:dyDescent="0.25">
      <c r="B76" s="179">
        <f t="shared" si="11"/>
        <v>16.3</v>
      </c>
      <c r="C76" s="179">
        <v>1.63E-18</v>
      </c>
      <c r="D76" s="186">
        <f t="shared" si="12"/>
        <v>2.1957851239669417E-38</v>
      </c>
      <c r="E76" s="179">
        <f t="shared" si="13"/>
        <v>1.4818181818181817E-19</v>
      </c>
    </row>
    <row r="77" spans="2:5" x14ac:dyDescent="0.25">
      <c r="B77" s="179">
        <f t="shared" si="11"/>
        <v>15.6</v>
      </c>
      <c r="C77" s="179">
        <v>1.56E-18</v>
      </c>
      <c r="D77" s="186">
        <f t="shared" si="12"/>
        <v>2.4336E-38</v>
      </c>
      <c r="E77" s="179">
        <f t="shared" si="13"/>
        <v>1.56E-19</v>
      </c>
    </row>
    <row r="78" spans="2:5" x14ac:dyDescent="0.25">
      <c r="B78" s="179">
        <f t="shared" si="11"/>
        <v>18.899999999999999</v>
      </c>
      <c r="C78" s="179">
        <v>1.89E-18</v>
      </c>
      <c r="D78" s="186">
        <f t="shared" si="12"/>
        <v>2.480625E-38</v>
      </c>
      <c r="E78" s="179">
        <f t="shared" si="13"/>
        <v>1.575E-19</v>
      </c>
    </row>
    <row r="79" spans="2:5" x14ac:dyDescent="0.25">
      <c r="B79" s="179">
        <f t="shared" si="11"/>
        <v>16.3</v>
      </c>
      <c r="C79" s="179">
        <v>1.63E-18</v>
      </c>
      <c r="D79" s="186">
        <f t="shared" si="12"/>
        <v>2.1957851239669417E-38</v>
      </c>
      <c r="E79" s="179">
        <f t="shared" si="13"/>
        <v>1.4818181818181817E-19</v>
      </c>
    </row>
    <row r="80" spans="2:5" x14ac:dyDescent="0.25">
      <c r="B80" s="179">
        <f t="shared" si="11"/>
        <v>16.7</v>
      </c>
      <c r="C80" s="179">
        <v>1.67E-18</v>
      </c>
      <c r="D80" s="186">
        <f t="shared" si="12"/>
        <v>2.3048760330578512E-38</v>
      </c>
      <c r="E80" s="179">
        <f t="shared" si="13"/>
        <v>1.5181818181818182E-19</v>
      </c>
    </row>
    <row r="81" spans="2:5" x14ac:dyDescent="0.25">
      <c r="B81" s="179">
        <f t="shared" si="11"/>
        <v>17.3</v>
      </c>
      <c r="C81" s="179">
        <v>1.73E-18</v>
      </c>
      <c r="D81" s="186">
        <f t="shared" si="12"/>
        <v>2.4734710743801651E-38</v>
      </c>
      <c r="E81" s="179">
        <f t="shared" si="13"/>
        <v>1.5727272727272727E-19</v>
      </c>
    </row>
    <row r="82" spans="2:5" x14ac:dyDescent="0.25">
      <c r="B82" s="179">
        <f t="shared" si="11"/>
        <v>20.3</v>
      </c>
      <c r="C82" s="179">
        <v>2.03E-18</v>
      </c>
      <c r="D82" s="186">
        <f t="shared" si="12"/>
        <v>2.4384023668639052E-38</v>
      </c>
      <c r="E82" s="179">
        <f t="shared" si="13"/>
        <v>1.5615384615384615E-19</v>
      </c>
    </row>
    <row r="83" spans="2:5" x14ac:dyDescent="0.25">
      <c r="B83" s="179">
        <f t="shared" si="11"/>
        <v>16.2</v>
      </c>
      <c r="C83" s="179">
        <v>1.62E-18</v>
      </c>
      <c r="D83" s="186">
        <f t="shared" si="12"/>
        <v>2.1689256198347108E-38</v>
      </c>
      <c r="E83" s="179">
        <f t="shared" si="13"/>
        <v>1.4727272727272727E-19</v>
      </c>
    </row>
    <row r="84" spans="2:5" x14ac:dyDescent="0.25">
      <c r="B84" s="179">
        <f t="shared" si="11"/>
        <v>16.600000000000001</v>
      </c>
      <c r="C84" s="179">
        <v>1.66E-18</v>
      </c>
      <c r="D84" s="186">
        <f t="shared" si="12"/>
        <v>2.2773553719008269E-38</v>
      </c>
      <c r="E84" s="179">
        <f t="shared" si="13"/>
        <v>1.5090909090909092E-19</v>
      </c>
    </row>
    <row r="85" spans="2:5" x14ac:dyDescent="0.25">
      <c r="B85" s="179">
        <f t="shared" si="11"/>
        <v>17.900000000000002</v>
      </c>
      <c r="C85" s="179">
        <v>1.7900000000000001E-18</v>
      </c>
      <c r="D85" s="186">
        <f t="shared" si="12"/>
        <v>2.2250694444444444E-38</v>
      </c>
      <c r="E85" s="179">
        <f t="shared" si="13"/>
        <v>1.4916666666666667E-19</v>
      </c>
    </row>
    <row r="86" spans="2:5" x14ac:dyDescent="0.25">
      <c r="B86" s="179">
        <f t="shared" si="11"/>
        <v>15.100000000000001</v>
      </c>
      <c r="C86" s="179">
        <v>1.5100000000000001E-18</v>
      </c>
      <c r="D86" s="186">
        <f t="shared" si="12"/>
        <v>2.2801000000000003E-38</v>
      </c>
      <c r="E86" s="179">
        <f t="shared" si="13"/>
        <v>1.5100000000000001E-19</v>
      </c>
    </row>
    <row r="87" spans="2:5" x14ac:dyDescent="0.25">
      <c r="B87" s="179">
        <f t="shared" si="11"/>
        <v>16.900000000000002</v>
      </c>
      <c r="C87" s="179">
        <v>1.6900000000000001E-18</v>
      </c>
      <c r="D87" s="186">
        <f t="shared" si="12"/>
        <v>2.360413223140496E-38</v>
      </c>
      <c r="E87" s="179">
        <f t="shared" si="13"/>
        <v>1.5363636363636364E-19</v>
      </c>
    </row>
    <row r="88" spans="2:5" x14ac:dyDescent="0.25">
      <c r="B88" s="179">
        <f t="shared" si="11"/>
        <v>17.3</v>
      </c>
      <c r="C88" s="179">
        <v>1.73E-18</v>
      </c>
      <c r="D88" s="186">
        <f t="shared" si="12"/>
        <v>2.4734710743801651E-38</v>
      </c>
      <c r="E88" s="179">
        <f t="shared" si="13"/>
        <v>1.5727272727272727E-19</v>
      </c>
    </row>
    <row r="89" spans="2:5" x14ac:dyDescent="0.25">
      <c r="B89" s="179">
        <f t="shared" si="11"/>
        <v>16.099999999999998</v>
      </c>
      <c r="C89" s="179">
        <v>1.6099999999999999E-18</v>
      </c>
      <c r="D89" s="186">
        <f t="shared" si="12"/>
        <v>2.1422314049586773E-38</v>
      </c>
      <c r="E89" s="179">
        <f t="shared" si="13"/>
        <v>1.4636363636363635E-19</v>
      </c>
    </row>
    <row r="90" spans="2:5" x14ac:dyDescent="0.25">
      <c r="B90" s="179">
        <f t="shared" si="11"/>
        <v>17.3</v>
      </c>
      <c r="C90" s="179">
        <v>1.73E-18</v>
      </c>
      <c r="D90" s="186">
        <f t="shared" si="12"/>
        <v>2.4734710743801651E-38</v>
      </c>
      <c r="E90" s="179">
        <f t="shared" si="13"/>
        <v>1.5727272727272727E-19</v>
      </c>
    </row>
    <row r="91" spans="2:5" x14ac:dyDescent="0.25">
      <c r="B91" s="179">
        <f t="shared" si="11"/>
        <v>22</v>
      </c>
      <c r="C91" s="179">
        <v>2.1999999999999998E-18</v>
      </c>
      <c r="D91" s="186">
        <f t="shared" si="12"/>
        <v>2.1511111111111107E-38</v>
      </c>
      <c r="E91" s="179">
        <f t="shared" si="13"/>
        <v>1.4666666666666666E-19</v>
      </c>
    </row>
    <row r="92" spans="2:5" x14ac:dyDescent="0.25">
      <c r="B92" s="179">
        <f t="shared" si="11"/>
        <v>21.9</v>
      </c>
      <c r="C92" s="179">
        <v>2.1899999999999999E-18</v>
      </c>
      <c r="D92" s="186">
        <f t="shared" si="12"/>
        <v>2.446989795918367E-38</v>
      </c>
      <c r="E92" s="179">
        <f t="shared" si="13"/>
        <v>1.5642857142857141E-19</v>
      </c>
    </row>
    <row r="93" spans="2:5" x14ac:dyDescent="0.25">
      <c r="B93" s="179">
        <f t="shared" si="11"/>
        <v>23</v>
      </c>
      <c r="C93" s="179">
        <v>2.3000000000000001E-18</v>
      </c>
      <c r="D93" s="186">
        <f t="shared" si="12"/>
        <v>2.3511111111111112E-38</v>
      </c>
      <c r="E93" s="179">
        <f t="shared" si="13"/>
        <v>1.5333333333333334E-19</v>
      </c>
    </row>
    <row r="94" spans="2:5" x14ac:dyDescent="0.25">
      <c r="B94" s="179">
        <f t="shared" si="11"/>
        <v>22.200000000000003</v>
      </c>
      <c r="C94" s="179">
        <v>2.2200000000000001E-18</v>
      </c>
      <c r="D94" s="186">
        <f t="shared" si="12"/>
        <v>2.1904000000000002E-38</v>
      </c>
      <c r="E94" s="179">
        <f t="shared" si="13"/>
        <v>1.48E-19</v>
      </c>
    </row>
    <row r="95" spans="2:5" x14ac:dyDescent="0.25">
      <c r="B95" s="179">
        <f t="shared" si="11"/>
        <v>24.099999999999998</v>
      </c>
      <c r="C95" s="179">
        <v>2.4099999999999999E-18</v>
      </c>
      <c r="D95" s="186">
        <f t="shared" si="12"/>
        <v>2.2687890624999997E-38</v>
      </c>
      <c r="E95" s="179">
        <f t="shared" si="13"/>
        <v>1.5062499999999999E-19</v>
      </c>
    </row>
    <row r="96" spans="2:5" x14ac:dyDescent="0.25">
      <c r="B96" s="179">
        <f t="shared" si="11"/>
        <v>16.8</v>
      </c>
      <c r="C96" s="179">
        <v>1.6799999999999999E-18</v>
      </c>
      <c r="D96" s="186">
        <f t="shared" si="12"/>
        <v>2.3325619834710742E-38</v>
      </c>
      <c r="E96" s="179">
        <f t="shared" si="13"/>
        <v>1.5272727272727272E-19</v>
      </c>
    </row>
    <row r="97" spans="2:5" x14ac:dyDescent="0.25">
      <c r="B97" s="179">
        <f t="shared" si="11"/>
        <v>22.7</v>
      </c>
      <c r="C97" s="179">
        <v>2.2699999999999999E-18</v>
      </c>
      <c r="D97" s="186">
        <f t="shared" si="12"/>
        <v>2.2901777777777774E-38</v>
      </c>
      <c r="E97" s="179">
        <f t="shared" si="13"/>
        <v>1.5133333333333332E-19</v>
      </c>
    </row>
    <row r="98" spans="2:5" x14ac:dyDescent="0.25">
      <c r="B98" s="179">
        <f t="shared" si="11"/>
        <v>24.6</v>
      </c>
      <c r="C98" s="179">
        <v>2.46E-18</v>
      </c>
      <c r="D98" s="186">
        <f t="shared" si="12"/>
        <v>2.3639062499999998E-38</v>
      </c>
      <c r="E98" s="179">
        <f t="shared" si="13"/>
        <v>1.5375E-19</v>
      </c>
    </row>
    <row r="99" spans="2:5" x14ac:dyDescent="0.25">
      <c r="B99" s="179">
        <f t="shared" si="11"/>
        <v>21.400000000000002</v>
      </c>
      <c r="C99" s="179">
        <v>2.1400000000000002E-18</v>
      </c>
      <c r="D99" s="186">
        <f t="shared" si="12"/>
        <v>2.3365306122448981E-38</v>
      </c>
      <c r="E99" s="179">
        <f t="shared" si="13"/>
        <v>1.5285714285714286E-19</v>
      </c>
    </row>
    <row r="100" spans="2:5" x14ac:dyDescent="0.25">
      <c r="B100" s="179">
        <f t="shared" si="11"/>
        <v>22.7</v>
      </c>
      <c r="C100" s="179">
        <v>2.2699999999999999E-18</v>
      </c>
      <c r="D100" s="186">
        <f t="shared" si="12"/>
        <v>2.2901777777777774E-38</v>
      </c>
      <c r="E100" s="179">
        <f t="shared" si="13"/>
        <v>1.5133333333333332E-19</v>
      </c>
    </row>
    <row r="101" spans="2:5" x14ac:dyDescent="0.25">
      <c r="B101" s="179">
        <f t="shared" si="11"/>
        <v>4.62</v>
      </c>
      <c r="C101" s="179">
        <v>4.6200000000000003E-19</v>
      </c>
      <c r="D101" s="186">
        <f t="shared" si="12"/>
        <v>2.3716000000000003E-38</v>
      </c>
      <c r="E101" s="179">
        <f t="shared" si="13"/>
        <v>1.5400000000000001E-19</v>
      </c>
    </row>
    <row r="102" spans="2:5" x14ac:dyDescent="0.25">
      <c r="B102" s="179">
        <f t="shared" si="11"/>
        <v>4.6599999999999993</v>
      </c>
      <c r="C102" s="179">
        <v>4.6599999999999997E-19</v>
      </c>
      <c r="D102" s="186">
        <f t="shared" si="12"/>
        <v>2.4128444444444444E-38</v>
      </c>
      <c r="E102" s="179">
        <f t="shared" si="13"/>
        <v>1.5533333333333333E-19</v>
      </c>
    </row>
    <row r="103" spans="2:5" x14ac:dyDescent="0.25">
      <c r="B103" s="179">
        <f t="shared" si="11"/>
        <v>4.72</v>
      </c>
      <c r="C103" s="179">
        <v>4.7199999999999997E-19</v>
      </c>
      <c r="D103" s="186">
        <f t="shared" si="12"/>
        <v>2.4753777777777773E-38</v>
      </c>
      <c r="E103" s="179">
        <f t="shared" si="13"/>
        <v>1.5733333333333332E-19</v>
      </c>
    </row>
    <row r="104" spans="2:5" x14ac:dyDescent="0.25">
      <c r="B104" s="179">
        <f t="shared" si="11"/>
        <v>4.58</v>
      </c>
      <c r="C104" s="179">
        <v>4.5799999999999999E-19</v>
      </c>
      <c r="D104" s="186">
        <f t="shared" si="12"/>
        <v>2.330711111111111E-38</v>
      </c>
      <c r="E104" s="179">
        <f t="shared" si="13"/>
        <v>1.5266666666666666E-19</v>
      </c>
    </row>
    <row r="105" spans="2:5" x14ac:dyDescent="0.25">
      <c r="B105" s="179">
        <f t="shared" si="11"/>
        <v>4.5999999999999996</v>
      </c>
      <c r="C105" s="179">
        <v>4.5999999999999996E-19</v>
      </c>
      <c r="D105" s="186">
        <f t="shared" si="12"/>
        <v>2.3511111111111106E-38</v>
      </c>
      <c r="E105" s="179">
        <f t="shared" si="13"/>
        <v>1.5333333333333331E-19</v>
      </c>
    </row>
    <row r="106" spans="2:5" x14ac:dyDescent="0.25">
      <c r="B106" s="179">
        <f t="shared" si="11"/>
        <v>3.36</v>
      </c>
      <c r="C106" s="179">
        <v>3.3599999999999998E-19</v>
      </c>
      <c r="D106" s="186">
        <f t="shared" si="12"/>
        <v>2.8223999999999995E-38</v>
      </c>
      <c r="E106" s="179">
        <f t="shared" si="13"/>
        <v>1.6799999999999999E-19</v>
      </c>
    </row>
    <row r="107" spans="2:5" x14ac:dyDescent="0.25">
      <c r="B107" s="179">
        <f t="shared" si="11"/>
        <v>4.84</v>
      </c>
      <c r="C107" s="179">
        <v>4.8399999999999999E-19</v>
      </c>
      <c r="D107" s="186">
        <f t="shared" si="12"/>
        <v>2.6028444444444446E-38</v>
      </c>
      <c r="E107" s="179">
        <f t="shared" si="13"/>
        <v>1.6133333333333334E-19</v>
      </c>
    </row>
    <row r="108" spans="2:5" x14ac:dyDescent="0.25">
      <c r="B108" s="179">
        <f t="shared" si="11"/>
        <v>5.1199999999999992</v>
      </c>
      <c r="C108" s="179">
        <v>5.1199999999999995E-19</v>
      </c>
      <c r="D108" s="186">
        <f t="shared" si="12"/>
        <v>2.9127111111111106E-38</v>
      </c>
      <c r="E108" s="179">
        <f t="shared" si="13"/>
        <v>1.7066666666666666E-19</v>
      </c>
    </row>
    <row r="109" spans="2:5" x14ac:dyDescent="0.25">
      <c r="B109" s="179">
        <f t="shared" si="11"/>
        <v>4.8599999999999994</v>
      </c>
      <c r="C109" s="179">
        <v>4.8599999999999996E-19</v>
      </c>
      <c r="D109" s="186">
        <f t="shared" si="12"/>
        <v>2.6243999999999993E-38</v>
      </c>
      <c r="E109" s="179">
        <f t="shared" si="13"/>
        <v>1.6199999999999999E-19</v>
      </c>
    </row>
    <row r="110" spans="2:5" x14ac:dyDescent="0.25">
      <c r="B110" s="179">
        <f t="shared" si="11"/>
        <v>4.5600000000000005</v>
      </c>
      <c r="C110" s="179">
        <v>4.5600000000000002E-19</v>
      </c>
      <c r="D110" s="186">
        <f t="shared" si="12"/>
        <v>2.3104000000000005E-38</v>
      </c>
      <c r="E110" s="179">
        <f t="shared" si="13"/>
        <v>1.5200000000000001E-19</v>
      </c>
    </row>
    <row r="111" spans="2:5" x14ac:dyDescent="0.25">
      <c r="B111" s="179">
        <f t="shared" si="11"/>
        <v>19.7</v>
      </c>
      <c r="C111" s="179">
        <v>1.9699999999999999E-18</v>
      </c>
      <c r="D111" s="186">
        <f t="shared" si="12"/>
        <v>2.2963905325443786E-38</v>
      </c>
      <c r="E111" s="179">
        <f t="shared" si="13"/>
        <v>1.5153846153846153E-19</v>
      </c>
    </row>
    <row r="112" spans="2:5" x14ac:dyDescent="0.25">
      <c r="B112" s="179">
        <f t="shared" si="11"/>
        <v>21</v>
      </c>
      <c r="C112" s="179">
        <v>2.1E-18</v>
      </c>
      <c r="D112" s="186">
        <f t="shared" si="12"/>
        <v>2.2499999999999998E-38</v>
      </c>
      <c r="E112" s="179">
        <f t="shared" si="13"/>
        <v>1.5E-19</v>
      </c>
    </row>
    <row r="113" spans="2:7" x14ac:dyDescent="0.25">
      <c r="B113" s="179">
        <f t="shared" si="11"/>
        <v>21.8</v>
      </c>
      <c r="C113" s="179">
        <v>2.18E-18</v>
      </c>
      <c r="D113" s="186">
        <f t="shared" si="12"/>
        <v>2.4246938775510202E-38</v>
      </c>
      <c r="E113" s="179">
        <f t="shared" si="13"/>
        <v>1.557142857142857E-19</v>
      </c>
    </row>
    <row r="114" spans="2:7" x14ac:dyDescent="0.25">
      <c r="B114" s="179">
        <f t="shared" si="11"/>
        <v>20</v>
      </c>
      <c r="C114" s="179">
        <v>2.0000000000000001E-18</v>
      </c>
      <c r="D114" s="186">
        <f t="shared" si="12"/>
        <v>2.3668639053254446E-38</v>
      </c>
      <c r="E114" s="179">
        <f t="shared" si="13"/>
        <v>1.5384615384615386E-19</v>
      </c>
    </row>
    <row r="115" spans="2:7" x14ac:dyDescent="0.25">
      <c r="B115" s="179">
        <f t="shared" si="11"/>
        <v>20.2</v>
      </c>
      <c r="C115" s="179">
        <v>2.02E-18</v>
      </c>
      <c r="D115" s="186">
        <f t="shared" si="12"/>
        <v>2.4144378698224849E-38</v>
      </c>
      <c r="E115" s="179">
        <f t="shared" si="13"/>
        <v>1.5538461538461538E-19</v>
      </c>
    </row>
    <row r="116" spans="2:7" x14ac:dyDescent="0.25">
      <c r="B116" s="179">
        <f t="shared" si="11"/>
        <v>24.2</v>
      </c>
      <c r="C116" s="179">
        <v>2.4199999999999998E-18</v>
      </c>
      <c r="D116" s="186">
        <f t="shared" si="12"/>
        <v>2.2876562499999996E-38</v>
      </c>
      <c r="E116" s="179">
        <f t="shared" si="13"/>
        <v>1.5124999999999999E-19</v>
      </c>
    </row>
    <row r="117" spans="2:7" x14ac:dyDescent="0.25">
      <c r="B117" s="179">
        <f t="shared" si="11"/>
        <v>18.100000000000001</v>
      </c>
      <c r="C117" s="179">
        <v>1.81E-18</v>
      </c>
      <c r="D117" s="186">
        <f t="shared" si="12"/>
        <v>2.2750694444444441E-38</v>
      </c>
      <c r="E117" s="179">
        <f t="shared" si="13"/>
        <v>1.5083333333333333E-19</v>
      </c>
    </row>
    <row r="118" spans="2:7" x14ac:dyDescent="0.25">
      <c r="B118" s="179">
        <f t="shared" si="11"/>
        <v>19.400000000000002</v>
      </c>
      <c r="C118" s="179">
        <v>1.9400000000000001E-18</v>
      </c>
      <c r="D118" s="186">
        <f t="shared" si="12"/>
        <v>2.22698224852071E-38</v>
      </c>
      <c r="E118" s="179">
        <f t="shared" si="13"/>
        <v>1.4923076923076923E-19</v>
      </c>
      <c r="G118" s="197">
        <f>AVERAGE(E7:E130)</f>
        <v>1.517944894906597E-19</v>
      </c>
    </row>
    <row r="119" spans="2:7" x14ac:dyDescent="0.25">
      <c r="B119" s="179">
        <f t="shared" si="11"/>
        <v>22.3</v>
      </c>
      <c r="C119" s="179">
        <v>2.2300000000000001E-18</v>
      </c>
      <c r="D119" s="186">
        <f t="shared" si="12"/>
        <v>2.2101777777777781E-38</v>
      </c>
      <c r="E119" s="179">
        <f t="shared" si="13"/>
        <v>1.4866666666666667E-19</v>
      </c>
    </row>
    <row r="120" spans="2:7" x14ac:dyDescent="0.25">
      <c r="B120" s="179">
        <f t="shared" si="11"/>
        <v>19.099999999999998</v>
      </c>
      <c r="C120" s="179">
        <v>1.9099999999999999E-18</v>
      </c>
      <c r="D120" s="186">
        <f t="shared" si="12"/>
        <v>2.1586390532544379E-38</v>
      </c>
      <c r="E120" s="179">
        <f t="shared" si="13"/>
        <v>1.4692307692307692E-19</v>
      </c>
    </row>
    <row r="121" spans="2:7" x14ac:dyDescent="0.25">
      <c r="B121" s="179">
        <f t="shared" si="11"/>
        <v>10.299999999999999</v>
      </c>
      <c r="C121" s="179">
        <v>1.0299999999999999E-18</v>
      </c>
      <c r="D121" s="186">
        <f t="shared" si="12"/>
        <v>2.1651020408163262E-38</v>
      </c>
      <c r="E121" s="179">
        <f t="shared" si="13"/>
        <v>1.4714285714285713E-19</v>
      </c>
    </row>
    <row r="122" spans="2:7" x14ac:dyDescent="0.25">
      <c r="B122" s="179">
        <f t="shared" si="11"/>
        <v>10.299999999999999</v>
      </c>
      <c r="C122" s="179">
        <v>1.0299999999999999E-18</v>
      </c>
      <c r="D122" s="186">
        <f t="shared" si="12"/>
        <v>2.1651020408163262E-38</v>
      </c>
      <c r="E122" s="179">
        <f t="shared" si="13"/>
        <v>1.4714285714285713E-19</v>
      </c>
    </row>
    <row r="123" spans="2:7" x14ac:dyDescent="0.25">
      <c r="B123" s="179">
        <f t="shared" si="11"/>
        <v>10.4</v>
      </c>
      <c r="C123" s="179">
        <v>1.0400000000000001E-18</v>
      </c>
      <c r="D123" s="186">
        <f t="shared" si="12"/>
        <v>2.2073469387755102E-38</v>
      </c>
      <c r="E123" s="179">
        <f t="shared" si="13"/>
        <v>1.4857142857142858E-19</v>
      </c>
    </row>
    <row r="124" spans="2:7" x14ac:dyDescent="0.25">
      <c r="B124" s="179">
        <f t="shared" si="11"/>
        <v>10.5</v>
      </c>
      <c r="C124" s="179">
        <v>1.05E-18</v>
      </c>
      <c r="D124" s="186">
        <f t="shared" si="12"/>
        <v>2.2499999999999998E-38</v>
      </c>
      <c r="E124" s="179">
        <f t="shared" si="13"/>
        <v>1.5E-19</v>
      </c>
    </row>
    <row r="125" spans="2:7" x14ac:dyDescent="0.25">
      <c r="B125" s="179">
        <f t="shared" si="11"/>
        <v>9.7000000000000011</v>
      </c>
      <c r="C125" s="179">
        <v>9.7000000000000004E-19</v>
      </c>
      <c r="D125" s="186">
        <f t="shared" si="12"/>
        <v>2.6136111111111113E-38</v>
      </c>
      <c r="E125" s="179">
        <f t="shared" si="13"/>
        <v>1.6166666666666667E-19</v>
      </c>
    </row>
    <row r="126" spans="2:7" x14ac:dyDescent="0.25">
      <c r="B126" s="179">
        <f t="shared" si="11"/>
        <v>9.11</v>
      </c>
      <c r="C126" s="179">
        <v>9.1100000000000001E-19</v>
      </c>
      <c r="D126" s="186">
        <f t="shared" si="12"/>
        <v>2.3053361111111112E-38</v>
      </c>
      <c r="E126" s="179">
        <f t="shared" si="13"/>
        <v>1.5183333333333333E-19</v>
      </c>
    </row>
    <row r="127" spans="2:7" x14ac:dyDescent="0.25">
      <c r="B127" s="179">
        <f t="shared" si="11"/>
        <v>9.5599999999999987</v>
      </c>
      <c r="C127" s="179">
        <v>9.5599999999999996E-19</v>
      </c>
      <c r="D127" s="186">
        <f t="shared" si="12"/>
        <v>2.5387111111111107E-38</v>
      </c>
      <c r="E127" s="179">
        <f t="shared" si="13"/>
        <v>1.5933333333333332E-19</v>
      </c>
    </row>
    <row r="128" spans="2:7" x14ac:dyDescent="0.25">
      <c r="B128" s="179">
        <f t="shared" si="11"/>
        <v>10.6</v>
      </c>
      <c r="C128" s="179">
        <v>1.0599999999999999E-18</v>
      </c>
      <c r="D128" s="186">
        <f t="shared" si="12"/>
        <v>2.2930612244897957E-38</v>
      </c>
      <c r="E128" s="179">
        <f t="shared" si="13"/>
        <v>1.5142857142857142E-19</v>
      </c>
    </row>
    <row r="129" spans="2:5" x14ac:dyDescent="0.25">
      <c r="B129" s="179">
        <f t="shared" si="11"/>
        <v>10.6</v>
      </c>
      <c r="C129" s="179">
        <v>1.0599999999999999E-18</v>
      </c>
      <c r="D129" s="186">
        <f t="shared" si="12"/>
        <v>2.2930612244897957E-38</v>
      </c>
      <c r="E129" s="179">
        <f t="shared" si="13"/>
        <v>1.5142857142857142E-19</v>
      </c>
    </row>
    <row r="130" spans="2:5" x14ac:dyDescent="0.25">
      <c r="B130" s="179">
        <f t="shared" si="11"/>
        <v>9.34</v>
      </c>
      <c r="C130" s="179">
        <v>9.34E-19</v>
      </c>
      <c r="D130" s="186">
        <f t="shared" si="12"/>
        <v>2.423211111111111E-38</v>
      </c>
      <c r="E130" s="179">
        <f t="shared" si="13"/>
        <v>1.5566666666666667E-19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Dati</vt:lpstr>
      <vt:lpstr>Misura di prova</vt:lpstr>
      <vt:lpstr>Misura (1)</vt:lpstr>
      <vt:lpstr>Misura (2)</vt:lpstr>
      <vt:lpstr>Misura (3)</vt:lpstr>
      <vt:lpstr>Misura (4)</vt:lpstr>
      <vt:lpstr>Misura (5)</vt:lpstr>
      <vt:lpstr>Misura (6)</vt:lpstr>
      <vt:lpstr>Misura (7)</vt:lpstr>
      <vt:lpstr>Misura (8)</vt:lpstr>
      <vt:lpstr>Misura (9)</vt:lpstr>
      <vt:lpstr>Misura (10)</vt:lpstr>
      <vt:lpstr>Misura (11)</vt:lpstr>
      <vt:lpstr>Misura (12)</vt:lpstr>
      <vt:lpstr>Misura (13)</vt:lpstr>
      <vt:lpstr>Misura (14)</vt:lpstr>
      <vt:lpstr>Misura (15)</vt:lpstr>
      <vt:lpstr>Misura (16)</vt:lpstr>
      <vt:lpstr>Misura (17)</vt:lpstr>
      <vt:lpstr>Misura (18)</vt:lpstr>
      <vt:lpstr>Misura (19)</vt:lpstr>
      <vt:lpstr>Misura (20)</vt:lpstr>
      <vt:lpstr>Misura (21)</vt:lpstr>
      <vt:lpstr>Misura (22)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2016-12-24T09:06:58Z</dcterms:created>
  <dcterms:modified xsi:type="dcterms:W3CDTF">2017-01-08T15:24:20Z</dcterms:modified>
</cp:coreProperties>
</file>