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Dati" sheetId="1" r:id="rId1"/>
    <sheet name="Misura prova" sheetId="2" r:id="rId2"/>
    <sheet name="Misura 1" sheetId="4" r:id="rId3"/>
    <sheet name="Misura 2" sheetId="3" r:id="rId4"/>
    <sheet name="Misura 3" sheetId="5" r:id="rId5"/>
    <sheet name="Sheet7" sheetId="7" r:id="rId6"/>
    <sheet name="Sheet8" sheetId="8" r:id="rId7"/>
    <sheet name="Sheet6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8" l="1"/>
  <c r="F32" i="8"/>
  <c r="D32" i="8"/>
  <c r="D32" i="8" a="1"/>
  <c r="E32" i="8" s="1"/>
  <c r="F29" i="8"/>
  <c r="F28" i="8"/>
  <c r="L26" i="8"/>
  <c r="H26" i="8"/>
  <c r="L25" i="8"/>
  <c r="C25" i="8"/>
  <c r="L24" i="8"/>
  <c r="H24" i="8"/>
  <c r="C24" i="8"/>
  <c r="H23" i="8"/>
  <c r="C23" i="8"/>
  <c r="K20" i="8"/>
  <c r="L22" i="8" s="1"/>
  <c r="G20" i="8"/>
  <c r="H22" i="8" s="1"/>
  <c r="E18" i="8"/>
  <c r="E16" i="8"/>
  <c r="C16" i="8"/>
  <c r="C12" i="8"/>
  <c r="B12" i="8"/>
  <c r="C26" i="8" s="1"/>
  <c r="D26" i="8" s="1"/>
  <c r="A12" i="8"/>
  <c r="C11" i="8"/>
  <c r="B11" i="8"/>
  <c r="A11" i="8"/>
  <c r="C10" i="8"/>
  <c r="B10" i="8"/>
  <c r="A10" i="8"/>
  <c r="C9" i="8"/>
  <c r="A9" i="8"/>
  <c r="C8" i="8"/>
  <c r="A8" i="8"/>
  <c r="C7" i="8"/>
  <c r="B7" i="8"/>
  <c r="A7" i="8"/>
  <c r="C6" i="8"/>
  <c r="B6" i="8"/>
  <c r="A6" i="8"/>
  <c r="C5" i="8"/>
  <c r="B5" i="8"/>
  <c r="A5" i="8"/>
  <c r="A1" i="8"/>
  <c r="G20" i="7"/>
  <c r="D32" i="7" a="1"/>
  <c r="E32" i="7" s="1"/>
  <c r="F29" i="7"/>
  <c r="F28" i="7"/>
  <c r="L26" i="7"/>
  <c r="H24" i="7"/>
  <c r="K20" i="7"/>
  <c r="E16" i="7"/>
  <c r="C16" i="7"/>
  <c r="C12" i="7"/>
  <c r="B12" i="7"/>
  <c r="A12" i="7"/>
  <c r="C11" i="7"/>
  <c r="B11" i="7"/>
  <c r="A11" i="7"/>
  <c r="C10" i="7"/>
  <c r="B10" i="7"/>
  <c r="A10" i="7"/>
  <c r="C9" i="7"/>
  <c r="A9" i="7"/>
  <c r="C8" i="7"/>
  <c r="A8" i="7"/>
  <c r="C7" i="7"/>
  <c r="B7" i="7"/>
  <c r="A7" i="7"/>
  <c r="C6" i="7"/>
  <c r="B6" i="7"/>
  <c r="A6" i="7"/>
  <c r="C5" i="7"/>
  <c r="B5" i="7"/>
  <c r="E18" i="7" s="1"/>
  <c r="A5" i="7"/>
  <c r="A1" i="7"/>
  <c r="L26" i="6"/>
  <c r="L25" i="6"/>
  <c r="L24" i="6"/>
  <c r="L23" i="6"/>
  <c r="L22" i="6"/>
  <c r="H26" i="6"/>
  <c r="H25" i="6"/>
  <c r="H24" i="6"/>
  <c r="H23" i="6"/>
  <c r="H22" i="6"/>
  <c r="C26" i="6"/>
  <c r="C25" i="6"/>
  <c r="C24" i="6"/>
  <c r="C23" i="6"/>
  <c r="C22" i="6"/>
  <c r="D32" i="6" a="1"/>
  <c r="E32" i="6" s="1"/>
  <c r="F29" i="6"/>
  <c r="F28" i="6"/>
  <c r="K20" i="6"/>
  <c r="E16" i="6"/>
  <c r="C16" i="6"/>
  <c r="C12" i="6"/>
  <c r="B12" i="6"/>
  <c r="A12" i="6"/>
  <c r="C11" i="6"/>
  <c r="B11" i="6"/>
  <c r="A11" i="6"/>
  <c r="C10" i="6"/>
  <c r="B10" i="6"/>
  <c r="A10" i="6"/>
  <c r="C9" i="6"/>
  <c r="A9" i="6"/>
  <c r="C8" i="6"/>
  <c r="A8" i="6"/>
  <c r="C7" i="6"/>
  <c r="B7" i="6"/>
  <c r="A7" i="6"/>
  <c r="C6" i="6"/>
  <c r="B6" i="6"/>
  <c r="A6" i="6"/>
  <c r="C5" i="6"/>
  <c r="B5" i="6"/>
  <c r="E18" i="6" s="1"/>
  <c r="A5" i="6"/>
  <c r="A1" i="6"/>
  <c r="M22" i="5"/>
  <c r="L23" i="5"/>
  <c r="K20" i="5"/>
  <c r="F32" i="5"/>
  <c r="D32" i="5" a="1"/>
  <c r="E32" i="5" s="1"/>
  <c r="F29" i="5"/>
  <c r="F28" i="5"/>
  <c r="L26" i="5"/>
  <c r="C25" i="5"/>
  <c r="H24" i="5"/>
  <c r="L22" i="5"/>
  <c r="E16" i="5"/>
  <c r="C16" i="5"/>
  <c r="C12" i="5"/>
  <c r="B12" i="5"/>
  <c r="C26" i="5" s="1"/>
  <c r="A12" i="5"/>
  <c r="C11" i="5"/>
  <c r="B11" i="5"/>
  <c r="A11" i="5"/>
  <c r="C10" i="5"/>
  <c r="B10" i="5"/>
  <c r="A10" i="5"/>
  <c r="C9" i="5"/>
  <c r="A9" i="5"/>
  <c r="C8" i="5"/>
  <c r="A8" i="5"/>
  <c r="C7" i="5"/>
  <c r="B7" i="5"/>
  <c r="A7" i="5"/>
  <c r="C6" i="5"/>
  <c r="B6" i="5"/>
  <c r="A6" i="5"/>
  <c r="C5" i="5"/>
  <c r="B5" i="5"/>
  <c r="E18" i="5" s="1"/>
  <c r="A5" i="5"/>
  <c r="A1" i="5"/>
  <c r="I29" i="3"/>
  <c r="M23" i="4"/>
  <c r="M22" i="4"/>
  <c r="D32" i="4" a="1"/>
  <c r="E32" i="4" s="1"/>
  <c r="F29" i="4"/>
  <c r="F28" i="4"/>
  <c r="L26" i="4"/>
  <c r="H24" i="4"/>
  <c r="C23" i="4"/>
  <c r="E16" i="4"/>
  <c r="C16" i="4"/>
  <c r="C12" i="4"/>
  <c r="B12" i="4"/>
  <c r="A12" i="4"/>
  <c r="C11" i="4"/>
  <c r="B11" i="4"/>
  <c r="A11" i="4"/>
  <c r="C10" i="4"/>
  <c r="B10" i="4"/>
  <c r="A10" i="4"/>
  <c r="C9" i="4"/>
  <c r="A9" i="4"/>
  <c r="C8" i="4"/>
  <c r="A8" i="4"/>
  <c r="C7" i="4"/>
  <c r="B7" i="4"/>
  <c r="A7" i="4"/>
  <c r="C6" i="4"/>
  <c r="B6" i="4"/>
  <c r="A6" i="4"/>
  <c r="C5" i="4"/>
  <c r="B5" i="4"/>
  <c r="E18" i="4" s="1"/>
  <c r="A5" i="4"/>
  <c r="A1" i="4"/>
  <c r="L22" i="3"/>
  <c r="H22" i="3"/>
  <c r="D32" i="3" a="1"/>
  <c r="E32" i="3" s="1"/>
  <c r="F29" i="3"/>
  <c r="F28" i="3"/>
  <c r="E16" i="3"/>
  <c r="C16" i="3"/>
  <c r="C12" i="3"/>
  <c r="B12" i="3"/>
  <c r="A12" i="3"/>
  <c r="C11" i="3"/>
  <c r="B11" i="3"/>
  <c r="A11" i="3"/>
  <c r="C10" i="3"/>
  <c r="B10" i="3"/>
  <c r="A10" i="3"/>
  <c r="C9" i="3"/>
  <c r="A9" i="3"/>
  <c r="C8" i="3"/>
  <c r="A8" i="3"/>
  <c r="C7" i="3"/>
  <c r="B7" i="3"/>
  <c r="A7" i="3"/>
  <c r="C6" i="3"/>
  <c r="B6" i="3"/>
  <c r="A6" i="3"/>
  <c r="C5" i="3"/>
  <c r="B5" i="3"/>
  <c r="E18" i="3" s="1"/>
  <c r="A5" i="3"/>
  <c r="A1" i="3"/>
  <c r="C16" i="2"/>
  <c r="G16" i="1"/>
  <c r="B5" i="1"/>
  <c r="B5" i="2" s="1"/>
  <c r="E18" i="2" s="1"/>
  <c r="G14" i="1"/>
  <c r="E16" i="2"/>
  <c r="G9" i="1"/>
  <c r="G10" i="1"/>
  <c r="G11" i="1"/>
  <c r="G12" i="1"/>
  <c r="G13" i="1"/>
  <c r="G8" i="1"/>
  <c r="C39" i="8" l="1"/>
  <c r="D23" i="8"/>
  <c r="D24" i="8"/>
  <c r="D22" i="8"/>
  <c r="D25" i="8"/>
  <c r="H32" i="8"/>
  <c r="C22" i="8"/>
  <c r="L23" i="8"/>
  <c r="L28" i="8" s="1"/>
  <c r="M28" i="8" s="1"/>
  <c r="H25" i="8"/>
  <c r="G28" i="8" s="1"/>
  <c r="H32" i="7"/>
  <c r="C26" i="7"/>
  <c r="D26" i="7" s="1"/>
  <c r="H25" i="7"/>
  <c r="L23" i="7"/>
  <c r="C22" i="7"/>
  <c r="C23" i="7"/>
  <c r="D32" i="7"/>
  <c r="H22" i="7"/>
  <c r="C24" i="7"/>
  <c r="D24" i="7" s="1"/>
  <c r="L24" i="7"/>
  <c r="F32" i="7"/>
  <c r="D23" i="7"/>
  <c r="L22" i="7"/>
  <c r="H23" i="7"/>
  <c r="C25" i="7"/>
  <c r="D25" i="7" s="1"/>
  <c r="L25" i="7"/>
  <c r="H26" i="7"/>
  <c r="G32" i="7"/>
  <c r="H32" i="6"/>
  <c r="D26" i="6"/>
  <c r="D32" i="6"/>
  <c r="F32" i="6"/>
  <c r="D23" i="6"/>
  <c r="D24" i="6"/>
  <c r="D25" i="6"/>
  <c r="G32" i="6"/>
  <c r="D26" i="5"/>
  <c r="D25" i="5"/>
  <c r="H23" i="5"/>
  <c r="C24" i="5"/>
  <c r="D24" i="5" s="1"/>
  <c r="L25" i="5"/>
  <c r="G32" i="5"/>
  <c r="H22" i="5"/>
  <c r="C23" i="5"/>
  <c r="D23" i="5" s="1"/>
  <c r="H26" i="5"/>
  <c r="D32" i="5"/>
  <c r="H32" i="5"/>
  <c r="C22" i="5"/>
  <c r="H25" i="5"/>
  <c r="D23" i="4"/>
  <c r="C36" i="4" s="1"/>
  <c r="D24" i="4"/>
  <c r="H32" i="4"/>
  <c r="D32" i="4"/>
  <c r="C26" i="4"/>
  <c r="D26" i="4" s="1"/>
  <c r="H25" i="4"/>
  <c r="L23" i="4"/>
  <c r="C22" i="4"/>
  <c r="H22" i="4"/>
  <c r="C24" i="4"/>
  <c r="L24" i="4"/>
  <c r="F32" i="4"/>
  <c r="L22" i="4"/>
  <c r="H23" i="4"/>
  <c r="C25" i="4"/>
  <c r="D25" i="4" s="1"/>
  <c r="L25" i="4"/>
  <c r="H26" i="4"/>
  <c r="G32" i="4"/>
  <c r="C23" i="3"/>
  <c r="D23" i="3" s="1"/>
  <c r="C36" i="3" s="1"/>
  <c r="H24" i="3"/>
  <c r="G32" i="3"/>
  <c r="H32" i="3"/>
  <c r="H25" i="3"/>
  <c r="L23" i="3"/>
  <c r="C22" i="3"/>
  <c r="C24" i="3"/>
  <c r="D24" i="3" s="1"/>
  <c r="L24" i="3"/>
  <c r="D32" i="3"/>
  <c r="H23" i="3"/>
  <c r="C25" i="3"/>
  <c r="D25" i="3" s="1"/>
  <c r="L25" i="3"/>
  <c r="F32" i="3"/>
  <c r="J29" i="2"/>
  <c r="J28" i="2"/>
  <c r="D32" i="2" a="1"/>
  <c r="E32" i="2" s="1"/>
  <c r="C12" i="2"/>
  <c r="B12" i="2"/>
  <c r="H24" i="2" s="1"/>
  <c r="A12" i="2"/>
  <c r="A5" i="2"/>
  <c r="A6" i="2"/>
  <c r="A7" i="2"/>
  <c r="A8" i="2"/>
  <c r="A9" i="2"/>
  <c r="A10" i="2"/>
  <c r="A11" i="2"/>
  <c r="C6" i="2"/>
  <c r="C7" i="2"/>
  <c r="C8" i="2"/>
  <c r="C9" i="2"/>
  <c r="C10" i="2"/>
  <c r="C11" i="2"/>
  <c r="B11" i="2"/>
  <c r="B6" i="2"/>
  <c r="B7" i="2"/>
  <c r="B10" i="2"/>
  <c r="A1" i="2"/>
  <c r="C5" i="1"/>
  <c r="C5" i="2" s="1"/>
  <c r="C37" i="8" l="1"/>
  <c r="C38" i="8"/>
  <c r="C36" i="8"/>
  <c r="C35" i="8"/>
  <c r="B29" i="8"/>
  <c r="C29" i="8"/>
  <c r="E22" i="8"/>
  <c r="B35" i="8" s="1"/>
  <c r="H28" i="8"/>
  <c r="I28" i="8" s="1"/>
  <c r="K28" i="8"/>
  <c r="C28" i="8"/>
  <c r="E26" i="8" s="1"/>
  <c r="B39" i="8" s="1"/>
  <c r="B28" i="8"/>
  <c r="C38" i="7"/>
  <c r="C36" i="7"/>
  <c r="H28" i="7"/>
  <c r="I28" i="7" s="1"/>
  <c r="G28" i="7"/>
  <c r="C37" i="7"/>
  <c r="C39" i="7"/>
  <c r="L28" i="7"/>
  <c r="M28" i="7" s="1"/>
  <c r="K28" i="7"/>
  <c r="C28" i="7"/>
  <c r="E25" i="7" s="1"/>
  <c r="B38" i="7" s="1"/>
  <c r="B28" i="7"/>
  <c r="D22" i="7"/>
  <c r="C38" i="6"/>
  <c r="C36" i="6"/>
  <c r="H28" i="6"/>
  <c r="I28" i="6" s="1"/>
  <c r="G28" i="6"/>
  <c r="C37" i="6"/>
  <c r="C39" i="6"/>
  <c r="L28" i="6"/>
  <c r="M28" i="6" s="1"/>
  <c r="K28" i="6"/>
  <c r="C28" i="6"/>
  <c r="E25" i="6" s="1"/>
  <c r="B38" i="6" s="1"/>
  <c r="B28" i="6"/>
  <c r="D22" i="6"/>
  <c r="C36" i="5"/>
  <c r="C37" i="5"/>
  <c r="H28" i="5"/>
  <c r="I28" i="5" s="1"/>
  <c r="G28" i="5"/>
  <c r="C28" i="5"/>
  <c r="E23" i="5" s="1"/>
  <c r="B36" i="5" s="1"/>
  <c r="B28" i="5"/>
  <c r="D22" i="5"/>
  <c r="C39" i="5"/>
  <c r="C38" i="5"/>
  <c r="C39" i="4"/>
  <c r="E26" i="4"/>
  <c r="B39" i="4" s="1"/>
  <c r="L28" i="4"/>
  <c r="M28" i="4" s="1"/>
  <c r="K28" i="4"/>
  <c r="H28" i="4"/>
  <c r="I28" i="4" s="1"/>
  <c r="G28" i="4"/>
  <c r="C38" i="4"/>
  <c r="E25" i="4"/>
  <c r="B38" i="4" s="1"/>
  <c r="C28" i="4"/>
  <c r="E23" i="4" s="1"/>
  <c r="B36" i="4" s="1"/>
  <c r="B28" i="4"/>
  <c r="D22" i="4"/>
  <c r="E24" i="4"/>
  <c r="B37" i="4" s="1"/>
  <c r="C37" i="4"/>
  <c r="C37" i="3"/>
  <c r="K28" i="3"/>
  <c r="L28" i="3"/>
  <c r="M28" i="3" s="1"/>
  <c r="G28" i="3"/>
  <c r="H28" i="3"/>
  <c r="I28" i="3" s="1"/>
  <c r="C28" i="3"/>
  <c r="E23" i="3" s="1"/>
  <c r="B36" i="3" s="1"/>
  <c r="B28" i="3"/>
  <c r="D22" i="3"/>
  <c r="C38" i="3"/>
  <c r="H23" i="2"/>
  <c r="H26" i="2"/>
  <c r="C22" i="2"/>
  <c r="L26" i="2"/>
  <c r="L25" i="2"/>
  <c r="H22" i="2"/>
  <c r="L24" i="2"/>
  <c r="L22" i="2"/>
  <c r="H28" i="2" s="1"/>
  <c r="I28" i="2" s="1"/>
  <c r="L23" i="2"/>
  <c r="H25" i="2"/>
  <c r="D32" i="2"/>
  <c r="H32" i="2"/>
  <c r="G32" i="2"/>
  <c r="F32" i="2"/>
  <c r="C23" i="2"/>
  <c r="D23" i="2" s="1"/>
  <c r="C36" i="2" s="1"/>
  <c r="E25" i="8" l="1"/>
  <c r="B38" i="8" s="1"/>
  <c r="E23" i="8"/>
  <c r="B36" i="8" s="1"/>
  <c r="I26" i="8"/>
  <c r="C53" i="8" s="1"/>
  <c r="M24" i="8"/>
  <c r="C46" i="8" s="1"/>
  <c r="I22" i="8"/>
  <c r="M25" i="8"/>
  <c r="C47" i="8" s="1"/>
  <c r="I23" i="8"/>
  <c r="C50" i="8" s="1"/>
  <c r="M22" i="8"/>
  <c r="D29" i="8"/>
  <c r="I25" i="8"/>
  <c r="C52" i="8" s="1"/>
  <c r="M26" i="8"/>
  <c r="C48" i="8" s="1"/>
  <c r="I24" i="8"/>
  <c r="C51" i="8" s="1"/>
  <c r="M23" i="8"/>
  <c r="C45" i="8" s="1"/>
  <c r="E17" i="8"/>
  <c r="E24" i="8"/>
  <c r="B37" i="8" s="1"/>
  <c r="E23" i="7"/>
  <c r="B36" i="7" s="1"/>
  <c r="E24" i="7"/>
  <c r="B37" i="7" s="1"/>
  <c r="E26" i="7"/>
  <c r="B39" i="7" s="1"/>
  <c r="C35" i="7"/>
  <c r="B29" i="7"/>
  <c r="C29" i="7"/>
  <c r="E22" i="7"/>
  <c r="B35" i="7" s="1"/>
  <c r="E23" i="6"/>
  <c r="B36" i="6" s="1"/>
  <c r="E24" i="6"/>
  <c r="B37" i="6" s="1"/>
  <c r="E26" i="6"/>
  <c r="B39" i="6" s="1"/>
  <c r="C35" i="6"/>
  <c r="B29" i="6"/>
  <c r="C29" i="6"/>
  <c r="E22" i="6"/>
  <c r="B35" i="6" s="1"/>
  <c r="E26" i="5"/>
  <c r="B39" i="5" s="1"/>
  <c r="E25" i="5"/>
  <c r="B38" i="5" s="1"/>
  <c r="E24" i="5"/>
  <c r="B37" i="5" s="1"/>
  <c r="C35" i="5"/>
  <c r="B29" i="5"/>
  <c r="C29" i="5"/>
  <c r="E22" i="5"/>
  <c r="B35" i="5" s="1"/>
  <c r="D33" i="5" s="1" a="1"/>
  <c r="C35" i="4"/>
  <c r="B29" i="4"/>
  <c r="C29" i="4"/>
  <c r="E22" i="4"/>
  <c r="B35" i="4" s="1"/>
  <c r="D33" i="4" s="1" a="1"/>
  <c r="E25" i="3"/>
  <c r="B38" i="3" s="1"/>
  <c r="C35" i="3"/>
  <c r="B29" i="3"/>
  <c r="C29" i="3"/>
  <c r="E22" i="3"/>
  <c r="B35" i="3" s="1"/>
  <c r="E24" i="3"/>
  <c r="B37" i="3" s="1"/>
  <c r="K28" i="2"/>
  <c r="L28" i="2"/>
  <c r="M28" i="2" s="1"/>
  <c r="G28" i="2"/>
  <c r="C26" i="2"/>
  <c r="D26" i="2" s="1"/>
  <c r="C39" i="2" s="1"/>
  <c r="C24" i="2"/>
  <c r="D24" i="2" s="1"/>
  <c r="C37" i="2" s="1"/>
  <c r="C25" i="2"/>
  <c r="D25" i="2" s="1"/>
  <c r="C38" i="2" s="1"/>
  <c r="D33" i="8" l="1" a="1"/>
  <c r="F34" i="8" s="1"/>
  <c r="G29" i="8"/>
  <c r="C49" i="8"/>
  <c r="H29" i="8"/>
  <c r="L29" i="8"/>
  <c r="C44" i="8"/>
  <c r="K29" i="8"/>
  <c r="I26" i="7"/>
  <c r="C53" i="7" s="1"/>
  <c r="M24" i="7"/>
  <c r="C46" i="7" s="1"/>
  <c r="I22" i="7"/>
  <c r="D29" i="7"/>
  <c r="I25" i="7"/>
  <c r="C52" i="7" s="1"/>
  <c r="M26" i="7"/>
  <c r="C48" i="7" s="1"/>
  <c r="I24" i="7"/>
  <c r="C51" i="7" s="1"/>
  <c r="M23" i="7"/>
  <c r="C45" i="7" s="1"/>
  <c r="E17" i="7"/>
  <c r="M25" i="7"/>
  <c r="C47" i="7" s="1"/>
  <c r="I23" i="7"/>
  <c r="C50" i="7" s="1"/>
  <c r="M22" i="7"/>
  <c r="D33" i="7" a="1"/>
  <c r="I26" i="6"/>
  <c r="C53" i="6" s="1"/>
  <c r="M24" i="6"/>
  <c r="C46" i="6" s="1"/>
  <c r="I22" i="6"/>
  <c r="D29" i="6"/>
  <c r="I25" i="6"/>
  <c r="C52" i="6" s="1"/>
  <c r="M26" i="6"/>
  <c r="C48" i="6" s="1"/>
  <c r="I24" i="6"/>
  <c r="C51" i="6" s="1"/>
  <c r="M23" i="6"/>
  <c r="C45" i="6" s="1"/>
  <c r="E17" i="6"/>
  <c r="M25" i="6"/>
  <c r="C47" i="6" s="1"/>
  <c r="I23" i="6"/>
  <c r="C50" i="6" s="1"/>
  <c r="M22" i="6"/>
  <c r="D33" i="6" a="1"/>
  <c r="I26" i="5"/>
  <c r="C53" i="5" s="1"/>
  <c r="I22" i="5"/>
  <c r="M25" i="5"/>
  <c r="C47" i="5" s="1"/>
  <c r="I23" i="5"/>
  <c r="C50" i="5" s="1"/>
  <c r="I25" i="5"/>
  <c r="C52" i="5" s="1"/>
  <c r="D29" i="5"/>
  <c r="M26" i="5"/>
  <c r="C48" i="5" s="1"/>
  <c r="I24" i="5"/>
  <c r="C51" i="5" s="1"/>
  <c r="E17" i="5"/>
  <c r="F34" i="5"/>
  <c r="G33" i="5"/>
  <c r="H33" i="5"/>
  <c r="E34" i="5"/>
  <c r="F33" i="5"/>
  <c r="H34" i="5"/>
  <c r="H35" i="5" s="1"/>
  <c r="D34" i="5"/>
  <c r="E33" i="5"/>
  <c r="G34" i="5"/>
  <c r="D33" i="5"/>
  <c r="M23" i="3"/>
  <c r="C50" i="3" s="1"/>
  <c r="M22" i="3"/>
  <c r="F34" i="4"/>
  <c r="G33" i="4"/>
  <c r="G34" i="4"/>
  <c r="F33" i="4"/>
  <c r="F35" i="4" s="1"/>
  <c r="E34" i="4"/>
  <c r="E33" i="4"/>
  <c r="D34" i="4"/>
  <c r="D33" i="4"/>
  <c r="H34" i="4"/>
  <c r="H33" i="4"/>
  <c r="I26" i="4"/>
  <c r="C53" i="4" s="1"/>
  <c r="M24" i="4"/>
  <c r="C46" i="4" s="1"/>
  <c r="I22" i="4"/>
  <c r="D29" i="4"/>
  <c r="I25" i="4"/>
  <c r="C52" i="4" s="1"/>
  <c r="M26" i="4"/>
  <c r="C48" i="4" s="1"/>
  <c r="I24" i="4"/>
  <c r="C51" i="4" s="1"/>
  <c r="C45" i="4"/>
  <c r="M25" i="4"/>
  <c r="C47" i="4" s="1"/>
  <c r="I23" i="4"/>
  <c r="C50" i="4" s="1"/>
  <c r="E17" i="4"/>
  <c r="G35" i="4"/>
  <c r="E35" i="4"/>
  <c r="H35" i="4"/>
  <c r="I24" i="3"/>
  <c r="C46" i="3" s="1"/>
  <c r="I23" i="3"/>
  <c r="C45" i="3" s="1"/>
  <c r="I22" i="3"/>
  <c r="I25" i="3"/>
  <c r="C47" i="3" s="1"/>
  <c r="D33" i="3" a="1"/>
  <c r="M24" i="3"/>
  <c r="C51" i="3" s="1"/>
  <c r="D29" i="3"/>
  <c r="M25" i="3"/>
  <c r="C52" i="3" s="1"/>
  <c r="E17" i="3"/>
  <c r="C28" i="2"/>
  <c r="E23" i="2" s="1"/>
  <c r="B36" i="2" s="1"/>
  <c r="B28" i="2"/>
  <c r="D22" i="2"/>
  <c r="C35" i="2" s="1"/>
  <c r="E33" i="8" l="1"/>
  <c r="E37" i="8" s="1"/>
  <c r="E34" i="8"/>
  <c r="H33" i="8"/>
  <c r="H39" i="8" s="1"/>
  <c r="D33" i="8"/>
  <c r="H34" i="8"/>
  <c r="F33" i="8"/>
  <c r="G33" i="8"/>
  <c r="D34" i="8"/>
  <c r="D38" i="8" s="1"/>
  <c r="G34" i="8"/>
  <c r="B53" i="8"/>
  <c r="B51" i="8"/>
  <c r="B49" i="8"/>
  <c r="B52" i="8"/>
  <c r="B50" i="8"/>
  <c r="I29" i="8"/>
  <c r="E39" i="8"/>
  <c r="E38" i="8"/>
  <c r="E35" i="8"/>
  <c r="E36" i="8"/>
  <c r="B46" i="8"/>
  <c r="B45" i="8"/>
  <c r="M29" i="8"/>
  <c r="B44" i="8"/>
  <c r="B48" i="8"/>
  <c r="B47" i="8"/>
  <c r="F39" i="8"/>
  <c r="F35" i="8"/>
  <c r="F36" i="8"/>
  <c r="F38" i="8"/>
  <c r="F37" i="8"/>
  <c r="L29" i="7"/>
  <c r="C44" i="7"/>
  <c r="K29" i="7"/>
  <c r="G29" i="7"/>
  <c r="C49" i="7"/>
  <c r="H29" i="7"/>
  <c r="F34" i="7"/>
  <c r="G33" i="7"/>
  <c r="G34" i="7"/>
  <c r="F33" i="7"/>
  <c r="E34" i="7"/>
  <c r="E33" i="7"/>
  <c r="D34" i="7"/>
  <c r="D33" i="7"/>
  <c r="H34" i="7"/>
  <c r="H33" i="7"/>
  <c r="L29" i="6"/>
  <c r="C44" i="6"/>
  <c r="K29" i="6"/>
  <c r="G29" i="6"/>
  <c r="C49" i="6"/>
  <c r="H29" i="6"/>
  <c r="F34" i="6"/>
  <c r="G33" i="6"/>
  <c r="G34" i="6"/>
  <c r="F33" i="6"/>
  <c r="E34" i="6"/>
  <c r="E33" i="6"/>
  <c r="D34" i="6"/>
  <c r="D33" i="6"/>
  <c r="H34" i="6"/>
  <c r="H33" i="6"/>
  <c r="F35" i="5"/>
  <c r="G35" i="5"/>
  <c r="D35" i="5"/>
  <c r="E37" i="5"/>
  <c r="E39" i="5"/>
  <c r="E38" i="5"/>
  <c r="E36" i="5"/>
  <c r="E35" i="5"/>
  <c r="C44" i="5"/>
  <c r="G29" i="5"/>
  <c r="C49" i="5"/>
  <c r="H29" i="5"/>
  <c r="H36" i="5"/>
  <c r="H37" i="5"/>
  <c r="H39" i="5"/>
  <c r="H38" i="5"/>
  <c r="D36" i="5"/>
  <c r="D37" i="5"/>
  <c r="D39" i="5"/>
  <c r="D38" i="5"/>
  <c r="G37" i="5"/>
  <c r="G36" i="5"/>
  <c r="G39" i="5"/>
  <c r="G38" i="5"/>
  <c r="F38" i="5"/>
  <c r="F37" i="5"/>
  <c r="F39" i="5"/>
  <c r="F36" i="5"/>
  <c r="C44" i="3"/>
  <c r="G29" i="3"/>
  <c r="C49" i="3"/>
  <c r="K29" i="3"/>
  <c r="D36" i="4"/>
  <c r="D37" i="4"/>
  <c r="D38" i="4"/>
  <c r="D39" i="4"/>
  <c r="G36" i="4"/>
  <c r="G38" i="4"/>
  <c r="G37" i="4"/>
  <c r="G39" i="4"/>
  <c r="D35" i="4"/>
  <c r="L29" i="4"/>
  <c r="C44" i="4"/>
  <c r="K29" i="4"/>
  <c r="G29" i="4"/>
  <c r="C49" i="4"/>
  <c r="H29" i="4"/>
  <c r="H36" i="4"/>
  <c r="H39" i="4"/>
  <c r="H37" i="4"/>
  <c r="H38" i="4"/>
  <c r="E36" i="4"/>
  <c r="E38" i="4"/>
  <c r="E37" i="4"/>
  <c r="E39" i="4"/>
  <c r="F36" i="4"/>
  <c r="F38" i="4"/>
  <c r="F39" i="4"/>
  <c r="F37" i="4"/>
  <c r="H29" i="3"/>
  <c r="L29" i="3"/>
  <c r="F34" i="3"/>
  <c r="G33" i="3"/>
  <c r="E34" i="3"/>
  <c r="E33" i="3"/>
  <c r="D34" i="3"/>
  <c r="D33" i="3"/>
  <c r="H34" i="3"/>
  <c r="H33" i="3"/>
  <c r="G34" i="3"/>
  <c r="F33" i="3"/>
  <c r="E22" i="2"/>
  <c r="B35" i="2" s="1"/>
  <c r="E25" i="2"/>
  <c r="B38" i="2" s="1"/>
  <c r="E26" i="2"/>
  <c r="B39" i="2" s="1"/>
  <c r="E24" i="2"/>
  <c r="B37" i="2" s="1"/>
  <c r="B29" i="2"/>
  <c r="C29" i="2"/>
  <c r="D37" i="8" l="1"/>
  <c r="H38" i="8"/>
  <c r="D39" i="8"/>
  <c r="G35" i="8"/>
  <c r="H35" i="8"/>
  <c r="H36" i="8"/>
  <c r="G39" i="8"/>
  <c r="H37" i="8"/>
  <c r="G38" i="8"/>
  <c r="D35" i="8"/>
  <c r="G37" i="8"/>
  <c r="G36" i="8"/>
  <c r="D36" i="8"/>
  <c r="D41" i="8" a="1"/>
  <c r="B53" i="7"/>
  <c r="B51" i="7"/>
  <c r="B49" i="7"/>
  <c r="I29" i="7"/>
  <c r="B52" i="7"/>
  <c r="B50" i="7"/>
  <c r="D38" i="7"/>
  <c r="D36" i="7"/>
  <c r="D37" i="7"/>
  <c r="D39" i="7"/>
  <c r="D35" i="7"/>
  <c r="G37" i="7"/>
  <c r="G39" i="7"/>
  <c r="G36" i="7"/>
  <c r="G38" i="7"/>
  <c r="G35" i="7"/>
  <c r="H37" i="7"/>
  <c r="H39" i="7"/>
  <c r="H36" i="7"/>
  <c r="H38" i="7"/>
  <c r="H35" i="7"/>
  <c r="E37" i="7"/>
  <c r="E38" i="7"/>
  <c r="E36" i="7"/>
  <c r="E39" i="7"/>
  <c r="E35" i="7"/>
  <c r="F36" i="7"/>
  <c r="F39" i="7"/>
  <c r="F37" i="7"/>
  <c r="F38" i="7"/>
  <c r="F35" i="7"/>
  <c r="B45" i="7"/>
  <c r="M29" i="7"/>
  <c r="B44" i="7"/>
  <c r="B47" i="7"/>
  <c r="B48" i="7"/>
  <c r="B46" i="7"/>
  <c r="B53" i="6"/>
  <c r="B51" i="6"/>
  <c r="B49" i="6"/>
  <c r="I29" i="6"/>
  <c r="B52" i="6"/>
  <c r="B50" i="6"/>
  <c r="D38" i="6"/>
  <c r="D36" i="6"/>
  <c r="D37" i="6"/>
  <c r="D39" i="6"/>
  <c r="D35" i="6"/>
  <c r="G37" i="6"/>
  <c r="G39" i="6"/>
  <c r="G36" i="6"/>
  <c r="G38" i="6"/>
  <c r="G35" i="6"/>
  <c r="H37" i="6"/>
  <c r="H39" i="6"/>
  <c r="H36" i="6"/>
  <c r="H38" i="6"/>
  <c r="H35" i="6"/>
  <c r="E37" i="6"/>
  <c r="E38" i="6"/>
  <c r="E36" i="6"/>
  <c r="E39" i="6"/>
  <c r="E35" i="6"/>
  <c r="F36" i="6"/>
  <c r="F39" i="6"/>
  <c r="F37" i="6"/>
  <c r="F38" i="6"/>
  <c r="F35" i="6"/>
  <c r="B45" i="6"/>
  <c r="M29" i="6"/>
  <c r="B44" i="6"/>
  <c r="B47" i="6"/>
  <c r="B48" i="6"/>
  <c r="B46" i="6"/>
  <c r="B51" i="5"/>
  <c r="I29" i="5"/>
  <c r="B53" i="5"/>
  <c r="B52" i="5"/>
  <c r="B50" i="5"/>
  <c r="B49" i="5"/>
  <c r="B45" i="3"/>
  <c r="B44" i="3"/>
  <c r="B47" i="3"/>
  <c r="B46" i="3"/>
  <c r="B51" i="3"/>
  <c r="B52" i="3"/>
  <c r="B50" i="3"/>
  <c r="B49" i="3"/>
  <c r="B45" i="4"/>
  <c r="M29" i="4"/>
  <c r="B44" i="4"/>
  <c r="B47" i="4"/>
  <c r="B48" i="4"/>
  <c r="B46" i="4"/>
  <c r="B53" i="4"/>
  <c r="B51" i="4"/>
  <c r="B49" i="4"/>
  <c r="I29" i="4"/>
  <c r="B52" i="4"/>
  <c r="B50" i="4"/>
  <c r="G36" i="3"/>
  <c r="G37" i="3"/>
  <c r="G38" i="3"/>
  <c r="G35" i="3"/>
  <c r="D36" i="3"/>
  <c r="D37" i="3"/>
  <c r="D38" i="3"/>
  <c r="D35" i="3"/>
  <c r="F36" i="3"/>
  <c r="F37" i="3"/>
  <c r="F38" i="3"/>
  <c r="F35" i="3"/>
  <c r="H36" i="3"/>
  <c r="H37" i="3"/>
  <c r="H38" i="3"/>
  <c r="H35" i="3"/>
  <c r="E36" i="3"/>
  <c r="E37" i="3"/>
  <c r="E38" i="3"/>
  <c r="E35" i="3"/>
  <c r="M29" i="3"/>
  <c r="M26" i="2"/>
  <c r="C48" i="2" s="1"/>
  <c r="M24" i="2"/>
  <c r="C46" i="2" s="1"/>
  <c r="M23" i="2"/>
  <c r="C45" i="2" s="1"/>
  <c r="I22" i="2"/>
  <c r="C49" i="2" s="1"/>
  <c r="M25" i="2"/>
  <c r="C47" i="2" s="1"/>
  <c r="M22" i="2"/>
  <c r="C44" i="2" s="1"/>
  <c r="I23" i="2"/>
  <c r="C50" i="2" s="1"/>
  <c r="I26" i="2"/>
  <c r="C53" i="2" s="1"/>
  <c r="I25" i="2"/>
  <c r="C52" i="2" s="1"/>
  <c r="I24" i="2"/>
  <c r="C51" i="2" s="1"/>
  <c r="D33" i="2" a="1"/>
  <c r="D33" i="2" s="1"/>
  <c r="E17" i="2"/>
  <c r="D29" i="2"/>
  <c r="M43" i="8" l="1"/>
  <c r="I43" i="8"/>
  <c r="E43" i="8"/>
  <c r="K42" i="8"/>
  <c r="G42" i="8"/>
  <c r="M41" i="8"/>
  <c r="I41" i="8"/>
  <c r="E41" i="8"/>
  <c r="K43" i="8"/>
  <c r="F43" i="8"/>
  <c r="J42" i="8"/>
  <c r="E42" i="8"/>
  <c r="J41" i="8"/>
  <c r="D41" i="8"/>
  <c r="J43" i="8"/>
  <c r="D43" i="8"/>
  <c r="I42" i="8"/>
  <c r="D42" i="8"/>
  <c r="H41" i="8"/>
  <c r="H43" i="8"/>
  <c r="M42" i="8"/>
  <c r="H42" i="8"/>
  <c r="L41" i="8"/>
  <c r="G41" i="8"/>
  <c r="L43" i="8"/>
  <c r="G43" i="8"/>
  <c r="L42" i="8"/>
  <c r="F42" i="8"/>
  <c r="K41" i="8"/>
  <c r="F41" i="8"/>
  <c r="D41" i="7" a="1"/>
  <c r="D41" i="6" a="1"/>
  <c r="D41" i="4" a="1"/>
  <c r="D41" i="3" a="1"/>
  <c r="G29" i="2"/>
  <c r="H29" i="2"/>
  <c r="L29" i="2"/>
  <c r="M29" i="2" s="1"/>
  <c r="K29" i="2"/>
  <c r="F33" i="2"/>
  <c r="E34" i="2"/>
  <c r="G34" i="2"/>
  <c r="H33" i="2"/>
  <c r="E33" i="2"/>
  <c r="H34" i="2"/>
  <c r="F34" i="2"/>
  <c r="D34" i="2"/>
  <c r="D39" i="2" s="1"/>
  <c r="G33" i="2"/>
  <c r="H50" i="8" l="1"/>
  <c r="H52" i="8"/>
  <c r="H45" i="8"/>
  <c r="H46" i="8"/>
  <c r="H48" i="8"/>
  <c r="H53" i="8"/>
  <c r="H47" i="8"/>
  <c r="H51" i="8"/>
  <c r="H49" i="8"/>
  <c r="H44" i="8"/>
  <c r="D51" i="8"/>
  <c r="D46" i="8"/>
  <c r="D50" i="8"/>
  <c r="D52" i="8"/>
  <c r="D47" i="8"/>
  <c r="D45" i="8"/>
  <c r="D48" i="8"/>
  <c r="D53" i="8"/>
  <c r="D44" i="8"/>
  <c r="D49" i="8"/>
  <c r="J47" i="8"/>
  <c r="J50" i="8"/>
  <c r="J53" i="8"/>
  <c r="J52" i="8"/>
  <c r="J45" i="8"/>
  <c r="J51" i="8"/>
  <c r="J46" i="8"/>
  <c r="J48" i="8"/>
  <c r="J44" i="8"/>
  <c r="J49" i="8"/>
  <c r="E45" i="8"/>
  <c r="E48" i="8"/>
  <c r="E53" i="8"/>
  <c r="E47" i="8"/>
  <c r="E51" i="8"/>
  <c r="E46" i="8"/>
  <c r="E50" i="8"/>
  <c r="E52" i="8"/>
  <c r="E44" i="8"/>
  <c r="E49" i="8"/>
  <c r="G46" i="8"/>
  <c r="G48" i="8"/>
  <c r="G50" i="8"/>
  <c r="G53" i="8"/>
  <c r="G52" i="8"/>
  <c r="G45" i="8"/>
  <c r="G51" i="8"/>
  <c r="G47" i="8"/>
  <c r="G49" i="8"/>
  <c r="G44" i="8"/>
  <c r="F51" i="8"/>
  <c r="F45" i="8"/>
  <c r="F48" i="8"/>
  <c r="F46" i="8"/>
  <c r="F50" i="8"/>
  <c r="F53" i="8"/>
  <c r="F52" i="8"/>
  <c r="F47" i="8"/>
  <c r="F44" i="8"/>
  <c r="F49" i="8"/>
  <c r="I51" i="8"/>
  <c r="I46" i="8"/>
  <c r="I50" i="8"/>
  <c r="I52" i="8"/>
  <c r="I45" i="8"/>
  <c r="I48" i="8"/>
  <c r="I53" i="8"/>
  <c r="I47" i="8"/>
  <c r="I44" i="8"/>
  <c r="I49" i="8"/>
  <c r="L48" i="8"/>
  <c r="L53" i="8"/>
  <c r="L47" i="8"/>
  <c r="L45" i="8"/>
  <c r="L51" i="8"/>
  <c r="L46" i="8"/>
  <c r="L50" i="8"/>
  <c r="L52" i="8"/>
  <c r="L44" i="8"/>
  <c r="L49" i="8"/>
  <c r="K45" i="8"/>
  <c r="K50" i="8"/>
  <c r="K53" i="8"/>
  <c r="K52" i="8"/>
  <c r="K51" i="8"/>
  <c r="K46" i="8"/>
  <c r="K48" i="8"/>
  <c r="K47" i="8"/>
  <c r="K44" i="8"/>
  <c r="K49" i="8"/>
  <c r="M46" i="8"/>
  <c r="M50" i="8"/>
  <c r="M52" i="8"/>
  <c r="M45" i="8"/>
  <c r="M48" i="8"/>
  <c r="M53" i="8"/>
  <c r="M47" i="8"/>
  <c r="M51" i="8"/>
  <c r="M44" i="8"/>
  <c r="M49" i="8"/>
  <c r="M43" i="7"/>
  <c r="I43" i="7"/>
  <c r="E43" i="7"/>
  <c r="K42" i="7"/>
  <c r="G42" i="7"/>
  <c r="M41" i="7"/>
  <c r="I41" i="7"/>
  <c r="E41" i="7"/>
  <c r="J43" i="7"/>
  <c r="D43" i="7"/>
  <c r="I42" i="7"/>
  <c r="D42" i="7"/>
  <c r="H41" i="7"/>
  <c r="H43" i="7"/>
  <c r="M42" i="7"/>
  <c r="H42" i="7"/>
  <c r="L41" i="7"/>
  <c r="G41" i="7"/>
  <c r="L43" i="7"/>
  <c r="G43" i="7"/>
  <c r="L42" i="7"/>
  <c r="F42" i="7"/>
  <c r="K41" i="7"/>
  <c r="F41" i="7"/>
  <c r="K43" i="7"/>
  <c r="F43" i="7"/>
  <c r="J42" i="7"/>
  <c r="E42" i="7"/>
  <c r="J41" i="7"/>
  <c r="D41" i="7"/>
  <c r="M43" i="6"/>
  <c r="I43" i="6"/>
  <c r="E43" i="6"/>
  <c r="K42" i="6"/>
  <c r="G42" i="6"/>
  <c r="M41" i="6"/>
  <c r="I41" i="6"/>
  <c r="E41" i="6"/>
  <c r="J43" i="6"/>
  <c r="D43" i="6"/>
  <c r="I42" i="6"/>
  <c r="D42" i="6"/>
  <c r="H41" i="6"/>
  <c r="H43" i="6"/>
  <c r="M42" i="6"/>
  <c r="H42" i="6"/>
  <c r="L41" i="6"/>
  <c r="G41" i="6"/>
  <c r="L43" i="6"/>
  <c r="G43" i="6"/>
  <c r="L42" i="6"/>
  <c r="F42" i="6"/>
  <c r="K41" i="6"/>
  <c r="F41" i="6"/>
  <c r="K43" i="6"/>
  <c r="F43" i="6"/>
  <c r="J42" i="6"/>
  <c r="E42" i="6"/>
  <c r="J41" i="6"/>
  <c r="D41" i="6"/>
  <c r="M43" i="4"/>
  <c r="I43" i="4"/>
  <c r="E43" i="4"/>
  <c r="K42" i="4"/>
  <c r="G42" i="4"/>
  <c r="M41" i="4"/>
  <c r="I41" i="4"/>
  <c r="E41" i="4"/>
  <c r="J43" i="4"/>
  <c r="D43" i="4"/>
  <c r="I42" i="4"/>
  <c r="D42" i="4"/>
  <c r="H41" i="4"/>
  <c r="H43" i="4"/>
  <c r="M42" i="4"/>
  <c r="H42" i="4"/>
  <c r="L41" i="4"/>
  <c r="G41" i="4"/>
  <c r="L43" i="4"/>
  <c r="G43" i="4"/>
  <c r="L42" i="4"/>
  <c r="F42" i="4"/>
  <c r="K41" i="4"/>
  <c r="F41" i="4"/>
  <c r="K43" i="4"/>
  <c r="F43" i="4"/>
  <c r="J42" i="4"/>
  <c r="E42" i="4"/>
  <c r="J41" i="4"/>
  <c r="D41" i="4"/>
  <c r="M43" i="3"/>
  <c r="I43" i="3"/>
  <c r="E43" i="3"/>
  <c r="K42" i="3"/>
  <c r="G42" i="3"/>
  <c r="M41" i="3"/>
  <c r="I41" i="3"/>
  <c r="E41" i="3"/>
  <c r="H43" i="3"/>
  <c r="M42" i="3"/>
  <c r="H42" i="3"/>
  <c r="L41" i="3"/>
  <c r="G41" i="3"/>
  <c r="L43" i="3"/>
  <c r="G43" i="3"/>
  <c r="L42" i="3"/>
  <c r="F42" i="3"/>
  <c r="K41" i="3"/>
  <c r="F41" i="3"/>
  <c r="K43" i="3"/>
  <c r="F43" i="3"/>
  <c r="J42" i="3"/>
  <c r="E42" i="3"/>
  <c r="J41" i="3"/>
  <c r="D41" i="3"/>
  <c r="J43" i="3"/>
  <c r="D43" i="3"/>
  <c r="I42" i="3"/>
  <c r="D42" i="3"/>
  <c r="H41" i="3"/>
  <c r="I29" i="2"/>
  <c r="B48" i="2"/>
  <c r="B45" i="2"/>
  <c r="B44" i="2"/>
  <c r="B46" i="2"/>
  <c r="B47" i="2"/>
  <c r="B50" i="2"/>
  <c r="B49" i="2"/>
  <c r="B51" i="2"/>
  <c r="B52" i="2"/>
  <c r="B53" i="2"/>
  <c r="F39" i="2"/>
  <c r="G38" i="2"/>
  <c r="H35" i="2"/>
  <c r="F37" i="2"/>
  <c r="H39" i="2"/>
  <c r="E36" i="2"/>
  <c r="E37" i="2"/>
  <c r="E39" i="2"/>
  <c r="D35" i="2"/>
  <c r="G35" i="2"/>
  <c r="G36" i="2"/>
  <c r="G39" i="2"/>
  <c r="G37" i="2"/>
  <c r="E35" i="2"/>
  <c r="E38" i="2"/>
  <c r="F38" i="2"/>
  <c r="H36" i="2"/>
  <c r="D36" i="2"/>
  <c r="D38" i="2"/>
  <c r="D37" i="2"/>
  <c r="H38" i="2"/>
  <c r="H37" i="2"/>
  <c r="F35" i="2"/>
  <c r="F36" i="2"/>
  <c r="G47" i="7" l="1"/>
  <c r="G48" i="7"/>
  <c r="G52" i="7"/>
  <c r="G53" i="7"/>
  <c r="G45" i="7"/>
  <c r="G50" i="7"/>
  <c r="G51" i="7"/>
  <c r="G46" i="7"/>
  <c r="G49" i="7"/>
  <c r="G44" i="7"/>
  <c r="L50" i="7"/>
  <c r="L47" i="7"/>
  <c r="L53" i="7"/>
  <c r="L45" i="7"/>
  <c r="L51" i="7"/>
  <c r="L46" i="7"/>
  <c r="L48" i="7"/>
  <c r="L52" i="7"/>
  <c r="L44" i="7"/>
  <c r="L49" i="7"/>
  <c r="E47" i="7"/>
  <c r="E46" i="7"/>
  <c r="E53" i="7"/>
  <c r="E45" i="7"/>
  <c r="E51" i="7"/>
  <c r="E48" i="7"/>
  <c r="E52" i="7"/>
  <c r="E50" i="7"/>
  <c r="E44" i="7"/>
  <c r="E49" i="7"/>
  <c r="F50" i="7"/>
  <c r="F51" i="7"/>
  <c r="F45" i="7"/>
  <c r="F46" i="7"/>
  <c r="F47" i="7"/>
  <c r="F48" i="7"/>
  <c r="F52" i="7"/>
  <c r="F53" i="7"/>
  <c r="F49" i="7"/>
  <c r="F44" i="7"/>
  <c r="H45" i="7"/>
  <c r="H48" i="7"/>
  <c r="H52" i="7"/>
  <c r="H50" i="7"/>
  <c r="H46" i="7"/>
  <c r="H47" i="7"/>
  <c r="H53" i="7"/>
  <c r="H51" i="7"/>
  <c r="H49" i="7"/>
  <c r="H44" i="7"/>
  <c r="D51" i="7"/>
  <c r="D47" i="7"/>
  <c r="D46" i="7"/>
  <c r="D48" i="7"/>
  <c r="D52" i="7"/>
  <c r="D50" i="7"/>
  <c r="D45" i="7"/>
  <c r="D53" i="7"/>
  <c r="D49" i="7"/>
  <c r="D44" i="7"/>
  <c r="I45" i="7"/>
  <c r="I51" i="7"/>
  <c r="I48" i="7"/>
  <c r="I52" i="7"/>
  <c r="I50" i="7"/>
  <c r="I47" i="7"/>
  <c r="I46" i="7"/>
  <c r="I53" i="7"/>
  <c r="I49" i="7"/>
  <c r="I44" i="7"/>
  <c r="K45" i="7"/>
  <c r="K48" i="7"/>
  <c r="K52" i="7"/>
  <c r="K53" i="7"/>
  <c r="K50" i="7"/>
  <c r="K51" i="7"/>
  <c r="K46" i="7"/>
  <c r="K47" i="7"/>
  <c r="K44" i="7"/>
  <c r="K49" i="7"/>
  <c r="J47" i="7"/>
  <c r="J48" i="7"/>
  <c r="J52" i="7"/>
  <c r="J53" i="7"/>
  <c r="J45" i="7"/>
  <c r="J50" i="7"/>
  <c r="J51" i="7"/>
  <c r="J46" i="7"/>
  <c r="J44" i="7"/>
  <c r="J49" i="7"/>
  <c r="M48" i="7"/>
  <c r="M52" i="7"/>
  <c r="M50" i="7"/>
  <c r="M47" i="7"/>
  <c r="M46" i="7"/>
  <c r="M53" i="7"/>
  <c r="M45" i="7"/>
  <c r="M51" i="7"/>
  <c r="M49" i="7"/>
  <c r="M44" i="7"/>
  <c r="G47" i="6"/>
  <c r="G48" i="6"/>
  <c r="G52" i="6"/>
  <c r="G53" i="6"/>
  <c r="G45" i="6"/>
  <c r="G50" i="6"/>
  <c r="G51" i="6"/>
  <c r="G46" i="6"/>
  <c r="G49" i="6"/>
  <c r="G44" i="6"/>
  <c r="L50" i="6"/>
  <c r="L47" i="6"/>
  <c r="L53" i="6"/>
  <c r="L45" i="6"/>
  <c r="L51" i="6"/>
  <c r="L46" i="6"/>
  <c r="L48" i="6"/>
  <c r="L52" i="6"/>
  <c r="L44" i="6"/>
  <c r="L49" i="6"/>
  <c r="E47" i="6"/>
  <c r="E46" i="6"/>
  <c r="E53" i="6"/>
  <c r="E45" i="6"/>
  <c r="E51" i="6"/>
  <c r="E48" i="6"/>
  <c r="E52" i="6"/>
  <c r="E50" i="6"/>
  <c r="E44" i="6"/>
  <c r="E49" i="6"/>
  <c r="F50" i="6"/>
  <c r="F51" i="6"/>
  <c r="F45" i="6"/>
  <c r="F46" i="6"/>
  <c r="F47" i="6"/>
  <c r="F48" i="6"/>
  <c r="F52" i="6"/>
  <c r="F53" i="6"/>
  <c r="F49" i="6"/>
  <c r="F44" i="6"/>
  <c r="H45" i="6"/>
  <c r="H48" i="6"/>
  <c r="H52" i="6"/>
  <c r="H50" i="6"/>
  <c r="H46" i="6"/>
  <c r="H47" i="6"/>
  <c r="H53" i="6"/>
  <c r="H51" i="6"/>
  <c r="H49" i="6"/>
  <c r="H44" i="6"/>
  <c r="D51" i="6"/>
  <c r="D47" i="6"/>
  <c r="D46" i="6"/>
  <c r="D48" i="6"/>
  <c r="D52" i="6"/>
  <c r="D50" i="6"/>
  <c r="D45" i="6"/>
  <c r="D53" i="6"/>
  <c r="D49" i="6"/>
  <c r="D44" i="6"/>
  <c r="I45" i="6"/>
  <c r="I51" i="6"/>
  <c r="I48" i="6"/>
  <c r="I52" i="6"/>
  <c r="I50" i="6"/>
  <c r="I47" i="6"/>
  <c r="I46" i="6"/>
  <c r="I53" i="6"/>
  <c r="I49" i="6"/>
  <c r="I44" i="6"/>
  <c r="K45" i="6"/>
  <c r="K48" i="6"/>
  <c r="K52" i="6"/>
  <c r="K53" i="6"/>
  <c r="K50" i="6"/>
  <c r="K51" i="6"/>
  <c r="K46" i="6"/>
  <c r="K47" i="6"/>
  <c r="K44" i="6"/>
  <c r="K49" i="6"/>
  <c r="J47" i="6"/>
  <c r="J48" i="6"/>
  <c r="J52" i="6"/>
  <c r="J53" i="6"/>
  <c r="J45" i="6"/>
  <c r="J50" i="6"/>
  <c r="J51" i="6"/>
  <c r="J46" i="6"/>
  <c r="J44" i="6"/>
  <c r="J49" i="6"/>
  <c r="M48" i="6"/>
  <c r="M52" i="6"/>
  <c r="M50" i="6"/>
  <c r="M47" i="6"/>
  <c r="M46" i="6"/>
  <c r="M53" i="6"/>
  <c r="M45" i="6"/>
  <c r="M51" i="6"/>
  <c r="M49" i="6"/>
  <c r="M44" i="6"/>
  <c r="G48" i="4"/>
  <c r="G45" i="4"/>
  <c r="G46" i="4"/>
  <c r="G50" i="4"/>
  <c r="G47" i="4"/>
  <c r="G52" i="4"/>
  <c r="G53" i="4"/>
  <c r="G51" i="4"/>
  <c r="G49" i="4"/>
  <c r="G44" i="4"/>
  <c r="L46" i="4"/>
  <c r="L48" i="4"/>
  <c r="L47" i="4"/>
  <c r="L53" i="4"/>
  <c r="L51" i="4"/>
  <c r="L50" i="4"/>
  <c r="L52" i="4"/>
  <c r="L45" i="4"/>
  <c r="L44" i="4"/>
  <c r="L49" i="4"/>
  <c r="E48" i="4"/>
  <c r="E47" i="4"/>
  <c r="E53" i="4"/>
  <c r="E51" i="4"/>
  <c r="E50" i="4"/>
  <c r="E46" i="4"/>
  <c r="E52" i="4"/>
  <c r="E45" i="4"/>
  <c r="E44" i="4"/>
  <c r="E49" i="4"/>
  <c r="F46" i="4"/>
  <c r="F48" i="4"/>
  <c r="F45" i="4"/>
  <c r="F50" i="4"/>
  <c r="F47" i="4"/>
  <c r="F52" i="4"/>
  <c r="F53" i="4"/>
  <c r="F51" i="4"/>
  <c r="F49" i="4"/>
  <c r="F44" i="4"/>
  <c r="H50" i="4"/>
  <c r="H52" i="4"/>
  <c r="H45" i="4"/>
  <c r="H48" i="4"/>
  <c r="H47" i="4"/>
  <c r="H53" i="4"/>
  <c r="H51" i="4"/>
  <c r="H46" i="4"/>
  <c r="H49" i="4"/>
  <c r="H44" i="4"/>
  <c r="D47" i="4"/>
  <c r="D45" i="4"/>
  <c r="D50" i="4"/>
  <c r="D52" i="4"/>
  <c r="D46" i="4"/>
  <c r="D48" i="4"/>
  <c r="D53" i="4"/>
  <c r="D51" i="4"/>
  <c r="D49" i="4"/>
  <c r="D44" i="4"/>
  <c r="I50" i="4"/>
  <c r="I46" i="4"/>
  <c r="I52" i="4"/>
  <c r="I45" i="4"/>
  <c r="I48" i="4"/>
  <c r="I47" i="4"/>
  <c r="I53" i="4"/>
  <c r="I51" i="4"/>
  <c r="I49" i="4"/>
  <c r="I44" i="4"/>
  <c r="K50" i="4"/>
  <c r="K52" i="4"/>
  <c r="K53" i="4"/>
  <c r="K51" i="4"/>
  <c r="K45" i="4"/>
  <c r="K48" i="4"/>
  <c r="K46" i="4"/>
  <c r="K47" i="4"/>
  <c r="K44" i="4"/>
  <c r="K49" i="4"/>
  <c r="J50" i="4"/>
  <c r="J46" i="4"/>
  <c r="J47" i="4"/>
  <c r="J52" i="4"/>
  <c r="J53" i="4"/>
  <c r="J51" i="4"/>
  <c r="J48" i="4"/>
  <c r="J45" i="4"/>
  <c r="J44" i="4"/>
  <c r="J49" i="4"/>
  <c r="M50" i="4"/>
  <c r="M46" i="4"/>
  <c r="M52" i="4"/>
  <c r="M45" i="4"/>
  <c r="M48" i="4"/>
  <c r="M47" i="4"/>
  <c r="M53" i="4"/>
  <c r="M51" i="4"/>
  <c r="M49" i="4"/>
  <c r="M44" i="4"/>
  <c r="K50" i="3"/>
  <c r="K46" i="3"/>
  <c r="K47" i="3"/>
  <c r="K52" i="3"/>
  <c r="K51" i="3"/>
  <c r="K45" i="3"/>
  <c r="K49" i="3"/>
  <c r="K44" i="3"/>
  <c r="D51" i="3"/>
  <c r="D46" i="3"/>
  <c r="D50" i="3"/>
  <c r="D52" i="3"/>
  <c r="D45" i="3"/>
  <c r="D47" i="3"/>
  <c r="D49" i="3"/>
  <c r="D44" i="3"/>
  <c r="G45" i="3"/>
  <c r="G50" i="3"/>
  <c r="G47" i="3"/>
  <c r="G52" i="3"/>
  <c r="G51" i="3"/>
  <c r="G46" i="3"/>
  <c r="G49" i="3"/>
  <c r="G44" i="3"/>
  <c r="E47" i="3"/>
  <c r="E51" i="3"/>
  <c r="E50" i="3"/>
  <c r="E46" i="3"/>
  <c r="E52" i="3"/>
  <c r="E45" i="3"/>
  <c r="E44" i="3"/>
  <c r="E49" i="3"/>
  <c r="J50" i="3"/>
  <c r="J47" i="3"/>
  <c r="J52" i="3"/>
  <c r="J45" i="3"/>
  <c r="J51" i="3"/>
  <c r="J46" i="3"/>
  <c r="J44" i="3"/>
  <c r="J49" i="3"/>
  <c r="L45" i="3"/>
  <c r="L47" i="3"/>
  <c r="L51" i="3"/>
  <c r="L46" i="3"/>
  <c r="L50" i="3"/>
  <c r="L52" i="3"/>
  <c r="L44" i="3"/>
  <c r="L49" i="3"/>
  <c r="I51" i="3"/>
  <c r="I50" i="3"/>
  <c r="I46" i="3"/>
  <c r="I52" i="3"/>
  <c r="I45" i="3"/>
  <c r="I47" i="3"/>
  <c r="I49" i="3"/>
  <c r="I44" i="3"/>
  <c r="F51" i="3"/>
  <c r="F45" i="3"/>
  <c r="F46" i="3"/>
  <c r="F50" i="3"/>
  <c r="F47" i="3"/>
  <c r="F52" i="3"/>
  <c r="F44" i="3"/>
  <c r="F49" i="3"/>
  <c r="H50" i="3"/>
  <c r="H52" i="3"/>
  <c r="H46" i="3"/>
  <c r="H47" i="3"/>
  <c r="H51" i="3"/>
  <c r="H45" i="3"/>
  <c r="H49" i="3"/>
  <c r="H44" i="3"/>
  <c r="M50" i="3"/>
  <c r="M46" i="3"/>
  <c r="M52" i="3"/>
  <c r="M45" i="3"/>
  <c r="M47" i="3"/>
  <c r="M51" i="3"/>
  <c r="M49" i="3"/>
  <c r="M44" i="3"/>
  <c r="D41" i="2" a="1"/>
  <c r="F41" i="2" l="1"/>
  <c r="K42" i="2"/>
  <c r="K41" i="2"/>
  <c r="I43" i="2"/>
  <c r="E43" i="2"/>
  <c r="K43" i="2"/>
  <c r="E41" i="2"/>
  <c r="L43" i="2"/>
  <c r="D42" i="2"/>
  <c r="G43" i="2"/>
  <c r="H43" i="2"/>
  <c r="E42" i="2"/>
  <c r="J43" i="2"/>
  <c r="J41" i="2"/>
  <c r="H41" i="2"/>
  <c r="G42" i="2"/>
  <c r="D41" i="2"/>
  <c r="F43" i="2"/>
  <c r="M41" i="2"/>
  <c r="I41" i="2"/>
  <c r="M42" i="2"/>
  <c r="J42" i="2"/>
  <c r="F42" i="2"/>
  <c r="H42" i="2"/>
  <c r="D43" i="2"/>
  <c r="M43" i="2"/>
  <c r="I42" i="2"/>
  <c r="L41" i="2"/>
  <c r="G41" i="2"/>
  <c r="L42" i="2"/>
  <c r="I46" i="2" l="1"/>
  <c r="I53" i="2"/>
  <c r="I45" i="2"/>
  <c r="I47" i="2"/>
  <c r="I50" i="2"/>
  <c r="I44" i="2"/>
  <c r="I51" i="2"/>
  <c r="I52" i="2"/>
  <c r="I48" i="2"/>
  <c r="I49" i="2"/>
  <c r="H46" i="2"/>
  <c r="H48" i="2"/>
  <c r="H49" i="2"/>
  <c r="H53" i="2"/>
  <c r="H51" i="2"/>
  <c r="H44" i="2"/>
  <c r="H52" i="2"/>
  <c r="H45" i="2"/>
  <c r="H50" i="2"/>
  <c r="H47" i="2"/>
  <c r="M44" i="2"/>
  <c r="M48" i="2"/>
  <c r="M49" i="2"/>
  <c r="M51" i="2"/>
  <c r="M46" i="2"/>
  <c r="M53" i="2"/>
  <c r="M45" i="2"/>
  <c r="M47" i="2"/>
  <c r="M50" i="2"/>
  <c r="M52" i="2"/>
  <c r="F51" i="2"/>
  <c r="F44" i="2"/>
  <c r="F53" i="2"/>
  <c r="F47" i="2"/>
  <c r="F46" i="2"/>
  <c r="F49" i="2"/>
  <c r="F52" i="2"/>
  <c r="F48" i="2"/>
  <c r="F50" i="2"/>
  <c r="F45" i="2"/>
  <c r="G48" i="2"/>
  <c r="G51" i="2"/>
  <c r="G46" i="2"/>
  <c r="G50" i="2"/>
  <c r="G52" i="2"/>
  <c r="G53" i="2"/>
  <c r="G47" i="2"/>
  <c r="G44" i="2"/>
  <c r="G49" i="2"/>
  <c r="G45" i="2"/>
  <c r="K52" i="2"/>
  <c r="K45" i="2"/>
  <c r="K51" i="2"/>
  <c r="K46" i="2"/>
  <c r="K48" i="2"/>
  <c r="K50" i="2"/>
  <c r="K44" i="2"/>
  <c r="K49" i="2"/>
  <c r="K53" i="2"/>
  <c r="K47" i="2"/>
  <c r="L51" i="2"/>
  <c r="L52" i="2"/>
  <c r="L44" i="2"/>
  <c r="L53" i="2"/>
  <c r="L47" i="2"/>
  <c r="L46" i="2"/>
  <c r="L48" i="2"/>
  <c r="L49" i="2"/>
  <c r="L45" i="2"/>
  <c r="L50" i="2"/>
  <c r="D49" i="2"/>
  <c r="D47" i="2"/>
  <c r="D46" i="2"/>
  <c r="D52" i="2"/>
  <c r="D50" i="2"/>
  <c r="D53" i="2"/>
  <c r="D45" i="2"/>
  <c r="D51" i="2"/>
  <c r="D44" i="2"/>
  <c r="D48" i="2"/>
  <c r="J45" i="2"/>
  <c r="J52" i="2"/>
  <c r="J53" i="2"/>
  <c r="J50" i="2"/>
  <c r="J51" i="2"/>
  <c r="J44" i="2"/>
  <c r="J47" i="2"/>
  <c r="J46" i="2"/>
  <c r="J48" i="2"/>
  <c r="J49" i="2"/>
  <c r="E51" i="2"/>
  <c r="E52" i="2"/>
  <c r="E48" i="2"/>
  <c r="E49" i="2"/>
  <c r="E47" i="2"/>
  <c r="E50" i="2"/>
  <c r="E46" i="2"/>
  <c r="E45" i="2"/>
  <c r="E44" i="2"/>
  <c r="E53" i="2"/>
  <c r="L24" i="5"/>
  <c r="K28" i="5" s="1"/>
  <c r="M24" i="5"/>
  <c r="L28" i="5"/>
  <c r="M28" i="5" s="1"/>
  <c r="M23" i="5"/>
  <c r="C45" i="5" s="1"/>
  <c r="K29" i="5" l="1"/>
  <c r="L29" i="5"/>
  <c r="B47" i="5" s="1"/>
  <c r="C46" i="5"/>
  <c r="B44" i="5" l="1"/>
  <c r="B45" i="5"/>
  <c r="B48" i="5"/>
  <c r="D41" i="5" s="1" a="1"/>
  <c r="L43" i="5" s="1"/>
  <c r="M29" i="5"/>
  <c r="B46" i="5"/>
  <c r="G42" i="5" l="1"/>
  <c r="E43" i="5"/>
  <c r="I42" i="5"/>
  <c r="M43" i="5"/>
  <c r="M52" i="5" s="1"/>
  <c r="D43" i="5"/>
  <c r="J43" i="5"/>
  <c r="G41" i="5"/>
  <c r="H42" i="5"/>
  <c r="F43" i="5"/>
  <c r="I41" i="5"/>
  <c r="K43" i="5"/>
  <c r="K41" i="5"/>
  <c r="J41" i="5"/>
  <c r="L42" i="5"/>
  <c r="L48" i="5" s="1"/>
  <c r="M41" i="5"/>
  <c r="E42" i="5"/>
  <c r="E50" i="5" s="1"/>
  <c r="H41" i="5"/>
  <c r="H43" i="5"/>
  <c r="J42" i="5"/>
  <c r="J50" i="5" s="1"/>
  <c r="F41" i="5"/>
  <c r="G43" i="5"/>
  <c r="K42" i="5"/>
  <c r="F42" i="5"/>
  <c r="F48" i="5" s="1"/>
  <c r="D42" i="5"/>
  <c r="D45" i="5" s="1"/>
  <c r="M42" i="5"/>
  <c r="E41" i="5"/>
  <c r="I43" i="5"/>
  <c r="I53" i="5" s="1"/>
  <c r="L41" i="5"/>
  <c r="D41" i="5"/>
  <c r="G51" i="5"/>
  <c r="J45" i="5"/>
  <c r="G47" i="5"/>
  <c r="G53" i="5"/>
  <c r="G48" i="5"/>
  <c r="K53" i="5"/>
  <c r="G50" i="5"/>
  <c r="G45" i="5"/>
  <c r="G46" i="5"/>
  <c r="G44" i="5"/>
  <c r="G52" i="5"/>
  <c r="L53" i="5"/>
  <c r="L52" i="5"/>
  <c r="L47" i="5"/>
  <c r="L46" i="5"/>
  <c r="L44" i="5" l="1"/>
  <c r="L50" i="5"/>
  <c r="H52" i="5"/>
  <c r="K48" i="5"/>
  <c r="L45" i="5"/>
  <c r="L49" i="5"/>
  <c r="L51" i="5"/>
  <c r="I50" i="5"/>
  <c r="F45" i="5"/>
  <c r="F44" i="5"/>
  <c r="K45" i="5"/>
  <c r="D48" i="5"/>
  <c r="J44" i="5"/>
  <c r="F46" i="5"/>
  <c r="H53" i="5"/>
  <c r="I49" i="5"/>
  <c r="M46" i="5"/>
  <c r="M49" i="5"/>
  <c r="I47" i="5"/>
  <c r="I52" i="5"/>
  <c r="F49" i="5"/>
  <c r="E47" i="5"/>
  <c r="K49" i="5"/>
  <c r="J49" i="5"/>
  <c r="E46" i="5"/>
  <c r="F51" i="5"/>
  <c r="H47" i="5"/>
  <c r="I44" i="5"/>
  <c r="M48" i="5"/>
  <c r="E49" i="5"/>
  <c r="F47" i="5"/>
  <c r="K47" i="5"/>
  <c r="K51" i="5"/>
  <c r="E53" i="5"/>
  <c r="J51" i="5"/>
  <c r="F52" i="5"/>
  <c r="D46" i="5"/>
  <c r="H50" i="5"/>
  <c r="D47" i="5"/>
  <c r="M45" i="5"/>
  <c r="E45" i="5"/>
  <c r="D50" i="5"/>
  <c r="I48" i="5"/>
  <c r="H48" i="5"/>
  <c r="H44" i="5"/>
  <c r="H51" i="5"/>
  <c r="I46" i="5"/>
  <c r="I51" i="5"/>
  <c r="D49" i="5"/>
  <c r="D44" i="5"/>
  <c r="K44" i="5"/>
  <c r="K50" i="5"/>
  <c r="D51" i="5"/>
  <c r="J46" i="5"/>
  <c r="J53" i="5"/>
  <c r="J52" i="5"/>
  <c r="M47" i="5"/>
  <c r="M51" i="5"/>
  <c r="F53" i="5"/>
  <c r="E52" i="5"/>
  <c r="H46" i="5"/>
  <c r="E44" i="5"/>
  <c r="M53" i="5"/>
  <c r="H45" i="5"/>
  <c r="H49" i="5"/>
  <c r="I45" i="5"/>
  <c r="J48" i="5"/>
  <c r="D52" i="5"/>
  <c r="E48" i="5"/>
  <c r="K46" i="5"/>
  <c r="K52" i="5"/>
  <c r="E51" i="5"/>
  <c r="J47" i="5"/>
  <c r="M44" i="5"/>
  <c r="M50" i="5"/>
  <c r="F50" i="5"/>
  <c r="D53" i="5"/>
  <c r="G49" i="5"/>
</calcChain>
</file>

<file path=xl/sharedStrings.xml><?xml version="1.0" encoding="utf-8"?>
<sst xmlns="http://schemas.openxmlformats.org/spreadsheetml/2006/main" count="291" uniqueCount="39">
  <si>
    <t>eta_0</t>
  </si>
  <si>
    <t>eta</t>
  </si>
  <si>
    <t>pressione</t>
  </si>
  <si>
    <t>densità aria</t>
  </si>
  <si>
    <t>g</t>
  </si>
  <si>
    <t>Raggio</t>
  </si>
  <si>
    <t>Misura di d</t>
  </si>
  <si>
    <t>n</t>
  </si>
  <si>
    <t>d</t>
  </si>
  <si>
    <t>Errore</t>
  </si>
  <si>
    <t>Errore strumentale</t>
  </si>
  <si>
    <t>Dev std media</t>
  </si>
  <si>
    <t xml:space="preserve">Valore </t>
  </si>
  <si>
    <t>Costanti varie</t>
  </si>
  <si>
    <t>densità olio</t>
  </si>
  <si>
    <t>cst corr vis</t>
  </si>
  <si>
    <t>Misure</t>
  </si>
  <si>
    <t>discesa</t>
  </si>
  <si>
    <t>salita</t>
  </si>
  <si>
    <t>deltaV</t>
  </si>
  <si>
    <t>v</t>
  </si>
  <si>
    <t>r</t>
  </si>
  <si>
    <t>Q</t>
  </si>
  <si>
    <t>Ohm</t>
  </si>
  <si>
    <t>t</t>
  </si>
  <si>
    <t>e</t>
  </si>
  <si>
    <t>errore</t>
  </si>
  <si>
    <t>Velocità</t>
  </si>
  <si>
    <t>Media</t>
  </si>
  <si>
    <t>DevStd</t>
  </si>
  <si>
    <t>Errore Prop</t>
  </si>
  <si>
    <t>deltax</t>
  </si>
  <si>
    <t>E</t>
  </si>
  <si>
    <t>Carica</t>
  </si>
  <si>
    <t>DevStdM</t>
  </si>
  <si>
    <t>q</t>
  </si>
  <si>
    <t>d0</t>
  </si>
  <si>
    <t>d1</t>
  </si>
  <si>
    <t>discess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</si>
</sst>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6" sqref="H16"/>
    </sheetView>
  </sheetViews>
  <sheetFormatPr defaultRowHeight="14.25" x14ac:dyDescent="0.45"/>
  <cols>
    <col min="1" max="1" width="12.3984375" bestFit="1" customWidth="1"/>
    <col min="2" max="2" width="13.3984375" bestFit="1" customWidth="1"/>
    <col min="7" max="7" width="11.59765625" bestFit="1" customWidth="1"/>
  </cols>
  <sheetData>
    <row r="1" spans="1:9" x14ac:dyDescent="0.45">
      <c r="A1" s="6" t="s">
        <v>13</v>
      </c>
      <c r="B1" s="6"/>
      <c r="C1" s="6"/>
    </row>
    <row r="2" spans="1:9" x14ac:dyDescent="0.45">
      <c r="A2" s="6"/>
      <c r="B2" s="6"/>
      <c r="C2" s="6"/>
    </row>
    <row r="4" spans="1:9" x14ac:dyDescent="0.45">
      <c r="B4" t="s">
        <v>12</v>
      </c>
      <c r="C4" t="s">
        <v>9</v>
      </c>
    </row>
    <row r="5" spans="1:9" x14ac:dyDescent="0.45">
      <c r="A5" t="s">
        <v>8</v>
      </c>
      <c r="B5">
        <f>AVERAGE(G8:G14)</f>
        <v>7.4300000000000008E-3</v>
      </c>
      <c r="C5" s="1">
        <f>MAX(G15:G16)</f>
        <v>1.0000000000000001E-5</v>
      </c>
    </row>
    <row r="6" spans="1:9" x14ac:dyDescent="0.45">
      <c r="A6" t="s">
        <v>4</v>
      </c>
      <c r="B6">
        <v>9.8059999999999992</v>
      </c>
      <c r="C6">
        <v>0</v>
      </c>
      <c r="F6" s="5" t="s">
        <v>6</v>
      </c>
      <c r="G6" s="5"/>
    </row>
    <row r="7" spans="1:9" x14ac:dyDescent="0.45">
      <c r="A7" t="s">
        <v>2</v>
      </c>
      <c r="B7">
        <v>101325</v>
      </c>
      <c r="C7">
        <v>0</v>
      </c>
      <c r="F7" t="s">
        <v>7</v>
      </c>
      <c r="G7" t="s">
        <v>8</v>
      </c>
      <c r="H7" t="s">
        <v>36</v>
      </c>
      <c r="I7" t="s">
        <v>37</v>
      </c>
    </row>
    <row r="8" spans="1:9" x14ac:dyDescent="0.45">
      <c r="A8" t="s">
        <v>3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45">
      <c r="A9" t="s">
        <v>14</v>
      </c>
      <c r="B9">
        <v>1293</v>
      </c>
      <c r="C9">
        <v>0</v>
      </c>
      <c r="F9">
        <v>2</v>
      </c>
      <c r="G9">
        <f t="shared" ref="G9:G14" si="0">I9-H9</f>
        <v>7.43E-3</v>
      </c>
      <c r="H9" s="1">
        <v>0</v>
      </c>
      <c r="I9" s="1">
        <v>7.43E-3</v>
      </c>
    </row>
    <row r="10" spans="1:9" x14ac:dyDescent="0.45">
      <c r="A10" t="s">
        <v>15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45">
      <c r="A11" t="s">
        <v>25</v>
      </c>
      <c r="B11" s="4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45">
      <c r="A12" t="s">
        <v>31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45"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45">
      <c r="F14">
        <v>7</v>
      </c>
      <c r="G14">
        <f t="shared" ref="G14" si="1">I14-H14</f>
        <v>7.4400000000000004E-3</v>
      </c>
      <c r="H14" s="1">
        <v>0</v>
      </c>
      <c r="I14" s="1">
        <v>7.4400000000000004E-3</v>
      </c>
    </row>
    <row r="15" spans="1:9" x14ac:dyDescent="0.45">
      <c r="F15" t="s">
        <v>10</v>
      </c>
      <c r="G15" s="1">
        <v>1.0000000000000001E-5</v>
      </c>
    </row>
    <row r="16" spans="1:9" x14ac:dyDescent="0.45">
      <c r="F16" t="s">
        <v>11</v>
      </c>
      <c r="G16">
        <f>_xlfn.STDEV.S(G8:G14)/SQRT(7)</f>
        <v>3.0860669992418463E-6</v>
      </c>
    </row>
  </sheetData>
  <mergeCells count="2">
    <mergeCell ref="F6:G6"/>
    <mergeCell ref="A1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7" zoomScaleNormal="100" workbookViewId="0">
      <selection activeCell="D35" sqref="D35:H39"/>
    </sheetView>
  </sheetViews>
  <sheetFormatPr defaultRowHeight="14.25" x14ac:dyDescent="0.45"/>
  <cols>
    <col min="1" max="1" width="11.3984375" bestFit="1" customWidth="1"/>
    <col min="2" max="2" width="10.1328125" customWidth="1"/>
    <col min="3" max="4" width="13.265625" bestFit="1" customWidth="1"/>
    <col min="5" max="7" width="13.1328125" bestFit="1" customWidth="1"/>
    <col min="9" max="9" width="9.33203125" bestFit="1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301</v>
      </c>
      <c r="C16">
        <f>B16/100</f>
        <v>3.01</v>
      </c>
      <c r="D16" t="s">
        <v>0</v>
      </c>
      <c r="E16">
        <f>(1.8+(B18-15)*0.004765)*0.00001</f>
        <v>1.8333550000000003E-5</v>
      </c>
    </row>
    <row r="17" spans="1:13" x14ac:dyDescent="0.45">
      <c r="A17" t="s">
        <v>23</v>
      </c>
      <c r="D17" t="s">
        <v>1</v>
      </c>
      <c r="E17" s="2">
        <f>E16/(1+$B$10/($B$7*B29))</f>
        <v>1.5892865939688976E-5</v>
      </c>
    </row>
    <row r="18" spans="1:13" x14ac:dyDescent="0.45">
      <c r="A18" t="s">
        <v>24</v>
      </c>
      <c r="B18">
        <v>22</v>
      </c>
      <c r="D18" t="s">
        <v>32</v>
      </c>
      <c r="E18" s="1">
        <f>B16/B5</f>
        <v>40511.440107671595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15.2</v>
      </c>
      <c r="C22" s="1">
        <f>B12/B22</f>
        <v>3.2894736842105262E-5</v>
      </c>
      <c r="D22">
        <f>(($B$10/(2*$B$7))^2+9*E16*C22/(2*$B$6*($B$9-$B$8)))^(1/2)-$B$10/(2*$B$7)</f>
        <v>5.2868574672021356E-7</v>
      </c>
      <c r="E22" s="1">
        <f>(D22+$B$10/(2*$B$7))^(-1)*9*E16/(2*$B$6*($B$9-$B$8))*1/2*C28</f>
        <v>3.6001802649346206E-9</v>
      </c>
      <c r="F22" s="1"/>
      <c r="G22">
        <v>10.3</v>
      </c>
      <c r="H22" s="1">
        <f>$B$12/(G22)</f>
        <v>4.8543689320388346E-5</v>
      </c>
      <c r="I22" s="1">
        <f>-(4*PI()/3)*B29^3*($B$9-$B$8)*($B$6/E18)*(1+ABS(H22)/B28)</f>
        <v>-3.1654779217296025E-19</v>
      </c>
      <c r="K22">
        <v>4.3</v>
      </c>
      <c r="L22" s="1">
        <f>B12/K22</f>
        <v>1.1627906976744187E-4</v>
      </c>
      <c r="M22" s="1">
        <f>-(4*PI()/3)*B29^3*($B$9-$B$8)*($B$6/$E$18)*(1-ABS(L22)/B28)</f>
        <v>3.2563655889261418E-19</v>
      </c>
    </row>
    <row r="23" spans="1:13" x14ac:dyDescent="0.45">
      <c r="A23">
        <v>2</v>
      </c>
      <c r="B23">
        <v>30.8</v>
      </c>
      <c r="C23" s="1">
        <f>$B$12/(B23-B22)</f>
        <v>3.2051282051282051E-5</v>
      </c>
      <c r="D23">
        <f>(($B$10/(2*$B$7))^2+9*E16*C23/(2*$B$6*($B$9-$B$8)))^(1/2)-$B$10/(2*$B$7)</f>
        <v>5.2137893602708232E-7</v>
      </c>
      <c r="E23" s="1">
        <f>(D23+$B$10/(2*$B$7))^(-1)*9*E16/(2*$B$6*($B$9-$B$8))*1/2*C28</f>
        <v>3.6470008989749427E-9</v>
      </c>
      <c r="F23" s="1"/>
      <c r="G23">
        <v>20.7</v>
      </c>
      <c r="H23" s="1">
        <f>$B$12/(G23-G22)</f>
        <v>4.8076923076923084E-5</v>
      </c>
      <c r="I23" s="1">
        <f>-(4*PI()/3)*B29^3*($B$9-$B$8)*($B$6/E18)*(1+ABS(H23)/B28)</f>
        <v>-3.1472917210605958E-19</v>
      </c>
      <c r="K23">
        <v>8.6999999999999993</v>
      </c>
      <c r="L23" s="1">
        <f>$B$12/(K23-K22)</f>
        <v>1.1363636363636365E-4</v>
      </c>
      <c r="M23" s="1">
        <f>-(4*PI()/3)*B29^3*($B$9-$B$8)*($B$6/$E$18)*(1-ABS(L23)/B28)</f>
        <v>3.1534001652652546E-19</v>
      </c>
    </row>
    <row r="24" spans="1:13" x14ac:dyDescent="0.45">
      <c r="A24">
        <v>3</v>
      </c>
      <c r="B24">
        <v>45.7</v>
      </c>
      <c r="C24" s="1">
        <f t="shared" ref="C24:C26" si="0">$B$12/(B24-B23)</f>
        <v>3.3557046979865769E-5</v>
      </c>
      <c r="D24">
        <f>(($B$10/(2*$B$7))^2+9*E16*C24/(2*$B$6*($B$9-$B$8)))^(1/2)-$B$10/(2*$B$7)</f>
        <v>5.343582122273456E-7</v>
      </c>
      <c r="E24" s="1">
        <f>(D24+$B$10/(2*$B$7))^(-1)*9*E16/(2*$B$6*($B$9-$B$8))*1/2*C28</f>
        <v>3.5646529259988911E-9</v>
      </c>
      <c r="F24" s="1"/>
      <c r="G24">
        <v>31.1</v>
      </c>
      <c r="H24" s="1">
        <f>$B$12/(G24-G23)</f>
        <v>4.807692307692307E-5</v>
      </c>
      <c r="I24" s="1">
        <f>-(4*PI()/3)*B29^3*($B$9-$B$8)*($B$6/E18)*(1+ABS(H24)/B28)</f>
        <v>-3.1472917210605953E-19</v>
      </c>
      <c r="K24">
        <v>13.2</v>
      </c>
      <c r="L24" s="1">
        <f t="shared" ref="L24:L26" si="1">$B$12/(K24-K23)</f>
        <v>1.1111111111111112E-4</v>
      </c>
      <c r="M24" s="1">
        <f>-(4*PI()/3)*B29^3*($B$9-$B$8)*($B$6/E18)*(1-ABS(L24)/B28)</f>
        <v>3.0550109826559619E-19</v>
      </c>
    </row>
    <row r="25" spans="1:13" x14ac:dyDescent="0.45">
      <c r="A25">
        <v>4</v>
      </c>
      <c r="B25">
        <v>60.6</v>
      </c>
      <c r="C25" s="1">
        <f t="shared" si="0"/>
        <v>3.3557046979865775E-5</v>
      </c>
      <c r="D25">
        <f>(($B$10/(2*$B$7))^2+9*E16*C25/(2*$B$6*($B$9-$B$8)))^(1/2)-$B$10/(2*$B$7)</f>
        <v>5.3435821222734571E-7</v>
      </c>
      <c r="E25" s="1">
        <f>(D25+$B$10/(2*$B$7))^(-1)*9*E16/(2*$B$6*($B$9-$B$8))*1/2*C28</f>
        <v>3.5646529259988894E-9</v>
      </c>
      <c r="F25" s="1"/>
      <c r="G25">
        <v>41.6</v>
      </c>
      <c r="H25" s="1">
        <f>$B$12/(G25-G24)</f>
        <v>4.761904761904762E-5</v>
      </c>
      <c r="I25" s="1">
        <f>-(4*PI()/3)*B29^3*($B$9-$B$8)*($B$6/E18)*(1+ABS(H25)/B28)</f>
        <v>-3.1294519242138558E-19</v>
      </c>
      <c r="K25">
        <v>17.399999999999999</v>
      </c>
      <c r="L25" s="1">
        <f t="shared" si="1"/>
        <v>1.1904761904761907E-4</v>
      </c>
      <c r="M25" s="1">
        <f>-(4*PI()/3)*B29^3*($B$9-$B$8)*($B$6/E18)*(1-ABS(L25)/B28)</f>
        <v>3.3642341279994535E-19</v>
      </c>
    </row>
    <row r="26" spans="1:13" x14ac:dyDescent="0.45">
      <c r="A26">
        <v>5</v>
      </c>
      <c r="B26">
        <v>76.5</v>
      </c>
      <c r="C26" s="1">
        <f t="shared" si="0"/>
        <v>3.144654088050315E-5</v>
      </c>
      <c r="D26">
        <f>(($B$10/(2*$B$7))^2+9*E16*C26/(2*$B$6*($B$9-$B$8)))^(1/2)-$B$10/(2*$B$7)</f>
        <v>5.1608104663133366E-7</v>
      </c>
      <c r="E26" s="1">
        <f>(D26+$B$10/(2*$B$7))^(-1)*9*E16/(2*$B$6*($B$9-$B$8))*1/2*C28</f>
        <v>3.6817176080298484E-9</v>
      </c>
      <c r="F26" s="1"/>
      <c r="G26">
        <v>52</v>
      </c>
      <c r="H26" s="1">
        <f>$B$12/(G26-G25)</f>
        <v>4.8076923076923084E-5</v>
      </c>
      <c r="I26" s="1">
        <f>-(4*PI()/3)*B29^3*($B$9-$B$8)*($B$6/E18)*(1+ABS(H26)/B28)</f>
        <v>-3.1472917210605958E-19</v>
      </c>
      <c r="K26">
        <v>21.7</v>
      </c>
      <c r="L26" s="1">
        <f t="shared" si="1"/>
        <v>1.1627906976744184E-4</v>
      </c>
      <c r="M26" s="1">
        <f>-(4*PI()/3)*B29^3*($B$9-$B$8)*($B$6/E18)*(1-ABS(L26)/B28)</f>
        <v>3.2563655889261408E-19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3.2701330746724399E-5</v>
      </c>
      <c r="C28" s="1">
        <f>_xlfn.STDEV.S(C22:C26)/SQRT(COUNT(C22:C26))</f>
        <v>4.1826829761958E-7</v>
      </c>
      <c r="F28" t="s">
        <v>27</v>
      </c>
      <c r="G28" s="1">
        <f>AVERAGE(L22:L26)</f>
        <v>1.1527064666599552E-4</v>
      </c>
      <c r="H28" s="1">
        <f>_xlfn.STDEV.S(L22:L26)</f>
        <v>3.01131083283919E-6</v>
      </c>
      <c r="I28" s="2">
        <f>H28/SQRT(5)</f>
        <v>1.346699144721987E-6</v>
      </c>
      <c r="J28" t="str">
        <f>F28</f>
        <v>Velocità</v>
      </c>
      <c r="K28" s="1">
        <f>AVERAGE(H22:H26)</f>
        <v>4.8078701234041045E-5</v>
      </c>
      <c r="L28" s="1">
        <f>_xlfn.STDEV.S(H22:H26)/SQRT(COUNT(H22:H26))</f>
        <v>1.4620274480146689E-7</v>
      </c>
      <c r="M28" s="2">
        <f>L28/SQRT(5)</f>
        <v>6.5383855174626789E-8</v>
      </c>
    </row>
    <row r="29" spans="1:13" x14ac:dyDescent="0.45">
      <c r="A29" t="s">
        <v>5</v>
      </c>
      <c r="B29">
        <f>AVERAGE(D22:D26)</f>
        <v>5.2697243076666417E-7</v>
      </c>
      <c r="C29">
        <f>_xlfn.STDEV.S(D22:D26)/SQRT(COUNT(D22:D26))</f>
        <v>3.619008282054895E-9</v>
      </c>
      <c r="D29" s="1">
        <f>(B29+$B$10/(2*$B$7))^(-1)*9*E16/(2*$B$6*($B$9-$B$8))*1/2*C28</f>
        <v>3.6110506418383562E-9</v>
      </c>
      <c r="F29" t="s">
        <v>33</v>
      </c>
      <c r="G29">
        <f>AVERAGE(M22:M26)</f>
        <v>3.217075290754591E-19</v>
      </c>
      <c r="H29">
        <f>_xlfn.STDEV.S(M22:M26)</f>
        <v>1.1732704292452009E-20</v>
      </c>
      <c r="I29" s="2">
        <f>H29/SQRT(5)</f>
        <v>5.2470248715652531E-21</v>
      </c>
      <c r="J29" t="str">
        <f>F29</f>
        <v>Carica</v>
      </c>
      <c r="K29">
        <f>AVERAGE(I22:I26)</f>
        <v>-3.1473610018250486E-19</v>
      </c>
      <c r="L29">
        <f>_xlfn.STDEV.S(I22:I26)/SQRT(COUNT(I22:I26))</f>
        <v>5.6963683482755803E-22</v>
      </c>
      <c r="M29" s="2">
        <f>L29/SQRT(5)</f>
        <v>2.5474933703244788E-22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3.6001802649346206E-9</v>
      </c>
      <c r="E33">
        <v>3.6470008989749427E-9</v>
      </c>
      <c r="F33">
        <v>3.5646529259988911E-9</v>
      </c>
      <c r="G33">
        <v>3.5646529259988894E-9</v>
      </c>
      <c r="H33">
        <v>3.6817176080298484E-9</v>
      </c>
    </row>
    <row r="34" spans="1:13" x14ac:dyDescent="0.45">
      <c r="C34" t="s">
        <v>21</v>
      </c>
      <c r="D34">
        <v>5.2868574672021356E-7</v>
      </c>
      <c r="E34">
        <v>5.2137893602708232E-7</v>
      </c>
      <c r="F34">
        <v>5.343582122273456E-7</v>
      </c>
      <c r="G34">
        <v>5.3435821222734571E-7</v>
      </c>
      <c r="H34">
        <v>5.1608104663133366E-7</v>
      </c>
    </row>
    <row r="35" spans="1:13" x14ac:dyDescent="0.45">
      <c r="A35">
        <v>1</v>
      </c>
      <c r="B35" s="1">
        <f>E22</f>
        <v>3.6001802649346206E-9</v>
      </c>
      <c r="C35">
        <f>D22</f>
        <v>5.2868574672021356E-7</v>
      </c>
      <c r="D35">
        <f t="shared" ref="D35:H39" si="2">($C35-D$34)/SQRT($B35^2+D$33^2)</f>
        <v>0</v>
      </c>
      <c r="E35">
        <f t="shared" si="2"/>
        <v>1.4258199019856976</v>
      </c>
      <c r="F35">
        <f t="shared" si="2"/>
        <v>-1.11963235139943</v>
      </c>
      <c r="G35">
        <f t="shared" si="2"/>
        <v>-1.1196323513994511</v>
      </c>
      <c r="H35">
        <f t="shared" si="2"/>
        <v>2.4477987396944005</v>
      </c>
    </row>
    <row r="36" spans="1:13" x14ac:dyDescent="0.45">
      <c r="A36">
        <v>2</v>
      </c>
      <c r="B36">
        <f>E23</f>
        <v>3.6470008989749427E-9</v>
      </c>
      <c r="C36">
        <f>D23</f>
        <v>5.2137893602708232E-7</v>
      </c>
      <c r="D36">
        <f t="shared" si="2"/>
        <v>-1.4258199019856976</v>
      </c>
      <c r="E36">
        <f t="shared" si="2"/>
        <v>0</v>
      </c>
      <c r="F36">
        <f t="shared" si="2"/>
        <v>-2.5450849877849717</v>
      </c>
      <c r="G36">
        <f t="shared" si="2"/>
        <v>-2.5450849877849935</v>
      </c>
      <c r="H36">
        <f t="shared" si="2"/>
        <v>1.022315561157852</v>
      </c>
    </row>
    <row r="37" spans="1:13" x14ac:dyDescent="0.45">
      <c r="A37">
        <v>3</v>
      </c>
      <c r="B37">
        <f>E24</f>
        <v>3.5646529259988911E-9</v>
      </c>
      <c r="C37">
        <f>D24</f>
        <v>5.343582122273456E-7</v>
      </c>
      <c r="D37">
        <f t="shared" si="2"/>
        <v>1.11963235139943</v>
      </c>
      <c r="E37">
        <f t="shared" si="2"/>
        <v>2.5450849877849717</v>
      </c>
      <c r="F37">
        <f t="shared" si="2"/>
        <v>0</v>
      </c>
      <c r="G37">
        <f t="shared" si="2"/>
        <v>-2.1002842118356681E-14</v>
      </c>
      <c r="H37">
        <f t="shared" si="2"/>
        <v>3.5665362539576511</v>
      </c>
    </row>
    <row r="38" spans="1:13" x14ac:dyDescent="0.45">
      <c r="A38">
        <v>4</v>
      </c>
      <c r="B38">
        <f>E25</f>
        <v>3.5646529259988894E-9</v>
      </c>
      <c r="C38">
        <f>D25</f>
        <v>5.3435821222734571E-7</v>
      </c>
      <c r="D38">
        <f t="shared" si="2"/>
        <v>1.1196323513994511</v>
      </c>
      <c r="E38">
        <f t="shared" si="2"/>
        <v>2.5450849877849935</v>
      </c>
      <c r="F38">
        <f t="shared" si="2"/>
        <v>2.1002842118356681E-14</v>
      </c>
      <c r="G38">
        <f t="shared" si="2"/>
        <v>0</v>
      </c>
      <c r="H38">
        <f t="shared" si="2"/>
        <v>3.5665362539576724</v>
      </c>
    </row>
    <row r="39" spans="1:13" x14ac:dyDescent="0.45">
      <c r="A39">
        <v>5</v>
      </c>
      <c r="B39">
        <f>E26</f>
        <v>3.6817176080298484E-9</v>
      </c>
      <c r="C39">
        <f>D26</f>
        <v>5.1608104663133366E-7</v>
      </c>
      <c r="D39">
        <f t="shared" si="2"/>
        <v>-2.4477987396944005</v>
      </c>
      <c r="E39">
        <f t="shared" si="2"/>
        <v>-1.022315561157852</v>
      </c>
      <c r="F39">
        <f t="shared" si="2"/>
        <v>-3.5665362539576511</v>
      </c>
      <c r="G39">
        <f t="shared" si="2"/>
        <v>-3.5665362539576724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1.1732704292452009E-20</v>
      </c>
      <c r="E42">
        <v>1.1732704292452009E-20</v>
      </c>
      <c r="F42">
        <v>1.1732704292452009E-20</v>
      </c>
      <c r="G42">
        <v>1.1732704292452009E-20</v>
      </c>
      <c r="H42">
        <v>1.1732704292452009E-20</v>
      </c>
      <c r="I42">
        <v>-3.1473610018250486E-19</v>
      </c>
      <c r="J42">
        <v>-3.1473610018250486E-19</v>
      </c>
      <c r="K42">
        <v>-3.1473610018250486E-19</v>
      </c>
      <c r="L42">
        <v>-3.1473610018250486E-19</v>
      </c>
      <c r="M42">
        <v>-3.1473610018250486E-19</v>
      </c>
    </row>
    <row r="43" spans="1:13" x14ac:dyDescent="0.45">
      <c r="C43" t="s">
        <v>35</v>
      </c>
      <c r="D43">
        <v>3.2563655889261418E-19</v>
      </c>
      <c r="E43">
        <v>3.1534001652652546E-19</v>
      </c>
      <c r="F43">
        <v>3.0550109826559619E-19</v>
      </c>
      <c r="G43">
        <v>3.3642341279994535E-19</v>
      </c>
      <c r="H43">
        <v>3.2563655889261408E-19</v>
      </c>
      <c r="I43">
        <v>-3.1654779217296025E-19</v>
      </c>
      <c r="J43">
        <v>-3.1472917210605958E-19</v>
      </c>
      <c r="K43">
        <v>-3.1472917210605953E-19</v>
      </c>
      <c r="L43">
        <v>-3.1294519242138558E-19</v>
      </c>
      <c r="M43">
        <v>-3.1472917210605958E-19</v>
      </c>
    </row>
    <row r="44" spans="1:13" x14ac:dyDescent="0.45">
      <c r="A44">
        <v>1</v>
      </c>
      <c r="B44">
        <f>$H$29</f>
        <v>1.1732704292452009E-20</v>
      </c>
      <c r="C44">
        <f>M22</f>
        <v>3.2563655889261418E-19</v>
      </c>
      <c r="D44">
        <f>($C44-D$43)/SQRT($B44^2+D$42^2)</f>
        <v>0</v>
      </c>
      <c r="E44">
        <f t="shared" ref="E44:M44" si="3">($C44-E$43)/SQRT($B44^2+E$42^2)</f>
        <v>0.62055215475939662</v>
      </c>
      <c r="F44">
        <f t="shared" si="3"/>
        <v>1.2135242137517115</v>
      </c>
      <c r="G44">
        <f t="shared" si="3"/>
        <v>-0.65010225736699423</v>
      </c>
      <c r="H44">
        <f t="shared" si="3"/>
        <v>5.8035985985027974E-15</v>
      </c>
      <c r="I44">
        <f t="shared" si="3"/>
        <v>2.0389736411701924</v>
      </c>
      <c r="J44">
        <f t="shared" si="3"/>
        <v>2.033199413919776</v>
      </c>
      <c r="K44">
        <f t="shared" si="3"/>
        <v>2.033199413919776</v>
      </c>
      <c r="L44">
        <f t="shared" si="3"/>
        <v>2.0275351719503205</v>
      </c>
      <c r="M44">
        <f t="shared" si="3"/>
        <v>2.033199413919776</v>
      </c>
    </row>
    <row r="45" spans="1:13" x14ac:dyDescent="0.45">
      <c r="A45">
        <v>2</v>
      </c>
      <c r="B45">
        <f t="shared" ref="B45:B48" si="4">$H$29</f>
        <v>1.1732704292452009E-20</v>
      </c>
      <c r="C45">
        <f>M23</f>
        <v>3.1534001652652546E-19</v>
      </c>
      <c r="D45">
        <f t="shared" ref="D45:M53" si="5">($C45-D$43)/SQRT($B45^2+D$42^2)</f>
        <v>-0.62055215475939662</v>
      </c>
      <c r="E45">
        <f t="shared" si="5"/>
        <v>0</v>
      </c>
      <c r="F45">
        <f t="shared" si="5"/>
        <v>0.59297205899231498</v>
      </c>
      <c r="G45">
        <f t="shared" si="5"/>
        <v>-1.2706544121263907</v>
      </c>
      <c r="H45">
        <f t="shared" si="5"/>
        <v>-0.62055215475939074</v>
      </c>
      <c r="I45">
        <f t="shared" si="5"/>
        <v>2.0062815046445808</v>
      </c>
      <c r="J45">
        <f t="shared" si="5"/>
        <v>2.0005072773941648</v>
      </c>
      <c r="K45">
        <f t="shared" si="5"/>
        <v>2.0005072773941648</v>
      </c>
      <c r="L45">
        <f t="shared" si="5"/>
        <v>1.9948430354247086</v>
      </c>
      <c r="M45">
        <f t="shared" si="5"/>
        <v>2.0005072773941648</v>
      </c>
    </row>
    <row r="46" spans="1:13" x14ac:dyDescent="0.45">
      <c r="A46">
        <v>3</v>
      </c>
      <c r="B46">
        <f t="shared" si="4"/>
        <v>1.1732704292452009E-20</v>
      </c>
      <c r="C46">
        <f>M24</f>
        <v>3.0550109826559619E-19</v>
      </c>
      <c r="D46">
        <f t="shared" si="5"/>
        <v>-1.2135242137517115</v>
      </c>
      <c r="E46">
        <f t="shared" si="5"/>
        <v>-0.59297205899231498</v>
      </c>
      <c r="F46">
        <f t="shared" si="5"/>
        <v>0</v>
      </c>
      <c r="G46">
        <f t="shared" si="5"/>
        <v>-1.8636264711187058</v>
      </c>
      <c r="H46">
        <f t="shared" si="5"/>
        <v>-1.2135242137517057</v>
      </c>
      <c r="I46">
        <f t="shared" si="5"/>
        <v>1.9750423519645519</v>
      </c>
      <c r="J46">
        <f t="shared" si="5"/>
        <v>1.9692681247141355</v>
      </c>
      <c r="K46">
        <f t="shared" si="5"/>
        <v>1.9692681247141355</v>
      </c>
      <c r="L46">
        <f t="shared" si="5"/>
        <v>1.9636038827446796</v>
      </c>
      <c r="M46">
        <f t="shared" si="5"/>
        <v>1.9692681247141355</v>
      </c>
    </row>
    <row r="47" spans="1:13" x14ac:dyDescent="0.45">
      <c r="A47">
        <v>4</v>
      </c>
      <c r="B47">
        <f t="shared" si="4"/>
        <v>1.1732704292452009E-20</v>
      </c>
      <c r="C47">
        <f>M25</f>
        <v>3.3642341279994535E-19</v>
      </c>
      <c r="D47">
        <f t="shared" si="5"/>
        <v>0.65010225736699423</v>
      </c>
      <c r="E47">
        <f t="shared" si="5"/>
        <v>1.2706544121263907</v>
      </c>
      <c r="F47">
        <f t="shared" si="5"/>
        <v>1.8636264711187058</v>
      </c>
      <c r="G47">
        <f t="shared" si="5"/>
        <v>0</v>
      </c>
      <c r="H47">
        <f t="shared" si="5"/>
        <v>0.650102257367</v>
      </c>
      <c r="I47">
        <f t="shared" si="5"/>
        <v>2.0732225461017859</v>
      </c>
      <c r="J47">
        <f t="shared" si="5"/>
        <v>2.0674483188513699</v>
      </c>
      <c r="K47">
        <f t="shared" si="5"/>
        <v>2.0674483188513699</v>
      </c>
      <c r="L47">
        <f t="shared" si="5"/>
        <v>2.061784076881914</v>
      </c>
      <c r="M47">
        <f t="shared" si="5"/>
        <v>2.0674483188513699</v>
      </c>
    </row>
    <row r="48" spans="1:13" x14ac:dyDescent="0.45">
      <c r="A48">
        <v>5</v>
      </c>
      <c r="B48">
        <f t="shared" si="4"/>
        <v>1.1732704292452009E-20</v>
      </c>
      <c r="C48">
        <f>M26</f>
        <v>3.2563655889261408E-19</v>
      </c>
      <c r="D48">
        <f t="shared" si="5"/>
        <v>-5.8035985985027974E-15</v>
      </c>
      <c r="E48">
        <f t="shared" si="5"/>
        <v>0.62055215475939074</v>
      </c>
      <c r="F48">
        <f t="shared" si="5"/>
        <v>1.2135242137517057</v>
      </c>
      <c r="G48">
        <f t="shared" si="5"/>
        <v>-0.650102257367</v>
      </c>
      <c r="H48">
        <f t="shared" si="5"/>
        <v>0</v>
      </c>
      <c r="I48">
        <f t="shared" si="5"/>
        <v>2.038973641170192</v>
      </c>
      <c r="J48">
        <f t="shared" si="5"/>
        <v>2.033199413919776</v>
      </c>
      <c r="K48">
        <f t="shared" si="5"/>
        <v>2.033199413919776</v>
      </c>
      <c r="L48">
        <f t="shared" si="5"/>
        <v>2.0275351719503201</v>
      </c>
      <c r="M48">
        <f t="shared" si="5"/>
        <v>2.033199413919776</v>
      </c>
    </row>
    <row r="49" spans="1:13" x14ac:dyDescent="0.45">
      <c r="A49">
        <v>6</v>
      </c>
      <c r="B49">
        <f>$K$29</f>
        <v>-3.1473610018250486E-19</v>
      </c>
      <c r="C49">
        <f>I22</f>
        <v>-3.1654779217296025E-19</v>
      </c>
      <c r="D49">
        <f t="shared" si="5"/>
        <v>-2.0389736411701924</v>
      </c>
      <c r="E49">
        <f t="shared" si="5"/>
        <v>-2.0062815046445808</v>
      </c>
      <c r="F49">
        <f t="shared" si="5"/>
        <v>-1.9750423519645519</v>
      </c>
      <c r="G49">
        <f t="shared" si="5"/>
        <v>-2.0732225461017859</v>
      </c>
      <c r="H49">
        <f t="shared" si="5"/>
        <v>-2.038973641170192</v>
      </c>
      <c r="I49">
        <f t="shared" si="5"/>
        <v>0</v>
      </c>
      <c r="J49">
        <f t="shared" si="5"/>
        <v>-4.0858312121225138E-3</v>
      </c>
      <c r="K49">
        <f t="shared" si="5"/>
        <v>-4.0858312121226223E-3</v>
      </c>
      <c r="L49">
        <f t="shared" si="5"/>
        <v>-8.0938370678236612E-3</v>
      </c>
      <c r="M49">
        <f t="shared" si="5"/>
        <v>-4.0858312121225138E-3</v>
      </c>
    </row>
    <row r="50" spans="1:13" x14ac:dyDescent="0.45">
      <c r="A50">
        <v>7</v>
      </c>
      <c r="B50">
        <f t="shared" ref="B50:B53" si="6">$K$29</f>
        <v>-3.1473610018250486E-19</v>
      </c>
      <c r="C50">
        <f>I23</f>
        <v>-3.1472917210605958E-19</v>
      </c>
      <c r="D50">
        <f t="shared" si="5"/>
        <v>-2.033199413919776</v>
      </c>
      <c r="E50">
        <f t="shared" si="5"/>
        <v>-2.0005072773941648</v>
      </c>
      <c r="F50">
        <f t="shared" si="5"/>
        <v>-1.9692681247141355</v>
      </c>
      <c r="G50">
        <f t="shared" si="5"/>
        <v>-2.0674483188513699</v>
      </c>
      <c r="H50">
        <f t="shared" si="5"/>
        <v>-2.033199413919776</v>
      </c>
      <c r="I50">
        <f t="shared" si="5"/>
        <v>4.0858312121225138E-3</v>
      </c>
      <c r="J50">
        <f t="shared" si="5"/>
        <v>0</v>
      </c>
      <c r="K50">
        <f t="shared" si="5"/>
        <v>-1.0817301566111742E-16</v>
      </c>
      <c r="L50">
        <f t="shared" si="5"/>
        <v>-4.0080058557011473E-3</v>
      </c>
      <c r="M50">
        <f t="shared" si="5"/>
        <v>0</v>
      </c>
    </row>
    <row r="51" spans="1:13" x14ac:dyDescent="0.45">
      <c r="A51">
        <v>8</v>
      </c>
      <c r="B51">
        <f t="shared" si="6"/>
        <v>-3.1473610018250486E-19</v>
      </c>
      <c r="C51">
        <f>I24</f>
        <v>-3.1472917210605953E-19</v>
      </c>
      <c r="D51">
        <f t="shared" si="5"/>
        <v>-2.033199413919776</v>
      </c>
      <c r="E51">
        <f t="shared" si="5"/>
        <v>-2.0005072773941648</v>
      </c>
      <c r="F51">
        <f t="shared" si="5"/>
        <v>-1.9692681247141355</v>
      </c>
      <c r="G51">
        <f t="shared" si="5"/>
        <v>-2.0674483188513699</v>
      </c>
      <c r="H51">
        <f t="shared" si="5"/>
        <v>-2.033199413919776</v>
      </c>
      <c r="I51">
        <f t="shared" si="5"/>
        <v>4.0858312121226223E-3</v>
      </c>
      <c r="J51">
        <f t="shared" si="5"/>
        <v>1.0817301566111742E-16</v>
      </c>
      <c r="K51">
        <f t="shared" si="5"/>
        <v>0</v>
      </c>
      <c r="L51">
        <f t="shared" si="5"/>
        <v>-4.0080058557010389E-3</v>
      </c>
      <c r="M51">
        <f t="shared" si="5"/>
        <v>1.0817301566111742E-16</v>
      </c>
    </row>
    <row r="52" spans="1:13" x14ac:dyDescent="0.45">
      <c r="A52">
        <v>9</v>
      </c>
      <c r="B52">
        <f t="shared" si="6"/>
        <v>-3.1473610018250486E-19</v>
      </c>
      <c r="C52">
        <f>I25</f>
        <v>-3.1294519242138558E-19</v>
      </c>
      <c r="D52">
        <f t="shared" si="5"/>
        <v>-2.0275351719503205</v>
      </c>
      <c r="E52">
        <f t="shared" si="5"/>
        <v>-1.9948430354247086</v>
      </c>
      <c r="F52">
        <f t="shared" si="5"/>
        <v>-1.9636038827446796</v>
      </c>
      <c r="G52">
        <f t="shared" si="5"/>
        <v>-2.061784076881914</v>
      </c>
      <c r="H52">
        <f t="shared" si="5"/>
        <v>-2.0275351719503201</v>
      </c>
      <c r="I52">
        <f t="shared" si="5"/>
        <v>8.0938370678236612E-3</v>
      </c>
      <c r="J52">
        <f t="shared" si="5"/>
        <v>4.0080058557011473E-3</v>
      </c>
      <c r="K52">
        <f t="shared" si="5"/>
        <v>4.0080058557010389E-3</v>
      </c>
      <c r="L52">
        <f t="shared" si="5"/>
        <v>0</v>
      </c>
      <c r="M52">
        <f t="shared" si="5"/>
        <v>4.0080058557011473E-3</v>
      </c>
    </row>
    <row r="53" spans="1:13" x14ac:dyDescent="0.45">
      <c r="A53">
        <v>10</v>
      </c>
      <c r="B53">
        <f t="shared" si="6"/>
        <v>-3.1473610018250486E-19</v>
      </c>
      <c r="C53">
        <f>I26</f>
        <v>-3.1472917210605958E-19</v>
      </c>
      <c r="D53">
        <f t="shared" si="5"/>
        <v>-2.033199413919776</v>
      </c>
      <c r="E53">
        <f t="shared" si="5"/>
        <v>-2.0005072773941648</v>
      </c>
      <c r="F53">
        <f t="shared" si="5"/>
        <v>-1.9692681247141355</v>
      </c>
      <c r="G53">
        <f t="shared" si="5"/>
        <v>-2.0674483188513699</v>
      </c>
      <c r="H53">
        <f t="shared" si="5"/>
        <v>-2.033199413919776</v>
      </c>
      <c r="I53">
        <f t="shared" si="5"/>
        <v>4.0858312121225138E-3</v>
      </c>
      <c r="J53">
        <f t="shared" si="5"/>
        <v>0</v>
      </c>
      <c r="K53">
        <f t="shared" si="5"/>
        <v>-1.0817301566111742E-16</v>
      </c>
      <c r="L53">
        <f t="shared" si="5"/>
        <v>-4.0080058557011473E-3</v>
      </c>
      <c r="M53">
        <f t="shared" si="5"/>
        <v>0</v>
      </c>
    </row>
  </sheetData>
  <mergeCells count="2">
    <mergeCell ref="A1:C2"/>
    <mergeCell ref="A14:C15"/>
  </mergeCells>
  <conditionalFormatting sqref="D44:M53">
    <cfRule type="cellIs" dxfId="17" priority="1" operator="greaterThan">
      <formula>1.96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sqref="A1:C2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303</v>
      </c>
      <c r="C16">
        <f>B16/100</f>
        <v>3.03</v>
      </c>
      <c r="D16" t="s">
        <v>0</v>
      </c>
      <c r="E16">
        <f>(1.8+(B18-15)*0.004765)*0.00001</f>
        <v>1.8238250000000001E-5</v>
      </c>
    </row>
    <row r="17" spans="1:13" x14ac:dyDescent="0.45">
      <c r="A17" t="s">
        <v>23</v>
      </c>
      <c r="B17">
        <v>2.2999999999999998</v>
      </c>
      <c r="D17" t="s">
        <v>1</v>
      </c>
      <c r="E17" s="2">
        <f>E16/(1+$B$10/($B$7*B29))</f>
        <v>1.7404976612285726E-5</v>
      </c>
    </row>
    <row r="18" spans="1:13" x14ac:dyDescent="0.45">
      <c r="A18" t="s">
        <v>24</v>
      </c>
      <c r="B18">
        <v>20</v>
      </c>
      <c r="D18" t="s">
        <v>32</v>
      </c>
      <c r="E18" s="1">
        <f>B16/B5</f>
        <v>40780.619111709282</v>
      </c>
    </row>
    <row r="20" spans="1:13" x14ac:dyDescent="0.45">
      <c r="A20" t="s">
        <v>7</v>
      </c>
      <c r="B20">
        <v>1</v>
      </c>
      <c r="G20">
        <v>11.72</v>
      </c>
      <c r="K20">
        <v>24.86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1.71</v>
      </c>
      <c r="C22" s="1">
        <f>B12/B22</f>
        <v>2.9239766081871346E-4</v>
      </c>
      <c r="D22">
        <f>(($B$10/(2*$B$7))^2+9*E16*C22/(2*$B$6*($B$9-$B$8)))^(1/2)-$B$10/(2*$B$7)</f>
        <v>1.64819852431733E-6</v>
      </c>
      <c r="E22" s="1">
        <f>(D22+$B$10/(2*$B$7))^(-1)*9*E16/(2*$B$6*($B$9-$B$8))*1/2*C28</f>
        <v>3.2966707741521437E-8</v>
      </c>
      <c r="F22" s="1"/>
      <c r="G22">
        <v>13.6</v>
      </c>
      <c r="H22" s="1">
        <f>$B$12/(G22-G20)</f>
        <v>2.6595744680851081E-4</v>
      </c>
      <c r="I22" s="1">
        <f>(4*PI()/3)*B29^3*($B$9-$B$8)*($B$6/E18)*(1+ABS(H22)/B28)</f>
        <v>7.7893819771892956E-18</v>
      </c>
      <c r="K22">
        <v>27.14</v>
      </c>
      <c r="L22" s="1">
        <f>B12/(K22-K20)</f>
        <v>2.1929824561403498E-4</v>
      </c>
      <c r="M22" s="1">
        <f>-(4*PI()/3)*B29^3*($B$9-$B$8)*($B$6/$E$18)*(1-ABS(L22)/B28)</f>
        <v>-1.199302657465779E-18</v>
      </c>
    </row>
    <row r="23" spans="1:13" x14ac:dyDescent="0.45">
      <c r="A23">
        <v>2</v>
      </c>
      <c r="B23">
        <v>3.28</v>
      </c>
      <c r="C23" s="1">
        <f>$B$12/(B23-B22)</f>
        <v>3.1847133757961787E-4</v>
      </c>
      <c r="D23">
        <f>(($B$10/(2*$B$7))^2+9*E16*C23/(2*$B$6*($B$9-$B$8)))^(1/2)-$B$10/(2*$B$7)</f>
        <v>1.7218402343089635E-6</v>
      </c>
      <c r="E23" s="1">
        <f>(D23+$B$10/(2*$B$7))^(-1)*9*E16/(2*$B$6*($B$9-$B$8))*1/2*C28</f>
        <v>3.1589122143738101E-8</v>
      </c>
      <c r="F23" s="1"/>
      <c r="G23">
        <v>15.51</v>
      </c>
      <c r="H23" s="1">
        <f>$B$12/(G23-G22)</f>
        <v>2.6178010471204186E-4</v>
      </c>
      <c r="I23" s="1">
        <f>(4*PI()/3)*B29^3*($B$9-$B$8)*($B$6/E18)*(1+ABS(H23)/B28)</f>
        <v>7.7326510285549418E-18</v>
      </c>
      <c r="K23">
        <v>28.67</v>
      </c>
      <c r="L23" s="1">
        <f>$B$12/(K23-K22)</f>
        <v>3.2679738562091479E-4</v>
      </c>
      <c r="M23" s="1">
        <f>-(4*PI()/3)*B29^3*($B$9-$B$8)*($B$6/$E$18)*(1-ABS(L23)/B28)</f>
        <v>2.6060367750313559E-19</v>
      </c>
    </row>
    <row r="24" spans="1:13" x14ac:dyDescent="0.45">
      <c r="A24">
        <v>3</v>
      </c>
      <c r="B24">
        <v>4.97</v>
      </c>
      <c r="C24" s="1">
        <f t="shared" ref="C24:C26" si="0">$B$12/(B24-B23)</f>
        <v>2.9585798816568048E-4</v>
      </c>
      <c r="D24">
        <f>(($B$10/(2*$B$7))^2+9*E16*C24/(2*$B$6*($B$9-$B$8)))^(1/2)-$B$10/(2*$B$7)</f>
        <v>1.6581555170307509E-6</v>
      </c>
      <c r="E24" s="1">
        <f>(D24+$B$10/(2*$B$7))^(-1)*9*E16/(2*$B$6*($B$9-$B$8))*1/2*C28</f>
        <v>3.2773462995595154E-8</v>
      </c>
      <c r="F24" s="1"/>
      <c r="G24">
        <v>17.36</v>
      </c>
      <c r="H24" s="1">
        <f>$B$12/(G24-G23)</f>
        <v>2.7027027027027033E-4</v>
      </c>
      <c r="I24" s="1">
        <f>(4*PI()/3)*B29^3*($B$9-$B$8)*($B$6/E18)*(1+ABS(H24)/B28)</f>
        <v>7.8479528484820546E-18</v>
      </c>
      <c r="K24">
        <v>31.25</v>
      </c>
      <c r="L24" s="1">
        <f t="shared" ref="L24:L26" si="1">$B$12/(K24-K23)</f>
        <v>1.9379844961240323E-4</v>
      </c>
      <c r="M24" s="1">
        <f>-(4*PI()/3)*B29^3*($B$9-$B$8)*($B$6/E18)*(1-ABS(L24)/B28)</f>
        <v>-1.5456060206444485E-18</v>
      </c>
    </row>
    <row r="25" spans="1:13" x14ac:dyDescent="0.45">
      <c r="A25">
        <v>4</v>
      </c>
      <c r="B25">
        <v>6.41</v>
      </c>
      <c r="C25" s="1">
        <f t="shared" si="0"/>
        <v>3.4722222222222213E-4</v>
      </c>
      <c r="D25">
        <f>(($B$10/(2*$B$7))^2+9*E16*C25/(2*$B$6*($B$9-$B$8)))^(1/2)-$B$10/(2*$B$7)</f>
        <v>1.7996298929354457E-6</v>
      </c>
      <c r="E25" s="1">
        <f>(D25+$B$10/(2*$B$7))^(-1)*9*E16/(2*$B$6*($B$9-$B$8))*1/2*C28</f>
        <v>3.0253697232887533E-8</v>
      </c>
      <c r="F25" s="1"/>
      <c r="G25">
        <v>19.03</v>
      </c>
      <c r="H25" s="1">
        <f>$B$12/(G25-G24)</f>
        <v>2.9940119760479014E-4</v>
      </c>
      <c r="I25" s="1">
        <f>(4*PI()/3)*B29^3*($B$9-$B$8)*($B$6/E18)*(1+ABS(H25)/B28)</f>
        <v>8.2435692725433349E-18</v>
      </c>
      <c r="K25">
        <v>33.56</v>
      </c>
      <c r="L25" s="1">
        <f t="shared" si="1"/>
        <v>2.1645021645021623E-4</v>
      </c>
      <c r="M25" s="1">
        <f>-(4*PI()/3)*B29^3*($B$9-$B$8)*($B$6/E18)*(1-ABS(L25)/B28)</f>
        <v>-1.2379806954311906E-18</v>
      </c>
    </row>
    <row r="26" spans="1:13" x14ac:dyDescent="0.45">
      <c r="A26">
        <v>5</v>
      </c>
      <c r="B26">
        <v>8.17</v>
      </c>
      <c r="C26" s="1">
        <f t="shared" si="0"/>
        <v>2.8409090909090913E-4</v>
      </c>
      <c r="D26">
        <f>(($B$10/(2*$B$7))^2+9*E16*C26/(2*$B$6*($B$9-$B$8)))^(1/2)-$B$10/(2*$B$7)</f>
        <v>1.6240529916717421E-6</v>
      </c>
      <c r="E26" s="1">
        <f>(D26+$B$10/(2*$B$7))^(-1)*9*E16/(2*$B$6*($B$9-$B$8))*1/2*C28</f>
        <v>3.3444923819713261E-8</v>
      </c>
      <c r="F26" s="1"/>
      <c r="G26">
        <v>20.89</v>
      </c>
      <c r="H26" s="1">
        <f>$B$12/(G26-G25)</f>
        <v>2.6881720430107538E-4</v>
      </c>
      <c r="I26" s="1">
        <f>(4*PI()/3)*B29^3*($B$9-$B$8)*($B$6/E18)*(1+ABS(H26)/B28)</f>
        <v>7.8282192932794761E-18</v>
      </c>
      <c r="K26">
        <v>35.78</v>
      </c>
      <c r="L26" s="1">
        <f t="shared" si="1"/>
        <v>2.2522522522522534E-4</v>
      </c>
      <c r="M26" s="1">
        <f>-(4*PI()/3)*B29^3*($B$9-$B$8)*($B$6/E18)*(1-ABS(L26)/B28)</f>
        <v>-1.118810524402625E-18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3.0760802357542862E-4</v>
      </c>
      <c r="C28" s="1">
        <f>_xlfn.STDEV.S(C22:C26)/SQRT(COUNT(C22:C26))</f>
        <v>1.142315513897196E-5</v>
      </c>
      <c r="F28" t="str">
        <f>J28</f>
        <v>Velocità</v>
      </c>
      <c r="G28" s="1">
        <f>AVERAGE(H22:H26)</f>
        <v>2.7324524473933771E-4</v>
      </c>
      <c r="H28" s="1">
        <f>_xlfn.STDEV.S(H22:H26)/SQRT(COUNT(H22:H26))</f>
        <v>6.6975865804046345E-6</v>
      </c>
      <c r="I28" s="2">
        <f>H28/SQRT(5)</f>
        <v>2.9952517757950247E-6</v>
      </c>
      <c r="J28" t="s">
        <v>27</v>
      </c>
      <c r="K28" s="1">
        <f>AVERAGE(L22:L26)</f>
        <v>2.3631390450455891E-4</v>
      </c>
      <c r="L28" s="1">
        <f>_xlfn.STDEV.S(L22:L26)</f>
        <v>5.1966050981337042E-5</v>
      </c>
      <c r="M28" s="2">
        <f>L28/SQRT(5)</f>
        <v>2.3239924503297856E-5</v>
      </c>
    </row>
    <row r="29" spans="1:13" x14ac:dyDescent="0.45">
      <c r="A29" t="s">
        <v>5</v>
      </c>
      <c r="B29">
        <f>AVERAGE(D22:D26)</f>
        <v>1.6903754320528466E-6</v>
      </c>
      <c r="C29">
        <f>_xlfn.STDEV.S(D22:D26)/SQRT(COUNT(D22:D26))</f>
        <v>3.1735037082088333E-8</v>
      </c>
      <c r="D29" s="1">
        <f>(B29+$B$10/(2*$B$7))^(-1)*9*E16/(2*$B$6*($B$9-$B$8))*1/2*C28</f>
        <v>3.2163378511584279E-8</v>
      </c>
      <c r="F29" t="str">
        <f>J29</f>
        <v>Carica</v>
      </c>
      <c r="G29" s="1">
        <f>AVERAGE(I22:I26)</f>
        <v>7.8883548840098206E-18</v>
      </c>
      <c r="H29">
        <f>_xlfn.STDEV.S(I22:I26)</f>
        <v>2.0338707091192581E-19</v>
      </c>
      <c r="I29" s="2">
        <f>H29/SQRT(5)</f>
        <v>9.0957463260727243E-20</v>
      </c>
      <c r="J29" t="s">
        <v>33</v>
      </c>
      <c r="K29" s="1">
        <f>AVERAGE(M22:M26)</f>
        <v>-9.6821924408818145E-19</v>
      </c>
      <c r="L29">
        <f>_xlfn.STDEV.S(M22:M26)</f>
        <v>7.0573185074891024E-19</v>
      </c>
      <c r="M29" s="2">
        <f>L29/SQRT(5)</f>
        <v>3.156128784322598E-19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3.2966707741521437E-8</v>
      </c>
      <c r="E33">
        <v>3.1589122143738101E-8</v>
      </c>
      <c r="F33">
        <v>3.2773462995595154E-8</v>
      </c>
      <c r="G33">
        <v>3.0253697232887533E-8</v>
      </c>
      <c r="H33">
        <v>3.3444923819713261E-8</v>
      </c>
    </row>
    <row r="34" spans="1:13" x14ac:dyDescent="0.45">
      <c r="C34" t="s">
        <v>21</v>
      </c>
      <c r="D34">
        <v>1.64819852431733E-6</v>
      </c>
      <c r="E34">
        <v>1.7218402343089635E-6</v>
      </c>
      <c r="F34">
        <v>1.6581555170307509E-6</v>
      </c>
      <c r="G34">
        <v>1.7996298929354457E-6</v>
      </c>
      <c r="H34">
        <v>1.6240529916717421E-6</v>
      </c>
    </row>
    <row r="35" spans="1:13" x14ac:dyDescent="0.45">
      <c r="A35">
        <v>1</v>
      </c>
      <c r="B35" s="1">
        <f>E22</f>
        <v>3.2966707741521437E-8</v>
      </c>
      <c r="C35">
        <f>D22</f>
        <v>1.64819852431733E-6</v>
      </c>
      <c r="D35">
        <f t="shared" ref="D35:H39" si="2">($C35-D$34)/SQRT($B35^2+D$33^2)</f>
        <v>0</v>
      </c>
      <c r="E35">
        <f t="shared" si="2"/>
        <v>-1.6128891988307346</v>
      </c>
      <c r="F35">
        <f t="shared" si="2"/>
        <v>-0.21419556933604028</v>
      </c>
      <c r="G35">
        <f t="shared" si="2"/>
        <v>-3.3843404722242934</v>
      </c>
      <c r="H35">
        <f t="shared" si="2"/>
        <v>0.5141577414588101</v>
      </c>
    </row>
    <row r="36" spans="1:13" x14ac:dyDescent="0.45">
      <c r="A36">
        <v>2</v>
      </c>
      <c r="B36">
        <f>E23</f>
        <v>3.1589122143738101E-8</v>
      </c>
      <c r="C36">
        <f>D23</f>
        <v>1.7218402343089635E-6</v>
      </c>
      <c r="D36">
        <f t="shared" si="2"/>
        <v>1.6128891988307346</v>
      </c>
      <c r="E36">
        <f t="shared" si="2"/>
        <v>0</v>
      </c>
      <c r="F36">
        <f t="shared" si="2"/>
        <v>1.3990821963472784</v>
      </c>
      <c r="G36">
        <f t="shared" si="2"/>
        <v>-1.7784692144554213</v>
      </c>
      <c r="H36">
        <f t="shared" si="2"/>
        <v>2.1255908631325409</v>
      </c>
    </row>
    <row r="37" spans="1:13" x14ac:dyDescent="0.45">
      <c r="A37">
        <v>3</v>
      </c>
      <c r="B37">
        <f>E24</f>
        <v>3.2773462995595154E-8</v>
      </c>
      <c r="C37">
        <f>D24</f>
        <v>1.6581555170307509E-6</v>
      </c>
      <c r="D37">
        <f t="shared" si="2"/>
        <v>0.21419556933604028</v>
      </c>
      <c r="E37">
        <f t="shared" si="2"/>
        <v>-1.3990821963472784</v>
      </c>
      <c r="F37">
        <f t="shared" si="2"/>
        <v>0</v>
      </c>
      <c r="G37">
        <f t="shared" si="2"/>
        <v>-3.1718909670966133</v>
      </c>
      <c r="H37">
        <f t="shared" si="2"/>
        <v>0.72828374311749489</v>
      </c>
    </row>
    <row r="38" spans="1:13" x14ac:dyDescent="0.45">
      <c r="A38">
        <v>4</v>
      </c>
      <c r="B38">
        <f>E25</f>
        <v>3.0253697232887533E-8</v>
      </c>
      <c r="C38">
        <f>D25</f>
        <v>1.7996298929354457E-6</v>
      </c>
      <c r="D38">
        <f t="shared" si="2"/>
        <v>3.3843404722242934</v>
      </c>
      <c r="E38">
        <f t="shared" si="2"/>
        <v>1.7784692144554213</v>
      </c>
      <c r="F38">
        <f t="shared" si="2"/>
        <v>3.1718909670966133</v>
      </c>
      <c r="G38">
        <f t="shared" si="2"/>
        <v>0</v>
      </c>
      <c r="H38">
        <f t="shared" si="2"/>
        <v>3.8932116421727336</v>
      </c>
    </row>
    <row r="39" spans="1:13" x14ac:dyDescent="0.45">
      <c r="A39">
        <v>5</v>
      </c>
      <c r="B39">
        <f>E26</f>
        <v>3.3444923819713261E-8</v>
      </c>
      <c r="C39">
        <f>D26</f>
        <v>1.6240529916717421E-6</v>
      </c>
      <c r="D39">
        <f t="shared" si="2"/>
        <v>-0.5141577414588101</v>
      </c>
      <c r="E39">
        <f t="shared" si="2"/>
        <v>-2.1255908631325409</v>
      </c>
      <c r="F39">
        <f t="shared" si="2"/>
        <v>-0.72828374311749489</v>
      </c>
      <c r="G39">
        <f t="shared" si="2"/>
        <v>-3.8932116421727336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7.0573185074891024E-19</v>
      </c>
      <c r="E42">
        <v>7.0573185074891024E-19</v>
      </c>
      <c r="F42">
        <v>7.0573185074891024E-19</v>
      </c>
      <c r="G42">
        <v>7.0573185074891024E-19</v>
      </c>
      <c r="H42">
        <v>7.0573185074891024E-19</v>
      </c>
      <c r="I42">
        <v>2.0338707091192581E-19</v>
      </c>
      <c r="J42">
        <v>2.0338707091192581E-19</v>
      </c>
      <c r="K42">
        <v>2.0338707091192581E-19</v>
      </c>
      <c r="L42">
        <v>2.0338707091192581E-19</v>
      </c>
      <c r="M42">
        <v>2.0338707091192581E-19</v>
      </c>
    </row>
    <row r="43" spans="1:13" x14ac:dyDescent="0.45">
      <c r="C43" t="s">
        <v>35</v>
      </c>
      <c r="D43">
        <v>-1.199302657465779E-18</v>
      </c>
      <c r="E43">
        <v>2.6060367750313559E-19</v>
      </c>
      <c r="F43">
        <v>-1.5456060206444485E-18</v>
      </c>
      <c r="G43">
        <v>-1.2379806954311906E-18</v>
      </c>
      <c r="H43">
        <v>-1.118810524402625E-18</v>
      </c>
      <c r="I43">
        <v>7.7893819771892956E-18</v>
      </c>
      <c r="J43">
        <v>7.7326510285549418E-18</v>
      </c>
      <c r="K43">
        <v>7.8479528484820546E-18</v>
      </c>
      <c r="L43">
        <v>8.2435692725433349E-18</v>
      </c>
      <c r="M43">
        <v>7.8282192932794761E-18</v>
      </c>
    </row>
    <row r="44" spans="1:13" x14ac:dyDescent="0.45">
      <c r="A44">
        <v>1</v>
      </c>
      <c r="B44">
        <f>$L$29</f>
        <v>7.0573185074891024E-19</v>
      </c>
      <c r="C44">
        <f>M22</f>
        <v>-1.199302657465779E-18</v>
      </c>
      <c r="D44">
        <f>($C44-D$43)/SQRT($B44^2+D$42^2)</f>
        <v>0</v>
      </c>
      <c r="E44">
        <f t="shared" ref="E44:M44" si="3">($C44-E$43)/SQRT($B44^2+E$42^2)</f>
        <v>-1.4627505734058195</v>
      </c>
      <c r="F44">
        <f t="shared" si="3"/>
        <v>0.34697804299393531</v>
      </c>
      <c r="G44">
        <f t="shared" si="3"/>
        <v>3.8753391814908743E-2</v>
      </c>
      <c r="H44">
        <f t="shared" si="3"/>
        <v>-8.0648950533729336E-2</v>
      </c>
      <c r="I44">
        <f t="shared" si="3"/>
        <v>-12.238582319901042</v>
      </c>
      <c r="J44">
        <f t="shared" si="3"/>
        <v>-12.161340052186944</v>
      </c>
      <c r="K44">
        <f t="shared" si="3"/>
        <v>-12.318329742243694</v>
      </c>
      <c r="L44">
        <f t="shared" si="3"/>
        <v>-12.856982990162949</v>
      </c>
      <c r="M44">
        <f t="shared" si="3"/>
        <v>-12.291461435074485</v>
      </c>
    </row>
    <row r="45" spans="1:13" x14ac:dyDescent="0.45">
      <c r="A45">
        <v>2</v>
      </c>
      <c r="B45">
        <f>$L$29</f>
        <v>7.0573185074891024E-19</v>
      </c>
      <c r="C45">
        <f>M23</f>
        <v>2.6060367750313559E-19</v>
      </c>
      <c r="D45">
        <f t="shared" ref="D45:M53" si="4">($C45-D$43)/SQRT($B45^2+D$42^2)</f>
        <v>1.4627505734058195</v>
      </c>
      <c r="E45">
        <f t="shared" si="4"/>
        <v>0</v>
      </c>
      <c r="F45">
        <f t="shared" si="4"/>
        <v>1.8097286163997548</v>
      </c>
      <c r="G45">
        <f t="shared" si="4"/>
        <v>1.5015039652207283</v>
      </c>
      <c r="H45">
        <f t="shared" si="4"/>
        <v>1.3821016228720902</v>
      </c>
      <c r="I45">
        <f t="shared" si="4"/>
        <v>-10.250840554996225</v>
      </c>
      <c r="J45">
        <f t="shared" si="4"/>
        <v>-10.173598287282129</v>
      </c>
      <c r="K45">
        <f t="shared" si="4"/>
        <v>-10.33058797733888</v>
      </c>
      <c r="L45">
        <f t="shared" si="4"/>
        <v>-10.869241225258135</v>
      </c>
      <c r="M45">
        <f t="shared" si="4"/>
        <v>-10.30371967016967</v>
      </c>
    </row>
    <row r="46" spans="1:13" x14ac:dyDescent="0.45">
      <c r="A46">
        <v>3</v>
      </c>
      <c r="B46">
        <f>$L$29</f>
        <v>7.0573185074891024E-19</v>
      </c>
      <c r="C46">
        <f>M24</f>
        <v>-1.5456060206444485E-18</v>
      </c>
      <c r="D46">
        <f t="shared" si="4"/>
        <v>-0.34697804299393531</v>
      </c>
      <c r="E46">
        <f t="shared" si="4"/>
        <v>-1.8097286163997548</v>
      </c>
      <c r="F46">
        <f t="shared" si="4"/>
        <v>0</v>
      </c>
      <c r="G46">
        <f t="shared" si="4"/>
        <v>-0.30822465117902659</v>
      </c>
      <c r="H46">
        <f t="shared" si="4"/>
        <v>-0.42762699352766465</v>
      </c>
      <c r="I46">
        <f t="shared" si="4"/>
        <v>-12.710093157157528</v>
      </c>
      <c r="J46">
        <f t="shared" si="4"/>
        <v>-12.632850889443432</v>
      </c>
      <c r="K46">
        <f t="shared" si="4"/>
        <v>-12.789840579500183</v>
      </c>
      <c r="L46">
        <f t="shared" si="4"/>
        <v>-13.328493827419438</v>
      </c>
      <c r="M46">
        <f t="shared" si="4"/>
        <v>-12.762972272330973</v>
      </c>
    </row>
    <row r="47" spans="1:13" x14ac:dyDescent="0.45">
      <c r="A47">
        <v>4</v>
      </c>
      <c r="B47">
        <f>$L$29</f>
        <v>7.0573185074891024E-19</v>
      </c>
      <c r="C47">
        <f>M25</f>
        <v>-1.2379806954311906E-18</v>
      </c>
      <c r="D47">
        <f t="shared" si="4"/>
        <v>-3.8753391814908743E-2</v>
      </c>
      <c r="E47">
        <f t="shared" si="4"/>
        <v>-1.5015039652207283</v>
      </c>
      <c r="F47">
        <f t="shared" si="4"/>
        <v>0.30822465117902659</v>
      </c>
      <c r="G47">
        <f t="shared" si="4"/>
        <v>0</v>
      </c>
      <c r="H47">
        <f t="shared" si="4"/>
        <v>-0.11940234234863809</v>
      </c>
      <c r="I47">
        <f t="shared" si="4"/>
        <v>-12.291244569256964</v>
      </c>
      <c r="J47">
        <f t="shared" si="4"/>
        <v>-12.214002301542868</v>
      </c>
      <c r="K47">
        <f t="shared" si="4"/>
        <v>-12.370991991599618</v>
      </c>
      <c r="L47">
        <f t="shared" si="4"/>
        <v>-12.909645239518872</v>
      </c>
      <c r="M47">
        <f t="shared" si="4"/>
        <v>-12.344123684430405</v>
      </c>
    </row>
    <row r="48" spans="1:13" x14ac:dyDescent="0.45">
      <c r="A48">
        <v>5</v>
      </c>
      <c r="B48">
        <f>$L$29</f>
        <v>7.0573185074891024E-19</v>
      </c>
      <c r="C48">
        <f>M26</f>
        <v>-1.118810524402625E-18</v>
      </c>
      <c r="D48">
        <f t="shared" si="4"/>
        <v>8.0648950533729336E-2</v>
      </c>
      <c r="E48">
        <f t="shared" si="4"/>
        <v>-1.3821016228720902</v>
      </c>
      <c r="F48">
        <f t="shared" si="4"/>
        <v>0.42762699352766465</v>
      </c>
      <c r="G48">
        <f t="shared" si="4"/>
        <v>0.11940234234863809</v>
      </c>
      <c r="H48">
        <f t="shared" si="4"/>
        <v>0</v>
      </c>
      <c r="I48">
        <f t="shared" si="4"/>
        <v>-12.128987909079259</v>
      </c>
      <c r="J48">
        <f t="shared" si="4"/>
        <v>-12.051745641365162</v>
      </c>
      <c r="K48">
        <f t="shared" si="4"/>
        <v>-12.208735331421913</v>
      </c>
      <c r="L48">
        <f t="shared" si="4"/>
        <v>-12.747388579341168</v>
      </c>
      <c r="M48">
        <f t="shared" si="4"/>
        <v>-12.181867024252703</v>
      </c>
    </row>
    <row r="49" spans="1:13" x14ac:dyDescent="0.45">
      <c r="A49">
        <v>6</v>
      </c>
      <c r="B49">
        <f>$H$29</f>
        <v>2.0338707091192581E-19</v>
      </c>
      <c r="C49">
        <f>I22</f>
        <v>7.7893819771892956E-18</v>
      </c>
      <c r="D49">
        <f t="shared" si="4"/>
        <v>12.238582319901042</v>
      </c>
      <c r="E49">
        <f t="shared" si="4"/>
        <v>10.250840554996225</v>
      </c>
      <c r="F49">
        <f t="shared" si="4"/>
        <v>12.710093157157528</v>
      </c>
      <c r="G49">
        <f t="shared" si="4"/>
        <v>12.291244569256964</v>
      </c>
      <c r="H49">
        <f t="shared" si="4"/>
        <v>12.128987909079259</v>
      </c>
      <c r="I49">
        <f t="shared" si="4"/>
        <v>0</v>
      </c>
      <c r="J49">
        <f t="shared" si="4"/>
        <v>0.19723396527928028</v>
      </c>
      <c r="K49">
        <f t="shared" si="4"/>
        <v>-0.20363074253155919</v>
      </c>
      <c r="L49">
        <f t="shared" si="4"/>
        <v>-1.5790527639423662</v>
      </c>
      <c r="M49">
        <f t="shared" si="4"/>
        <v>-0.1350239690621442</v>
      </c>
    </row>
    <row r="50" spans="1:13" x14ac:dyDescent="0.45">
      <c r="A50">
        <v>7</v>
      </c>
      <c r="B50">
        <f>$H$29</f>
        <v>2.0338707091192581E-19</v>
      </c>
      <c r="C50">
        <f>I23</f>
        <v>7.7326510285549418E-18</v>
      </c>
      <c r="D50">
        <f t="shared" si="4"/>
        <v>12.161340052186944</v>
      </c>
      <c r="E50">
        <f t="shared" si="4"/>
        <v>10.173598287282129</v>
      </c>
      <c r="F50">
        <f t="shared" si="4"/>
        <v>12.632850889443432</v>
      </c>
      <c r="G50">
        <f t="shared" si="4"/>
        <v>12.214002301542868</v>
      </c>
      <c r="H50">
        <f t="shared" si="4"/>
        <v>12.051745641365162</v>
      </c>
      <c r="I50">
        <f t="shared" si="4"/>
        <v>-0.19723396527928028</v>
      </c>
      <c r="J50">
        <f t="shared" si="4"/>
        <v>0</v>
      </c>
      <c r="K50">
        <f t="shared" si="4"/>
        <v>-0.40086470781083949</v>
      </c>
      <c r="L50">
        <f t="shared" si="4"/>
        <v>-1.7762867292216464</v>
      </c>
      <c r="M50">
        <f t="shared" si="4"/>
        <v>-0.33225793434142448</v>
      </c>
    </row>
    <row r="51" spans="1:13" x14ac:dyDescent="0.45">
      <c r="A51">
        <v>8</v>
      </c>
      <c r="B51">
        <f>$H$29</f>
        <v>2.0338707091192581E-19</v>
      </c>
      <c r="C51">
        <f>I24</f>
        <v>7.8479528484820546E-18</v>
      </c>
      <c r="D51">
        <f t="shared" si="4"/>
        <v>12.318329742243694</v>
      </c>
      <c r="E51">
        <f t="shared" si="4"/>
        <v>10.33058797733888</v>
      </c>
      <c r="F51">
        <f t="shared" si="4"/>
        <v>12.789840579500183</v>
      </c>
      <c r="G51">
        <f t="shared" si="4"/>
        <v>12.370991991599618</v>
      </c>
      <c r="H51">
        <f t="shared" si="4"/>
        <v>12.208735331421913</v>
      </c>
      <c r="I51">
        <f t="shared" si="4"/>
        <v>0.20363074253155919</v>
      </c>
      <c r="J51">
        <f t="shared" si="4"/>
        <v>0.40086470781083949</v>
      </c>
      <c r="K51">
        <f t="shared" si="4"/>
        <v>0</v>
      </c>
      <c r="L51">
        <f t="shared" si="4"/>
        <v>-1.375422021410807</v>
      </c>
      <c r="M51">
        <f t="shared" si="4"/>
        <v>6.8606773469415003E-2</v>
      </c>
    </row>
    <row r="52" spans="1:13" x14ac:dyDescent="0.45">
      <c r="A52">
        <v>9</v>
      </c>
      <c r="B52">
        <f>$H$29</f>
        <v>2.0338707091192581E-19</v>
      </c>
      <c r="C52">
        <f>I25</f>
        <v>8.2435692725433349E-18</v>
      </c>
      <c r="D52">
        <f t="shared" si="4"/>
        <v>12.856982990162949</v>
      </c>
      <c r="E52">
        <f t="shared" si="4"/>
        <v>10.869241225258135</v>
      </c>
      <c r="F52">
        <f t="shared" si="4"/>
        <v>13.328493827419438</v>
      </c>
      <c r="G52">
        <f t="shared" si="4"/>
        <v>12.909645239518872</v>
      </c>
      <c r="H52">
        <f t="shared" si="4"/>
        <v>12.747388579341168</v>
      </c>
      <c r="I52">
        <f t="shared" si="4"/>
        <v>1.5790527639423662</v>
      </c>
      <c r="J52">
        <f t="shared" si="4"/>
        <v>1.7762867292216464</v>
      </c>
      <c r="K52">
        <f t="shared" si="4"/>
        <v>1.375422021410807</v>
      </c>
      <c r="L52">
        <f t="shared" si="4"/>
        <v>0</v>
      </c>
      <c r="M52">
        <f t="shared" si="4"/>
        <v>1.444028794880222</v>
      </c>
    </row>
    <row r="53" spans="1:13" x14ac:dyDescent="0.45">
      <c r="A53">
        <v>10</v>
      </c>
      <c r="B53">
        <f>$H$29</f>
        <v>2.0338707091192581E-19</v>
      </c>
      <c r="C53">
        <f>I26</f>
        <v>7.8282192932794761E-18</v>
      </c>
      <c r="D53">
        <f t="shared" si="4"/>
        <v>12.291461435074485</v>
      </c>
      <c r="E53">
        <f t="shared" si="4"/>
        <v>10.30371967016967</v>
      </c>
      <c r="F53">
        <f t="shared" si="4"/>
        <v>12.762972272330973</v>
      </c>
      <c r="G53">
        <f t="shared" si="4"/>
        <v>12.344123684430405</v>
      </c>
      <c r="H53">
        <f t="shared" si="4"/>
        <v>12.181867024252703</v>
      </c>
      <c r="I53">
        <f t="shared" si="4"/>
        <v>0.1350239690621442</v>
      </c>
      <c r="J53">
        <f t="shared" si="4"/>
        <v>0.33225793434142448</v>
      </c>
      <c r="K53">
        <f t="shared" si="4"/>
        <v>-6.8606773469415003E-2</v>
      </c>
      <c r="L53">
        <f t="shared" si="4"/>
        <v>-1.444028794880222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14" priority="6" operator="greaterThan">
      <formula>1.96</formula>
    </cfRule>
    <cfRule type="cellIs" priority="5" operator="notBetween">
      <formula>-1.96</formula>
      <formula>1.96</formula>
    </cfRule>
    <cfRule type="cellIs" priority="4" operator="notBetween">
      <formula>-1.96</formula>
      <formula>1.96</formula>
    </cfRule>
    <cfRule type="cellIs" dxfId="13" priority="3" operator="notBetween">
      <formula>-1.96</formula>
      <formula>1.96</formula>
    </cfRule>
  </conditionalFormatting>
  <conditionalFormatting sqref="D35:H39">
    <cfRule type="cellIs" priority="2" operator="notBetween">
      <formula>-1.96</formula>
      <formula>1.96</formula>
    </cfRule>
    <cfRule type="cellIs" dxfId="12" priority="1" operator="notBetween">
      <formula>-1.96</formula>
      <formula>1.96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0" workbookViewId="0">
      <selection activeCell="A48" sqref="A48:XFD48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bestFit="1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302</v>
      </c>
      <c r="C16">
        <f>B16/100</f>
        <v>3.02</v>
      </c>
      <c r="D16" t="s">
        <v>0</v>
      </c>
      <c r="E16">
        <f>(1.8+(B18-15)*0.004765)*0.00001</f>
        <v>1.8214425000000001E-5</v>
      </c>
    </row>
    <row r="17" spans="1:13" x14ac:dyDescent="0.45">
      <c r="A17" t="s">
        <v>23</v>
      </c>
      <c r="B17">
        <v>2.3050000000000002</v>
      </c>
      <c r="D17" t="s">
        <v>1</v>
      </c>
      <c r="E17" s="2">
        <f>E16/(1+$B$10/($B$7*B29))</f>
        <v>1.6734106162587208E-5</v>
      </c>
    </row>
    <row r="18" spans="1:13" x14ac:dyDescent="0.45">
      <c r="A18" t="s">
        <v>24</v>
      </c>
      <c r="B18">
        <v>19.5</v>
      </c>
      <c r="D18" t="s">
        <v>32</v>
      </c>
      <c r="E18" s="1">
        <f>B16/B5</f>
        <v>40646.029609690442</v>
      </c>
    </row>
    <row r="20" spans="1:13" x14ac:dyDescent="0.45">
      <c r="A20" t="s">
        <v>7</v>
      </c>
      <c r="B20">
        <v>1</v>
      </c>
      <c r="G20">
        <v>25.27</v>
      </c>
      <c r="K20">
        <v>59.02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5.98</v>
      </c>
      <c r="C22" s="1">
        <f>B12/B22</f>
        <v>8.361204013377926E-5</v>
      </c>
      <c r="D22">
        <f>(($B$10/(2*$B$7))^2+9*E16*C22/(2*$B$6*($B$9-$B$8)))^(1/2)-$B$10/(2*$B$7)</f>
        <v>8.6259931106693545E-7</v>
      </c>
      <c r="E22" s="1">
        <f>(D22+$B$10/(2*$B$7))^(-1)*9*E16/(2*$B$6*($B$9-$B$8))*1/2*C28</f>
        <v>1.9948232699432353E-8</v>
      </c>
      <c r="F22" s="1"/>
      <c r="G22">
        <v>31.71</v>
      </c>
      <c r="H22" s="1">
        <f>$B$12/(G22-G20)</f>
        <v>7.763975155279502E-5</v>
      </c>
      <c r="I22" s="1">
        <f>(4*PI()/3)*B29^3*($B$9-$B$8)*($B$6/E18)*(1+ABS(H22)/B28)</f>
        <v>1.2149605369569306E-18</v>
      </c>
      <c r="K22">
        <v>64.849999999999994</v>
      </c>
      <c r="L22" s="1">
        <f>B12/(K22-K20)</f>
        <v>8.5763293310463251E-5</v>
      </c>
      <c r="M22" s="1">
        <f>-(4*PI()/3)*B29^3*($B$9-$B$8)*($B$6/$E$18)*(1-ABS(L22)/B28)</f>
        <v>-5.6258405534797094E-20</v>
      </c>
    </row>
    <row r="23" spans="1:13" x14ac:dyDescent="0.45">
      <c r="A23">
        <v>2</v>
      </c>
      <c r="B23">
        <v>10.91</v>
      </c>
      <c r="C23" s="1">
        <f>$B$12/(B23-B22)</f>
        <v>1.0141987829614606E-4</v>
      </c>
      <c r="D23">
        <f>(($B$10/(2*$B$7))^2+9*E16*C23/(2*$B$6*($B$9-$B$8)))^(1/2)-$B$10/(2*$B$7)</f>
        <v>9.5395350721905998E-7</v>
      </c>
      <c r="E23" s="1">
        <f>(D23+$B$10/(2*$B$7))^(-1)*9*E16/(2*$B$6*($B$9-$B$8))*1/2*C28</f>
        <v>1.8115647273935956E-8</v>
      </c>
      <c r="F23" s="1"/>
      <c r="G23">
        <v>38.450000000000003</v>
      </c>
      <c r="H23" s="1">
        <f>$B$12/(G23-G22)</f>
        <v>7.418397626112758E-5</v>
      </c>
      <c r="I23" s="1">
        <f>(4*PI()/3)*B29^3*($B$9-$B$8)*($B$6/E18)*(1+ABS(H23)/B28)</f>
        <v>1.1904553987600145E-18</v>
      </c>
      <c r="K23">
        <v>69.55</v>
      </c>
      <c r="L23" s="1">
        <f>$B$12/(K23-K22)</f>
        <v>1.0638297872340419E-4</v>
      </c>
      <c r="M23" s="1">
        <f>-(4*PI()/3)*B29^3*($B$9-$B$8)*($B$6/E18)*(1-ABS(L23)/B28)</f>
        <v>8.9957189512543126E-20</v>
      </c>
    </row>
    <row r="24" spans="1:13" x14ac:dyDescent="0.45">
      <c r="A24">
        <v>3</v>
      </c>
      <c r="B24">
        <v>16.16</v>
      </c>
      <c r="C24" s="1">
        <f t="shared" ref="C24:C26" si="0">$B$12/(B24-B23)</f>
        <v>9.5238095238095241E-5</v>
      </c>
      <c r="D24">
        <f>(($B$10/(2*$B$7))^2+9*E16*C24/(2*$B$6*($B$9-$B$8)))^(1/2)-$B$10/(2*$B$7)</f>
        <v>9.2322279461968878E-7</v>
      </c>
      <c r="E24" s="1">
        <f>(D24+$B$10/(2*$B$7))^(-1)*9*E16/(2*$B$6*($B$9-$B$8))*1/2*C28</f>
        <v>1.869333168075184E-8</v>
      </c>
      <c r="F24" s="1"/>
      <c r="G24">
        <v>45.75</v>
      </c>
      <c r="H24" s="1">
        <f>$B$12/(G24-G23)</f>
        <v>6.8493150684931529E-5</v>
      </c>
      <c r="I24" s="1">
        <f>(4*PI()/3)*B29^3*($B$9-$B$8)*($B$6/E18)*(1+ABS(H24)/B28)</f>
        <v>1.1501013666169291E-18</v>
      </c>
      <c r="K24">
        <v>75.430000000000007</v>
      </c>
      <c r="L24" s="1">
        <f t="shared" ref="L24:L26" si="1">$B$12/(K24-K23)</f>
        <v>8.5034013605442035E-5</v>
      </c>
      <c r="M24" s="1">
        <f>-(4*PI()/3)*B29^3*($B$9-$B$8)*($B$6/E18)*(1-ABS(L24)/B28)</f>
        <v>-6.1429777643059437E-20</v>
      </c>
    </row>
    <row r="25" spans="1:13" x14ac:dyDescent="0.45">
      <c r="A25">
        <v>4</v>
      </c>
      <c r="B25">
        <v>21.45</v>
      </c>
      <c r="C25" s="1">
        <f t="shared" si="0"/>
        <v>9.4517958412098318E-5</v>
      </c>
      <c r="D25">
        <f>(($B$10/(2*$B$7))^2+9*E16*C25/(2*$B$6*($B$9-$B$8)))^(1/2)-$B$10/(2*$B$7)</f>
        <v>9.1957890120759906E-7</v>
      </c>
      <c r="E25" s="1">
        <f>(D25+$B$10/(2*$B$7))^(-1)*9*E16/(2*$B$6*($B$9-$B$8))*1/2*C28</f>
        <v>1.8764283216812707E-8</v>
      </c>
      <c r="F25" s="1"/>
      <c r="G25">
        <v>52.57</v>
      </c>
      <c r="H25" s="1">
        <f>$B$12/(G25-G24)</f>
        <v>7.3313782991202346E-5</v>
      </c>
      <c r="I25" s="1">
        <f>(4*PI()/3)*B29^3*($B$9-$B$8)*($B$6/E18)*(1+ABS(H25)/B28)</f>
        <v>1.1842847989559818E-18</v>
      </c>
      <c r="K25">
        <v>80.040000000000006</v>
      </c>
      <c r="L25" s="1">
        <f t="shared" si="1"/>
        <v>1.084598698481562E-4</v>
      </c>
      <c r="M25" s="1">
        <f>-(4*PI()/3)*B29^3*($B$9-$B$8)*($B$6/E18)*(1-ABS(L25)/B28)</f>
        <v>1.0468456607395119E-19</v>
      </c>
    </row>
    <row r="26" spans="1:13" x14ac:dyDescent="0.45">
      <c r="A26">
        <v>5</v>
      </c>
      <c r="C26" s="1"/>
      <c r="E26" s="1"/>
      <c r="F26" s="1"/>
      <c r="H26" s="1"/>
      <c r="I26" s="1"/>
      <c r="L26" s="1"/>
      <c r="M26" s="1"/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9.3696993020029722E-5</v>
      </c>
      <c r="C28" s="1">
        <f>_xlfn.STDEV.S(C22:C26)/SQRT(COUNT(C22:C26))</f>
        <v>3.7013309760076717E-6</v>
      </c>
      <c r="F28" t="str">
        <f>J28</f>
        <v>Velocità</v>
      </c>
      <c r="G28" s="1">
        <f>AVERAGE(H22:H26)</f>
        <v>7.3407665372514122E-5</v>
      </c>
      <c r="H28" s="1">
        <f>_xlfn.STDEV.S(H22:H26)/SQRT(COUNT(H22:H26))</f>
        <v>1.8857907392985528E-6</v>
      </c>
      <c r="I28" s="2">
        <f>H28/SQRT(5)</f>
        <v>8.4335125688222965E-7</v>
      </c>
      <c r="J28" t="s">
        <v>27</v>
      </c>
      <c r="K28" s="1">
        <f>AVERAGE(L22:L26)</f>
        <v>9.6410038871866426E-5</v>
      </c>
      <c r="L28" s="1">
        <f>_xlfn.STDEV.S(L22:L26)</f>
        <v>1.2746569443725202E-5</v>
      </c>
      <c r="M28" s="2">
        <f>L28/SQRT(5)</f>
        <v>5.7004391512182464E-6</v>
      </c>
    </row>
    <row r="29" spans="1:13" x14ac:dyDescent="0.45">
      <c r="A29" t="s">
        <v>5</v>
      </c>
      <c r="B29">
        <f>AVERAGE(D22:D26)</f>
        <v>9.1483862852832076E-7</v>
      </c>
      <c r="C29">
        <f>_xlfn.STDEV.S(D22:D26)/SQRT(COUNT(D22:D26))</f>
        <v>1.9043118726424073E-8</v>
      </c>
      <c r="D29" s="1">
        <f>(B29+$B$10/(2*$B$7))^(-1)*9*E16/(2*$B$6*($B$9-$B$8))*1/2*C28</f>
        <v>1.885739280326485E-8</v>
      </c>
      <c r="F29" t="str">
        <f>J29</f>
        <v>Carica</v>
      </c>
      <c r="G29" s="1">
        <f>AVERAGE(I22:I26)</f>
        <v>1.1849505253224641E-18</v>
      </c>
      <c r="H29">
        <f>_xlfn.STDEV.S(I22:I26)</f>
        <v>2.6744541399089637E-20</v>
      </c>
      <c r="I29" s="2">
        <f>H29/SQRT(4)</f>
        <v>1.3372270699544818E-20</v>
      </c>
      <c r="J29" t="s">
        <v>33</v>
      </c>
      <c r="K29" s="1">
        <f>AVERAGE(M22:M26)</f>
        <v>1.9238393102159447E-20</v>
      </c>
      <c r="L29">
        <f>_xlfn.STDEV.S(M22:M26)</f>
        <v>9.0386792945775732E-20</v>
      </c>
      <c r="M29" s="2">
        <f>L29/SQRT(5)</f>
        <v>4.0422202658990597E-20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0</v>
      </c>
    </row>
    <row r="33" spans="1:13" x14ac:dyDescent="0.45">
      <c r="B33" t="s">
        <v>26</v>
      </c>
      <c r="D33">
        <f t="array" ref="D33:H34">TRANSPOSE(B35:C39)</f>
        <v>1.9948232699432353E-8</v>
      </c>
      <c r="E33">
        <v>1.8115647273935956E-8</v>
      </c>
      <c r="F33">
        <v>1.869333168075184E-8</v>
      </c>
      <c r="G33">
        <v>1.8764283216812707E-8</v>
      </c>
      <c r="H33">
        <v>0</v>
      </c>
    </row>
    <row r="34" spans="1:13" x14ac:dyDescent="0.45">
      <c r="C34" t="s">
        <v>21</v>
      </c>
      <c r="D34">
        <v>8.6259931106693545E-7</v>
      </c>
      <c r="E34">
        <v>9.5395350721905998E-7</v>
      </c>
      <c r="F34">
        <v>9.2322279461968878E-7</v>
      </c>
      <c r="G34">
        <v>9.1957890120759906E-7</v>
      </c>
      <c r="H34">
        <v>0</v>
      </c>
    </row>
    <row r="35" spans="1:13" x14ac:dyDescent="0.45">
      <c r="A35">
        <v>1</v>
      </c>
      <c r="B35" s="1">
        <f>E22</f>
        <v>1.9948232699432353E-8</v>
      </c>
      <c r="C35">
        <f>D22</f>
        <v>8.6259931106693545E-7</v>
      </c>
      <c r="D35">
        <f t="shared" ref="D35:H39" si="2">($C35-D$34)/SQRT($B35^2+D$33^2)</f>
        <v>0</v>
      </c>
      <c r="E35">
        <f t="shared" si="2"/>
        <v>-3.390218512877853</v>
      </c>
      <c r="F35">
        <f t="shared" si="2"/>
        <v>-2.2175442336753091</v>
      </c>
      <c r="G35">
        <f t="shared" si="2"/>
        <v>-2.0805584116758595</v>
      </c>
      <c r="H35">
        <f t="shared" si="2"/>
        <v>43.241891352685172</v>
      </c>
    </row>
    <row r="36" spans="1:13" x14ac:dyDescent="0.45">
      <c r="A36">
        <v>2</v>
      </c>
      <c r="B36">
        <f>E23</f>
        <v>1.8115647273935956E-8</v>
      </c>
      <c r="C36">
        <f>D23</f>
        <v>9.5395350721905998E-7</v>
      </c>
      <c r="D36">
        <f t="shared" si="2"/>
        <v>3.390218512877853</v>
      </c>
      <c r="E36">
        <f t="shared" si="2"/>
        <v>0</v>
      </c>
      <c r="F36">
        <f t="shared" si="2"/>
        <v>1.1805391122950379</v>
      </c>
      <c r="G36">
        <f t="shared" si="2"/>
        <v>1.3179394968600897</v>
      </c>
      <c r="H36">
        <f t="shared" si="2"/>
        <v>52.659090387102474</v>
      </c>
    </row>
    <row r="37" spans="1:13" x14ac:dyDescent="0.45">
      <c r="A37">
        <v>3</v>
      </c>
      <c r="B37">
        <f>E24</f>
        <v>1.869333168075184E-8</v>
      </c>
      <c r="C37">
        <f>D24</f>
        <v>9.2322279461968878E-7</v>
      </c>
      <c r="D37">
        <f t="shared" si="2"/>
        <v>2.2175442336753091</v>
      </c>
      <c r="E37">
        <f t="shared" si="2"/>
        <v>-1.1805391122950379</v>
      </c>
      <c r="F37">
        <f t="shared" si="2"/>
        <v>0</v>
      </c>
      <c r="G37">
        <f t="shared" si="2"/>
        <v>0.13757507659286311</v>
      </c>
      <c r="H37">
        <f t="shared" si="2"/>
        <v>49.387814349344332</v>
      </c>
    </row>
    <row r="38" spans="1:13" x14ac:dyDescent="0.45">
      <c r="A38">
        <v>4</v>
      </c>
      <c r="B38">
        <f>E25</f>
        <v>1.8764283216812707E-8</v>
      </c>
      <c r="C38">
        <f>D25</f>
        <v>9.1957890120759906E-7</v>
      </c>
      <c r="D38">
        <f t="shared" si="2"/>
        <v>2.0805584116758595</v>
      </c>
      <c r="E38">
        <f t="shared" si="2"/>
        <v>-1.3179394968600897</v>
      </c>
      <c r="F38">
        <f t="shared" si="2"/>
        <v>-0.13757507659286311</v>
      </c>
      <c r="G38">
        <f t="shared" si="2"/>
        <v>0</v>
      </c>
      <c r="H38">
        <f t="shared" si="2"/>
        <v>49.006876019845024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0</v>
      </c>
      <c r="I41">
        <v>6</v>
      </c>
      <c r="J41">
        <v>7</v>
      </c>
      <c r="K41">
        <v>8</v>
      </c>
      <c r="L41">
        <v>9</v>
      </c>
      <c r="M41">
        <v>0</v>
      </c>
    </row>
    <row r="42" spans="1:13" x14ac:dyDescent="0.45">
      <c r="B42" t="s">
        <v>26</v>
      </c>
      <c r="D42">
        <v>2.6744541399089637E-20</v>
      </c>
      <c r="E42">
        <v>2.6744541399089637E-20</v>
      </c>
      <c r="F42">
        <v>2.6744541399089637E-20</v>
      </c>
      <c r="G42">
        <v>2.6744541399089637E-20</v>
      </c>
      <c r="H42">
        <v>0</v>
      </c>
      <c r="I42">
        <v>9.0386792945775732E-20</v>
      </c>
      <c r="J42">
        <v>9.0386792945775732E-20</v>
      </c>
      <c r="K42">
        <v>9.0386792945775732E-20</v>
      </c>
      <c r="L42">
        <v>9.0386792945775732E-20</v>
      </c>
      <c r="M42">
        <v>0</v>
      </c>
    </row>
    <row r="43" spans="1:13" x14ac:dyDescent="0.45">
      <c r="C43" t="s">
        <v>35</v>
      </c>
      <c r="D43">
        <v>1.2149605369569306E-18</v>
      </c>
      <c r="E43">
        <v>1.1904553987600145E-18</v>
      </c>
      <c r="F43">
        <v>1.1501013666169291E-18</v>
      </c>
      <c r="G43">
        <v>1.1842847989559818E-18</v>
      </c>
      <c r="H43">
        <v>0</v>
      </c>
      <c r="I43">
        <v>5.6258405534797094E-20</v>
      </c>
      <c r="J43">
        <v>8.9957189512543126E-20</v>
      </c>
      <c r="K43">
        <v>6.1429777643059437E-20</v>
      </c>
      <c r="L43">
        <v>1.0468456607395119E-19</v>
      </c>
      <c r="M43">
        <v>0</v>
      </c>
    </row>
    <row r="44" spans="1:13" x14ac:dyDescent="0.45">
      <c r="A44">
        <v>1</v>
      </c>
      <c r="B44">
        <f>$H$29</f>
        <v>2.6744541399089637E-20</v>
      </c>
      <c r="C44" s="1">
        <f>I22</f>
        <v>1.2149605369569306E-18</v>
      </c>
      <c r="D44">
        <f>($C44-D$43)/SQRT($B44^2+D$42^2)</f>
        <v>0</v>
      </c>
      <c r="E44">
        <f t="shared" ref="E44:M44" si="3">($C44-E$43)/SQRT($B44^2+E$42^2)</f>
        <v>0.64789854252436896</v>
      </c>
      <c r="F44">
        <f t="shared" si="3"/>
        <v>1.714830644697821</v>
      </c>
      <c r="G44">
        <f t="shared" si="3"/>
        <v>0.81104484218641804</v>
      </c>
      <c r="H44">
        <f t="shared" si="3"/>
        <v>45.428355597014907</v>
      </c>
      <c r="I44">
        <f t="shared" si="3"/>
        <v>12.292551683367563</v>
      </c>
      <c r="J44">
        <f t="shared" si="3"/>
        <v>11.935044751707172</v>
      </c>
      <c r="K44">
        <f t="shared" si="3"/>
        <v>12.237689128798239</v>
      </c>
      <c r="L44">
        <f t="shared" si="3"/>
        <v>11.778803529194422</v>
      </c>
      <c r="M44">
        <f t="shared" si="3"/>
        <v>45.428355597014907</v>
      </c>
    </row>
    <row r="45" spans="1:13" x14ac:dyDescent="0.45">
      <c r="A45">
        <v>2</v>
      </c>
      <c r="B45">
        <f t="shared" ref="B45:B48" si="4">$H$29</f>
        <v>2.6744541399089637E-20</v>
      </c>
      <c r="C45" s="1">
        <f t="shared" ref="C45:C48" si="5">I23</f>
        <v>1.1904553987600145E-18</v>
      </c>
      <c r="D45">
        <f t="shared" ref="D45:M53" si="6">($C45-D$43)/SQRT($B45^2+D$42^2)</f>
        <v>-0.64789854252436896</v>
      </c>
      <c r="E45">
        <f t="shared" si="6"/>
        <v>0</v>
      </c>
      <c r="F45">
        <f t="shared" si="6"/>
        <v>1.0669321021734521</v>
      </c>
      <c r="G45">
        <f t="shared" si="6"/>
        <v>0.16314629966204913</v>
      </c>
      <c r="H45">
        <f t="shared" si="6"/>
        <v>44.512088691135183</v>
      </c>
      <c r="I45">
        <f t="shared" si="6"/>
        <v>12.032579193782221</v>
      </c>
      <c r="J45">
        <f t="shared" si="6"/>
        <v>11.675072262121828</v>
      </c>
      <c r="K45">
        <f t="shared" si="6"/>
        <v>11.977716639212893</v>
      </c>
      <c r="L45">
        <f t="shared" si="6"/>
        <v>11.518831039609079</v>
      </c>
      <c r="M45">
        <f t="shared" si="6"/>
        <v>44.512088691135183</v>
      </c>
    </row>
    <row r="46" spans="1:13" x14ac:dyDescent="0.45">
      <c r="A46">
        <v>3</v>
      </c>
      <c r="B46">
        <f t="shared" si="4"/>
        <v>2.6744541399089637E-20</v>
      </c>
      <c r="C46" s="1">
        <f t="shared" si="5"/>
        <v>1.1501013666169291E-18</v>
      </c>
      <c r="D46">
        <f t="shared" si="6"/>
        <v>-1.714830644697821</v>
      </c>
      <c r="E46">
        <f t="shared" si="6"/>
        <v>-1.0669321021734521</v>
      </c>
      <c r="F46">
        <f t="shared" si="6"/>
        <v>0</v>
      </c>
      <c r="G46">
        <f t="shared" si="6"/>
        <v>-0.90378580251140295</v>
      </c>
      <c r="H46">
        <f t="shared" si="6"/>
        <v>43.00321884211025</v>
      </c>
      <c r="I46">
        <f t="shared" si="6"/>
        <v>11.604467419151824</v>
      </c>
      <c r="J46">
        <f t="shared" si="6"/>
        <v>11.246960487491432</v>
      </c>
      <c r="K46">
        <f t="shared" si="6"/>
        <v>11.549604864582497</v>
      </c>
      <c r="L46">
        <f t="shared" si="6"/>
        <v>11.090719264978681</v>
      </c>
      <c r="M46">
        <f t="shared" si="6"/>
        <v>43.00321884211025</v>
      </c>
    </row>
    <row r="47" spans="1:13" x14ac:dyDescent="0.45">
      <c r="A47">
        <v>4</v>
      </c>
      <c r="B47">
        <f t="shared" si="4"/>
        <v>2.6744541399089637E-20</v>
      </c>
      <c r="C47" s="1">
        <f t="shared" si="5"/>
        <v>1.1842847989559818E-18</v>
      </c>
      <c r="D47">
        <f t="shared" si="6"/>
        <v>-0.81104484218641804</v>
      </c>
      <c r="E47">
        <f t="shared" si="6"/>
        <v>-0.16314629966204913</v>
      </c>
      <c r="F47">
        <f t="shared" si="6"/>
        <v>0.90378580251140295</v>
      </c>
      <c r="G47">
        <f t="shared" si="6"/>
        <v>0</v>
      </c>
      <c r="H47">
        <f t="shared" si="6"/>
        <v>44.281364981502129</v>
      </c>
      <c r="I47">
        <f t="shared" si="6"/>
        <v>11.967115935407652</v>
      </c>
      <c r="J47">
        <f t="shared" si="6"/>
        <v>11.609609003747261</v>
      </c>
      <c r="K47">
        <f t="shared" si="6"/>
        <v>11.912253380838328</v>
      </c>
      <c r="L47">
        <f t="shared" si="6"/>
        <v>11.45336778123451</v>
      </c>
      <c r="M47">
        <f t="shared" si="6"/>
        <v>44.281364981502129</v>
      </c>
    </row>
    <row r="48" spans="1:13" x14ac:dyDescent="0.45">
      <c r="C48" s="1"/>
    </row>
    <row r="49" spans="1:13" x14ac:dyDescent="0.45">
      <c r="A49">
        <v>6</v>
      </c>
      <c r="B49">
        <f>$L$29</f>
        <v>9.0386792945775732E-20</v>
      </c>
      <c r="C49" s="1">
        <f>ABS(M22)</f>
        <v>5.6258405534797094E-20</v>
      </c>
      <c r="D49">
        <f t="shared" si="6"/>
        <v>-12.292551683367563</v>
      </c>
      <c r="E49">
        <f t="shared" si="6"/>
        <v>-12.032579193782221</v>
      </c>
      <c r="F49">
        <f t="shared" si="6"/>
        <v>-11.604467419151824</v>
      </c>
      <c r="G49">
        <f t="shared" si="6"/>
        <v>-11.967115935407652</v>
      </c>
      <c r="H49">
        <f t="shared" si="6"/>
        <v>0.62241842753008481</v>
      </c>
      <c r="I49">
        <f t="shared" si="6"/>
        <v>0</v>
      </c>
      <c r="J49">
        <f t="shared" si="6"/>
        <v>-0.2636296508794147</v>
      </c>
      <c r="K49">
        <f t="shared" si="6"/>
        <v>-4.0456267631765477E-2</v>
      </c>
      <c r="L49">
        <f t="shared" si="6"/>
        <v>-0.37884369373086157</v>
      </c>
      <c r="M49">
        <f t="shared" si="6"/>
        <v>0.62241842753008481</v>
      </c>
    </row>
    <row r="50" spans="1:13" x14ac:dyDescent="0.45">
      <c r="A50">
        <v>7</v>
      </c>
      <c r="B50">
        <f t="shared" ref="B50:B53" si="7">$L$29</f>
        <v>9.0386792945775732E-20</v>
      </c>
      <c r="C50" s="1">
        <f t="shared" ref="C50:C53" si="8">ABS(M23)</f>
        <v>8.9957189512543126E-20</v>
      </c>
      <c r="D50">
        <f t="shared" si="6"/>
        <v>-11.935044751707172</v>
      </c>
      <c r="E50">
        <f t="shared" si="6"/>
        <v>-11.675072262121828</v>
      </c>
      <c r="F50">
        <f t="shared" si="6"/>
        <v>-11.246960487491432</v>
      </c>
      <c r="G50">
        <f t="shared" si="6"/>
        <v>-11.609609003747261</v>
      </c>
      <c r="H50">
        <f t="shared" si="6"/>
        <v>0.99524705524743717</v>
      </c>
      <c r="I50">
        <f t="shared" si="6"/>
        <v>0.2636296508794147</v>
      </c>
      <c r="J50">
        <f t="shared" si="6"/>
        <v>0</v>
      </c>
      <c r="K50">
        <f t="shared" si="6"/>
        <v>0.22317338324764921</v>
      </c>
      <c r="L50">
        <f t="shared" si="6"/>
        <v>-0.1152140428514469</v>
      </c>
      <c r="M50">
        <f t="shared" si="6"/>
        <v>0.99524705524743717</v>
      </c>
    </row>
    <row r="51" spans="1:13" x14ac:dyDescent="0.45">
      <c r="A51">
        <v>8</v>
      </c>
      <c r="B51">
        <f t="shared" si="7"/>
        <v>9.0386792945775732E-20</v>
      </c>
      <c r="C51" s="1">
        <f t="shared" si="8"/>
        <v>6.1429777643059437E-20</v>
      </c>
      <c r="D51">
        <f t="shared" si="6"/>
        <v>-12.237689128798239</v>
      </c>
      <c r="E51">
        <f t="shared" si="6"/>
        <v>-11.977716639212893</v>
      </c>
      <c r="F51">
        <f t="shared" si="6"/>
        <v>-11.549604864582497</v>
      </c>
      <c r="G51">
        <f t="shared" si="6"/>
        <v>-11.912253380838328</v>
      </c>
      <c r="H51">
        <f t="shared" si="6"/>
        <v>0.67963222989792327</v>
      </c>
      <c r="I51">
        <f t="shared" si="6"/>
        <v>4.0456267631765477E-2</v>
      </c>
      <c r="J51">
        <f t="shared" si="6"/>
        <v>-0.22317338324764921</v>
      </c>
      <c r="K51">
        <f t="shared" si="6"/>
        <v>0</v>
      </c>
      <c r="L51">
        <f t="shared" si="6"/>
        <v>-0.33838742609909611</v>
      </c>
      <c r="M51">
        <f t="shared" si="6"/>
        <v>0.67963222989792327</v>
      </c>
    </row>
    <row r="52" spans="1:13" x14ac:dyDescent="0.45">
      <c r="A52">
        <v>9</v>
      </c>
      <c r="B52">
        <f t="shared" si="7"/>
        <v>9.0386792945775732E-20</v>
      </c>
      <c r="C52" s="1">
        <f t="shared" si="8"/>
        <v>1.0468456607395119E-19</v>
      </c>
      <c r="D52">
        <f t="shared" si="6"/>
        <v>-11.778803529194422</v>
      </c>
      <c r="E52">
        <f t="shared" si="6"/>
        <v>-11.518831039609079</v>
      </c>
      <c r="F52">
        <f t="shared" si="6"/>
        <v>-11.090719264978681</v>
      </c>
      <c r="G52">
        <f t="shared" si="6"/>
        <v>-11.45336778123451</v>
      </c>
      <c r="H52">
        <f t="shared" si="6"/>
        <v>1.1581843172237882</v>
      </c>
      <c r="I52">
        <f t="shared" si="6"/>
        <v>0.37884369373086157</v>
      </c>
      <c r="J52">
        <f t="shared" si="6"/>
        <v>0.1152140428514469</v>
      </c>
      <c r="K52">
        <f t="shared" si="6"/>
        <v>0.33838742609909611</v>
      </c>
      <c r="L52">
        <f t="shared" si="6"/>
        <v>0</v>
      </c>
      <c r="M52">
        <f t="shared" si="6"/>
        <v>1.1581843172237882</v>
      </c>
    </row>
    <row r="53" spans="1:13" x14ac:dyDescent="0.45">
      <c r="C53" s="1"/>
    </row>
  </sheetData>
  <mergeCells count="2">
    <mergeCell ref="A1:C2"/>
    <mergeCell ref="A14:C15"/>
  </mergeCells>
  <conditionalFormatting sqref="D44:M53">
    <cfRule type="cellIs" dxfId="16" priority="2" operator="greaterThan">
      <formula>1.96</formula>
    </cfRule>
    <cfRule type="cellIs" dxfId="15" priority="1" operator="notBetween">
      <formula>-1.96</formula>
      <formula>35065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0" workbookViewId="0">
      <selection activeCell="A20" sqref="A1:XFD104857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303</v>
      </c>
      <c r="C16">
        <f>B16/100</f>
        <v>3.03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2.27</v>
      </c>
      <c r="D17" t="s">
        <v>1</v>
      </c>
      <c r="E17" s="2">
        <f>E16/(1+$B$10/($B$7*B29))</f>
        <v>1.6663747525210609E-5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40780.619111709282</v>
      </c>
    </row>
    <row r="20" spans="1:13" x14ac:dyDescent="0.45">
      <c r="A20" t="s">
        <v>7</v>
      </c>
      <c r="B20">
        <v>1</v>
      </c>
      <c r="G20">
        <v>48.21</v>
      </c>
      <c r="K20">
        <f>G26</f>
        <v>103.7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5.98</v>
      </c>
      <c r="C22" s="1">
        <f>B12/B22</f>
        <v>8.361204013377926E-5</v>
      </c>
      <c r="D22">
        <f>(($B$10/(2*$B$7))^2+9*E16*C22/(2*$B$6*($B$9-$B$8)))^(1/2)-$B$10/(2*$B$7)</f>
        <v>8.6377740406786669E-7</v>
      </c>
      <c r="E22" s="1">
        <f>(D22+$B$10/(2*$B$7))^(-1)*9*E16/(2*$B$6*($B$9-$B$8))*1/2*C28</f>
        <v>5.6754112884657207E-9</v>
      </c>
      <c r="F22" s="1"/>
      <c r="G22">
        <v>60.47</v>
      </c>
      <c r="H22" s="1">
        <f>$B$12/(G22-G20)</f>
        <v>4.0783034257748784E-5</v>
      </c>
      <c r="I22" s="1">
        <f>(4*PI()/3)*B29^3*($B$9-$B$8)*($B$6/E18)*(1+ABS(H22)/B28)</f>
        <v>7.8448390626144431E-19</v>
      </c>
      <c r="K22">
        <v>109.43</v>
      </c>
      <c r="L22" s="1">
        <f>B12/(K22-K20)</f>
        <v>8.7260034904013898E-5</v>
      </c>
      <c r="M22" s="1">
        <f>-(4*PI()/3)*B29^3*($B$9-$B$8)*($B$6/$E$18)*(1-ABS(L22)/B28)</f>
        <v>4.7482408805878892E-20</v>
      </c>
    </row>
    <row r="23" spans="1:13" x14ac:dyDescent="0.45">
      <c r="A23">
        <v>2</v>
      </c>
      <c r="B23">
        <v>12.23</v>
      </c>
      <c r="C23" s="1">
        <f>$B$12/(B23-B22)</f>
        <v>8.0000000000000007E-5</v>
      </c>
      <c r="D23">
        <f>(($B$10/(2*$B$7))^2+9*E16*C23/(2*$B$6*($B$9-$B$8)))^(1/2)-$B$10/(2*$B$7)</f>
        <v>8.4407015204395798E-7</v>
      </c>
      <c r="E23" s="1">
        <f>(D23+$B$10/(2*$B$7))^(-1)*9*E16/(2*$B$6*($B$9-$B$8))*1/2*C28</f>
        <v>5.8018583892499343E-9</v>
      </c>
      <c r="F23" s="1"/>
      <c r="G23">
        <v>70.28</v>
      </c>
      <c r="H23" s="1">
        <f>$B$12/(G23-G22)</f>
        <v>5.0968399592252791E-5</v>
      </c>
      <c r="I23" s="1">
        <f>(4*PI()/3)*B29^3*($B$9-$B$8)*($B$6/E18)*(1+ABS(H23)/B28)</f>
        <v>8.5066383244125407E-19</v>
      </c>
      <c r="K23">
        <v>115.14</v>
      </c>
      <c r="L23" s="1">
        <f t="shared" ref="L23:L26" si="0">$B$12/(K23-K22)</f>
        <v>8.7565674255691867E-5</v>
      </c>
      <c r="M23" s="1">
        <f>-(4*PI()/3)*B29^3*($B$9-$B$8)*($B$6/$E$18)*(1-ABS(L23)/B28)</f>
        <v>4.9468315944935636E-20</v>
      </c>
    </row>
    <row r="24" spans="1:13" x14ac:dyDescent="0.45">
      <c r="A24">
        <v>3</v>
      </c>
      <c r="B24">
        <v>18.48</v>
      </c>
      <c r="C24" s="1">
        <f t="shared" ref="C24:C26" si="1">$B$12/(B24-B23)</f>
        <v>8.0000000000000007E-5</v>
      </c>
      <c r="D24">
        <f>(($B$10/(2*$B$7))^2+9*E16*C24/(2*$B$6*($B$9-$B$8)))^(1/2)-$B$10/(2*$B$7)</f>
        <v>8.4407015204395798E-7</v>
      </c>
      <c r="E24" s="1">
        <f>(D24+$B$10/(2*$B$7))^(-1)*9*E16/(2*$B$6*($B$9-$B$8))*1/2*C28</f>
        <v>5.8018583892499343E-9</v>
      </c>
      <c r="F24" s="1"/>
      <c r="G24">
        <v>81.61</v>
      </c>
      <c r="H24" s="1">
        <f>$B$12/(G24-G23)</f>
        <v>4.4130626654898504E-5</v>
      </c>
      <c r="I24" s="1">
        <f>(4*PI()/3)*B29^3*($B$9-$B$8)*($B$6/E18)*(1+ABS(H24)/B28)</f>
        <v>8.0623505709871061E-19</v>
      </c>
      <c r="K24">
        <v>122.92</v>
      </c>
      <c r="L24" s="1">
        <f t="shared" si="0"/>
        <v>6.426735218508997E-5</v>
      </c>
      <c r="M24" s="1">
        <f>-(4*PI()/3)*B29^3*($B$9-$B$8)*($B$6/E18)*(1-ABS(L24)/B28)</f>
        <v>-1.0191370955027007E-19</v>
      </c>
    </row>
    <row r="25" spans="1:13" x14ac:dyDescent="0.45">
      <c r="A25">
        <v>4</v>
      </c>
      <c r="B25">
        <v>24.81</v>
      </c>
      <c r="C25" s="1">
        <f t="shared" si="1"/>
        <v>7.8988941548183275E-5</v>
      </c>
      <c r="D25">
        <f>(($B$10/(2*$B$7))^2+9*E16*C25/(2*$B$6*($B$9-$B$8)))^(1/2)-$B$10/(2*$B$7)</f>
        <v>8.3847467849665496E-7</v>
      </c>
      <c r="E25" s="1">
        <f>(D25+$B$10/(2*$B$7))^(-1)*9*E16/(2*$B$6*($B$9-$B$8))*1/2*C28</f>
        <v>5.8387940155131461E-9</v>
      </c>
      <c r="F25" s="1"/>
      <c r="G25">
        <v>92.69</v>
      </c>
      <c r="H25" s="1">
        <f>$B$12/(G25-G24)</f>
        <v>4.512635379061373E-5</v>
      </c>
      <c r="I25" s="1">
        <f>(4*PI()/3)*B29^3*($B$9-$B$8)*($B$6/E18)*(1+ABS(H25)/B28)</f>
        <v>8.127048445017833E-19</v>
      </c>
      <c r="K25">
        <v>129.79</v>
      </c>
      <c r="L25" s="1">
        <f t="shared" si="0"/>
        <v>7.2780203784570698E-5</v>
      </c>
      <c r="M25" s="1">
        <f>-(4*PI()/3)*B29^3*($B$9-$B$8)*($B$6/E18)*(1-ABS(L25)/B28)</f>
        <v>-4.6601025917332302E-20</v>
      </c>
    </row>
    <row r="26" spans="1:13" x14ac:dyDescent="0.45">
      <c r="A26">
        <v>5</v>
      </c>
      <c r="B26">
        <v>31.29</v>
      </c>
      <c r="C26" s="1">
        <f t="shared" si="1"/>
        <v>7.7160493827160492E-5</v>
      </c>
      <c r="D26">
        <f>(($B$10/(2*$B$7))^2+9*E16*C26/(2*$B$6*($B$9-$B$8)))^(1/2)-$B$10/(2*$B$7)</f>
        <v>8.2826403082940009E-7</v>
      </c>
      <c r="E26" s="1">
        <f>(D26+$B$10/(2*$B$7))^(-1)*9*E16/(2*$B$6*($B$9-$B$8))*1/2*C28</f>
        <v>5.9074206470966677E-9</v>
      </c>
      <c r="F26" s="1"/>
      <c r="G26">
        <v>103.7</v>
      </c>
      <c r="H26" s="1">
        <f>$B$12/(G26-G25)</f>
        <v>4.5413260672116237E-5</v>
      </c>
      <c r="I26" s="1">
        <f>(4*PI()/3)*B29^3*($B$9-$B$8)*($B$6/E18)*(1+ABS(H26)/B28)</f>
        <v>8.1456903646885928E-19</v>
      </c>
      <c r="K26">
        <v>136.52000000000001</v>
      </c>
      <c r="L26" s="1">
        <f t="shared" si="0"/>
        <v>7.4294205052005747E-5</v>
      </c>
      <c r="M26" s="1">
        <f>-(4*PI()/3)*B29^3*($B$9-$B$8)*($B$6/E18)*(1-ABS(L26)/B28)</f>
        <v>-3.6763726142177076E-20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7.9952295101824605E-5</v>
      </c>
      <c r="C28" s="1">
        <f>_xlfn.STDEV.S(C22:C26)/SQRT(COUNT(C22:C26))</f>
        <v>1.0516769855822217E-6</v>
      </c>
      <c r="F28" t="str">
        <f>J28</f>
        <v>Velocità</v>
      </c>
      <c r="G28" s="1">
        <f>AVERAGE(H22:H26)</f>
        <v>4.528433499352601E-5</v>
      </c>
      <c r="H28" s="1">
        <f>_xlfn.STDEV.S(H22:H26)/SQRT(COUNT(H22:H26))</f>
        <v>1.6422990211605778E-6</v>
      </c>
      <c r="I28" s="2">
        <f>H28/SQRT(5)</f>
        <v>7.3445845013928352E-7</v>
      </c>
      <c r="J28" t="s">
        <v>27</v>
      </c>
      <c r="K28" s="1">
        <f>AVERAGE(L22:L26)</f>
        <v>7.7233494036274439E-5</v>
      </c>
      <c r="L28" s="1">
        <f>_xlfn.STDEV.S(L22:L26)</f>
        <v>1.0048352080851001E-5</v>
      </c>
      <c r="M28" s="2">
        <f>L28/SQRT(5)</f>
        <v>4.4937596629268604E-6</v>
      </c>
    </row>
    <row r="29" spans="1:13" x14ac:dyDescent="0.45">
      <c r="A29" t="s">
        <v>5</v>
      </c>
      <c r="B29">
        <f>AVERAGE(D22:D26)</f>
        <v>8.4373128349636739E-7</v>
      </c>
      <c r="C29">
        <f>_xlfn.STDEV.S(D22:D26)/SQRT(COUNT(D22:D26))</f>
        <v>5.7833572211086377E-9</v>
      </c>
      <c r="D29" s="1">
        <f>(B29+$B$10/(2*$B$7))^(-1)*9*E16/(2*$B$6*($B$9-$B$8))*1/2*C28</f>
        <v>5.8040819564722117E-9</v>
      </c>
      <c r="F29" t="str">
        <f>J29</f>
        <v>Carica</v>
      </c>
      <c r="G29" s="1">
        <f>AVERAGE(I22:I26)</f>
        <v>8.1373133535441032E-19</v>
      </c>
      <c r="H29">
        <f>_xlfn.STDEV.S(I22:I26)</f>
        <v>2.3860904550814647E-20</v>
      </c>
      <c r="I29" s="2">
        <f>H29/SQRT(5)</f>
        <v>1.0670920916051127E-20</v>
      </c>
      <c r="J29" t="s">
        <v>33</v>
      </c>
      <c r="K29" s="1">
        <f>AVERAGE(M22:M26)</f>
        <v>-1.7665547371792987E-20</v>
      </c>
      <c r="L29">
        <f>_xlfn.STDEV.S(M22:M26)</f>
        <v>6.5289675637525086E-20</v>
      </c>
      <c r="M29" s="2">
        <f>L29/SQRT(5)</f>
        <v>2.91984305908836E-20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5.6754112884657207E-9</v>
      </c>
      <c r="E33">
        <v>5.8018583892499343E-9</v>
      </c>
      <c r="F33">
        <v>5.8018583892499343E-9</v>
      </c>
      <c r="G33">
        <v>5.8387940155131461E-9</v>
      </c>
      <c r="H33">
        <v>5.9074206470966677E-9</v>
      </c>
    </row>
    <row r="34" spans="1:13" x14ac:dyDescent="0.45">
      <c r="C34" t="s">
        <v>21</v>
      </c>
      <c r="D34">
        <v>8.6377740406786669E-7</v>
      </c>
      <c r="E34">
        <v>8.4407015204395798E-7</v>
      </c>
      <c r="F34">
        <v>8.4407015204395798E-7</v>
      </c>
      <c r="G34">
        <v>8.3847467849665496E-7</v>
      </c>
      <c r="H34">
        <v>8.2826403082940009E-7</v>
      </c>
    </row>
    <row r="35" spans="1:13" x14ac:dyDescent="0.45">
      <c r="A35">
        <v>1</v>
      </c>
      <c r="B35" s="1">
        <f>E22</f>
        <v>5.6754112884657207E-9</v>
      </c>
      <c r="C35">
        <f>D22</f>
        <v>8.6377740406786669E-7</v>
      </c>
      <c r="D35">
        <f t="shared" ref="D35:H39" si="2">($C35-D$34)/SQRT($B35^2+D$33^2)</f>
        <v>0</v>
      </c>
      <c r="E35">
        <f t="shared" si="2"/>
        <v>2.428153437628358</v>
      </c>
      <c r="F35">
        <f t="shared" si="2"/>
        <v>2.428153437628358</v>
      </c>
      <c r="G35">
        <f t="shared" si="2"/>
        <v>3.107453343760838</v>
      </c>
      <c r="H35">
        <f t="shared" si="2"/>
        <v>4.3351593184998034</v>
      </c>
    </row>
    <row r="36" spans="1:13" x14ac:dyDescent="0.45">
      <c r="A36">
        <v>2</v>
      </c>
      <c r="B36">
        <f>E23</f>
        <v>5.8018583892499343E-9</v>
      </c>
      <c r="C36">
        <f>D23</f>
        <v>8.4407015204395798E-7</v>
      </c>
      <c r="D36">
        <f t="shared" si="2"/>
        <v>-2.428153437628358</v>
      </c>
      <c r="E36">
        <f t="shared" si="2"/>
        <v>0</v>
      </c>
      <c r="F36">
        <f t="shared" si="2"/>
        <v>0</v>
      </c>
      <c r="G36">
        <f t="shared" si="2"/>
        <v>0.67978618974753391</v>
      </c>
      <c r="H36">
        <f t="shared" si="2"/>
        <v>1.9089409857422983</v>
      </c>
    </row>
    <row r="37" spans="1:13" x14ac:dyDescent="0.45">
      <c r="A37">
        <v>3</v>
      </c>
      <c r="B37">
        <f>E24</f>
        <v>5.8018583892499343E-9</v>
      </c>
      <c r="C37">
        <f>D24</f>
        <v>8.4407015204395798E-7</v>
      </c>
      <c r="D37">
        <f t="shared" si="2"/>
        <v>-2.428153437628358</v>
      </c>
      <c r="E37">
        <f t="shared" si="2"/>
        <v>0</v>
      </c>
      <c r="F37">
        <f t="shared" si="2"/>
        <v>0</v>
      </c>
      <c r="G37">
        <f t="shared" si="2"/>
        <v>0.67978618974753391</v>
      </c>
      <c r="H37">
        <f t="shared" si="2"/>
        <v>1.9089409857422983</v>
      </c>
    </row>
    <row r="38" spans="1:13" x14ac:dyDescent="0.45">
      <c r="A38">
        <v>4</v>
      </c>
      <c r="B38">
        <f>E25</f>
        <v>5.8387940155131461E-9</v>
      </c>
      <c r="C38">
        <f>D25</f>
        <v>8.3847467849665496E-7</v>
      </c>
      <c r="D38">
        <f t="shared" si="2"/>
        <v>-3.107453343760838</v>
      </c>
      <c r="E38">
        <f t="shared" si="2"/>
        <v>-0.67978618974753391</v>
      </c>
      <c r="F38">
        <f t="shared" si="2"/>
        <v>-0.67978618974753391</v>
      </c>
      <c r="G38">
        <f t="shared" si="2"/>
        <v>0</v>
      </c>
      <c r="H38">
        <f t="shared" si="2"/>
        <v>1.2293143266403392</v>
      </c>
    </row>
    <row r="39" spans="1:13" x14ac:dyDescent="0.45">
      <c r="A39">
        <v>5</v>
      </c>
      <c r="B39">
        <f>E26</f>
        <v>5.9074206470966677E-9</v>
      </c>
      <c r="C39">
        <f>D26</f>
        <v>8.2826403082940009E-7</v>
      </c>
      <c r="D39">
        <f t="shared" si="2"/>
        <v>-4.3351593184998034</v>
      </c>
      <c r="E39">
        <f t="shared" si="2"/>
        <v>-1.9089409857422983</v>
      </c>
      <c r="F39">
        <f t="shared" si="2"/>
        <v>-1.9089409857422983</v>
      </c>
      <c r="G39">
        <f t="shared" si="2"/>
        <v>-1.2293143266403392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6.5289675637525086E-20</v>
      </c>
      <c r="E42">
        <v>6.5289675637525086E-20</v>
      </c>
      <c r="F42">
        <v>6.5289675637525086E-20</v>
      </c>
      <c r="G42">
        <v>6.5289675637525086E-20</v>
      </c>
      <c r="H42">
        <v>6.5289675637525086E-20</v>
      </c>
      <c r="I42">
        <v>2.3860904550814647E-20</v>
      </c>
      <c r="J42">
        <v>2.3860904550814647E-20</v>
      </c>
      <c r="K42">
        <v>2.3860904550814647E-20</v>
      </c>
      <c r="L42">
        <v>2.3860904550814647E-20</v>
      </c>
      <c r="M42">
        <v>2.3860904550814647E-20</v>
      </c>
    </row>
    <row r="43" spans="1:13" x14ac:dyDescent="0.45">
      <c r="C43" t="s">
        <v>35</v>
      </c>
      <c r="D43">
        <v>4.7482408805878892E-20</v>
      </c>
      <c r="E43">
        <v>4.9468315944935636E-20</v>
      </c>
      <c r="F43">
        <v>-1.0191370955027007E-19</v>
      </c>
      <c r="G43">
        <v>-4.6601025917332302E-20</v>
      </c>
      <c r="H43">
        <v>-3.6763726142177076E-20</v>
      </c>
      <c r="I43">
        <v>7.8448390626144431E-19</v>
      </c>
      <c r="J43">
        <v>8.5066383244125407E-19</v>
      </c>
      <c r="K43">
        <v>8.0623505709871061E-19</v>
      </c>
      <c r="L43">
        <v>8.127048445017833E-19</v>
      </c>
      <c r="M43">
        <v>8.1456903646885928E-19</v>
      </c>
    </row>
    <row r="44" spans="1:13" x14ac:dyDescent="0.45">
      <c r="A44">
        <v>1</v>
      </c>
      <c r="B44">
        <f>$L$29</f>
        <v>6.5289675637525086E-20</v>
      </c>
      <c r="C44">
        <f>M22</f>
        <v>4.7482408805878892E-20</v>
      </c>
      <c r="D44">
        <f>($C44-D$43)/SQRT($B44^2+D$42^2)</f>
        <v>0</v>
      </c>
      <c r="E44">
        <f t="shared" ref="E44:M44" si="3">($C44-E$43)/SQRT($B44^2+E$42^2)</f>
        <v>-2.1507970304982051E-2</v>
      </c>
      <c r="F44">
        <f t="shared" si="3"/>
        <v>1.6180047969462601</v>
      </c>
      <c r="G44">
        <f t="shared" si="3"/>
        <v>1.018951833356456</v>
      </c>
      <c r="H44">
        <f t="shared" si="3"/>
        <v>0.91241092452738515</v>
      </c>
      <c r="I44">
        <f t="shared" si="3"/>
        <v>-10.602324922393198</v>
      </c>
      <c r="J44">
        <f t="shared" si="3"/>
        <v>-11.554373301020329</v>
      </c>
      <c r="K44">
        <f t="shared" si="3"/>
        <v>-10.91523170671976</v>
      </c>
      <c r="L44">
        <f t="shared" si="3"/>
        <v>-11.008304500279882</v>
      </c>
      <c r="M44">
        <f t="shared" si="3"/>
        <v>-11.035122314111865</v>
      </c>
    </row>
    <row r="45" spans="1:13" x14ac:dyDescent="0.45">
      <c r="A45">
        <v>2</v>
      </c>
      <c r="B45">
        <f>$L$29</f>
        <v>6.5289675637525086E-20</v>
      </c>
      <c r="C45">
        <f>M23</f>
        <v>4.9468315944935636E-20</v>
      </c>
      <c r="D45">
        <f t="shared" ref="D45:M53" si="4">($C45-D$43)/SQRT($B45^2+D$42^2)</f>
        <v>2.1507970304982051E-2</v>
      </c>
      <c r="E45">
        <f t="shared" si="4"/>
        <v>0</v>
      </c>
      <c r="F45">
        <f t="shared" si="4"/>
        <v>1.6395127672512422</v>
      </c>
      <c r="G45">
        <f t="shared" si="4"/>
        <v>1.0404598036614381</v>
      </c>
      <c r="H45">
        <f t="shared" si="4"/>
        <v>0.93391889483236723</v>
      </c>
      <c r="I45">
        <f t="shared" si="4"/>
        <v>-10.573756143596043</v>
      </c>
      <c r="J45">
        <f t="shared" si="4"/>
        <v>-11.525804522223174</v>
      </c>
      <c r="K45">
        <f t="shared" si="4"/>
        <v>-10.886662927922606</v>
      </c>
      <c r="L45">
        <f t="shared" si="4"/>
        <v>-10.979735721482728</v>
      </c>
      <c r="M45">
        <f t="shared" si="4"/>
        <v>-11.00655353531471</v>
      </c>
    </row>
    <row r="46" spans="1:13" x14ac:dyDescent="0.45">
      <c r="A46">
        <v>3</v>
      </c>
      <c r="B46">
        <f>$L$29</f>
        <v>6.5289675637525086E-20</v>
      </c>
      <c r="C46">
        <f>M24</f>
        <v>-1.0191370955027007E-19</v>
      </c>
      <c r="D46">
        <f t="shared" si="4"/>
        <v>-1.6180047969462601</v>
      </c>
      <c r="E46">
        <f t="shared" si="4"/>
        <v>-1.6395127672512422</v>
      </c>
      <c r="F46">
        <f t="shared" si="4"/>
        <v>0</v>
      </c>
      <c r="G46">
        <f t="shared" si="4"/>
        <v>-0.59905296358980431</v>
      </c>
      <c r="H46">
        <f t="shared" si="4"/>
        <v>-0.70559387241887506</v>
      </c>
      <c r="I46">
        <f t="shared" si="4"/>
        <v>-12.751501273356718</v>
      </c>
      <c r="J46">
        <f t="shared" si="4"/>
        <v>-13.703549651983851</v>
      </c>
      <c r="K46">
        <f t="shared" si="4"/>
        <v>-13.064408057683281</v>
      </c>
      <c r="L46">
        <f t="shared" si="4"/>
        <v>-13.157480851243402</v>
      </c>
      <c r="M46">
        <f t="shared" si="4"/>
        <v>-13.184298665075385</v>
      </c>
    </row>
    <row r="47" spans="1:13" x14ac:dyDescent="0.45">
      <c r="A47">
        <v>4</v>
      </c>
      <c r="B47">
        <f>$L$29</f>
        <v>6.5289675637525086E-20</v>
      </c>
      <c r="C47">
        <f>M25</f>
        <v>-4.6601025917332302E-20</v>
      </c>
      <c r="D47">
        <f t="shared" si="4"/>
        <v>-1.018951833356456</v>
      </c>
      <c r="E47">
        <f t="shared" si="4"/>
        <v>-1.0404598036614381</v>
      </c>
      <c r="F47">
        <f t="shared" si="4"/>
        <v>0.59905296358980431</v>
      </c>
      <c r="G47">
        <f t="shared" si="4"/>
        <v>0</v>
      </c>
      <c r="H47">
        <f t="shared" si="4"/>
        <v>-0.1065409088290707</v>
      </c>
      <c r="I47">
        <f t="shared" si="4"/>
        <v>-11.95578641221927</v>
      </c>
      <c r="J47">
        <f t="shared" si="4"/>
        <v>-12.907834790846401</v>
      </c>
      <c r="K47">
        <f t="shared" si="4"/>
        <v>-12.268693196545833</v>
      </c>
      <c r="L47">
        <f t="shared" si="4"/>
        <v>-12.361765990105955</v>
      </c>
      <c r="M47">
        <f t="shared" si="4"/>
        <v>-12.388583803937935</v>
      </c>
    </row>
    <row r="48" spans="1:13" x14ac:dyDescent="0.45">
      <c r="A48">
        <v>5</v>
      </c>
      <c r="B48">
        <f>$L$29</f>
        <v>6.5289675637525086E-20</v>
      </c>
      <c r="C48">
        <f>M26</f>
        <v>-3.6763726142177076E-20</v>
      </c>
      <c r="D48">
        <f t="shared" si="4"/>
        <v>-0.91241092452738515</v>
      </c>
      <c r="E48">
        <f t="shared" si="4"/>
        <v>-0.93391889483236723</v>
      </c>
      <c r="F48">
        <f t="shared" si="4"/>
        <v>0.70559387241887506</v>
      </c>
      <c r="G48">
        <f t="shared" si="4"/>
        <v>0.1065409088290707</v>
      </c>
      <c r="H48">
        <f t="shared" si="4"/>
        <v>0</v>
      </c>
      <c r="I48">
        <f t="shared" si="4"/>
        <v>-11.814269401826126</v>
      </c>
      <c r="J48">
        <f t="shared" si="4"/>
        <v>-12.766317780453257</v>
      </c>
      <c r="K48">
        <f t="shared" si="4"/>
        <v>-12.127176186152688</v>
      </c>
      <c r="L48">
        <f t="shared" si="4"/>
        <v>-12.220248979712812</v>
      </c>
      <c r="M48">
        <f t="shared" si="4"/>
        <v>-12.247066793544793</v>
      </c>
    </row>
    <row r="49" spans="1:13" x14ac:dyDescent="0.45">
      <c r="A49">
        <v>6</v>
      </c>
      <c r="B49">
        <f>$H$29</f>
        <v>2.3860904550814647E-20</v>
      </c>
      <c r="C49">
        <f>I22</f>
        <v>7.8448390626144431E-19</v>
      </c>
      <c r="D49">
        <f t="shared" si="4"/>
        <v>10.602324922393198</v>
      </c>
      <c r="E49">
        <f t="shared" si="4"/>
        <v>10.573756143596043</v>
      </c>
      <c r="F49">
        <f t="shared" si="4"/>
        <v>12.751501273356718</v>
      </c>
      <c r="G49">
        <f t="shared" si="4"/>
        <v>11.95578641221927</v>
      </c>
      <c r="H49">
        <f t="shared" si="4"/>
        <v>11.814269401826126</v>
      </c>
      <c r="I49">
        <f t="shared" si="4"/>
        <v>0</v>
      </c>
      <c r="J49">
        <f t="shared" si="4"/>
        <v>-1.9612112558646024</v>
      </c>
      <c r="K49">
        <f t="shared" si="4"/>
        <v>-0.64458521356087239</v>
      </c>
      <c r="L49">
        <f t="shared" si="4"/>
        <v>-0.83631434670439375</v>
      </c>
      <c r="M49">
        <f t="shared" si="4"/>
        <v>-0.8915588064668345</v>
      </c>
    </row>
    <row r="50" spans="1:13" x14ac:dyDescent="0.45">
      <c r="A50">
        <v>7</v>
      </c>
      <c r="B50">
        <f>$H$29</f>
        <v>2.3860904550814647E-20</v>
      </c>
      <c r="C50">
        <f>I23</f>
        <v>8.5066383244125407E-19</v>
      </c>
      <c r="D50">
        <f t="shared" si="4"/>
        <v>11.554373301020329</v>
      </c>
      <c r="E50">
        <f t="shared" si="4"/>
        <v>11.525804522223174</v>
      </c>
      <c r="F50">
        <f t="shared" si="4"/>
        <v>13.703549651983851</v>
      </c>
      <c r="G50">
        <f t="shared" si="4"/>
        <v>12.907834790846401</v>
      </c>
      <c r="H50">
        <f t="shared" si="4"/>
        <v>12.766317780453257</v>
      </c>
      <c r="I50">
        <f t="shared" si="4"/>
        <v>1.9612112558646024</v>
      </c>
      <c r="J50">
        <f t="shared" si="4"/>
        <v>0</v>
      </c>
      <c r="K50">
        <f t="shared" si="4"/>
        <v>1.3166260423037301</v>
      </c>
      <c r="L50">
        <f t="shared" si="4"/>
        <v>1.1248969091602086</v>
      </c>
      <c r="M50">
        <f t="shared" si="4"/>
        <v>1.0696524493977679</v>
      </c>
    </row>
    <row r="51" spans="1:13" x14ac:dyDescent="0.45">
      <c r="A51">
        <v>8</v>
      </c>
      <c r="B51">
        <f>$H$29</f>
        <v>2.3860904550814647E-20</v>
      </c>
      <c r="C51">
        <f>I24</f>
        <v>8.0623505709871061E-19</v>
      </c>
      <c r="D51">
        <f t="shared" si="4"/>
        <v>10.91523170671976</v>
      </c>
      <c r="E51">
        <f t="shared" si="4"/>
        <v>10.886662927922606</v>
      </c>
      <c r="F51">
        <f t="shared" si="4"/>
        <v>13.064408057683281</v>
      </c>
      <c r="G51">
        <f t="shared" si="4"/>
        <v>12.268693196545833</v>
      </c>
      <c r="H51">
        <f t="shared" si="4"/>
        <v>12.127176186152688</v>
      </c>
      <c r="I51">
        <f t="shared" si="4"/>
        <v>0.64458521356087239</v>
      </c>
      <c r="J51">
        <f t="shared" si="4"/>
        <v>-1.3166260423037301</v>
      </c>
      <c r="K51">
        <f t="shared" si="4"/>
        <v>0</v>
      </c>
      <c r="L51">
        <f t="shared" si="4"/>
        <v>-0.19172913314352144</v>
      </c>
      <c r="M51">
        <f t="shared" si="4"/>
        <v>-0.24697359290596213</v>
      </c>
    </row>
    <row r="52" spans="1:13" x14ac:dyDescent="0.45">
      <c r="A52">
        <v>9</v>
      </c>
      <c r="B52">
        <f>$H$29</f>
        <v>2.3860904550814647E-20</v>
      </c>
      <c r="C52">
        <f>I25</f>
        <v>8.127048445017833E-19</v>
      </c>
      <c r="D52">
        <f t="shared" si="4"/>
        <v>11.008304500279882</v>
      </c>
      <c r="E52">
        <f t="shared" si="4"/>
        <v>10.979735721482728</v>
      </c>
      <c r="F52">
        <f t="shared" si="4"/>
        <v>13.157480851243402</v>
      </c>
      <c r="G52">
        <f t="shared" si="4"/>
        <v>12.361765990105955</v>
      </c>
      <c r="H52">
        <f t="shared" si="4"/>
        <v>12.220248979712812</v>
      </c>
      <c r="I52">
        <f t="shared" si="4"/>
        <v>0.83631434670439375</v>
      </c>
      <c r="J52">
        <f t="shared" si="4"/>
        <v>-1.1248969091602086</v>
      </c>
      <c r="K52">
        <f t="shared" si="4"/>
        <v>0.19172913314352144</v>
      </c>
      <c r="L52">
        <f t="shared" si="4"/>
        <v>0</v>
      </c>
      <c r="M52">
        <f t="shared" si="4"/>
        <v>-5.5244459762440717E-2</v>
      </c>
    </row>
    <row r="53" spans="1:13" x14ac:dyDescent="0.45">
      <c r="A53">
        <v>10</v>
      </c>
      <c r="B53">
        <f>$H$29</f>
        <v>2.3860904550814647E-20</v>
      </c>
      <c r="C53">
        <f>I26</f>
        <v>8.1456903646885928E-19</v>
      </c>
      <c r="D53">
        <f t="shared" si="4"/>
        <v>11.035122314111865</v>
      </c>
      <c r="E53">
        <f t="shared" si="4"/>
        <v>11.00655353531471</v>
      </c>
      <c r="F53">
        <f t="shared" si="4"/>
        <v>13.184298665075385</v>
      </c>
      <c r="G53">
        <f t="shared" si="4"/>
        <v>12.388583803937935</v>
      </c>
      <c r="H53">
        <f t="shared" si="4"/>
        <v>12.247066793544793</v>
      </c>
      <c r="I53">
        <f t="shared" si="4"/>
        <v>0.8915588064668345</v>
      </c>
      <c r="J53">
        <f t="shared" si="4"/>
        <v>-1.0696524493977679</v>
      </c>
      <c r="K53">
        <f t="shared" si="4"/>
        <v>0.24697359290596213</v>
      </c>
      <c r="L53">
        <f t="shared" si="4"/>
        <v>5.5244459762440717E-2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10" priority="3" operator="notBetween">
      <formula>-1.96</formula>
      <formula>1.96</formula>
    </cfRule>
    <cfRule type="cellIs" priority="4" operator="notBetween">
      <formula>-1.96</formula>
      <formula>1.96</formula>
    </cfRule>
    <cfRule type="cellIs" priority="5" operator="notBetween">
      <formula>-1.96</formula>
      <formula>1.96</formula>
    </cfRule>
    <cfRule type="cellIs" dxfId="11" priority="6" operator="greaterThan">
      <formula>1.96</formula>
    </cfRule>
  </conditionalFormatting>
  <conditionalFormatting sqref="D35:H39">
    <cfRule type="cellIs" dxfId="9" priority="1" operator="notBetween">
      <formula>-1.96</formula>
      <formula>1.96</formula>
    </cfRule>
    <cfRule type="cellIs" priority="2" operator="notBetween">
      <formula>-1.96</formula>
      <formula>1.96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7" workbookViewId="0">
      <selection activeCell="F51" sqref="F51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303</v>
      </c>
      <c r="C16">
        <f>B16/100</f>
        <v>3.03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2.27</v>
      </c>
      <c r="D17" t="s">
        <v>1</v>
      </c>
      <c r="E17" s="2">
        <f>E16/(1+$B$10/($B$7*B29))</f>
        <v>1.7341937357171753E-5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40780.619111709282</v>
      </c>
    </row>
    <row r="20" spans="1:13" x14ac:dyDescent="0.45">
      <c r="A20" t="s">
        <v>7</v>
      </c>
      <c r="B20">
        <v>1</v>
      </c>
      <c r="G20">
        <f>B26</f>
        <v>9.99</v>
      </c>
      <c r="K20">
        <f>G26</f>
        <v>21.07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2.2200000000000002</v>
      </c>
      <c r="C22" s="1">
        <f>B12/B22</f>
        <v>2.252252252252252E-4</v>
      </c>
      <c r="D22">
        <f>(($B$10/(2*$B$7))^2+9*E16*C22/(2*$B$6*($B$9-$B$8)))^(1/2)-$B$10/(2*$B$7)</f>
        <v>1.442685360480075E-6</v>
      </c>
      <c r="E22" s="1">
        <f>(D22+$B$10/(2*$B$7))^(-1)*9*E16/(2*$B$6*($B$9-$B$8))*1/2*C28</f>
        <v>2.6095276086928624E-8</v>
      </c>
      <c r="F22" s="1"/>
      <c r="G22">
        <v>12.06</v>
      </c>
      <c r="H22" s="1">
        <f>$B$12/(G22-G20)</f>
        <v>2.4154589371980673E-4</v>
      </c>
      <c r="I22" s="1">
        <f>(4*PI()/3)*B29^3*($B$9-$B$8)*($B$6/E18)*(1+ABS(H22)/B28)</f>
        <v>6.0191692478201912E-18</v>
      </c>
      <c r="K22">
        <v>23.31</v>
      </c>
      <c r="L22" s="1">
        <f>B12/(K22-K20)</f>
        <v>2.2321428571428587E-4</v>
      </c>
      <c r="M22" s="1">
        <f>-(4*PI()/3)*B29^3*($B$9-$B$8)*($B$6/$E$18)*(1-ABS(L22)/B28)</f>
        <v>-3.4269248709862581E-19</v>
      </c>
    </row>
    <row r="23" spans="1:13" x14ac:dyDescent="0.45">
      <c r="A23">
        <v>2</v>
      </c>
      <c r="B23">
        <v>4.04</v>
      </c>
      <c r="C23" s="1">
        <f>$B$12/(B23-B22)</f>
        <v>2.7472527472527478E-4</v>
      </c>
      <c r="D23">
        <f>(($B$10/(2*$B$7))^2+9*E16*C23/(2*$B$6*($B$9-$B$8)))^(1/2)-$B$10/(2*$B$7)</f>
        <v>1.5974705872751909E-6</v>
      </c>
      <c r="E23" s="1">
        <f>(D23+$B$10/(2*$B$7))^(-1)*9*E16/(2*$B$6*($B$9-$B$8))*1/2*C28</f>
        <v>2.3629265771881343E-8</v>
      </c>
      <c r="F23" s="1"/>
      <c r="G23">
        <v>14.83</v>
      </c>
      <c r="H23" s="1">
        <f>$B$12/(G23-G22)</f>
        <v>1.8050541516245492E-4</v>
      </c>
      <c r="I23" s="1">
        <f>(4*PI()/3)*B29^3*($B$9-$B$8)*($B$6/E18)*(1+ABS(H23)/B28)</f>
        <v>5.2736345111393634E-18</v>
      </c>
      <c r="K23">
        <v>25.66</v>
      </c>
      <c r="L23" s="1">
        <f t="shared" ref="L23:L26" si="0">$B$12/(K23-K22)</f>
        <v>2.1276595744680837E-4</v>
      </c>
      <c r="M23" s="1">
        <f>-(4*PI()/3)*B29^3*($B$9-$B$8)*($B$6/$E$18)*(1-ABS(L23)/B28)</f>
        <v>-4.7030602892775537E-19</v>
      </c>
    </row>
    <row r="24" spans="1:13" x14ac:dyDescent="0.45">
      <c r="A24">
        <v>3</v>
      </c>
      <c r="B24">
        <v>5.99</v>
      </c>
      <c r="C24" s="1">
        <f t="shared" ref="C24:C26" si="1">$B$12/(B24-B23)</f>
        <v>2.5641025641025641E-4</v>
      </c>
      <c r="D24">
        <f>(($B$10/(2*$B$7))^2+9*E16*C24/(2*$B$6*($B$9-$B$8)))^(1/2)-$B$10/(2*$B$7)</f>
        <v>1.5419656409727571E-6</v>
      </c>
      <c r="E24" s="1">
        <f>(D24+$B$10/(2*$B$7))^(-1)*9*E16/(2*$B$6*($B$9-$B$8))*1/2*C28</f>
        <v>2.4458080661931382E-8</v>
      </c>
      <c r="F24" s="1"/>
      <c r="G24">
        <v>16.649999999999999</v>
      </c>
      <c r="H24" s="1">
        <f>$B$12/(G24-G23)</f>
        <v>2.7472527472527494E-4</v>
      </c>
      <c r="I24" s="1">
        <f>(4*PI()/3)*B29^3*($B$9-$B$8)*($B$6/E18)*(1+ABS(H24)/B28)</f>
        <v>6.4244147777664066E-18</v>
      </c>
      <c r="K24">
        <v>27.99</v>
      </c>
      <c r="L24" s="1">
        <f t="shared" si="0"/>
        <v>2.1459227467811174E-4</v>
      </c>
      <c r="M24" s="1">
        <f>-(4*PI()/3)*B29^3*($B$9-$B$8)*($B$6/E18)*(1-ABS(L24)/B28)</f>
        <v>-4.479997992205928E-19</v>
      </c>
    </row>
    <row r="25" spans="1:13" x14ac:dyDescent="0.45">
      <c r="A25">
        <v>4</v>
      </c>
      <c r="B25">
        <v>7.99</v>
      </c>
      <c r="C25" s="1">
        <f t="shared" si="1"/>
        <v>2.5000000000000001E-4</v>
      </c>
      <c r="D25">
        <f>(($B$10/(2*$B$7))^2+9*E16*C25/(2*$B$6*($B$9-$B$8)))^(1/2)-$B$10/(2*$B$7)</f>
        <v>1.5220731733965243E-6</v>
      </c>
      <c r="E25" s="1">
        <f>(D25+$B$10/(2*$B$7))^(-1)*9*E16/(2*$B$6*($B$9-$B$8))*1/2*C28</f>
        <v>2.4769453492164498E-8</v>
      </c>
      <c r="F25" s="1"/>
      <c r="G25">
        <v>18.72</v>
      </c>
      <c r="H25" s="1">
        <f>$B$12/(G25-G24)</f>
        <v>2.4154589371980673E-4</v>
      </c>
      <c r="I25" s="1">
        <f>(4*PI()/3)*B29^3*($B$9-$B$8)*($B$6/E18)*(1+ABS(H25)/B28)</f>
        <v>6.0191692478201912E-18</v>
      </c>
      <c r="K25">
        <v>29.64</v>
      </c>
      <c r="L25" s="1">
        <f t="shared" si="0"/>
        <v>3.0303030303030265E-4</v>
      </c>
      <c r="M25" s="1">
        <f>-(4*PI()/3)*B29^3*($B$9-$B$8)*($B$6/E18)*(1-ABS(L25)/B28)</f>
        <v>6.3216247568970257E-19</v>
      </c>
    </row>
    <row r="26" spans="1:13" x14ac:dyDescent="0.45">
      <c r="A26">
        <v>5</v>
      </c>
      <c r="B26">
        <v>9.99</v>
      </c>
      <c r="C26" s="1">
        <f t="shared" si="1"/>
        <v>2.5000000000000001E-4</v>
      </c>
      <c r="D26">
        <f>(($B$10/(2*$B$7))^2+9*E16*C26/(2*$B$6*($B$9-$B$8)))^(1/2)-$B$10/(2*$B$7)</f>
        <v>1.5220731733965243E-6</v>
      </c>
      <c r="E26" s="1">
        <f>(D26+$B$10/(2*$B$7))^(-1)*9*E16/(2*$B$6*($B$9-$B$8))*1/2*C28</f>
        <v>2.4769453492164498E-8</v>
      </c>
      <c r="F26" s="1"/>
      <c r="G26">
        <v>21.07</v>
      </c>
      <c r="H26" s="1">
        <f>$B$12/(G26-G25)</f>
        <v>2.1276595744680837E-4</v>
      </c>
      <c r="I26" s="1">
        <f>(4*PI()/3)*B29^3*($B$9-$B$8)*($B$6/E18)*(1+ABS(H26)/B28)</f>
        <v>5.6676575506957819E-18</v>
      </c>
      <c r="K26">
        <v>34.090000000000003</v>
      </c>
      <c r="L26" s="1">
        <f t="shared" si="0"/>
        <v>1.1235955056179769E-4</v>
      </c>
      <c r="M26" s="1">
        <f>-(4*PI()/3)*B29^3*($B$9-$B$8)*($B$6/E18)*(1-ABS(L26)/B28)</f>
        <v>-1.6966473992325706E-18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2.5127215127215125E-4</v>
      </c>
      <c r="C28" s="1">
        <f>_xlfn.STDEV.S(C22:C26)/SQRT(COUNT(C22:C26))</f>
        <v>7.9313561839391062E-6</v>
      </c>
      <c r="F28" t="str">
        <f>J28</f>
        <v>Velocità</v>
      </c>
      <c r="G28" s="1">
        <f>AVERAGE(H22:H26)</f>
        <v>2.3021768695483035E-4</v>
      </c>
      <c r="H28" s="1">
        <f>_xlfn.STDEV.S(H22:H26)/SQRT(COUNT(H22:H26))</f>
        <v>1.583264781352777E-5</v>
      </c>
      <c r="I28" s="2">
        <f>H28/SQRT(5)</f>
        <v>7.0805753549723013E-6</v>
      </c>
      <c r="J28" t="s">
        <v>27</v>
      </c>
      <c r="K28" s="1">
        <f>AVERAGE(L22:L26)</f>
        <v>2.1319247428626129E-4</v>
      </c>
      <c r="L28" s="1">
        <f>_xlfn.STDEV.S(L22:L26)</f>
        <v>6.7713905592421426E-5</v>
      </c>
      <c r="M28" s="2">
        <f>L28/SQRT(5)</f>
        <v>3.0282579185331493E-5</v>
      </c>
    </row>
    <row r="29" spans="1:13" x14ac:dyDescent="0.45">
      <c r="A29" t="s">
        <v>5</v>
      </c>
      <c r="B29">
        <f>AVERAGE(D22:D26)</f>
        <v>1.5252535871042142E-6</v>
      </c>
      <c r="C29">
        <f>_xlfn.STDEV.S(D22:D26)/SQRT(COUNT(D22:D26))</f>
        <v>2.4831763901059528E-8</v>
      </c>
      <c r="D29" s="1">
        <f>(B29+$B$10/(2*$B$7))^(-1)*9*E16/(2*$B$6*($B$9-$B$8))*1/2*C28</f>
        <v>2.471913974630358E-8</v>
      </c>
      <c r="F29" t="str">
        <f>J29</f>
        <v>Carica</v>
      </c>
      <c r="G29" s="1">
        <f>AVERAGE(I22:I26)</f>
        <v>5.8808090670483873E-18</v>
      </c>
      <c r="H29">
        <f>_xlfn.STDEV.S(I22:I26)</f>
        <v>4.3240280937986251E-19</v>
      </c>
      <c r="I29" s="2">
        <f>H29/SQRT(5)</f>
        <v>1.9337641508705124E-19</v>
      </c>
      <c r="J29" t="s">
        <v>33</v>
      </c>
      <c r="K29" s="1">
        <f>AVERAGE(M22:M26)</f>
        <v>-4.6509664775796848E-19</v>
      </c>
      <c r="L29">
        <f>_xlfn.STDEV.S(M22:M26)</f>
        <v>8.2704248014772634E-19</v>
      </c>
      <c r="M29" s="2">
        <f>L29/SQRT(5)</f>
        <v>3.6986464117806728E-19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2.6095276086928624E-8</v>
      </c>
      <c r="E33">
        <v>2.3629265771881343E-8</v>
      </c>
      <c r="F33">
        <v>2.4458080661931382E-8</v>
      </c>
      <c r="G33">
        <v>2.4769453492164498E-8</v>
      </c>
      <c r="H33">
        <v>2.4769453492164498E-8</v>
      </c>
    </row>
    <row r="34" spans="1:13" x14ac:dyDescent="0.45">
      <c r="C34" t="s">
        <v>21</v>
      </c>
      <c r="D34">
        <v>1.442685360480075E-6</v>
      </c>
      <c r="E34">
        <v>1.5974705872751909E-6</v>
      </c>
      <c r="F34">
        <v>1.5419656409727571E-6</v>
      </c>
      <c r="G34">
        <v>1.5220731733965243E-6</v>
      </c>
      <c r="H34">
        <v>1.5220731733965243E-6</v>
      </c>
    </row>
    <row r="35" spans="1:13" x14ac:dyDescent="0.45">
      <c r="A35">
        <v>1</v>
      </c>
      <c r="B35" s="1">
        <f>E22</f>
        <v>2.6095276086928624E-8</v>
      </c>
      <c r="C35">
        <f>D22</f>
        <v>1.442685360480075E-6</v>
      </c>
      <c r="D35">
        <f t="shared" ref="D35:H39" si="2">($C35-D$34)/SQRT($B35^2+D$33^2)</f>
        <v>0</v>
      </c>
      <c r="E35">
        <f t="shared" si="2"/>
        <v>-4.3968362907922902</v>
      </c>
      <c r="F35">
        <f t="shared" si="2"/>
        <v>-2.7758779439471661</v>
      </c>
      <c r="G35">
        <f t="shared" si="2"/>
        <v>-2.2065034545703419</v>
      </c>
      <c r="H35">
        <f t="shared" si="2"/>
        <v>-2.2065034545703419</v>
      </c>
    </row>
    <row r="36" spans="1:13" x14ac:dyDescent="0.45">
      <c r="A36">
        <v>2</v>
      </c>
      <c r="B36">
        <f>E23</f>
        <v>2.3629265771881343E-8</v>
      </c>
      <c r="C36">
        <f>D23</f>
        <v>1.5974705872751909E-6</v>
      </c>
      <c r="D36">
        <f t="shared" si="2"/>
        <v>4.3968362907922902</v>
      </c>
      <c r="E36">
        <f t="shared" si="2"/>
        <v>0</v>
      </c>
      <c r="F36">
        <f t="shared" si="2"/>
        <v>1.6321173244009883</v>
      </c>
      <c r="G36">
        <f t="shared" si="2"/>
        <v>2.2025059850571664</v>
      </c>
      <c r="H36">
        <f t="shared" si="2"/>
        <v>2.2025059850571664</v>
      </c>
    </row>
    <row r="37" spans="1:13" x14ac:dyDescent="0.45">
      <c r="A37">
        <v>3</v>
      </c>
      <c r="B37">
        <f>E24</f>
        <v>2.4458080661931382E-8</v>
      </c>
      <c r="C37">
        <f>D24</f>
        <v>1.5419656409727571E-6</v>
      </c>
      <c r="D37">
        <f t="shared" si="2"/>
        <v>2.7758779439471661</v>
      </c>
      <c r="E37">
        <f t="shared" si="2"/>
        <v>-1.6321173244009883</v>
      </c>
      <c r="F37">
        <f t="shared" si="2"/>
        <v>0</v>
      </c>
      <c r="G37">
        <f t="shared" si="2"/>
        <v>0.57146138195278173</v>
      </c>
      <c r="H37">
        <f t="shared" si="2"/>
        <v>0.57146138195278173</v>
      </c>
    </row>
    <row r="38" spans="1:13" x14ac:dyDescent="0.45">
      <c r="A38">
        <v>4</v>
      </c>
      <c r="B38">
        <f>E25</f>
        <v>2.4769453492164498E-8</v>
      </c>
      <c r="C38">
        <f>D25</f>
        <v>1.5220731733965243E-6</v>
      </c>
      <c r="D38">
        <f t="shared" si="2"/>
        <v>2.2065034545703419</v>
      </c>
      <c r="E38">
        <f t="shared" si="2"/>
        <v>-2.2025059850571664</v>
      </c>
      <c r="F38">
        <f t="shared" si="2"/>
        <v>-0.57146138195278173</v>
      </c>
      <c r="G38">
        <f t="shared" si="2"/>
        <v>0</v>
      </c>
      <c r="H38">
        <f t="shared" si="2"/>
        <v>0</v>
      </c>
    </row>
    <row r="39" spans="1:13" x14ac:dyDescent="0.45">
      <c r="A39">
        <v>5</v>
      </c>
      <c r="B39">
        <f>E26</f>
        <v>2.4769453492164498E-8</v>
      </c>
      <c r="C39">
        <f>D26</f>
        <v>1.5220731733965243E-6</v>
      </c>
      <c r="D39">
        <f t="shared" si="2"/>
        <v>2.2065034545703419</v>
      </c>
      <c r="E39">
        <f t="shared" si="2"/>
        <v>-2.2025059850571664</v>
      </c>
      <c r="F39">
        <f t="shared" si="2"/>
        <v>-0.57146138195278173</v>
      </c>
      <c r="G39">
        <f t="shared" si="2"/>
        <v>0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8.2704248014772634E-19</v>
      </c>
      <c r="E42">
        <v>8.2704248014772634E-19</v>
      </c>
      <c r="F42">
        <v>8.2704248014772634E-19</v>
      </c>
      <c r="G42">
        <v>8.2704248014772634E-19</v>
      </c>
      <c r="H42">
        <v>8.2704248014772634E-19</v>
      </c>
      <c r="I42">
        <v>4.3240280937986251E-19</v>
      </c>
      <c r="J42">
        <v>4.3240280937986251E-19</v>
      </c>
      <c r="K42">
        <v>4.3240280937986251E-19</v>
      </c>
      <c r="L42">
        <v>4.3240280937986251E-19</v>
      </c>
      <c r="M42">
        <v>4.3240280937986251E-19</v>
      </c>
    </row>
    <row r="43" spans="1:13" x14ac:dyDescent="0.45">
      <c r="C43" t="s">
        <v>35</v>
      </c>
      <c r="D43">
        <v>-3.4269248709862581E-19</v>
      </c>
      <c r="E43">
        <v>-4.7030602892775537E-19</v>
      </c>
      <c r="F43">
        <v>-4.479997992205928E-19</v>
      </c>
      <c r="G43">
        <v>6.3216247568970257E-19</v>
      </c>
      <c r="H43">
        <v>-1.6966473992325706E-18</v>
      </c>
      <c r="I43">
        <v>6.0191692478201912E-18</v>
      </c>
      <c r="J43">
        <v>5.2736345111393634E-18</v>
      </c>
      <c r="K43">
        <v>6.4244147777664066E-18</v>
      </c>
      <c r="L43">
        <v>6.0191692478201912E-18</v>
      </c>
      <c r="M43">
        <v>5.6676575506957819E-18</v>
      </c>
    </row>
    <row r="44" spans="1:13" x14ac:dyDescent="0.45">
      <c r="A44">
        <v>1</v>
      </c>
      <c r="B44">
        <f>$L$29</f>
        <v>8.2704248014772634E-19</v>
      </c>
      <c r="C44">
        <f>M22</f>
        <v>-3.4269248709862581E-19</v>
      </c>
      <c r="D44">
        <f>($C44-D$43)/SQRT($B44^2+D$42^2)</f>
        <v>0</v>
      </c>
      <c r="E44">
        <f t="shared" ref="E44:M44" si="3">($C44-E$43)/SQRT($B44^2+E$42^2)</f>
        <v>0.10910733482818516</v>
      </c>
      <c r="F44">
        <f t="shared" si="3"/>
        <v>9.0035900570271193E-2</v>
      </c>
      <c r="G44">
        <f t="shared" si="3"/>
        <v>-0.83348385531279967</v>
      </c>
      <c r="H44">
        <f t="shared" si="3"/>
        <v>1.157607647456923</v>
      </c>
      <c r="I44">
        <f t="shared" si="3"/>
        <v>-6.8168268931227161</v>
      </c>
      <c r="J44">
        <f t="shared" si="3"/>
        <v>-6.0179756362857297</v>
      </c>
      <c r="K44">
        <f t="shared" si="3"/>
        <v>-7.2510533415996541</v>
      </c>
      <c r="L44">
        <f t="shared" si="3"/>
        <v>-6.8168268931227161</v>
      </c>
      <c r="M44">
        <f t="shared" si="3"/>
        <v>-6.4401770239417013</v>
      </c>
    </row>
    <row r="45" spans="1:13" x14ac:dyDescent="0.45">
      <c r="A45">
        <v>2</v>
      </c>
      <c r="B45">
        <f>$L$29</f>
        <v>8.2704248014772634E-19</v>
      </c>
      <c r="C45">
        <f>M23</f>
        <v>-4.7030602892775537E-19</v>
      </c>
      <c r="D45">
        <f t="shared" ref="D45:M53" si="4">($C45-D$43)/SQRT($B45^2+D$42^2)</f>
        <v>-0.10910733482818516</v>
      </c>
      <c r="E45">
        <f t="shared" si="4"/>
        <v>0</v>
      </c>
      <c r="F45">
        <f t="shared" si="4"/>
        <v>-1.9071434257913963E-2</v>
      </c>
      <c r="G45">
        <f t="shared" si="4"/>
        <v>-0.9425911901409848</v>
      </c>
      <c r="H45">
        <f t="shared" si="4"/>
        <v>1.048500312628738</v>
      </c>
      <c r="I45">
        <f t="shared" si="4"/>
        <v>-6.9535666495202282</v>
      </c>
      <c r="J45">
        <f t="shared" si="4"/>
        <v>-6.1547153926832419</v>
      </c>
      <c r="K45">
        <f t="shared" si="4"/>
        <v>-7.3877930979971662</v>
      </c>
      <c r="L45">
        <f t="shared" si="4"/>
        <v>-6.9535666495202282</v>
      </c>
      <c r="M45">
        <f t="shared" si="4"/>
        <v>-6.5769167803392135</v>
      </c>
    </row>
    <row r="46" spans="1:13" x14ac:dyDescent="0.45">
      <c r="A46">
        <v>3</v>
      </c>
      <c r="B46">
        <f>$L$29</f>
        <v>8.2704248014772634E-19</v>
      </c>
      <c r="C46">
        <f>M24</f>
        <v>-4.479997992205928E-19</v>
      </c>
      <c r="D46">
        <f t="shared" si="4"/>
        <v>-9.0035900570271193E-2</v>
      </c>
      <c r="E46">
        <f t="shared" si="4"/>
        <v>1.9071434257913963E-2</v>
      </c>
      <c r="F46">
        <f t="shared" si="4"/>
        <v>0</v>
      </c>
      <c r="G46">
        <f t="shared" si="4"/>
        <v>-0.92351975588307089</v>
      </c>
      <c r="H46">
        <f t="shared" si="4"/>
        <v>1.0675717468866519</v>
      </c>
      <c r="I46">
        <f t="shared" si="4"/>
        <v>-6.9296652016598719</v>
      </c>
      <c r="J46">
        <f t="shared" si="4"/>
        <v>-6.1308139448228847</v>
      </c>
      <c r="K46">
        <f t="shared" si="4"/>
        <v>-7.3638916501368099</v>
      </c>
      <c r="L46">
        <f t="shared" si="4"/>
        <v>-6.9296652016598719</v>
      </c>
      <c r="M46">
        <f t="shared" si="4"/>
        <v>-6.5530153324788563</v>
      </c>
    </row>
    <row r="47" spans="1:13" x14ac:dyDescent="0.45">
      <c r="A47">
        <v>4</v>
      </c>
      <c r="B47">
        <f>$L$29</f>
        <v>8.2704248014772634E-19</v>
      </c>
      <c r="C47">
        <f>M25</f>
        <v>6.3216247568970257E-19</v>
      </c>
      <c r="D47">
        <f t="shared" si="4"/>
        <v>0.83348385531279967</v>
      </c>
      <c r="E47">
        <f t="shared" si="4"/>
        <v>0.9425911901409848</v>
      </c>
      <c r="F47">
        <f t="shared" si="4"/>
        <v>0.92351975588307089</v>
      </c>
      <c r="G47">
        <f t="shared" si="4"/>
        <v>0</v>
      </c>
      <c r="H47">
        <f t="shared" si="4"/>
        <v>1.9910915027697227</v>
      </c>
      <c r="I47">
        <f t="shared" si="4"/>
        <v>-5.7722556961797791</v>
      </c>
      <c r="J47">
        <f t="shared" si="4"/>
        <v>-4.9734044393427927</v>
      </c>
      <c r="K47">
        <f t="shared" si="4"/>
        <v>-6.2064821446567171</v>
      </c>
      <c r="L47">
        <f t="shared" si="4"/>
        <v>-5.7722556961797791</v>
      </c>
      <c r="M47">
        <f t="shared" si="4"/>
        <v>-5.3956058269987643</v>
      </c>
    </row>
    <row r="48" spans="1:13" x14ac:dyDescent="0.45">
      <c r="A48">
        <v>5</v>
      </c>
      <c r="B48">
        <f>$L$29</f>
        <v>8.2704248014772634E-19</v>
      </c>
      <c r="C48">
        <f>M26</f>
        <v>-1.6966473992325706E-18</v>
      </c>
      <c r="D48">
        <f t="shared" si="4"/>
        <v>-1.157607647456923</v>
      </c>
      <c r="E48">
        <f t="shared" si="4"/>
        <v>-1.048500312628738</v>
      </c>
      <c r="F48">
        <f t="shared" si="4"/>
        <v>-1.0675717468866519</v>
      </c>
      <c r="G48">
        <f t="shared" si="4"/>
        <v>-1.9910915027697227</v>
      </c>
      <c r="H48">
        <f t="shared" si="4"/>
        <v>0</v>
      </c>
      <c r="I48">
        <f t="shared" si="4"/>
        <v>-8.2676091706517436</v>
      </c>
      <c r="J48">
        <f t="shared" si="4"/>
        <v>-7.4687579138147555</v>
      </c>
      <c r="K48">
        <f t="shared" si="4"/>
        <v>-8.7018356191286816</v>
      </c>
      <c r="L48">
        <f t="shared" si="4"/>
        <v>-8.2676091706517436</v>
      </c>
      <c r="M48">
        <f t="shared" si="4"/>
        <v>-7.8909593014707262</v>
      </c>
    </row>
    <row r="49" spans="1:13" x14ac:dyDescent="0.45">
      <c r="A49">
        <v>6</v>
      </c>
      <c r="B49">
        <f>$H$29</f>
        <v>4.3240280937986251E-19</v>
      </c>
      <c r="C49">
        <f>I22</f>
        <v>6.0191692478201912E-18</v>
      </c>
      <c r="D49">
        <f t="shared" si="4"/>
        <v>6.8168268931227161</v>
      </c>
      <c r="E49">
        <f t="shared" si="4"/>
        <v>6.9535666495202282</v>
      </c>
      <c r="F49">
        <f t="shared" si="4"/>
        <v>6.9296652016598719</v>
      </c>
      <c r="G49">
        <f t="shared" si="4"/>
        <v>5.7722556961797791</v>
      </c>
      <c r="H49">
        <f t="shared" si="4"/>
        <v>8.2676091706517436</v>
      </c>
      <c r="I49">
        <f t="shared" si="4"/>
        <v>0</v>
      </c>
      <c r="J49">
        <f t="shared" si="4"/>
        <v>1.2191703117590602</v>
      </c>
      <c r="K49">
        <f t="shared" si="4"/>
        <v>-0.66269657840907203</v>
      </c>
      <c r="L49">
        <f t="shared" si="4"/>
        <v>0</v>
      </c>
      <c r="M49">
        <f t="shared" si="4"/>
        <v>0.5748258320974664</v>
      </c>
    </row>
    <row r="50" spans="1:13" x14ac:dyDescent="0.45">
      <c r="A50">
        <v>7</v>
      </c>
      <c r="B50">
        <f>$H$29</f>
        <v>4.3240280937986251E-19</v>
      </c>
      <c r="C50">
        <f>I23</f>
        <v>5.2736345111393634E-18</v>
      </c>
      <c r="D50">
        <f t="shared" si="4"/>
        <v>6.0179756362857297</v>
      </c>
      <c r="E50">
        <f t="shared" si="4"/>
        <v>6.1547153926832419</v>
      </c>
      <c r="F50">
        <f t="shared" si="4"/>
        <v>6.1308139448228847</v>
      </c>
      <c r="G50">
        <f t="shared" si="4"/>
        <v>4.9734044393427927</v>
      </c>
      <c r="H50">
        <f t="shared" si="4"/>
        <v>7.4687579138147555</v>
      </c>
      <c r="I50">
        <f t="shared" si="4"/>
        <v>-1.2191703117590602</v>
      </c>
      <c r="J50">
        <f t="shared" si="4"/>
        <v>0</v>
      </c>
      <c r="K50">
        <f t="shared" si="4"/>
        <v>-1.8818668901681321</v>
      </c>
      <c r="L50">
        <f t="shared" si="4"/>
        <v>-1.2191703117590602</v>
      </c>
      <c r="M50">
        <f t="shared" si="4"/>
        <v>-0.64434447966159369</v>
      </c>
    </row>
    <row r="51" spans="1:13" x14ac:dyDescent="0.45">
      <c r="A51">
        <v>8</v>
      </c>
      <c r="B51">
        <f>$H$29</f>
        <v>4.3240280937986251E-19</v>
      </c>
      <c r="C51">
        <f>I24</f>
        <v>6.4244147777664066E-18</v>
      </c>
      <c r="D51">
        <f t="shared" si="4"/>
        <v>7.2510533415996541</v>
      </c>
      <c r="E51">
        <f t="shared" si="4"/>
        <v>7.3877930979971662</v>
      </c>
      <c r="F51">
        <f t="shared" si="4"/>
        <v>7.3638916501368099</v>
      </c>
      <c r="G51">
        <f t="shared" si="4"/>
        <v>6.2064821446567171</v>
      </c>
      <c r="H51">
        <f t="shared" si="4"/>
        <v>8.7018356191286816</v>
      </c>
      <c r="I51">
        <f t="shared" si="4"/>
        <v>0.66269657840907203</v>
      </c>
      <c r="J51">
        <f t="shared" si="4"/>
        <v>1.8818668901681321</v>
      </c>
      <c r="K51">
        <f t="shared" si="4"/>
        <v>0</v>
      </c>
      <c r="L51">
        <f t="shared" si="4"/>
        <v>0.66269657840907203</v>
      </c>
      <c r="M51">
        <f t="shared" si="4"/>
        <v>1.2375224105065383</v>
      </c>
    </row>
    <row r="52" spans="1:13" x14ac:dyDescent="0.45">
      <c r="A52">
        <v>9</v>
      </c>
      <c r="B52">
        <f>$H$29</f>
        <v>4.3240280937986251E-19</v>
      </c>
      <c r="C52">
        <f>I25</f>
        <v>6.0191692478201912E-18</v>
      </c>
      <c r="D52">
        <f t="shared" si="4"/>
        <v>6.8168268931227161</v>
      </c>
      <c r="E52">
        <f t="shared" si="4"/>
        <v>6.9535666495202282</v>
      </c>
      <c r="F52">
        <f t="shared" si="4"/>
        <v>6.9296652016598719</v>
      </c>
      <c r="G52">
        <f t="shared" si="4"/>
        <v>5.7722556961797791</v>
      </c>
      <c r="H52">
        <f t="shared" si="4"/>
        <v>8.2676091706517436</v>
      </c>
      <c r="I52">
        <f t="shared" si="4"/>
        <v>0</v>
      </c>
      <c r="J52">
        <f t="shared" si="4"/>
        <v>1.2191703117590602</v>
      </c>
      <c r="K52">
        <f t="shared" si="4"/>
        <v>-0.66269657840907203</v>
      </c>
      <c r="L52">
        <f t="shared" si="4"/>
        <v>0</v>
      </c>
      <c r="M52">
        <f t="shared" si="4"/>
        <v>0.5748258320974664</v>
      </c>
    </row>
    <row r="53" spans="1:13" x14ac:dyDescent="0.45">
      <c r="A53">
        <v>10</v>
      </c>
      <c r="B53">
        <f>$H$29</f>
        <v>4.3240280937986251E-19</v>
      </c>
      <c r="C53">
        <f>I26</f>
        <v>5.6676575506957819E-18</v>
      </c>
      <c r="D53">
        <f t="shared" si="4"/>
        <v>6.4401770239417013</v>
      </c>
      <c r="E53">
        <f t="shared" si="4"/>
        <v>6.5769167803392135</v>
      </c>
      <c r="F53">
        <f t="shared" si="4"/>
        <v>6.5530153324788563</v>
      </c>
      <c r="G53">
        <f t="shared" si="4"/>
        <v>5.3956058269987643</v>
      </c>
      <c r="H53">
        <f t="shared" si="4"/>
        <v>7.8909593014707262</v>
      </c>
      <c r="I53">
        <f t="shared" si="4"/>
        <v>-0.5748258320974664</v>
      </c>
      <c r="J53">
        <f t="shared" si="4"/>
        <v>0.64434447966159369</v>
      </c>
      <c r="K53">
        <f t="shared" si="4"/>
        <v>-1.2375224105065383</v>
      </c>
      <c r="L53">
        <f t="shared" si="4"/>
        <v>-0.5748258320974664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5" priority="3" operator="notBetween">
      <formula>-1.96</formula>
      <formula>1.96</formula>
    </cfRule>
    <cfRule type="cellIs" priority="4" operator="notBetween">
      <formula>-1.96</formula>
      <formula>1.96</formula>
    </cfRule>
    <cfRule type="cellIs" priority="5" operator="notBetween">
      <formula>-1.96</formula>
      <formula>1.96</formula>
    </cfRule>
    <cfRule type="cellIs" dxfId="4" priority="6" operator="greaterThan">
      <formula>1.96</formula>
    </cfRule>
  </conditionalFormatting>
  <conditionalFormatting sqref="D35:H39">
    <cfRule type="cellIs" dxfId="3" priority="1" operator="notBetween">
      <formula>-1.96</formula>
      <formula>1.96</formula>
    </cfRule>
    <cfRule type="cellIs" priority="2" operator="notBetween">
      <formula>-1.96</formula>
      <formula>1.96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C37" sqref="C37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303</v>
      </c>
      <c r="C16">
        <f>B16/100</f>
        <v>3.03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2.27</v>
      </c>
      <c r="D17" t="s">
        <v>1</v>
      </c>
      <c r="E17" s="2">
        <f>E16/(1+$B$10/($B$7*B29))</f>
        <v>1.7395361857034634E-5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40780.619111709282</v>
      </c>
    </row>
    <row r="20" spans="1:13" x14ac:dyDescent="0.45">
      <c r="A20" t="s">
        <v>7</v>
      </c>
      <c r="B20">
        <v>1</v>
      </c>
      <c r="G20">
        <f>B26</f>
        <v>8.83</v>
      </c>
      <c r="K20">
        <f>G26</f>
        <v>19.64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1.81</v>
      </c>
      <c r="C22" s="1">
        <f>B12/B22</f>
        <v>2.7624309392265195E-4</v>
      </c>
      <c r="D22">
        <f>(($B$10/(2*$B$7))^2+9*E16*C22/(2*$B$6*($B$9-$B$8)))^(1/2)-$B$10/(2*$B$7)</f>
        <v>1.6019862818914045E-6</v>
      </c>
      <c r="E22" s="1">
        <f>(D22+$B$10/(2*$B$7))^(-1)*9*E16/(2*$B$6*($B$9-$B$8))*1/2*C28</f>
        <v>2.4087343743893053E-8</v>
      </c>
      <c r="F22" s="1"/>
      <c r="G22">
        <v>10.9</v>
      </c>
      <c r="H22" s="1">
        <f>$B$12/(G22-G20)</f>
        <v>2.4154589371980673E-4</v>
      </c>
      <c r="I22" s="1">
        <f>(4*PI()/3)*B29^3*($B$9-$B$8)*($B$6/E18)*(1+ABS(H22)/B28)</f>
        <v>6.8582607356713303E-18</v>
      </c>
      <c r="K22">
        <v>22.28</v>
      </c>
      <c r="L22" s="1">
        <f>B12/(K22-K20)</f>
        <v>1.8939393939393937E-4</v>
      </c>
      <c r="M22" s="1">
        <f>-(4*PI()/3)*B29^3*($B$9-$B$8)*($B$6/$E$18)*(1-ABS(L22)/B28)</f>
        <v>-1.2347780634735676E-18</v>
      </c>
    </row>
    <row r="23" spans="1:13" x14ac:dyDescent="0.45">
      <c r="A23">
        <v>2</v>
      </c>
      <c r="B23">
        <v>3.7</v>
      </c>
      <c r="C23" s="1">
        <f>$B$12/(B23-B22)</f>
        <v>2.6455026455026451E-4</v>
      </c>
      <c r="D23">
        <f>(($B$10/(2*$B$7))^2+9*E16*C23/(2*$B$6*($B$9-$B$8)))^(1/2)-$B$10/(2*$B$7)</f>
        <v>1.5668711545868786E-6</v>
      </c>
      <c r="E23" s="1">
        <f>(D23+$B$10/(2*$B$7))^(-1)*9*E16/(2*$B$6*($B$9-$B$8))*1/2*C28</f>
        <v>2.4613575137790421E-8</v>
      </c>
      <c r="F23" s="1"/>
      <c r="G23">
        <v>12.81</v>
      </c>
      <c r="H23" s="1">
        <f>$B$12/(G23-G22)</f>
        <v>2.6178010471204186E-4</v>
      </c>
      <c r="I23" s="1">
        <f>(4*PI()/3)*B29^3*($B$9-$B$8)*($B$6/E18)*(1+ABS(H23)/B28)</f>
        <v>7.1223039411421825E-18</v>
      </c>
      <c r="K23">
        <v>24.06</v>
      </c>
      <c r="L23" s="1">
        <f t="shared" ref="L23:L26" si="0">$B$12/(K23-K22)</f>
        <v>2.8089887640449479E-4</v>
      </c>
      <c r="M23" s="1">
        <f>-(4*PI()/3)*B29^3*($B$9-$B$8)*($B$6/$E$18)*(1-ABS(L23)/B28)</f>
        <v>-4.0698546661798823E-20</v>
      </c>
    </row>
    <row r="24" spans="1:13" x14ac:dyDescent="0.45">
      <c r="A24">
        <v>3</v>
      </c>
      <c r="B24">
        <v>5.3</v>
      </c>
      <c r="C24" s="1">
        <f t="shared" ref="C24:C26" si="1">$B$12/(B24-B23)</f>
        <v>3.1250000000000006E-4</v>
      </c>
      <c r="D24">
        <f>(($B$10/(2*$B$7))^2+9*E16*C24/(2*$B$6*($B$9-$B$8)))^(1/2)-$B$10/(2*$B$7)</f>
        <v>1.7063884928186885E-6</v>
      </c>
      <c r="E24" s="1">
        <f>(D24+$B$10/(2*$B$7))^(-1)*9*E16/(2*$B$6*($B$9-$B$8))*1/2*C28</f>
        <v>2.2647741852582213E-8</v>
      </c>
      <c r="F24" s="1"/>
      <c r="G24">
        <v>14.93</v>
      </c>
      <c r="H24" s="1">
        <f>$B$12/(G24-G23)</f>
        <v>2.3584905660377367E-4</v>
      </c>
      <c r="I24" s="1">
        <f>(4*PI()/3)*B29^3*($B$9-$B$8)*($B$6/E18)*(1+ABS(H24)/B28)</f>
        <v>6.7839207412065136E-18</v>
      </c>
      <c r="K24">
        <v>25.89</v>
      </c>
      <c r="L24" s="1">
        <f t="shared" si="0"/>
        <v>2.7322404371584672E-4</v>
      </c>
      <c r="M24" s="1">
        <f>-(4*PI()/3)*B29^3*($B$9-$B$8)*($B$6/E18)*(1-ABS(L24)/B28)</f>
        <v>-1.4085008829298868E-19</v>
      </c>
    </row>
    <row r="25" spans="1:13" x14ac:dyDescent="0.45">
      <c r="A25">
        <v>4</v>
      </c>
      <c r="B25">
        <v>7.1</v>
      </c>
      <c r="C25" s="1">
        <f t="shared" si="1"/>
        <v>2.7777777777777783E-4</v>
      </c>
      <c r="D25">
        <f>(($B$10/(2*$B$7))^2+9*E16*C25/(2*$B$6*($B$9-$B$8)))^(1/2)-$B$10/(2*$B$7)</f>
        <v>1.6065395628578412E-6</v>
      </c>
      <c r="E25" s="1">
        <f>(D25+$B$10/(2*$B$7))^(-1)*9*E16/(2*$B$6*($B$9-$B$8))*1/2*C28</f>
        <v>2.4020752234317058E-8</v>
      </c>
      <c r="F25" s="1"/>
      <c r="G25">
        <v>17.309999999999999</v>
      </c>
      <c r="H25" s="1">
        <f>$B$12/(G25-G24)</f>
        <v>2.1008403361344547E-4</v>
      </c>
      <c r="I25" s="1">
        <f>(4*PI()/3)*B29^3*($B$9-$B$8)*($B$6/E18)*(1+ABS(H25)/B28)</f>
        <v>6.4477040603580662E-18</v>
      </c>
      <c r="K25">
        <v>27.7</v>
      </c>
      <c r="L25" s="1">
        <f t="shared" si="0"/>
        <v>2.7624309392265212E-4</v>
      </c>
      <c r="M25" s="1">
        <f>-(4*PI()/3)*B29^3*($B$9-$B$8)*($B$6/E18)*(1-ABS(L25)/B28)</f>
        <v>-1.0145345976182227E-19</v>
      </c>
    </row>
    <row r="26" spans="1:13" x14ac:dyDescent="0.45">
      <c r="A26">
        <v>5</v>
      </c>
      <c r="B26">
        <v>8.83</v>
      </c>
      <c r="C26" s="1">
        <f t="shared" si="1"/>
        <v>2.8901734104046234E-4</v>
      </c>
      <c r="D26">
        <f>(($B$10/(2*$B$7))^2+9*E16*C26/(2*$B$6*($B$9-$B$8)))^(1/2)-$B$10/(2*$B$7)</f>
        <v>1.6395103142922745E-6</v>
      </c>
      <c r="E26" s="1">
        <f>(D26+$B$10/(2*$B$7))^(-1)*9*E16/(2*$B$6*($B$9-$B$8))*1/2*C28</f>
        <v>2.3549326978998211E-8</v>
      </c>
      <c r="F26" s="1"/>
      <c r="G26">
        <v>19.64</v>
      </c>
      <c r="H26" s="1">
        <f>$B$12/(G26-G25)</f>
        <v>2.1459227467811141E-4</v>
      </c>
      <c r="I26" s="1">
        <f>(4*PI()/3)*B29^3*($B$9-$B$8)*($B$6/E18)*(1+ABS(H26)/B28)</f>
        <v>6.5065336545639652E-18</v>
      </c>
      <c r="K26">
        <v>29.41</v>
      </c>
      <c r="L26" s="1">
        <f t="shared" si="0"/>
        <v>2.9239766081871329E-4</v>
      </c>
      <c r="M26" s="1">
        <f>-(4*PI()/3)*B29^3*($B$9-$B$8)*($B$6/E18)*(1-ABS(L26)/B28)</f>
        <v>1.093530613259635E-19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2.8401769545823133E-4</v>
      </c>
      <c r="C28" s="1">
        <f>_xlfn.STDEV.S(C22:C26)/SQRT(COUNT(C22:C26))</f>
        <v>8.1074040105643954E-6</v>
      </c>
      <c r="F28" t="str">
        <f>J28</f>
        <v>Velocità</v>
      </c>
      <c r="G28" s="1">
        <f>AVERAGE(H22:H26)</f>
        <v>2.3277027266543584E-4</v>
      </c>
      <c r="H28" s="1">
        <f>_xlfn.STDEV.S(H22:H26)/SQRT(COUNT(H22:H26))</f>
        <v>9.4158532378972353E-6</v>
      </c>
      <c r="I28" s="2">
        <f>H28/SQRT(5)</f>
        <v>4.2108975812199433E-6</v>
      </c>
      <c r="J28" t="s">
        <v>27</v>
      </c>
      <c r="K28" s="1">
        <f>AVERAGE(L22:L26)</f>
        <v>2.6243152285112929E-4</v>
      </c>
      <c r="L28" s="1">
        <f>_xlfn.STDEV.S(L22:L26)</f>
        <v>4.1475110522162418E-5</v>
      </c>
      <c r="M28" s="2">
        <f>L28/SQRT(5)</f>
        <v>1.8548233300374393E-5</v>
      </c>
    </row>
    <row r="29" spans="1:13" x14ac:dyDescent="0.45">
      <c r="A29" t="s">
        <v>5</v>
      </c>
      <c r="B29">
        <f>AVERAGE(D22:D26)</f>
        <v>1.6242591612894174E-6</v>
      </c>
      <c r="C29">
        <f>_xlfn.STDEV.S(D22:D26)/SQRT(COUNT(D22:D26))</f>
        <v>2.3538557096715662E-8</v>
      </c>
      <c r="D29" s="1">
        <f>(B29+$B$10/(2*$B$7))^(-1)*9*E16/(2*$B$6*($B$9-$B$8))*1/2*C28</f>
        <v>2.3765071211273708E-8</v>
      </c>
      <c r="F29" t="str">
        <f>J29</f>
        <v>Carica</v>
      </c>
      <c r="G29" s="1">
        <f>AVERAGE(I22:I26)</f>
        <v>6.743744626588412E-18</v>
      </c>
      <c r="H29">
        <f>_xlfn.STDEV.S(I22:I26)</f>
        <v>2.7474728213554943E-19</v>
      </c>
      <c r="I29" s="2">
        <f>H29/SQRT(5)</f>
        <v>1.2287071989768041E-19</v>
      </c>
      <c r="J29" t="s">
        <v>33</v>
      </c>
      <c r="K29" s="1">
        <f>AVERAGE(M22:M26)</f>
        <v>-2.8168541937284272E-19</v>
      </c>
      <c r="L29">
        <f>_xlfn.STDEV.S(M22:M26)</f>
        <v>5.4122303724776698E-19</v>
      </c>
      <c r="M29" s="2">
        <f>L29/SQRT(5)</f>
        <v>2.4204230045498153E-19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2.4087343743893053E-8</v>
      </c>
      <c r="E33">
        <v>2.4613575137790421E-8</v>
      </c>
      <c r="F33">
        <v>2.2647741852582213E-8</v>
      </c>
      <c r="G33">
        <v>2.4020752234317058E-8</v>
      </c>
      <c r="H33">
        <v>2.3549326978998211E-8</v>
      </c>
    </row>
    <row r="34" spans="1:13" x14ac:dyDescent="0.45">
      <c r="C34" t="s">
        <v>21</v>
      </c>
      <c r="D34">
        <v>1.6019862818914045E-6</v>
      </c>
      <c r="E34">
        <v>1.5668711545868786E-6</v>
      </c>
      <c r="F34">
        <v>1.7063884928186885E-6</v>
      </c>
      <c r="G34">
        <v>1.6065395628578412E-6</v>
      </c>
      <c r="H34">
        <v>1.6395103142922745E-6</v>
      </c>
    </row>
    <row r="35" spans="1:13" x14ac:dyDescent="0.45">
      <c r="A35">
        <v>1</v>
      </c>
      <c r="B35" s="1">
        <f>E22</f>
        <v>2.4087343743893053E-8</v>
      </c>
      <c r="C35">
        <f>D22</f>
        <v>1.6019862818914045E-6</v>
      </c>
      <c r="D35">
        <f t="shared" ref="D35:H39" si="2">($C35-D$34)/SQRT($B35^2+D$33^2)</f>
        <v>0</v>
      </c>
      <c r="E35">
        <f t="shared" si="2"/>
        <v>1.0196397029942341</v>
      </c>
      <c r="F35">
        <f t="shared" si="2"/>
        <v>-3.1577351990136324</v>
      </c>
      <c r="G35">
        <f t="shared" si="2"/>
        <v>-0.13385076661548653</v>
      </c>
      <c r="H35">
        <f t="shared" si="2"/>
        <v>-1.1139235905064557</v>
      </c>
    </row>
    <row r="36" spans="1:13" x14ac:dyDescent="0.45">
      <c r="A36">
        <v>2</v>
      </c>
      <c r="B36">
        <f>E23</f>
        <v>2.4613575137790421E-8</v>
      </c>
      <c r="C36">
        <f>D23</f>
        <v>1.5668711545868786E-6</v>
      </c>
      <c r="D36">
        <f t="shared" si="2"/>
        <v>-1.0196397029942341</v>
      </c>
      <c r="E36">
        <f t="shared" si="2"/>
        <v>0</v>
      </c>
      <c r="F36">
        <f t="shared" si="2"/>
        <v>-4.1712093696156902</v>
      </c>
      <c r="G36">
        <f t="shared" si="2"/>
        <v>-1.1534123487351888</v>
      </c>
      <c r="H36">
        <f t="shared" si="2"/>
        <v>-2.13239257038245</v>
      </c>
    </row>
    <row r="37" spans="1:13" x14ac:dyDescent="0.45">
      <c r="A37">
        <v>3</v>
      </c>
      <c r="B37">
        <f>E24</f>
        <v>2.2647741852582213E-8</v>
      </c>
      <c r="C37">
        <f>D24</f>
        <v>1.7063884928186885E-6</v>
      </c>
      <c r="D37">
        <f t="shared" si="2"/>
        <v>3.1577351990136324</v>
      </c>
      <c r="E37">
        <f t="shared" si="2"/>
        <v>4.1712093696156902</v>
      </c>
      <c r="F37">
        <f t="shared" si="2"/>
        <v>0</v>
      </c>
      <c r="G37">
        <f t="shared" si="2"/>
        <v>3.0244523862378454</v>
      </c>
      <c r="H37">
        <f t="shared" si="2"/>
        <v>2.0469268496950579</v>
      </c>
    </row>
    <row r="38" spans="1:13" x14ac:dyDescent="0.45">
      <c r="A38">
        <v>4</v>
      </c>
      <c r="B38">
        <f>E25</f>
        <v>2.4020752234317058E-8</v>
      </c>
      <c r="C38">
        <f>D25</f>
        <v>1.6065395628578412E-6</v>
      </c>
      <c r="D38">
        <f t="shared" si="2"/>
        <v>0.13385076661548653</v>
      </c>
      <c r="E38">
        <f t="shared" si="2"/>
        <v>1.1534123487351888</v>
      </c>
      <c r="F38">
        <f t="shared" si="2"/>
        <v>-3.0244523862378454</v>
      </c>
      <c r="G38">
        <f t="shared" si="2"/>
        <v>0</v>
      </c>
      <c r="H38">
        <f t="shared" si="2"/>
        <v>-0.9801411962253973</v>
      </c>
    </row>
    <row r="39" spans="1:13" x14ac:dyDescent="0.45">
      <c r="A39">
        <v>5</v>
      </c>
      <c r="B39">
        <f>E26</f>
        <v>2.3549326978998211E-8</v>
      </c>
      <c r="C39">
        <f>D26</f>
        <v>1.6395103142922745E-6</v>
      </c>
      <c r="D39">
        <f t="shared" si="2"/>
        <v>1.1139235905064557</v>
      </c>
      <c r="E39">
        <f t="shared" si="2"/>
        <v>2.13239257038245</v>
      </c>
      <c r="F39">
        <f t="shared" si="2"/>
        <v>-2.0469268496950579</v>
      </c>
      <c r="G39">
        <f t="shared" si="2"/>
        <v>0.9801411962253973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5.4122303724776698E-19</v>
      </c>
      <c r="E42">
        <v>5.4122303724776698E-19</v>
      </c>
      <c r="F42">
        <v>5.4122303724776698E-19</v>
      </c>
      <c r="G42">
        <v>5.4122303724776698E-19</v>
      </c>
      <c r="H42">
        <v>5.4122303724776698E-19</v>
      </c>
      <c r="I42">
        <v>2.7474728213554943E-19</v>
      </c>
      <c r="J42">
        <v>2.7474728213554943E-19</v>
      </c>
      <c r="K42">
        <v>2.7474728213554943E-19</v>
      </c>
      <c r="L42">
        <v>2.7474728213554943E-19</v>
      </c>
      <c r="M42">
        <v>2.7474728213554943E-19</v>
      </c>
    </row>
    <row r="43" spans="1:13" x14ac:dyDescent="0.45">
      <c r="C43" t="s">
        <v>35</v>
      </c>
      <c r="D43">
        <v>-1.2347780634735676E-18</v>
      </c>
      <c r="E43">
        <v>-4.0698546661798823E-20</v>
      </c>
      <c r="F43">
        <v>-1.4085008829298868E-19</v>
      </c>
      <c r="G43">
        <v>-1.0145345976182227E-19</v>
      </c>
      <c r="H43">
        <v>1.093530613259635E-19</v>
      </c>
      <c r="I43">
        <v>6.8582607356713303E-18</v>
      </c>
      <c r="J43">
        <v>7.1223039411421825E-18</v>
      </c>
      <c r="K43">
        <v>6.7839207412065136E-18</v>
      </c>
      <c r="L43">
        <v>6.4477040603580662E-18</v>
      </c>
      <c r="M43">
        <v>6.5065336545639652E-18</v>
      </c>
    </row>
    <row r="44" spans="1:13" x14ac:dyDescent="0.45">
      <c r="A44">
        <v>1</v>
      </c>
      <c r="B44">
        <f>$L$29</f>
        <v>5.4122303724776698E-19</v>
      </c>
      <c r="C44">
        <f>M22</f>
        <v>-1.2347780634735676E-18</v>
      </c>
      <c r="D44">
        <f>($C44-D$43)/SQRT($B44^2+D$42^2)</f>
        <v>0</v>
      </c>
      <c r="E44">
        <f t="shared" ref="E44:M44" si="3">($C44-E$43)/SQRT($B44^2+E$42^2)</f>
        <v>-1.5600624243698369</v>
      </c>
      <c r="F44">
        <f t="shared" si="3"/>
        <v>-1.4292146419217269</v>
      </c>
      <c r="G44">
        <f t="shared" si="3"/>
        <v>-1.4806862557908205</v>
      </c>
      <c r="H44">
        <f t="shared" si="3"/>
        <v>-1.7561045405289084</v>
      </c>
      <c r="I44">
        <f t="shared" si="3"/>
        <v>-13.333581933017667</v>
      </c>
      <c r="J44">
        <f t="shared" si="3"/>
        <v>-13.768602918506357</v>
      </c>
      <c r="K44">
        <f t="shared" si="3"/>
        <v>-13.211104031737687</v>
      </c>
      <c r="L44">
        <f t="shared" si="3"/>
        <v>-12.657174565612591</v>
      </c>
      <c r="M44">
        <f t="shared" si="3"/>
        <v>-12.754098506532459</v>
      </c>
    </row>
    <row r="45" spans="1:13" x14ac:dyDescent="0.45">
      <c r="A45">
        <v>2</v>
      </c>
      <c r="B45">
        <f>$L$29</f>
        <v>5.4122303724776698E-19</v>
      </c>
      <c r="C45">
        <f>M23</f>
        <v>-4.0698546661798823E-20</v>
      </c>
      <c r="D45">
        <f t="shared" ref="D45:M53" si="4">($C45-D$43)/SQRT($B45^2+D$42^2)</f>
        <v>1.5600624243698369</v>
      </c>
      <c r="E45">
        <f t="shared" si="4"/>
        <v>0</v>
      </c>
      <c r="F45">
        <f t="shared" si="4"/>
        <v>0.13084778244811004</v>
      </c>
      <c r="G45">
        <f t="shared" si="4"/>
        <v>7.9376168579016346E-2</v>
      </c>
      <c r="H45">
        <f t="shared" si="4"/>
        <v>-0.19604211615907158</v>
      </c>
      <c r="I45">
        <f t="shared" si="4"/>
        <v>-11.36629159040494</v>
      </c>
      <c r="J45">
        <f t="shared" si="4"/>
        <v>-11.801312575893631</v>
      </c>
      <c r="K45">
        <f t="shared" si="4"/>
        <v>-11.243813689124961</v>
      </c>
      <c r="L45">
        <f t="shared" si="4"/>
        <v>-10.689884222999863</v>
      </c>
      <c r="M45">
        <f t="shared" si="4"/>
        <v>-10.786808163919734</v>
      </c>
    </row>
    <row r="46" spans="1:13" x14ac:dyDescent="0.45">
      <c r="A46">
        <v>3</v>
      </c>
      <c r="B46">
        <f>$L$29</f>
        <v>5.4122303724776698E-19</v>
      </c>
      <c r="C46">
        <f>M24</f>
        <v>-1.4085008829298868E-19</v>
      </c>
      <c r="D46">
        <f t="shared" si="4"/>
        <v>1.4292146419217269</v>
      </c>
      <c r="E46">
        <f t="shared" si="4"/>
        <v>-0.13084778244811004</v>
      </c>
      <c r="F46">
        <f t="shared" si="4"/>
        <v>0</v>
      </c>
      <c r="G46">
        <f t="shared" si="4"/>
        <v>-5.1471613869093713E-2</v>
      </c>
      <c r="H46">
        <f t="shared" si="4"/>
        <v>-0.32688989860718165</v>
      </c>
      <c r="I46">
        <f t="shared" si="4"/>
        <v>-11.531294974078151</v>
      </c>
      <c r="J46">
        <f t="shared" si="4"/>
        <v>-11.966315959566844</v>
      </c>
      <c r="K46">
        <f t="shared" si="4"/>
        <v>-11.408817072798174</v>
      </c>
      <c r="L46">
        <f t="shared" si="4"/>
        <v>-10.854887606673076</v>
      </c>
      <c r="M46">
        <f t="shared" si="4"/>
        <v>-10.951811547592946</v>
      </c>
    </row>
    <row r="47" spans="1:13" x14ac:dyDescent="0.45">
      <c r="A47">
        <v>4</v>
      </c>
      <c r="B47">
        <f>$L$29</f>
        <v>5.4122303724776698E-19</v>
      </c>
      <c r="C47">
        <f>M25</f>
        <v>-1.0145345976182227E-19</v>
      </c>
      <c r="D47">
        <f t="shared" si="4"/>
        <v>1.4806862557908205</v>
      </c>
      <c r="E47">
        <f t="shared" si="4"/>
        <v>-7.9376168579016346E-2</v>
      </c>
      <c r="F47">
        <f t="shared" si="4"/>
        <v>5.1471613869093713E-2</v>
      </c>
      <c r="G47">
        <f t="shared" si="4"/>
        <v>0</v>
      </c>
      <c r="H47">
        <f t="shared" si="4"/>
        <v>-0.27541828473808794</v>
      </c>
      <c r="I47">
        <f t="shared" si="4"/>
        <v>-11.466387565693989</v>
      </c>
      <c r="J47">
        <f t="shared" si="4"/>
        <v>-11.90140855118268</v>
      </c>
      <c r="K47">
        <f t="shared" si="4"/>
        <v>-11.34390966441401</v>
      </c>
      <c r="L47">
        <f t="shared" si="4"/>
        <v>-10.789980198288914</v>
      </c>
      <c r="M47">
        <f t="shared" si="4"/>
        <v>-10.886904139208784</v>
      </c>
    </row>
    <row r="48" spans="1:13" x14ac:dyDescent="0.45">
      <c r="A48">
        <v>5</v>
      </c>
      <c r="B48">
        <f>$L$29</f>
        <v>5.4122303724776698E-19</v>
      </c>
      <c r="C48">
        <f>M26</f>
        <v>1.093530613259635E-19</v>
      </c>
      <c r="D48">
        <f t="shared" si="4"/>
        <v>1.7561045405289084</v>
      </c>
      <c r="E48">
        <f t="shared" si="4"/>
        <v>0.19604211615907158</v>
      </c>
      <c r="F48">
        <f t="shared" si="4"/>
        <v>0.32688989860718165</v>
      </c>
      <c r="G48">
        <f t="shared" si="4"/>
        <v>0.27541828473808794</v>
      </c>
      <c r="H48">
        <f t="shared" si="4"/>
        <v>0</v>
      </c>
      <c r="I48">
        <f t="shared" si="4"/>
        <v>-11.119075994515633</v>
      </c>
      <c r="J48">
        <f t="shared" si="4"/>
        <v>-11.554096980004324</v>
      </c>
      <c r="K48">
        <f t="shared" si="4"/>
        <v>-10.996598093235654</v>
      </c>
      <c r="L48">
        <f t="shared" si="4"/>
        <v>-10.442668627110557</v>
      </c>
      <c r="M48">
        <f t="shared" si="4"/>
        <v>-10.539592568030427</v>
      </c>
    </row>
    <row r="49" spans="1:13" x14ac:dyDescent="0.45">
      <c r="A49">
        <v>6</v>
      </c>
      <c r="B49">
        <f>$H$29</f>
        <v>2.7474728213554943E-19</v>
      </c>
      <c r="C49">
        <f>I22</f>
        <v>6.8582607356713303E-18</v>
      </c>
      <c r="D49">
        <f t="shared" si="4"/>
        <v>13.333581933017667</v>
      </c>
      <c r="E49">
        <f t="shared" si="4"/>
        <v>11.36629159040494</v>
      </c>
      <c r="F49">
        <f t="shared" si="4"/>
        <v>11.531294974078151</v>
      </c>
      <c r="G49">
        <f t="shared" si="4"/>
        <v>11.466387565693989</v>
      </c>
      <c r="H49">
        <f t="shared" si="4"/>
        <v>11.119075994515633</v>
      </c>
      <c r="I49">
        <f t="shared" si="4"/>
        <v>0</v>
      </c>
      <c r="J49">
        <f t="shared" si="4"/>
        <v>-0.67955810031474229</v>
      </c>
      <c r="K49">
        <f t="shared" si="4"/>
        <v>0.19132605713460024</v>
      </c>
      <c r="L49">
        <f t="shared" si="4"/>
        <v>1.056634325620686</v>
      </c>
      <c r="M49">
        <f t="shared" si="4"/>
        <v>0.9052268042282785</v>
      </c>
    </row>
    <row r="50" spans="1:13" x14ac:dyDescent="0.45">
      <c r="A50">
        <v>7</v>
      </c>
      <c r="B50">
        <f>$H$29</f>
        <v>2.7474728213554943E-19</v>
      </c>
      <c r="C50">
        <f>I23</f>
        <v>7.1223039411421825E-18</v>
      </c>
      <c r="D50">
        <f t="shared" si="4"/>
        <v>13.768602918506357</v>
      </c>
      <c r="E50">
        <f t="shared" si="4"/>
        <v>11.801312575893631</v>
      </c>
      <c r="F50">
        <f t="shared" si="4"/>
        <v>11.966315959566844</v>
      </c>
      <c r="G50">
        <f t="shared" si="4"/>
        <v>11.90140855118268</v>
      </c>
      <c r="H50">
        <f t="shared" si="4"/>
        <v>11.554096980004324</v>
      </c>
      <c r="I50">
        <f t="shared" si="4"/>
        <v>0.67955810031474229</v>
      </c>
      <c r="J50">
        <f t="shared" si="4"/>
        <v>0</v>
      </c>
      <c r="K50">
        <f t="shared" si="4"/>
        <v>0.87088415744934256</v>
      </c>
      <c r="L50">
        <f t="shared" si="4"/>
        <v>1.7361924259354282</v>
      </c>
      <c r="M50">
        <f t="shared" si="4"/>
        <v>1.5847849045430209</v>
      </c>
    </row>
    <row r="51" spans="1:13" x14ac:dyDescent="0.45">
      <c r="A51">
        <v>8</v>
      </c>
      <c r="B51">
        <f>$H$29</f>
        <v>2.7474728213554943E-19</v>
      </c>
      <c r="C51">
        <f>I24</f>
        <v>6.7839207412065136E-18</v>
      </c>
      <c r="D51">
        <f t="shared" si="4"/>
        <v>13.211104031737687</v>
      </c>
      <c r="E51">
        <f t="shared" si="4"/>
        <v>11.243813689124961</v>
      </c>
      <c r="F51">
        <f t="shared" si="4"/>
        <v>11.408817072798174</v>
      </c>
      <c r="G51">
        <f t="shared" si="4"/>
        <v>11.34390966441401</v>
      </c>
      <c r="H51">
        <f t="shared" si="4"/>
        <v>10.996598093235654</v>
      </c>
      <c r="I51">
        <f t="shared" si="4"/>
        <v>-0.19132605713460024</v>
      </c>
      <c r="J51">
        <f t="shared" si="4"/>
        <v>-0.87088415744934256</v>
      </c>
      <c r="K51">
        <f t="shared" si="4"/>
        <v>0</v>
      </c>
      <c r="L51">
        <f t="shared" si="4"/>
        <v>0.86530826848608577</v>
      </c>
      <c r="M51">
        <f t="shared" si="4"/>
        <v>0.71390074709367835</v>
      </c>
    </row>
    <row r="52" spans="1:13" x14ac:dyDescent="0.45">
      <c r="A52">
        <v>9</v>
      </c>
      <c r="B52">
        <f>$H$29</f>
        <v>2.7474728213554943E-19</v>
      </c>
      <c r="C52">
        <f>I25</f>
        <v>6.4477040603580662E-18</v>
      </c>
      <c r="D52">
        <f t="shared" si="4"/>
        <v>12.657174565612591</v>
      </c>
      <c r="E52">
        <f t="shared" si="4"/>
        <v>10.689884222999863</v>
      </c>
      <c r="F52">
        <f t="shared" si="4"/>
        <v>10.854887606673076</v>
      </c>
      <c r="G52">
        <f t="shared" si="4"/>
        <v>10.789980198288914</v>
      </c>
      <c r="H52">
        <f t="shared" si="4"/>
        <v>10.442668627110557</v>
      </c>
      <c r="I52">
        <f t="shared" si="4"/>
        <v>-1.056634325620686</v>
      </c>
      <c r="J52">
        <f t="shared" si="4"/>
        <v>-1.7361924259354282</v>
      </c>
      <c r="K52">
        <f t="shared" si="4"/>
        <v>-0.86530826848608577</v>
      </c>
      <c r="L52">
        <f t="shared" si="4"/>
        <v>0</v>
      </c>
      <c r="M52">
        <f t="shared" si="4"/>
        <v>-0.15140752139240743</v>
      </c>
    </row>
    <row r="53" spans="1:13" x14ac:dyDescent="0.45">
      <c r="A53">
        <v>10</v>
      </c>
      <c r="B53">
        <f>$H$29</f>
        <v>2.7474728213554943E-19</v>
      </c>
      <c r="C53">
        <f>I26</f>
        <v>6.5065336545639652E-18</v>
      </c>
      <c r="D53">
        <f t="shared" si="4"/>
        <v>12.754098506532459</v>
      </c>
      <c r="E53">
        <f t="shared" si="4"/>
        <v>10.786808163919734</v>
      </c>
      <c r="F53">
        <f t="shared" si="4"/>
        <v>10.951811547592946</v>
      </c>
      <c r="G53">
        <f t="shared" si="4"/>
        <v>10.886904139208784</v>
      </c>
      <c r="H53">
        <f t="shared" si="4"/>
        <v>10.539592568030427</v>
      </c>
      <c r="I53">
        <f t="shared" si="4"/>
        <v>-0.9052268042282785</v>
      </c>
      <c r="J53">
        <f t="shared" si="4"/>
        <v>-1.5847849045430209</v>
      </c>
      <c r="K53">
        <f t="shared" si="4"/>
        <v>-0.71390074709367835</v>
      </c>
      <c r="L53">
        <f t="shared" si="4"/>
        <v>0.15140752139240743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2" priority="3" operator="notBetween">
      <formula>-1.96</formula>
      <formula>1.96</formula>
    </cfRule>
    <cfRule type="cellIs" priority="4" operator="notBetween">
      <formula>-1.96</formula>
      <formula>1.96</formula>
    </cfRule>
    <cfRule type="cellIs" priority="5" operator="notBetween">
      <formula>-1.96</formula>
      <formula>1.96</formula>
    </cfRule>
    <cfRule type="cellIs" dxfId="1" priority="6" operator="greaterThan">
      <formula>1.96</formula>
    </cfRule>
  </conditionalFormatting>
  <conditionalFormatting sqref="D35:H39">
    <cfRule type="cellIs" dxfId="0" priority="1" operator="notBetween">
      <formula>-1.96</formula>
      <formula>1.96</formula>
    </cfRule>
    <cfRule type="cellIs" priority="2" operator="notBetween">
      <formula>-1.96</formula>
      <formula>1.96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K32" sqref="K32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6" t="str">
        <f>Dati!A1</f>
        <v>Costanti varie</v>
      </c>
      <c r="B1" s="6"/>
      <c r="C1" s="6"/>
    </row>
    <row r="2" spans="1:5" x14ac:dyDescent="0.45">
      <c r="A2" s="6"/>
      <c r="B2" s="6"/>
      <c r="C2" s="6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6" t="s">
        <v>16</v>
      </c>
      <c r="B14" s="6"/>
      <c r="C14" s="6"/>
      <c r="D14" s="3"/>
    </row>
    <row r="15" spans="1:5" x14ac:dyDescent="0.45">
      <c r="A15" s="6"/>
      <c r="B15" s="6"/>
      <c r="C15" s="6"/>
      <c r="D15" s="3"/>
    </row>
    <row r="16" spans="1:5" x14ac:dyDescent="0.45">
      <c r="A16" t="s">
        <v>19</v>
      </c>
      <c r="B16">
        <v>300</v>
      </c>
      <c r="C16">
        <f>B16/100</f>
        <v>3</v>
      </c>
      <c r="D16" t="s">
        <v>0</v>
      </c>
      <c r="E16">
        <f>(1.8+(B18-15)*0.004765)*0.00001</f>
        <v>1.8333550000000003E-5</v>
      </c>
    </row>
    <row r="17" spans="1:13" x14ac:dyDescent="0.45">
      <c r="A17" t="s">
        <v>23</v>
      </c>
      <c r="B17">
        <v>2.27</v>
      </c>
      <c r="D17" t="s">
        <v>1</v>
      </c>
      <c r="E17" s="2">
        <f>E16/(1+$B$10/($B$7*B29))</f>
        <v>1.5892865939688976E-5</v>
      </c>
    </row>
    <row r="18" spans="1:13" x14ac:dyDescent="0.45">
      <c r="A18" t="s">
        <v>24</v>
      </c>
      <c r="B18">
        <v>22</v>
      </c>
      <c r="D18" t="s">
        <v>32</v>
      </c>
      <c r="E18" s="1">
        <f>B16/B5</f>
        <v>40376.850605652755</v>
      </c>
    </row>
    <row r="20" spans="1:13" x14ac:dyDescent="0.45">
      <c r="A20" t="s">
        <v>7</v>
      </c>
      <c r="B20">
        <v>1</v>
      </c>
      <c r="G20">
        <v>48.21</v>
      </c>
      <c r="K20">
        <f>G26</f>
        <v>52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15.2</v>
      </c>
      <c r="C22" s="1">
        <f>B12/B22</f>
        <v>3.2894736842105262E-5</v>
      </c>
      <c r="D22">
        <f>(($B$10/(2*$B$7))^2+9*E16*C22/(2*$B$6*($B$9-$B$8)))^(1/2)-$B$10/(2*$B$7)</f>
        <v>5.2868574672021356E-7</v>
      </c>
      <c r="E22" s="1">
        <f>(D22+$B$10/(2*$B$7))^(-1)*9*E16/(2*$B$6*($B$9-$B$8))*1/2*C28</f>
        <v>3.6001802649346206E-9</v>
      </c>
      <c r="F22" s="1"/>
      <c r="G22">
        <v>10.3</v>
      </c>
      <c r="H22" s="1">
        <f>$B$12/(G22)</f>
        <v>4.8543689320388346E-5</v>
      </c>
      <c r="I22" s="1">
        <f>(4*PI()/3)*B29^3*($B$9-$B$8)*($B$6/E18)*(1+ABS(H22)/B28)</f>
        <v>3.1760295148020342E-19</v>
      </c>
      <c r="K22">
        <v>4.3</v>
      </c>
      <c r="L22" s="1">
        <f>B12/K22</f>
        <v>1.1627906976744187E-4</v>
      </c>
      <c r="M22" s="1">
        <f>-(4*PI()/3)*B29^3*($B$9-$B$8)*($B$6/$E$18)*(1-ABS(L22)/B28)</f>
        <v>3.2672201408892289E-19</v>
      </c>
    </row>
    <row r="23" spans="1:13" x14ac:dyDescent="0.45">
      <c r="A23">
        <v>2</v>
      </c>
      <c r="B23">
        <v>30.8</v>
      </c>
      <c r="C23" s="1">
        <f>$B$12/(B23-B22)</f>
        <v>3.2051282051282051E-5</v>
      </c>
      <c r="D23">
        <f>(($B$10/(2*$B$7))^2+9*E16*C23/(2*$B$6*($B$9-$B$8)))^(1/2)-$B$10/(2*$B$7)</f>
        <v>5.2137893602708232E-7</v>
      </c>
      <c r="E23" s="1">
        <f>(D23+$B$10/(2*$B$7))^(-1)*9*E16/(2*$B$6*($B$9-$B$8))*1/2*C28</f>
        <v>3.6470008989749427E-9</v>
      </c>
      <c r="F23" s="1"/>
      <c r="G23">
        <v>20.7</v>
      </c>
      <c r="H23" s="1">
        <f>$B$12/(G23-G22)</f>
        <v>4.8076923076923084E-5</v>
      </c>
      <c r="I23" s="1">
        <f>(4*PI()/3)*B29^3*($B$9-$B$8)*($B$6/E18)*(1+ABS(H23)/B28)</f>
        <v>3.1577826934641312E-19</v>
      </c>
      <c r="K23">
        <v>8.6999999999999993</v>
      </c>
      <c r="L23" s="1">
        <f>$B$12/(K23-K22)</f>
        <v>1.1363636363636365E-4</v>
      </c>
      <c r="M23" s="1">
        <f>-(4*PI()/3)*B29^3*($B$9-$B$8)*($B$6/$E$18)*(1-ABS(L23)/B28)</f>
        <v>3.1639114991494719E-19</v>
      </c>
    </row>
    <row r="24" spans="1:13" x14ac:dyDescent="0.45">
      <c r="A24">
        <v>3</v>
      </c>
      <c r="B24">
        <v>45.7</v>
      </c>
      <c r="C24" s="1">
        <f t="shared" ref="C24:C26" si="0">$B$12/(B24-B23)</f>
        <v>3.3557046979865769E-5</v>
      </c>
      <c r="D24">
        <f>(($B$10/(2*$B$7))^2+9*E16*C24/(2*$B$6*($B$9-$B$8)))^(1/2)-$B$10/(2*$B$7)</f>
        <v>5.343582122273456E-7</v>
      </c>
      <c r="E24" s="1">
        <f>(D24+$B$10/(2*$B$7))^(-1)*9*E16/(2*$B$6*($B$9-$B$8))*1/2*C28</f>
        <v>3.5646529259988911E-9</v>
      </c>
      <c r="F24" s="1"/>
      <c r="G24">
        <v>31.1</v>
      </c>
      <c r="H24" s="1">
        <f>$B$12/(G24-G23)</f>
        <v>4.807692307692307E-5</v>
      </c>
      <c r="I24" s="1">
        <f>(4*PI()/3)*B29^3*($B$9-$B$8)*($B$6/E18)*(1+ABS(H24)/B28)</f>
        <v>3.1577826934641307E-19</v>
      </c>
      <c r="K24">
        <v>13.2</v>
      </c>
      <c r="L24" s="1">
        <f t="shared" ref="L24:L26" si="1">$B$12/(K24-K23)</f>
        <v>1.1111111111111112E-4</v>
      </c>
      <c r="M24" s="1">
        <f>-(4*PI()/3)*B29^3*($B$9-$B$8)*($B$6/E18)*(1-ABS(L24)/B28)</f>
        <v>3.0651943525981483E-19</v>
      </c>
    </row>
    <row r="25" spans="1:13" x14ac:dyDescent="0.45">
      <c r="A25">
        <v>4</v>
      </c>
      <c r="B25">
        <v>60.6</v>
      </c>
      <c r="C25" s="1">
        <f t="shared" si="0"/>
        <v>3.3557046979865775E-5</v>
      </c>
      <c r="D25">
        <f>(($B$10/(2*$B$7))^2+9*E16*C25/(2*$B$6*($B$9-$B$8)))^(1/2)-$B$10/(2*$B$7)</f>
        <v>5.3435821222734571E-7</v>
      </c>
      <c r="E25" s="1">
        <f>(D25+$B$10/(2*$B$7))^(-1)*9*E16/(2*$B$6*($B$9-$B$8))*1/2*C28</f>
        <v>3.5646529259988894E-9</v>
      </c>
      <c r="F25" s="1"/>
      <c r="G25">
        <v>41.6</v>
      </c>
      <c r="H25" s="1">
        <f>$B$12/(G25-G24)</f>
        <v>4.761904761904762E-5</v>
      </c>
      <c r="I25" s="1">
        <f>(4*PI()/3)*B29^3*($B$9-$B$8)*($B$6/E18)*(1+ABS(H25)/B28)</f>
        <v>3.1398834306279019E-19</v>
      </c>
      <c r="K25">
        <v>17.399999999999999</v>
      </c>
      <c r="L25" s="1">
        <f t="shared" si="1"/>
        <v>1.1904761904761907E-4</v>
      </c>
      <c r="M25" s="1">
        <f>-(4*PI()/3)*B29^3*($B$9-$B$8)*($B$6/E18)*(1-ABS(L25)/B28)</f>
        <v>3.3754482417594515E-19</v>
      </c>
    </row>
    <row r="26" spans="1:13" x14ac:dyDescent="0.45">
      <c r="A26">
        <v>5</v>
      </c>
      <c r="B26">
        <v>76.5</v>
      </c>
      <c r="C26" s="1">
        <f t="shared" si="0"/>
        <v>3.144654088050315E-5</v>
      </c>
      <c r="D26">
        <f>(($B$10/(2*$B$7))^2+9*E16*C26/(2*$B$6*($B$9-$B$8)))^(1/2)-$B$10/(2*$B$7)</f>
        <v>5.1608104663133366E-7</v>
      </c>
      <c r="E26" s="1">
        <f>(D26+$B$10/(2*$B$7))^(-1)*9*E16/(2*$B$6*($B$9-$B$8))*1/2*C28</f>
        <v>3.6817176080298484E-9</v>
      </c>
      <c r="F26" s="1"/>
      <c r="G26">
        <v>52</v>
      </c>
      <c r="H26" s="1">
        <f>$B$12/(G26-G25)</f>
        <v>4.8076923076923084E-5</v>
      </c>
      <c r="I26" s="1">
        <f>(4*PI()/3)*B29^3*($B$9-$B$8)*($B$6/E18)*(1+ABS(H26)/B28)</f>
        <v>3.1577826934641312E-19</v>
      </c>
      <c r="K26">
        <v>21.7</v>
      </c>
      <c r="L26" s="1">
        <f t="shared" si="1"/>
        <v>1.1627906976744184E-4</v>
      </c>
      <c r="M26" s="1">
        <f>-(4*PI()/3)*B29^3*($B$9-$B$8)*($B$6/E18)*(1-ABS(L26)/B28)</f>
        <v>3.2672201408892279E-19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3.2701330746724399E-5</v>
      </c>
      <c r="C28" s="1">
        <f>_xlfn.STDEV.S(C22:C26)/SQRT(COUNT(C22:C26))</f>
        <v>4.1826829761958E-7</v>
      </c>
      <c r="F28" t="str">
        <f>J28</f>
        <v>Velocità</v>
      </c>
      <c r="G28" s="1">
        <f>AVERAGE(H22:H26)</f>
        <v>4.8078701234041045E-5</v>
      </c>
      <c r="H28" s="1">
        <f>_xlfn.STDEV.S(H22:H26)/SQRT(COUNT(H22:H26))</f>
        <v>1.4620274480146689E-7</v>
      </c>
      <c r="I28" s="2">
        <f>H28/SQRT(5)</f>
        <v>6.5383855174626789E-8</v>
      </c>
      <c r="J28" t="s">
        <v>27</v>
      </c>
      <c r="K28" s="1">
        <f>AVERAGE(L22:L26)</f>
        <v>1.1527064666599552E-4</v>
      </c>
      <c r="L28" s="1">
        <f>_xlfn.STDEV.S(L22:L26)</f>
        <v>3.01131083283919E-6</v>
      </c>
      <c r="M28" s="2">
        <f>L28/SQRT(5)</f>
        <v>1.346699144721987E-6</v>
      </c>
    </row>
    <row r="29" spans="1:13" x14ac:dyDescent="0.45">
      <c r="A29" t="s">
        <v>5</v>
      </c>
      <c r="B29">
        <f>AVERAGE(D22:D26)</f>
        <v>5.2697243076666417E-7</v>
      </c>
      <c r="C29">
        <f>_xlfn.STDEV.S(D22:D26)/SQRT(COUNT(D22:D26))</f>
        <v>3.619008282054895E-9</v>
      </c>
      <c r="D29" s="1">
        <f>(B29+$B$10/(2*$B$7))^(-1)*9*E16/(2*$B$6*($B$9-$B$8))*1/2*C28</f>
        <v>3.6110506418383562E-9</v>
      </c>
      <c r="F29" t="str">
        <f>J29</f>
        <v>Carica</v>
      </c>
      <c r="G29" s="1">
        <f>AVERAGE(I22:I26)</f>
        <v>3.1578522051644656E-19</v>
      </c>
      <c r="H29">
        <f>_xlfn.STDEV.S(I22:I26)</f>
        <v>1.2779925074461057E-21</v>
      </c>
      <c r="I29" s="2">
        <f>H29/SQRT(5)</f>
        <v>5.7153562427697966E-22</v>
      </c>
      <c r="J29" t="s">
        <v>33</v>
      </c>
      <c r="K29" s="1">
        <f>AVERAGE(M22:M26)</f>
        <v>3.2277988750571056E-19</v>
      </c>
      <c r="L29">
        <f>_xlfn.STDEV.S(M22:M26)</f>
        <v>1.1771813306760184E-20</v>
      </c>
      <c r="M29" s="2">
        <f>L29/SQRT(5)</f>
        <v>5.2645149544704711E-21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3.6001802649346206E-9</v>
      </c>
      <c r="E33">
        <v>3.6470008989749427E-9</v>
      </c>
      <c r="F33">
        <v>3.5646529259988911E-9</v>
      </c>
      <c r="G33">
        <v>3.5646529259988894E-9</v>
      </c>
      <c r="H33">
        <v>3.6817176080298484E-9</v>
      </c>
    </row>
    <row r="34" spans="1:13" x14ac:dyDescent="0.45">
      <c r="C34" t="s">
        <v>21</v>
      </c>
      <c r="D34">
        <v>5.2868574672021356E-7</v>
      </c>
      <c r="E34">
        <v>5.2137893602708232E-7</v>
      </c>
      <c r="F34">
        <v>5.343582122273456E-7</v>
      </c>
      <c r="G34">
        <v>5.3435821222734571E-7</v>
      </c>
      <c r="H34">
        <v>5.1608104663133366E-7</v>
      </c>
    </row>
    <row r="35" spans="1:13" x14ac:dyDescent="0.45">
      <c r="A35">
        <v>1</v>
      </c>
      <c r="B35" s="1">
        <f>E22</f>
        <v>3.6001802649346206E-9</v>
      </c>
      <c r="C35">
        <f>D22</f>
        <v>5.2868574672021356E-7</v>
      </c>
      <c r="D35">
        <f t="shared" ref="D35:H39" si="2">($C35-D$34)/SQRT($B35^2+D$33^2)</f>
        <v>0</v>
      </c>
      <c r="E35">
        <f t="shared" si="2"/>
        <v>1.4258199019856976</v>
      </c>
      <c r="F35">
        <f t="shared" si="2"/>
        <v>-1.11963235139943</v>
      </c>
      <c r="G35">
        <f t="shared" si="2"/>
        <v>-1.1196323513994511</v>
      </c>
      <c r="H35">
        <f t="shared" si="2"/>
        <v>2.4477987396944005</v>
      </c>
    </row>
    <row r="36" spans="1:13" x14ac:dyDescent="0.45">
      <c r="A36">
        <v>2</v>
      </c>
      <c r="B36">
        <f>E23</f>
        <v>3.6470008989749427E-9</v>
      </c>
      <c r="C36">
        <f>D23</f>
        <v>5.2137893602708232E-7</v>
      </c>
      <c r="D36">
        <f t="shared" si="2"/>
        <v>-1.4258199019856976</v>
      </c>
      <c r="E36">
        <f t="shared" si="2"/>
        <v>0</v>
      </c>
      <c r="F36">
        <f t="shared" si="2"/>
        <v>-2.5450849877849717</v>
      </c>
      <c r="G36">
        <f t="shared" si="2"/>
        <v>-2.5450849877849935</v>
      </c>
      <c r="H36">
        <f t="shared" si="2"/>
        <v>1.022315561157852</v>
      </c>
    </row>
    <row r="37" spans="1:13" x14ac:dyDescent="0.45">
      <c r="A37">
        <v>3</v>
      </c>
      <c r="B37">
        <f>E24</f>
        <v>3.5646529259988911E-9</v>
      </c>
      <c r="C37">
        <f>D24</f>
        <v>5.343582122273456E-7</v>
      </c>
      <c r="D37">
        <f t="shared" si="2"/>
        <v>1.11963235139943</v>
      </c>
      <c r="E37">
        <f t="shared" si="2"/>
        <v>2.5450849877849717</v>
      </c>
      <c r="F37">
        <f t="shared" si="2"/>
        <v>0</v>
      </c>
      <c r="G37">
        <f t="shared" si="2"/>
        <v>-2.1002842118356681E-14</v>
      </c>
      <c r="H37">
        <f t="shared" si="2"/>
        <v>3.5665362539576511</v>
      </c>
    </row>
    <row r="38" spans="1:13" x14ac:dyDescent="0.45">
      <c r="A38">
        <v>4</v>
      </c>
      <c r="B38">
        <f>E25</f>
        <v>3.5646529259988894E-9</v>
      </c>
      <c r="C38">
        <f>D25</f>
        <v>5.3435821222734571E-7</v>
      </c>
      <c r="D38">
        <f t="shared" si="2"/>
        <v>1.1196323513994511</v>
      </c>
      <c r="E38">
        <f t="shared" si="2"/>
        <v>2.5450849877849935</v>
      </c>
      <c r="F38">
        <f t="shared" si="2"/>
        <v>2.1002842118356681E-14</v>
      </c>
      <c r="G38">
        <f t="shared" si="2"/>
        <v>0</v>
      </c>
      <c r="H38">
        <f t="shared" si="2"/>
        <v>3.5665362539576724</v>
      </c>
    </row>
    <row r="39" spans="1:13" x14ac:dyDescent="0.45">
      <c r="A39">
        <v>5</v>
      </c>
      <c r="B39">
        <f>E26</f>
        <v>3.6817176080298484E-9</v>
      </c>
      <c r="C39">
        <f>D26</f>
        <v>5.1608104663133366E-7</v>
      </c>
      <c r="D39">
        <f t="shared" si="2"/>
        <v>-2.4477987396944005</v>
      </c>
      <c r="E39">
        <f t="shared" si="2"/>
        <v>-1.022315561157852</v>
      </c>
      <c r="F39">
        <f t="shared" si="2"/>
        <v>-3.5665362539576511</v>
      </c>
      <c r="G39">
        <f t="shared" si="2"/>
        <v>-3.5665362539576724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1.1771813306760184E-20</v>
      </c>
      <c r="E42">
        <v>1.1771813306760184E-20</v>
      </c>
      <c r="F42">
        <v>1.1771813306760184E-20</v>
      </c>
      <c r="G42">
        <v>1.1771813306760184E-20</v>
      </c>
      <c r="H42">
        <v>1.1771813306760184E-20</v>
      </c>
      <c r="I42">
        <v>1.2779925074461057E-21</v>
      </c>
      <c r="J42">
        <v>1.2779925074461057E-21</v>
      </c>
      <c r="K42">
        <v>1.2779925074461057E-21</v>
      </c>
      <c r="L42">
        <v>1.2779925074461057E-21</v>
      </c>
      <c r="M42">
        <v>1.2779925074461057E-21</v>
      </c>
    </row>
    <row r="43" spans="1:13" x14ac:dyDescent="0.45">
      <c r="C43" t="s">
        <v>35</v>
      </c>
      <c r="D43">
        <v>3.2672201408892289E-19</v>
      </c>
      <c r="E43">
        <v>3.1639114991494719E-19</v>
      </c>
      <c r="F43">
        <v>3.0651943525981483E-19</v>
      </c>
      <c r="G43">
        <v>3.3754482417594515E-19</v>
      </c>
      <c r="H43">
        <v>3.2672201408892279E-19</v>
      </c>
      <c r="I43">
        <v>3.1760295148020342E-19</v>
      </c>
      <c r="J43">
        <v>3.1577826934641312E-19</v>
      </c>
      <c r="K43">
        <v>3.1577826934641307E-19</v>
      </c>
      <c r="L43">
        <v>3.1398834306279019E-19</v>
      </c>
      <c r="M43">
        <v>3.1577826934641312E-19</v>
      </c>
    </row>
    <row r="44" spans="1:13" x14ac:dyDescent="0.45">
      <c r="A44">
        <v>1</v>
      </c>
      <c r="B44">
        <f>$L$29</f>
        <v>1.1771813306760184E-20</v>
      </c>
      <c r="C44">
        <f>M22</f>
        <v>3.2672201408892289E-19</v>
      </c>
      <c r="D44">
        <f>($C44-D$43)/SQRT($B44^2+D$42^2)</f>
        <v>0</v>
      </c>
      <c r="E44">
        <f t="shared" ref="E44:M44" si="3">($C44-E$43)/SQRT($B44^2+E$42^2)</f>
        <v>0.62055215475939707</v>
      </c>
      <c r="F44">
        <f t="shared" si="3"/>
        <v>1.2135242137517119</v>
      </c>
      <c r="G44">
        <f t="shared" si="3"/>
        <v>-0.6501022573669939</v>
      </c>
      <c r="H44">
        <f t="shared" si="3"/>
        <v>5.7843175400360105E-15</v>
      </c>
      <c r="I44">
        <f t="shared" si="3"/>
        <v>0.77012722867845251</v>
      </c>
      <c r="J44">
        <f t="shared" si="3"/>
        <v>0.92422611528674803</v>
      </c>
      <c r="K44">
        <f t="shared" si="3"/>
        <v>0.92422611528675203</v>
      </c>
      <c r="L44">
        <f t="shared" si="3"/>
        <v>1.0753897850072718</v>
      </c>
      <c r="M44">
        <f t="shared" si="3"/>
        <v>0.92422611528674803</v>
      </c>
    </row>
    <row r="45" spans="1:13" x14ac:dyDescent="0.45">
      <c r="A45">
        <v>2</v>
      </c>
      <c r="B45">
        <f>$L$29</f>
        <v>1.1771813306760184E-20</v>
      </c>
      <c r="C45">
        <f>M23</f>
        <v>3.1639114991494719E-19</v>
      </c>
      <c r="D45">
        <f t="shared" ref="D45:M53" si="4">($C45-D$43)/SQRT($B45^2+D$42^2)</f>
        <v>-0.62055215475939707</v>
      </c>
      <c r="E45">
        <f t="shared" si="4"/>
        <v>0</v>
      </c>
      <c r="F45">
        <f t="shared" si="4"/>
        <v>0.59297205899231475</v>
      </c>
      <c r="G45">
        <f t="shared" si="4"/>
        <v>-1.270654412126391</v>
      </c>
      <c r="H45">
        <f t="shared" si="4"/>
        <v>-0.62055215475939129</v>
      </c>
      <c r="I45">
        <f t="shared" si="4"/>
        <v>-0.10233961770003014</v>
      </c>
      <c r="J45">
        <f t="shared" si="4"/>
        <v>5.1759268908265398E-2</v>
      </c>
      <c r="K45">
        <f t="shared" si="4"/>
        <v>5.1759268908269464E-2</v>
      </c>
      <c r="L45">
        <f t="shared" si="4"/>
        <v>0.20292293862878918</v>
      </c>
      <c r="M45">
        <f t="shared" si="4"/>
        <v>5.1759268908265398E-2</v>
      </c>
    </row>
    <row r="46" spans="1:13" x14ac:dyDescent="0.45">
      <c r="A46">
        <v>3</v>
      </c>
      <c r="B46">
        <f>$L$29</f>
        <v>1.1771813306760184E-20</v>
      </c>
      <c r="C46">
        <f>M24</f>
        <v>3.0651943525981483E-19</v>
      </c>
      <c r="D46">
        <f t="shared" si="4"/>
        <v>-1.2135242137517119</v>
      </c>
      <c r="E46">
        <f t="shared" si="4"/>
        <v>-0.59297205899231475</v>
      </c>
      <c r="F46">
        <f t="shared" si="4"/>
        <v>0</v>
      </c>
      <c r="G46">
        <f t="shared" si="4"/>
        <v>-1.8636264711187058</v>
      </c>
      <c r="H46">
        <f t="shared" si="4"/>
        <v>-1.2135242137517062</v>
      </c>
      <c r="I46">
        <f t="shared" si="4"/>
        <v>-0.93603015979502757</v>
      </c>
      <c r="J46">
        <f t="shared" si="4"/>
        <v>-0.78193127318673195</v>
      </c>
      <c r="K46">
        <f t="shared" si="4"/>
        <v>-0.78193127318672795</v>
      </c>
      <c r="L46">
        <f t="shared" si="4"/>
        <v>-0.63076760346620819</v>
      </c>
      <c r="M46">
        <f t="shared" si="4"/>
        <v>-0.78193127318673195</v>
      </c>
    </row>
    <row r="47" spans="1:13" x14ac:dyDescent="0.45">
      <c r="A47">
        <v>4</v>
      </c>
      <c r="B47">
        <f>$L$29</f>
        <v>1.1771813306760184E-20</v>
      </c>
      <c r="C47">
        <f>M25</f>
        <v>3.3754482417594515E-19</v>
      </c>
      <c r="D47">
        <f t="shared" si="4"/>
        <v>0.6501022573669939</v>
      </c>
      <c r="E47">
        <f t="shared" si="4"/>
        <v>1.270654412126391</v>
      </c>
      <c r="F47">
        <f t="shared" si="4"/>
        <v>1.8636264711187058</v>
      </c>
      <c r="G47">
        <f t="shared" si="4"/>
        <v>0</v>
      </c>
      <c r="H47">
        <f t="shared" si="4"/>
        <v>0.65010225736699967</v>
      </c>
      <c r="I47">
        <f t="shared" si="4"/>
        <v>1.6841401153606814</v>
      </c>
      <c r="J47">
        <f t="shared" si="4"/>
        <v>1.8382390019689769</v>
      </c>
      <c r="K47">
        <f t="shared" si="4"/>
        <v>1.8382390019689812</v>
      </c>
      <c r="L47">
        <f t="shared" si="4"/>
        <v>1.9894026716895008</v>
      </c>
      <c r="M47">
        <f t="shared" si="4"/>
        <v>1.8382390019689769</v>
      </c>
    </row>
    <row r="48" spans="1:13" x14ac:dyDescent="0.45">
      <c r="A48">
        <v>5</v>
      </c>
      <c r="B48">
        <f>$L$29</f>
        <v>1.1771813306760184E-20</v>
      </c>
      <c r="C48">
        <f>M26</f>
        <v>3.2672201408892279E-19</v>
      </c>
      <c r="D48">
        <f t="shared" si="4"/>
        <v>-5.7843175400360105E-15</v>
      </c>
      <c r="E48">
        <f t="shared" si="4"/>
        <v>0.62055215475939129</v>
      </c>
      <c r="F48">
        <f t="shared" si="4"/>
        <v>1.2135242137517062</v>
      </c>
      <c r="G48">
        <f t="shared" si="4"/>
        <v>-0.65010225736699967</v>
      </c>
      <c r="H48">
        <f t="shared" si="4"/>
        <v>0</v>
      </c>
      <c r="I48">
        <f t="shared" si="4"/>
        <v>0.7701272286784443</v>
      </c>
      <c r="J48">
        <f t="shared" si="4"/>
        <v>0.92422611528673992</v>
      </c>
      <c r="K48">
        <f t="shared" si="4"/>
        <v>0.92422611528674392</v>
      </c>
      <c r="L48">
        <f t="shared" si="4"/>
        <v>1.0753897850072636</v>
      </c>
      <c r="M48">
        <f t="shared" si="4"/>
        <v>0.92422611528673992</v>
      </c>
    </row>
    <row r="49" spans="1:13" x14ac:dyDescent="0.45">
      <c r="A49">
        <v>6</v>
      </c>
      <c r="B49">
        <f>$H$29</f>
        <v>1.2779925074461057E-21</v>
      </c>
      <c r="C49">
        <f>I22</f>
        <v>3.1760295148020342E-19</v>
      </c>
      <c r="D49">
        <f t="shared" si="4"/>
        <v>-0.77012722867845251</v>
      </c>
      <c r="E49">
        <f t="shared" si="4"/>
        <v>0.10233961770003014</v>
      </c>
      <c r="F49">
        <f t="shared" si="4"/>
        <v>0.93603015979502757</v>
      </c>
      <c r="G49">
        <f t="shared" si="4"/>
        <v>-1.6841401153606814</v>
      </c>
      <c r="H49">
        <f t="shared" si="4"/>
        <v>-0.7701272286784443</v>
      </c>
      <c r="I49">
        <f t="shared" si="4"/>
        <v>0</v>
      </c>
      <c r="J49">
        <f t="shared" si="4"/>
        <v>1.0095873823950967</v>
      </c>
      <c r="K49">
        <f t="shared" si="4"/>
        <v>1.0095873823951234</v>
      </c>
      <c r="L49">
        <f t="shared" si="4"/>
        <v>1.9999445289350837</v>
      </c>
      <c r="M49">
        <f t="shared" si="4"/>
        <v>1.0095873823950967</v>
      </c>
    </row>
    <row r="50" spans="1:13" x14ac:dyDescent="0.45">
      <c r="A50">
        <v>7</v>
      </c>
      <c r="B50">
        <f>$H$29</f>
        <v>1.2779925074461057E-21</v>
      </c>
      <c r="C50">
        <f>I23</f>
        <v>3.1577826934641312E-19</v>
      </c>
      <c r="D50">
        <f t="shared" si="4"/>
        <v>-0.92422611528674803</v>
      </c>
      <c r="E50">
        <f t="shared" si="4"/>
        <v>-5.1759268908265398E-2</v>
      </c>
      <c r="F50">
        <f t="shared" si="4"/>
        <v>0.78193127318673195</v>
      </c>
      <c r="G50">
        <f t="shared" si="4"/>
        <v>-1.8382390019689769</v>
      </c>
      <c r="H50">
        <f t="shared" si="4"/>
        <v>-0.92422611528673992</v>
      </c>
      <c r="I50">
        <f t="shared" si="4"/>
        <v>-1.0095873823950967</v>
      </c>
      <c r="J50">
        <f t="shared" si="4"/>
        <v>0</v>
      </c>
      <c r="K50">
        <f t="shared" si="4"/>
        <v>2.6640182079155792E-14</v>
      </c>
      <c r="L50">
        <f t="shared" si="4"/>
        <v>0.99035714653998685</v>
      </c>
      <c r="M50">
        <f t="shared" si="4"/>
        <v>0</v>
      </c>
    </row>
    <row r="51" spans="1:13" x14ac:dyDescent="0.45">
      <c r="A51">
        <v>8</v>
      </c>
      <c r="B51">
        <f>$H$29</f>
        <v>1.2779925074461057E-21</v>
      </c>
      <c r="C51">
        <f>I24</f>
        <v>3.1577826934641307E-19</v>
      </c>
      <c r="D51">
        <f t="shared" si="4"/>
        <v>-0.92422611528675203</v>
      </c>
      <c r="E51">
        <f t="shared" si="4"/>
        <v>-5.1759268908269464E-2</v>
      </c>
      <c r="F51">
        <f t="shared" si="4"/>
        <v>0.78193127318672795</v>
      </c>
      <c r="G51">
        <f t="shared" si="4"/>
        <v>-1.8382390019689812</v>
      </c>
      <c r="H51">
        <f t="shared" si="4"/>
        <v>-0.92422611528674392</v>
      </c>
      <c r="I51">
        <f t="shared" si="4"/>
        <v>-1.0095873823951234</v>
      </c>
      <c r="J51">
        <f t="shared" si="4"/>
        <v>-2.6640182079155792E-14</v>
      </c>
      <c r="K51">
        <f t="shared" si="4"/>
        <v>0</v>
      </c>
      <c r="L51">
        <f t="shared" si="4"/>
        <v>0.99035714653996021</v>
      </c>
      <c r="M51">
        <f t="shared" si="4"/>
        <v>-2.6640182079155792E-14</v>
      </c>
    </row>
    <row r="52" spans="1:13" x14ac:dyDescent="0.45">
      <c r="A52">
        <v>9</v>
      </c>
      <c r="B52">
        <f>$H$29</f>
        <v>1.2779925074461057E-21</v>
      </c>
      <c r="C52">
        <f>I25</f>
        <v>3.1398834306279019E-19</v>
      </c>
      <c r="D52">
        <f t="shared" si="4"/>
        <v>-1.0753897850072718</v>
      </c>
      <c r="E52">
        <f t="shared" si="4"/>
        <v>-0.20292293862878918</v>
      </c>
      <c r="F52">
        <f t="shared" si="4"/>
        <v>0.63076760346620819</v>
      </c>
      <c r="G52">
        <f t="shared" si="4"/>
        <v>-1.9894026716895008</v>
      </c>
      <c r="H52">
        <f t="shared" si="4"/>
        <v>-1.0753897850072636</v>
      </c>
      <c r="I52">
        <f t="shared" si="4"/>
        <v>-1.9999445289350837</v>
      </c>
      <c r="J52">
        <f t="shared" si="4"/>
        <v>-0.99035714653998685</v>
      </c>
      <c r="K52">
        <f t="shared" si="4"/>
        <v>-0.99035714653996021</v>
      </c>
      <c r="L52">
        <f t="shared" si="4"/>
        <v>0</v>
      </c>
      <c r="M52">
        <f t="shared" si="4"/>
        <v>-0.99035714653998685</v>
      </c>
    </row>
    <row r="53" spans="1:13" x14ac:dyDescent="0.45">
      <c r="A53">
        <v>10</v>
      </c>
      <c r="B53">
        <f>$H$29</f>
        <v>1.2779925074461057E-21</v>
      </c>
      <c r="C53">
        <f>I26</f>
        <v>3.1577826934641312E-19</v>
      </c>
      <c r="D53">
        <f t="shared" si="4"/>
        <v>-0.92422611528674803</v>
      </c>
      <c r="E53">
        <f t="shared" si="4"/>
        <v>-5.1759268908265398E-2</v>
      </c>
      <c r="F53">
        <f t="shared" si="4"/>
        <v>0.78193127318673195</v>
      </c>
      <c r="G53">
        <f t="shared" si="4"/>
        <v>-1.8382390019689769</v>
      </c>
      <c r="H53">
        <f t="shared" si="4"/>
        <v>-0.92422611528673992</v>
      </c>
      <c r="I53">
        <f t="shared" si="4"/>
        <v>-1.0095873823950967</v>
      </c>
      <c r="J53">
        <f t="shared" si="4"/>
        <v>0</v>
      </c>
      <c r="K53">
        <f t="shared" si="4"/>
        <v>2.6640182079155792E-14</v>
      </c>
      <c r="L53">
        <f t="shared" si="4"/>
        <v>0.99035714653998685</v>
      </c>
      <c r="M53">
        <f t="shared" si="4"/>
        <v>0</v>
      </c>
    </row>
  </sheetData>
  <mergeCells count="2">
    <mergeCell ref="A1:C2"/>
    <mergeCell ref="A14:C15"/>
  </mergeCells>
  <conditionalFormatting sqref="D44:M53">
    <cfRule type="cellIs" dxfId="8" priority="3" operator="notBetween">
      <formula>-1.96</formula>
      <formula>1.96</formula>
    </cfRule>
    <cfRule type="cellIs" priority="4" operator="notBetween">
      <formula>-1.96</formula>
      <formula>1.96</formula>
    </cfRule>
    <cfRule type="cellIs" priority="5" operator="notBetween">
      <formula>-1.96</formula>
      <formula>1.96</formula>
    </cfRule>
    <cfRule type="cellIs" dxfId="7" priority="6" operator="greaterThan">
      <formula>1.96</formula>
    </cfRule>
  </conditionalFormatting>
  <conditionalFormatting sqref="D35:H39">
    <cfRule type="cellIs" dxfId="6" priority="1" operator="notBetween">
      <formula>-1.96</formula>
      <formula>1.96</formula>
    </cfRule>
    <cfRule type="cellIs" priority="2" operator="notBetween">
      <formula>-1.96</formula>
      <formula>1.96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Dati</vt:lpstr>
      <vt:lpstr>Misura prova</vt:lpstr>
      <vt:lpstr>Misura 1</vt:lpstr>
      <vt:lpstr>Misura 2</vt:lpstr>
      <vt:lpstr>Misura 3</vt:lpstr>
      <vt:lpstr>Sheet7</vt:lpstr>
      <vt:lpstr>Sheet8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2016-12-19T09:52:08Z</dcterms:modified>
</cp:coreProperties>
</file>